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3CA13065-3F9C-4003-BD21-0A22E3CDDD00}" xr6:coauthVersionLast="47" xr6:coauthVersionMax="47" xr10:uidLastSave="{00000000-0000-0000-0000-000000000000}"/>
  <bookViews>
    <workbookView xWindow="-110" yWindow="-110" windowWidth="19420" windowHeight="10420" firstSheet="15" activeTab="20"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February MPI" sheetId="61" r:id="rId8"/>
    <sheet name="historical overrides" sheetId="50" r:id="rId9"/>
    <sheet name="mpc" sheetId="56" r:id="rId10"/>
    <sheet name="Unemployment Insurance" sheetId="25" r:id="rId11"/>
    <sheet name="PPP" sheetId="38" r:id="rId12"/>
    <sheet name="Provider Relief" sheetId="40" r:id="rId13"/>
    <sheet name="Grants" sheetId="26" r:id="rId14"/>
    <sheet name="Federal and State Purchases" sheetId="20" r:id="rId15"/>
    <sheet name="Subsidies" sheetId="30" r:id="rId16"/>
    <sheet name="Medicaid" sheetId="49" r:id="rId17"/>
    <sheet name="Medicare" sheetId="33" r:id="rId18"/>
    <sheet name="Rebate Checks" sheetId="29" r:id="rId19"/>
    <sheet name="Social Benefits" sheetId="59" r:id="rId20"/>
    <sheet name="Taxes" sheetId="48" r:id="rId21"/>
    <sheet name="Haver Pivoted" sheetId="24" r:id="rId22"/>
    <sheet name="Cares Act Scores" sheetId="36" r:id="rId23"/>
    <sheet name="Response and Relief Act Score" sheetId="27" r:id="rId24"/>
    <sheet name="ARP Score" sheetId="5" r:id="rId25"/>
    <sheet name="ARP Timing" sheetId="6" r:id="rId26"/>
    <sheet name="ARP Quarterly" sheetId="21" r:id="rId27"/>
    <sheet name="Deflators" sheetId="34" r:id="rId2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0" i="48" l="1"/>
  <c r="Q27" i="59"/>
  <c r="D27" i="59"/>
  <c r="Q12" i="33"/>
  <c r="S12" i="49"/>
  <c r="R26" i="49"/>
  <c r="S27" i="49"/>
  <c r="Q21" i="59"/>
  <c r="S26" i="49"/>
  <c r="Q26" i="49"/>
  <c r="L32" i="61" s="1"/>
  <c r="Q13" i="26"/>
  <c r="Q21" i="48"/>
  <c r="L43" i="61"/>
  <c r="L42" i="61"/>
  <c r="K9" i="61"/>
  <c r="K10" i="61"/>
  <c r="K11" i="61"/>
  <c r="K12" i="61"/>
  <c r="K13" i="61"/>
  <c r="K14" i="61"/>
  <c r="K15" i="61"/>
  <c r="K17" i="61"/>
  <c r="K18" i="61"/>
  <c r="K19" i="61"/>
  <c r="K21" i="61"/>
  <c r="K22" i="61"/>
  <c r="K23" i="61"/>
  <c r="K24" i="61"/>
  <c r="K25" i="61"/>
  <c r="K26" i="61"/>
  <c r="K27" i="61"/>
  <c r="K28" i="61"/>
  <c r="K29" i="61"/>
  <c r="K31" i="61"/>
  <c r="K32" i="61"/>
  <c r="K33" i="61"/>
  <c r="K35" i="61"/>
  <c r="K36" i="61"/>
  <c r="K37" i="61"/>
  <c r="K38" i="61"/>
  <c r="K39" i="61"/>
  <c r="K40" i="61"/>
  <c r="K42" i="61"/>
  <c r="K43" i="61"/>
  <c r="K44" i="61"/>
  <c r="K45" i="61"/>
  <c r="K46" i="61"/>
  <c r="K47" i="61"/>
  <c r="K48" i="61"/>
  <c r="K49" i="61"/>
  <c r="K50" i="61"/>
  <c r="K51" i="61"/>
  <c r="K52" i="61"/>
  <c r="K53" i="61"/>
  <c r="K55" i="61"/>
  <c r="K56" i="61"/>
  <c r="K57" i="61"/>
  <c r="K58" i="61"/>
  <c r="K59" i="61"/>
  <c r="K8" i="61"/>
  <c r="P114" i="48" l="1"/>
  <c r="P21" i="48"/>
  <c r="P13" i="48"/>
  <c r="N5" i="5"/>
  <c r="D13" i="21"/>
  <c r="Q93" i="26"/>
  <c r="Q92" i="26"/>
  <c r="Q96" i="26"/>
  <c r="R96" i="26"/>
  <c r="E6" i="50" l="1"/>
  <c r="D6" i="50"/>
  <c r="C6" i="50"/>
  <c r="F6" i="5"/>
  <c r="F6" i="21"/>
  <c r="Q86" i="48" l="1"/>
  <c r="J14" i="33" l="1"/>
  <c r="K14" i="33"/>
  <c r="L14" i="33"/>
  <c r="M14" i="33"/>
  <c r="N14" i="33"/>
  <c r="O14" i="33"/>
  <c r="P14" i="33"/>
  <c r="P12" i="25"/>
  <c r="P21" i="59" l="1"/>
  <c r="N21" i="59"/>
  <c r="O21" i="59"/>
  <c r="M21" i="59"/>
  <c r="J31" i="48" l="1"/>
  <c r="AO68" i="20" l="1"/>
  <c r="AP68" i="20"/>
  <c r="AQ68" i="20"/>
  <c r="AR68" i="20"/>
  <c r="AS68" i="20"/>
  <c r="AT68" i="20"/>
  <c r="AU68" i="20"/>
  <c r="AV68" i="20"/>
  <c r="AW68" i="20"/>
  <c r="AX68" i="20"/>
  <c r="AY68" i="20"/>
  <c r="AZ68" i="20"/>
  <c r="BA68" i="20"/>
  <c r="BB68" i="20"/>
  <c r="P103" i="48"/>
  <c r="P107" i="48" s="1"/>
  <c r="P104" i="48"/>
  <c r="P105" i="48"/>
  <c r="P106" i="48"/>
  <c r="P108" i="48"/>
  <c r="P109" i="48"/>
  <c r="O109" i="48"/>
  <c r="P18" i="48"/>
  <c r="P19" i="48"/>
  <c r="P20" i="48"/>
  <c r="O21" i="48"/>
  <c r="O13" i="48"/>
  <c r="P10" i="48"/>
  <c r="P11" i="48"/>
  <c r="P12" i="48"/>
  <c r="P53" i="59"/>
  <c r="P49" i="59"/>
  <c r="P42" i="59"/>
  <c r="P29" i="59"/>
  <c r="P12" i="59"/>
  <c r="P9" i="29"/>
  <c r="P10" i="29" s="1"/>
  <c r="P16" i="59" s="1"/>
  <c r="E24" i="33"/>
  <c r="N15" i="33"/>
  <c r="P11" i="33"/>
  <c r="P12" i="33" s="1"/>
  <c r="P14" i="30"/>
  <c r="P11" i="30"/>
  <c r="P16" i="30"/>
  <c r="P17" i="30"/>
  <c r="P18" i="30"/>
  <c r="P19" i="30"/>
  <c r="P20" i="30"/>
  <c r="P21" i="30"/>
  <c r="P22" i="30"/>
  <c r="P23" i="30"/>
  <c r="P33" i="20"/>
  <c r="P35" i="20" s="1"/>
  <c r="Q35" i="20" s="1"/>
  <c r="P9" i="20"/>
  <c r="Q9" i="20" s="1"/>
  <c r="P108" i="26"/>
  <c r="P19" i="26"/>
  <c r="P13" i="26"/>
  <c r="P96" i="26" s="1"/>
  <c r="P14" i="26"/>
  <c r="P10" i="26"/>
  <c r="P9" i="26"/>
  <c r="P12" i="40"/>
  <c r="P13" i="40"/>
  <c r="P11" i="40"/>
  <c r="P54" i="38"/>
  <c r="P53" i="38"/>
  <c r="P9" i="49"/>
  <c r="P26" i="49" s="1"/>
  <c r="P10" i="49"/>
  <c r="P11" i="49" s="1"/>
  <c r="P15" i="25"/>
  <c r="P16" i="25"/>
  <c r="P17" i="25"/>
  <c r="P18" i="25"/>
  <c r="P14" i="25"/>
  <c r="P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F3" i="46" s="1"/>
  <c r="O11" i="40"/>
  <c r="P55" i="38" l="1"/>
  <c r="P56" i="38" s="1"/>
  <c r="P11" i="26"/>
  <c r="P99" i="48"/>
  <c r="P98" i="48"/>
  <c r="P14" i="40"/>
  <c r="P17" i="40" s="1"/>
  <c r="O114" i="48"/>
  <c r="O100" i="48"/>
  <c r="P113" i="48"/>
  <c r="P9" i="48"/>
  <c r="P14" i="20"/>
  <c r="Q14" i="20"/>
  <c r="P12" i="49"/>
  <c r="Q12" i="49" s="1"/>
  <c r="R12" i="49" s="1"/>
  <c r="P112" i="48"/>
  <c r="P16" i="48"/>
  <c r="P102" i="48"/>
  <c r="P97" i="48" s="1"/>
  <c r="P13" i="25"/>
  <c r="P20" i="25" s="1"/>
  <c r="L65" i="38"/>
  <c r="L64" i="38"/>
  <c r="P15" i="40" l="1"/>
  <c r="P16" i="40"/>
  <c r="P111" i="48"/>
  <c r="L66" i="38"/>
  <c r="L67" i="38" s="1"/>
  <c r="D37" i="25"/>
  <c r="P22" i="25" s="1"/>
  <c r="Q17" i="25" s="1"/>
  <c r="D34" i="25"/>
  <c r="O22" i="25" s="1"/>
  <c r="D31" i="25"/>
  <c r="D28" i="25"/>
  <c r="Q20" i="25" l="1"/>
  <c r="L71" i="38"/>
  <c r="L70" i="38" l="1"/>
  <c r="L69" i="38"/>
  <c r="K14" i="35"/>
  <c r="L14" i="35"/>
  <c r="M14" i="35"/>
  <c r="N14" i="35"/>
  <c r="O14" i="35"/>
  <c r="P14" i="35"/>
  <c r="C14" i="35"/>
  <c r="E14" i="35"/>
  <c r="F14" i="35"/>
  <c r="G14" i="35"/>
  <c r="H14" i="35"/>
  <c r="I14" i="35"/>
  <c r="J14" i="35"/>
  <c r="R21" i="59"/>
  <c r="D4" i="50" l="1"/>
  <c r="E4" i="50"/>
  <c r="C4" i="50"/>
  <c r="S18" i="26" l="1"/>
  <c r="R18" i="26"/>
  <c r="Q18" i="26"/>
  <c r="P18" i="26"/>
  <c r="Q23" i="59"/>
  <c r="R23" i="59"/>
  <c r="S23" i="59"/>
  <c r="T23" i="59"/>
  <c r="U23" i="59"/>
  <c r="V23" i="59"/>
  <c r="W23" i="59"/>
  <c r="X23" i="59"/>
  <c r="Y23" i="59"/>
  <c r="Z23" i="59"/>
  <c r="AA23" i="59"/>
  <c r="AB23" i="59"/>
  <c r="AC23" i="59"/>
  <c r="O12" i="59"/>
  <c r="I30" i="48"/>
  <c r="J30" i="48"/>
  <c r="K30" i="48"/>
  <c r="L30" i="48"/>
  <c r="I31" i="48"/>
  <c r="K31" i="48"/>
  <c r="L31" i="48"/>
  <c r="I32" i="48"/>
  <c r="J32" i="48"/>
  <c r="K32" i="48"/>
  <c r="L32" i="48"/>
  <c r="I33" i="48"/>
  <c r="P100" i="48" s="1"/>
  <c r="J33" i="48"/>
  <c r="K33" i="48"/>
  <c r="L33" i="48"/>
  <c r="Q13" i="48" l="1"/>
  <c r="R13" i="48" s="1"/>
  <c r="S13" i="48" s="1"/>
  <c r="T13" i="48" l="1"/>
  <c r="N29" i="48"/>
  <c r="N33" i="48" s="1"/>
  <c r="L13" i="48"/>
  <c r="G44" i="30"/>
  <c r="U13" i="48" l="1"/>
  <c r="V13" i="48" s="1"/>
  <c r="W13" i="48" s="1"/>
  <c r="X13" i="48" s="1"/>
  <c r="E29" i="59"/>
  <c r="F29" i="59"/>
  <c r="G29" i="59"/>
  <c r="H29" i="59"/>
  <c r="I29" i="59"/>
  <c r="J29" i="59"/>
  <c r="K29" i="59"/>
  <c r="L29" i="59"/>
  <c r="M29" i="59"/>
  <c r="N29" i="59"/>
  <c r="O29" i="59"/>
  <c r="D29" i="59"/>
  <c r="E53" i="59"/>
  <c r="F53" i="59"/>
  <c r="G53" i="59"/>
  <c r="H53" i="59"/>
  <c r="I53" i="59"/>
  <c r="J53" i="59"/>
  <c r="K53" i="59"/>
  <c r="L53" i="59"/>
  <c r="M53" i="59"/>
  <c r="N53" i="59"/>
  <c r="O53" i="59"/>
  <c r="Q53" i="59" s="1"/>
  <c r="R53" i="59" s="1"/>
  <c r="S53" i="59" s="1"/>
  <c r="T53" i="59" s="1"/>
  <c r="U53" i="59" s="1"/>
  <c r="V53" i="59" s="1"/>
  <c r="W53" i="59" s="1"/>
  <c r="X53" i="59" s="1"/>
  <c r="Y53" i="59" s="1"/>
  <c r="Z53" i="59" s="1"/>
  <c r="AA53" i="59" s="1"/>
  <c r="AB53" i="59" s="1"/>
  <c r="AC53" i="59" s="1"/>
  <c r="D53" i="59"/>
  <c r="M49" i="59"/>
  <c r="D49" i="59"/>
  <c r="E42" i="59"/>
  <c r="F42" i="59"/>
  <c r="G42" i="59"/>
  <c r="H42" i="59"/>
  <c r="P43" i="59" s="1"/>
  <c r="I42" i="59"/>
  <c r="J42" i="59"/>
  <c r="K42" i="59"/>
  <c r="L42" i="59"/>
  <c r="M42" i="59"/>
  <c r="N42" i="59"/>
  <c r="O42" i="59"/>
  <c r="D42" i="59"/>
  <c r="E49" i="59"/>
  <c r="F49" i="59"/>
  <c r="G49" i="59"/>
  <c r="H49" i="59"/>
  <c r="I49" i="59"/>
  <c r="J49" i="59"/>
  <c r="K49" i="59"/>
  <c r="L49" i="59"/>
  <c r="N49" i="59"/>
  <c r="O49" i="59"/>
  <c r="D12" i="59"/>
  <c r="Q22" i="59"/>
  <c r="R22" i="59"/>
  <c r="S22" i="59"/>
  <c r="T22" i="59"/>
  <c r="U22" i="59"/>
  <c r="V22" i="59"/>
  <c r="W22" i="59"/>
  <c r="X22" i="59"/>
  <c r="Y22" i="59"/>
  <c r="Z22" i="59"/>
  <c r="AA22" i="59"/>
  <c r="AB22" i="59"/>
  <c r="AC22" i="59"/>
  <c r="P41" i="59" l="1"/>
  <c r="P20" i="59" s="1"/>
  <c r="N43" i="59"/>
  <c r="O43" i="59"/>
  <c r="O41" i="59"/>
  <c r="O29" i="48"/>
  <c r="O33" i="48" s="1"/>
  <c r="Y13" i="48"/>
  <c r="E20" i="59"/>
  <c r="F20" i="59"/>
  <c r="G20" i="59"/>
  <c r="H20" i="59"/>
  <c r="Q20" i="59"/>
  <c r="R20" i="59"/>
  <c r="S20" i="59"/>
  <c r="T20" i="59"/>
  <c r="U20" i="59"/>
  <c r="V20" i="59"/>
  <c r="W20" i="59"/>
  <c r="X20" i="59"/>
  <c r="Y20" i="59"/>
  <c r="Z20" i="59"/>
  <c r="AA20" i="59"/>
  <c r="AB20" i="59"/>
  <c r="AC20" i="59"/>
  <c r="D20" i="59"/>
  <c r="L43" i="59"/>
  <c r="T19" i="59"/>
  <c r="U19" i="59"/>
  <c r="V19" i="59"/>
  <c r="W19" i="59"/>
  <c r="X19" i="59"/>
  <c r="Y19" i="59"/>
  <c r="Z19" i="59"/>
  <c r="AA19" i="59"/>
  <c r="AB19" i="59"/>
  <c r="AC19" i="59"/>
  <c r="Q16" i="59"/>
  <c r="S16" i="59"/>
  <c r="T16" i="59"/>
  <c r="U16" i="59"/>
  <c r="V16" i="59"/>
  <c r="W16" i="59"/>
  <c r="X16" i="59"/>
  <c r="Y16" i="59"/>
  <c r="Z16" i="59"/>
  <c r="AA16" i="59"/>
  <c r="AB16" i="59"/>
  <c r="AC16" i="59"/>
  <c r="E19" i="59"/>
  <c r="E24" i="59" s="1"/>
  <c r="F19" i="59"/>
  <c r="F24" i="59" s="1"/>
  <c r="G19" i="59"/>
  <c r="G24" i="59" s="1"/>
  <c r="H19" i="59"/>
  <c r="H24" i="59" s="1"/>
  <c r="I19" i="59"/>
  <c r="I24" i="59" s="1"/>
  <c r="D19" i="59"/>
  <c r="D24" i="59" s="1"/>
  <c r="I16" i="59"/>
  <c r="H16" i="59"/>
  <c r="E12" i="59"/>
  <c r="F12" i="59"/>
  <c r="G12" i="59"/>
  <c r="H12" i="59"/>
  <c r="I12" i="59"/>
  <c r="J12" i="59"/>
  <c r="K12" i="59"/>
  <c r="L12" i="59"/>
  <c r="M12" i="59"/>
  <c r="N12" i="59"/>
  <c r="F5" i="5"/>
  <c r="Z13" i="48" l="1"/>
  <c r="D60" i="59"/>
  <c r="D64" i="59" s="1"/>
  <c r="I41" i="59"/>
  <c r="I20" i="59" s="1"/>
  <c r="M41" i="59"/>
  <c r="M20" i="59" s="1"/>
  <c r="O20" i="59"/>
  <c r="J43" i="59"/>
  <c r="N41" i="59"/>
  <c r="N20" i="59" s="1"/>
  <c r="K43" i="59"/>
  <c r="M43" i="59"/>
  <c r="J41" i="59"/>
  <c r="J20" i="59" s="1"/>
  <c r="K41" i="59"/>
  <c r="K20" i="59" s="1"/>
  <c r="L41" i="59"/>
  <c r="L20" i="59" s="1"/>
  <c r="O11" i="30"/>
  <c r="F44" i="30"/>
  <c r="AA13" i="48" l="1"/>
  <c r="P29" i="48" s="1"/>
  <c r="P33" i="48" s="1"/>
  <c r="AB13" i="48" l="1"/>
  <c r="AC13" i="48" s="1"/>
  <c r="E6" i="5"/>
  <c r="E7" i="5"/>
  <c r="E8" i="5"/>
  <c r="E9" i="5"/>
  <c r="E10" i="5"/>
  <c r="E11" i="5"/>
  <c r="E12" i="5"/>
  <c r="E13" i="5"/>
  <c r="E14" i="5"/>
  <c r="E15" i="5"/>
  <c r="E5" i="5"/>
  <c r="Q29" i="48" l="1"/>
  <c r="G109" i="48"/>
  <c r="H109" i="48"/>
  <c r="I109" i="48"/>
  <c r="J109" i="48"/>
  <c r="K109" i="48"/>
  <c r="L109" i="48"/>
  <c r="M109" i="48"/>
  <c r="N109" i="48"/>
  <c r="F109" i="48"/>
  <c r="G108" i="48"/>
  <c r="H108" i="48"/>
  <c r="I108" i="48"/>
  <c r="J108" i="48"/>
  <c r="K108" i="48"/>
  <c r="L108" i="48"/>
  <c r="M108" i="48"/>
  <c r="N108" i="48"/>
  <c r="O108" i="48"/>
  <c r="F108" i="48"/>
  <c r="G106" i="48"/>
  <c r="H106" i="48"/>
  <c r="I106" i="48"/>
  <c r="J106" i="48"/>
  <c r="K106" i="48"/>
  <c r="L106" i="48"/>
  <c r="M106" i="48"/>
  <c r="N106" i="48"/>
  <c r="O106" i="48"/>
  <c r="F106" i="48"/>
  <c r="G105" i="48"/>
  <c r="H105" i="48"/>
  <c r="I105" i="48"/>
  <c r="J105" i="48"/>
  <c r="K105" i="48"/>
  <c r="L105" i="48"/>
  <c r="M105" i="48"/>
  <c r="N105" i="48"/>
  <c r="O105" i="48"/>
  <c r="F105" i="48"/>
  <c r="G104" i="48"/>
  <c r="H104" i="48"/>
  <c r="I104" i="48"/>
  <c r="J104" i="48"/>
  <c r="K104" i="48"/>
  <c r="L104" i="48"/>
  <c r="M104" i="48"/>
  <c r="N104" i="48"/>
  <c r="O104" i="48"/>
  <c r="F104" i="48"/>
  <c r="G103" i="48"/>
  <c r="G107" i="48" s="1"/>
  <c r="H103" i="48"/>
  <c r="H107" i="48" s="1"/>
  <c r="I103" i="48"/>
  <c r="I107" i="48" s="1"/>
  <c r="J103" i="48"/>
  <c r="J107" i="48" s="1"/>
  <c r="K103" i="48"/>
  <c r="K107" i="48" s="1"/>
  <c r="L103" i="48"/>
  <c r="L107" i="48" s="1"/>
  <c r="M103" i="48"/>
  <c r="M107" i="48" s="1"/>
  <c r="N103" i="48"/>
  <c r="N107" i="48" s="1"/>
  <c r="O103" i="48"/>
  <c r="O107" i="48" s="1"/>
  <c r="F103" i="48"/>
  <c r="F107" i="48" s="1"/>
  <c r="O22" i="30"/>
  <c r="N22" i="30"/>
  <c r="O23" i="30"/>
  <c r="N23" i="30"/>
  <c r="F13" i="27"/>
  <c r="F102" i="48" l="1"/>
  <c r="D10" i="26"/>
  <c r="E10" i="26"/>
  <c r="F10" i="26"/>
  <c r="G10" i="26"/>
  <c r="D9" i="26"/>
  <c r="E9" i="26"/>
  <c r="F9" i="26"/>
  <c r="G9" i="26"/>
  <c r="F11" i="26" l="1"/>
  <c r="F20" i="26" s="1"/>
  <c r="E11" i="26"/>
  <c r="E20" i="26" s="1"/>
  <c r="D11" i="26"/>
  <c r="D20" i="26" s="1"/>
  <c r="G11" i="26"/>
  <c r="G20" i="26" s="1"/>
  <c r="U14" i="26"/>
  <c r="O102" i="48" l="1"/>
  <c r="O18" i="48"/>
  <c r="O19" i="48"/>
  <c r="O20" i="48"/>
  <c r="O10" i="48"/>
  <c r="O11" i="48"/>
  <c r="O12" i="48"/>
  <c r="O9" i="29"/>
  <c r="O10" i="29" s="1"/>
  <c r="O16" i="59" s="1"/>
  <c r="O11" i="33"/>
  <c r="O12" i="33" s="1"/>
  <c r="O9" i="49"/>
  <c r="O26" i="49" s="1"/>
  <c r="O10" i="49"/>
  <c r="O14" i="30"/>
  <c r="O16" i="30"/>
  <c r="O17" i="30"/>
  <c r="O18" i="30"/>
  <c r="O19" i="30"/>
  <c r="O20" i="30"/>
  <c r="O21" i="30"/>
  <c r="O33" i="20"/>
  <c r="O9" i="20"/>
  <c r="O14" i="20" s="1"/>
  <c r="O108" i="26"/>
  <c r="O19" i="26"/>
  <c r="O14" i="26"/>
  <c r="O13" i="26"/>
  <c r="O96" i="26" s="1"/>
  <c r="O10" i="26"/>
  <c r="O9" i="26"/>
  <c r="O54" i="38"/>
  <c r="O53" i="38"/>
  <c r="O13" i="40"/>
  <c r="O12" i="40"/>
  <c r="O19" i="59"/>
  <c r="O18" i="25"/>
  <c r="O17" i="25"/>
  <c r="O16" i="25"/>
  <c r="O15" i="25"/>
  <c r="O14" i="25"/>
  <c r="O12" i="25"/>
  <c r="O11" i="25"/>
  <c r="O11" i="49" l="1"/>
  <c r="O12" i="49" s="1"/>
  <c r="O11" i="26"/>
  <c r="O27" i="49"/>
  <c r="O28" i="49" s="1"/>
  <c r="O22" i="59"/>
  <c r="K65" i="38"/>
  <c r="O113" i="48"/>
  <c r="O112" i="48"/>
  <c r="O111" i="48"/>
  <c r="O98" i="48"/>
  <c r="O99" i="48"/>
  <c r="O30" i="59"/>
  <c r="O31" i="59" s="1"/>
  <c r="O97" i="48"/>
  <c r="O55" i="38"/>
  <c r="O14" i="40"/>
  <c r="O15" i="40" s="1"/>
  <c r="O35" i="20"/>
  <c r="D14" i="35" l="1"/>
  <c r="R16" i="59"/>
  <c r="P27" i="49"/>
  <c r="P28" i="49" s="1"/>
  <c r="O56" i="38"/>
  <c r="K67" i="38"/>
  <c r="K70" i="38" s="1"/>
  <c r="Q11" i="48"/>
  <c r="R11" i="48" s="1"/>
  <c r="S11" i="48" s="1"/>
  <c r="T11" i="48" s="1"/>
  <c r="Q12" i="48"/>
  <c r="R12" i="48" s="1"/>
  <c r="S12" i="48" s="1"/>
  <c r="T12" i="48" s="1"/>
  <c r="P22" i="59"/>
  <c r="R10" i="48"/>
  <c r="K69" i="38" l="1"/>
  <c r="K66" i="38"/>
  <c r="Q9" i="48"/>
  <c r="R9" i="48"/>
  <c r="S10" i="48"/>
  <c r="N28" i="48"/>
  <c r="N32" i="48" s="1"/>
  <c r="U11" i="48"/>
  <c r="V11" i="48" s="1"/>
  <c r="W11" i="48" s="1"/>
  <c r="X11" i="48" s="1"/>
  <c r="U12" i="48"/>
  <c r="V12" i="48" s="1"/>
  <c r="W12" i="48" s="1"/>
  <c r="X12" i="48" s="1"/>
  <c r="N27" i="48"/>
  <c r="N31" i="48" s="1"/>
  <c r="F10" i="48"/>
  <c r="G10" i="48"/>
  <c r="F11" i="48"/>
  <c r="G11" i="48"/>
  <c r="F12" i="48"/>
  <c r="G12" i="48"/>
  <c r="F13" i="48"/>
  <c r="G13" i="48"/>
  <c r="F21" i="48"/>
  <c r="F114" i="48" s="1"/>
  <c r="G21" i="48"/>
  <c r="G114" i="48" s="1"/>
  <c r="F20" i="48"/>
  <c r="F113" i="48" s="1"/>
  <c r="G20" i="48"/>
  <c r="G113" i="48" s="1"/>
  <c r="F19" i="48"/>
  <c r="F112" i="48" s="1"/>
  <c r="G19" i="48"/>
  <c r="G112" i="48" s="1"/>
  <c r="F18" i="48"/>
  <c r="F111" i="48" s="1"/>
  <c r="G18" i="48"/>
  <c r="G102" i="48"/>
  <c r="H102" i="48"/>
  <c r="I102" i="48"/>
  <c r="J102" i="48"/>
  <c r="K102" i="48"/>
  <c r="L102" i="48"/>
  <c r="M102" i="48"/>
  <c r="N102" i="48"/>
  <c r="G86" i="48"/>
  <c r="H86" i="48"/>
  <c r="I86" i="48"/>
  <c r="J86" i="48"/>
  <c r="K86" i="48"/>
  <c r="L86" i="48"/>
  <c r="M86" i="48"/>
  <c r="N86" i="48"/>
  <c r="O86" i="48"/>
  <c r="P86" i="48"/>
  <c r="R86" i="48"/>
  <c r="S86" i="48"/>
  <c r="T86" i="48"/>
  <c r="U86" i="48"/>
  <c r="V86" i="48"/>
  <c r="W86" i="48"/>
  <c r="X86" i="48"/>
  <c r="Y86" i="48"/>
  <c r="Z86" i="48"/>
  <c r="AA86" i="48"/>
  <c r="AB86" i="48"/>
  <c r="AC86" i="48"/>
  <c r="F86"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K71" i="38" l="1"/>
  <c r="K73" i="38"/>
  <c r="O27" i="48"/>
  <c r="O31" i="48" s="1"/>
  <c r="Y12" i="48"/>
  <c r="O28" i="48"/>
  <c r="O32" i="48" s="1"/>
  <c r="Y11" i="48"/>
  <c r="N26" i="48"/>
  <c r="N30" i="48" s="1"/>
  <c r="S9" i="48"/>
  <c r="T10" i="48"/>
  <c r="F9" i="48"/>
  <c r="G111" i="48"/>
  <c r="O17" i="40"/>
  <c r="O16" i="40"/>
  <c r="G9" i="48"/>
  <c r="G16" i="48"/>
  <c r="F16" i="48"/>
  <c r="AC24" i="30"/>
  <c r="AB24" i="30"/>
  <c r="T9" i="48" l="1"/>
  <c r="U10" i="48"/>
  <c r="Z11" i="48"/>
  <c r="Z12" i="48"/>
  <c r="O14" i="56"/>
  <c r="O13" i="56"/>
  <c r="O12" i="56"/>
  <c r="O11" i="56"/>
  <c r="O10" i="56"/>
  <c r="O8" i="56"/>
  <c r="D2" i="56"/>
  <c r="E2" i="56" s="1"/>
  <c r="F2" i="56" s="1"/>
  <c r="G2" i="56" s="1"/>
  <c r="H2" i="56" s="1"/>
  <c r="I2" i="56" s="1"/>
  <c r="J2" i="56" s="1"/>
  <c r="K2" i="56" s="1"/>
  <c r="L2" i="56" s="1"/>
  <c r="M2" i="56" s="1"/>
  <c r="N2" i="56" s="1"/>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AA11" i="48" l="1"/>
  <c r="P27" i="48" s="1"/>
  <c r="P31" i="48" s="1"/>
  <c r="AA12" i="48"/>
  <c r="P28" i="48" s="1"/>
  <c r="P32" i="48" s="1"/>
  <c r="U9" i="48"/>
  <c r="V10" i="48"/>
  <c r="O5" i="56"/>
  <c r="O6" i="56"/>
  <c r="O4" i="56"/>
  <c r="O9" i="56"/>
  <c r="O7" i="56"/>
  <c r="F73" i="48"/>
  <c r="G73" i="48"/>
  <c r="H73" i="48"/>
  <c r="I73" i="48"/>
  <c r="J73" i="48"/>
  <c r="K73" i="48"/>
  <c r="L73" i="48"/>
  <c r="E73" i="48"/>
  <c r="E71" i="48"/>
  <c r="F71" i="48"/>
  <c r="G71" i="48"/>
  <c r="H71" i="48"/>
  <c r="I71" i="48"/>
  <c r="J71" i="48"/>
  <c r="K71" i="48"/>
  <c r="L71" i="48"/>
  <c r="F70" i="48"/>
  <c r="G70" i="48"/>
  <c r="H70" i="48"/>
  <c r="I70" i="48"/>
  <c r="J70" i="48"/>
  <c r="K70" i="48"/>
  <c r="L70" i="48"/>
  <c r="E70" i="48"/>
  <c r="F41" i="48"/>
  <c r="F72" i="48" s="1"/>
  <c r="G41" i="48"/>
  <c r="G72" i="48" s="1"/>
  <c r="E41" i="48"/>
  <c r="E72" i="48" s="1"/>
  <c r="V9" i="48" l="1"/>
  <c r="W10" i="48"/>
  <c r="AB12" i="48"/>
  <c r="AC12" i="48" s="1"/>
  <c r="AB11" i="48"/>
  <c r="AC11" i="48" s="1"/>
  <c r="L41" i="48"/>
  <c r="L72" i="48" s="1"/>
  <c r="K41" i="48"/>
  <c r="K72" i="48" s="1"/>
  <c r="J41" i="48"/>
  <c r="J72" i="48" s="1"/>
  <c r="I41" i="48"/>
  <c r="I72" i="48" s="1"/>
  <c r="H41" i="48"/>
  <c r="H72" i="48" s="1"/>
  <c r="Q28" i="48" l="1"/>
  <c r="Q27" i="48"/>
  <c r="O26" i="48"/>
  <c r="O30" i="48" s="1"/>
  <c r="X10" i="48"/>
  <c r="W9" i="48"/>
  <c r="K19" i="26"/>
  <c r="L19" i="26"/>
  <c r="M19" i="26"/>
  <c r="N19" i="26"/>
  <c r="J12" i="26"/>
  <c r="Y10" i="48" l="1"/>
  <c r="X9" i="48"/>
  <c r="Y9" i="48" l="1"/>
  <c r="Z10" i="48"/>
  <c r="Z92" i="26"/>
  <c r="AA92" i="26"/>
  <c r="AB92" i="26"/>
  <c r="AC92" i="26"/>
  <c r="Z43" i="26"/>
  <c r="AA43" i="26"/>
  <c r="AB43" i="26"/>
  <c r="AC43" i="26"/>
  <c r="Z19" i="26"/>
  <c r="AA19" i="26"/>
  <c r="AB19" i="26"/>
  <c r="AC19" i="26"/>
  <c r="Z16" i="26"/>
  <c r="Z93" i="26" s="1"/>
  <c r="AA16" i="26"/>
  <c r="AA93" i="26" s="1"/>
  <c r="AB16" i="26"/>
  <c r="AB93" i="26" s="1"/>
  <c r="AC16" i="26"/>
  <c r="AC93" i="26" s="1"/>
  <c r="Z15" i="26"/>
  <c r="AA15" i="26"/>
  <c r="AB15" i="26"/>
  <c r="AC15" i="26"/>
  <c r="Z14" i="26"/>
  <c r="Z91" i="26" s="1"/>
  <c r="AA14" i="26"/>
  <c r="AA91" i="26" s="1"/>
  <c r="AB14" i="26"/>
  <c r="AB91" i="26" s="1"/>
  <c r="AC14" i="26"/>
  <c r="AC91" i="26" s="1"/>
  <c r="N13" i="35"/>
  <c r="O15" i="55" s="1"/>
  <c r="O13" i="35"/>
  <c r="P15" i="55" s="1"/>
  <c r="P13" i="35"/>
  <c r="Q15" i="55" s="1"/>
  <c r="O16" i="55"/>
  <c r="P16" i="55"/>
  <c r="Q16" i="55"/>
  <c r="X18" i="30"/>
  <c r="Y18" i="30"/>
  <c r="Z18" i="30"/>
  <c r="AA18" i="30"/>
  <c r="AB18" i="30"/>
  <c r="AC18" i="30"/>
  <c r="P65" i="55" l="1"/>
  <c r="P90" i="55"/>
  <c r="Q65" i="55"/>
  <c r="Q90" i="55"/>
  <c r="P66" i="55"/>
  <c r="P91" i="55"/>
  <c r="O90" i="55"/>
  <c r="O65" i="55"/>
  <c r="O66" i="55"/>
  <c r="O91" i="55"/>
  <c r="Q91" i="55"/>
  <c r="Q66" i="55"/>
  <c r="Z9" i="48"/>
  <c r="AA10" i="48"/>
  <c r="P26" i="48" s="1"/>
  <c r="P30" i="48"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B3" i="55"/>
  <c r="N16" i="55"/>
  <c r="M13" i="35"/>
  <c r="N15" i="55" s="1"/>
  <c r="N108" i="26"/>
  <c r="N91" i="55" l="1"/>
  <c r="N66" i="55"/>
  <c r="N90" i="55"/>
  <c r="N65" i="55"/>
  <c r="AA9" i="48"/>
  <c r="AB10" i="48"/>
  <c r="N14" i="26"/>
  <c r="N13" i="26"/>
  <c r="N96" i="26" s="1"/>
  <c r="N10" i="26"/>
  <c r="N9" i="26"/>
  <c r="N21" i="48"/>
  <c r="N114" i="48" s="1"/>
  <c r="N20" i="48"/>
  <c r="N113" i="48" s="1"/>
  <c r="N19" i="48"/>
  <c r="N112" i="48" s="1"/>
  <c r="N18" i="48"/>
  <c r="N111" i="48" s="1"/>
  <c r="N13" i="48"/>
  <c r="N100" i="48" s="1"/>
  <c r="I81" i="48" s="1"/>
  <c r="N12" i="48"/>
  <c r="N11" i="48"/>
  <c r="N10" i="48"/>
  <c r="N13" i="40"/>
  <c r="L13" i="40"/>
  <c r="M13" i="40"/>
  <c r="K13" i="40"/>
  <c r="N12" i="40"/>
  <c r="N11" i="40"/>
  <c r="N19" i="59" s="1"/>
  <c r="N11" i="33"/>
  <c r="N9" i="29"/>
  <c r="N10" i="29" s="1"/>
  <c r="N16" i="59" s="1"/>
  <c r="N10" i="49"/>
  <c r="N9" i="49"/>
  <c r="N18" i="25"/>
  <c r="N17" i="25"/>
  <c r="N16" i="25"/>
  <c r="N15" i="25"/>
  <c r="N14" i="25"/>
  <c r="N12" i="25"/>
  <c r="N11" i="25"/>
  <c r="N21" i="30"/>
  <c r="N20" i="30"/>
  <c r="N19" i="30"/>
  <c r="N18" i="30"/>
  <c r="N17" i="30"/>
  <c r="N16" i="30"/>
  <c r="N14" i="30"/>
  <c r="N11" i="30"/>
  <c r="N54" i="38"/>
  <c r="N53" i="38"/>
  <c r="N33" i="20"/>
  <c r="N35" i="20" s="1"/>
  <c r="N9" i="20"/>
  <c r="N14" i="20" s="1"/>
  <c r="F28" i="46"/>
  <c r="G28" i="46" s="1"/>
  <c r="F29" i="46"/>
  <c r="G29" i="46" s="1"/>
  <c r="F30" i="46"/>
  <c r="G30" i="46" s="1"/>
  <c r="F31" i="46"/>
  <c r="G31" i="46" s="1"/>
  <c r="N22" i="59" l="1"/>
  <c r="J65" i="38"/>
  <c r="Q26" i="48"/>
  <c r="AB9" i="48"/>
  <c r="AC10" i="48"/>
  <c r="AC9" i="48" s="1"/>
  <c r="N26" i="49"/>
  <c r="N30" i="59" s="1"/>
  <c r="N31" i="59" s="1"/>
  <c r="O32" i="59" s="1"/>
  <c r="N10" i="33"/>
  <c r="N15" i="59" s="1"/>
  <c r="N12" i="33"/>
  <c r="N97" i="48"/>
  <c r="H78" i="48" s="1"/>
  <c r="I78" i="48" s="1"/>
  <c r="N98" i="48"/>
  <c r="H79" i="48" s="1"/>
  <c r="I79" i="48" s="1"/>
  <c r="N99" i="48"/>
  <c r="H80" i="48" s="1"/>
  <c r="N15" i="30"/>
  <c r="N13" i="30"/>
  <c r="N12" i="30" s="1"/>
  <c r="N11" i="49"/>
  <c r="N11" i="26"/>
  <c r="N14" i="40"/>
  <c r="O10" i="33" l="1"/>
  <c r="O15" i="59" s="1"/>
  <c r="Q111" i="48"/>
  <c r="Q18" i="48" s="1"/>
  <c r="J78" i="48"/>
  <c r="N15" i="40"/>
  <c r="N16" i="40"/>
  <c r="N17" i="40"/>
  <c r="H9" i="20"/>
  <c r="I9" i="20"/>
  <c r="J9" i="20"/>
  <c r="K9" i="20"/>
  <c r="L9" i="20"/>
  <c r="M9" i="20"/>
  <c r="K16" i="5"/>
  <c r="K6" i="5"/>
  <c r="K7" i="5"/>
  <c r="K8" i="5"/>
  <c r="K9" i="5"/>
  <c r="K10" i="5"/>
  <c r="K11" i="5"/>
  <c r="K12" i="5"/>
  <c r="K13" i="5"/>
  <c r="K14" i="5"/>
  <c r="K15" i="5"/>
  <c r="K5" i="5"/>
  <c r="AT16" i="5"/>
  <c r="P10" i="33" l="1"/>
  <c r="R111" i="48"/>
  <c r="K78" i="48"/>
  <c r="I10" i="26"/>
  <c r="J10" i="26"/>
  <c r="K10" i="26"/>
  <c r="L10" i="26"/>
  <c r="M10" i="26"/>
  <c r="H10" i="26"/>
  <c r="P15" i="59" l="1"/>
  <c r="R9" i="20"/>
  <c r="R12" i="33"/>
  <c r="Q11" i="33"/>
  <c r="S111" i="48"/>
  <c r="R18" i="48"/>
  <c r="I47" i="48"/>
  <c r="I54" i="48" s="1"/>
  <c r="L78" i="48"/>
  <c r="S9" i="20" l="1"/>
  <c r="R14" i="20"/>
  <c r="R11" i="33"/>
  <c r="S12" i="33"/>
  <c r="S18" i="48"/>
  <c r="T111" i="48"/>
  <c r="T9" i="20" l="1"/>
  <c r="S14" i="20"/>
  <c r="T12" i="33"/>
  <c r="S11" i="33"/>
  <c r="U111" i="48"/>
  <c r="T18" i="48"/>
  <c r="J47" i="48"/>
  <c r="J54" i="48" s="1"/>
  <c r="I108" i="26"/>
  <c r="J108" i="26"/>
  <c r="K108" i="26"/>
  <c r="L108" i="26"/>
  <c r="M108" i="26"/>
  <c r="H108"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D24" i="33"/>
  <c r="H21" i="33"/>
  <c r="G21" i="33"/>
  <c r="F21" i="33"/>
  <c r="E21" i="33"/>
  <c r="D21" i="33"/>
  <c r="C21" i="33"/>
  <c r="U9" i="20" l="1"/>
  <c r="T14" i="20"/>
  <c r="T11" i="33"/>
  <c r="U12" i="33"/>
  <c r="U18" i="48"/>
  <c r="V111" i="48"/>
  <c r="V108" i="26"/>
  <c r="W108" i="26"/>
  <c r="X108" i="26"/>
  <c r="Y108" i="26"/>
  <c r="Q108" i="26"/>
  <c r="R108" i="26"/>
  <c r="Z108" i="26"/>
  <c r="Z60" i="20" s="1"/>
  <c r="AA108" i="26"/>
  <c r="AB108" i="26"/>
  <c r="S108" i="26"/>
  <c r="T108" i="26"/>
  <c r="U108" i="26"/>
  <c r="AC108" i="26"/>
  <c r="Q10" i="33"/>
  <c r="L29" i="61" s="1"/>
  <c r="K47" i="48"/>
  <c r="K54" i="48" s="1"/>
  <c r="Y15" i="33"/>
  <c r="AA15" i="33"/>
  <c r="AB15" i="33"/>
  <c r="AC15" i="33"/>
  <c r="Z15" i="33"/>
  <c r="O15" i="33"/>
  <c r="X15" i="33"/>
  <c r="P15" i="33"/>
  <c r="V15" i="33"/>
  <c r="U15" i="33"/>
  <c r="W15" i="33"/>
  <c r="Q15" i="33"/>
  <c r="S15" i="33"/>
  <c r="Q15" i="59" l="1"/>
  <c r="V9" i="20"/>
  <c r="U14" i="20"/>
  <c r="V12" i="33"/>
  <c r="U11" i="33"/>
  <c r="V18" i="48"/>
  <c r="W111" i="48"/>
  <c r="R10" i="33"/>
  <c r="R15" i="59" s="1"/>
  <c r="M3" i="35"/>
  <c r="N5" i="55" s="1"/>
  <c r="N3" i="35"/>
  <c r="O5" i="55" s="1"/>
  <c r="AA60" i="20"/>
  <c r="P3" i="35"/>
  <c r="Q5" i="55" s="1"/>
  <c r="AC60" i="20"/>
  <c r="O3" i="35"/>
  <c r="P5" i="55" s="1"/>
  <c r="AB60" i="20"/>
  <c r="W9" i="20" l="1"/>
  <c r="V14" i="20"/>
  <c r="O80" i="55"/>
  <c r="O55" i="55"/>
  <c r="N80" i="55"/>
  <c r="N55" i="55"/>
  <c r="W12" i="33"/>
  <c r="V11" i="33"/>
  <c r="P55" i="55"/>
  <c r="P80" i="55"/>
  <c r="Q80" i="55"/>
  <c r="Q55" i="55"/>
  <c r="W18" i="48"/>
  <c r="X111" i="48"/>
  <c r="S10" i="33"/>
  <c r="S15" i="59" s="1"/>
  <c r="Y16" i="26"/>
  <c r="E61" i="59" l="1"/>
  <c r="E58" i="59"/>
  <c r="E59" i="59" s="1"/>
  <c r="X9" i="20"/>
  <c r="W14" i="20"/>
  <c r="X12" i="33"/>
  <c r="W11" i="33"/>
  <c r="X18" i="48"/>
  <c r="Y111" i="48"/>
  <c r="T10" i="33"/>
  <c r="T19" i="30"/>
  <c r="M12" i="40"/>
  <c r="K11" i="40"/>
  <c r="K19" i="59" s="1"/>
  <c r="K24" i="59" s="1"/>
  <c r="D5" i="50" s="1"/>
  <c r="L11" i="40"/>
  <c r="L19" i="59" s="1"/>
  <c r="L24" i="59" s="1"/>
  <c r="E5" i="50" s="1"/>
  <c r="M11" i="40"/>
  <c r="M19" i="59" s="1"/>
  <c r="J11" i="40"/>
  <c r="J19" i="59" s="1"/>
  <c r="J24" i="59" s="1"/>
  <c r="C5" i="50" s="1"/>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T15" i="59" l="1"/>
  <c r="Y9" i="20"/>
  <c r="X14" i="20"/>
  <c r="Y12" i="33"/>
  <c r="X11" i="33"/>
  <c r="Y18" i="48"/>
  <c r="Z111" i="48"/>
  <c r="V13" i="33"/>
  <c r="U10" i="33"/>
  <c r="U15" i="59" s="1"/>
  <c r="Y14" i="20" l="1"/>
  <c r="Z9" i="20"/>
  <c r="Y11" i="33"/>
  <c r="Z12" i="33"/>
  <c r="Z18" i="48"/>
  <c r="AA111" i="48"/>
  <c r="W13" i="33"/>
  <c r="V10" i="33"/>
  <c r="V15" i="59" s="1"/>
  <c r="E9" i="49"/>
  <c r="F9" i="49"/>
  <c r="G9" i="49"/>
  <c r="H9" i="49"/>
  <c r="I9" i="49"/>
  <c r="J9" i="49"/>
  <c r="K9" i="49"/>
  <c r="L9" i="49"/>
  <c r="M9" i="49"/>
  <c r="D9" i="49"/>
  <c r="F43" i="49"/>
  <c r="G43" i="49"/>
  <c r="H43" i="49"/>
  <c r="I43" i="49"/>
  <c r="J43" i="49"/>
  <c r="K43" i="49"/>
  <c r="L43" i="49"/>
  <c r="M43" i="49"/>
  <c r="N43" i="49"/>
  <c r="O43" i="49"/>
  <c r="P43" i="49"/>
  <c r="F44" i="49"/>
  <c r="G44" i="49"/>
  <c r="H44" i="49"/>
  <c r="I44" i="49"/>
  <c r="J44" i="49"/>
  <c r="K44" i="49"/>
  <c r="L44" i="49"/>
  <c r="M44" i="49"/>
  <c r="N44" i="49"/>
  <c r="O44" i="49"/>
  <c r="P44" i="49"/>
  <c r="I21" i="48"/>
  <c r="I114" i="48" s="1"/>
  <c r="J21" i="48"/>
  <c r="J114" i="48" s="1"/>
  <c r="K21" i="48"/>
  <c r="K114" i="48" s="1"/>
  <c r="L21" i="48"/>
  <c r="L114" i="48" s="1"/>
  <c r="M21" i="48"/>
  <c r="H21" i="48"/>
  <c r="H114" i="48" s="1"/>
  <c r="I20" i="48"/>
  <c r="I113" i="48" s="1"/>
  <c r="J20" i="48"/>
  <c r="J113" i="48" s="1"/>
  <c r="K20" i="48"/>
  <c r="K113" i="48" s="1"/>
  <c r="L20" i="48"/>
  <c r="L113" i="48" s="1"/>
  <c r="M20" i="48"/>
  <c r="M113" i="48" s="1"/>
  <c r="H20" i="48"/>
  <c r="H113" i="48" s="1"/>
  <c r="I19" i="48"/>
  <c r="I112" i="48" s="1"/>
  <c r="J19" i="48"/>
  <c r="J112" i="48" s="1"/>
  <c r="K19" i="48"/>
  <c r="K112" i="48" s="1"/>
  <c r="L19" i="48"/>
  <c r="L112" i="48" s="1"/>
  <c r="M19" i="48"/>
  <c r="M112" i="48" s="1"/>
  <c r="H19" i="48"/>
  <c r="H112" i="48" s="1"/>
  <c r="I18" i="48"/>
  <c r="I111" i="48" s="1"/>
  <c r="J18" i="48"/>
  <c r="J111" i="48" s="1"/>
  <c r="K18" i="48"/>
  <c r="K111" i="48" s="1"/>
  <c r="L18" i="48"/>
  <c r="L111" i="48" s="1"/>
  <c r="M18" i="48"/>
  <c r="M111" i="48" s="1"/>
  <c r="H18" i="48"/>
  <c r="H111" i="48" s="1"/>
  <c r="I13" i="48"/>
  <c r="J13" i="48"/>
  <c r="K13" i="48"/>
  <c r="M13" i="48"/>
  <c r="H13" i="48"/>
  <c r="I12" i="48"/>
  <c r="J12" i="48"/>
  <c r="K12" i="48"/>
  <c r="L12" i="48"/>
  <c r="M12" i="48"/>
  <c r="H12" i="48"/>
  <c r="I11" i="48"/>
  <c r="J11" i="48"/>
  <c r="K11" i="48"/>
  <c r="L11" i="48"/>
  <c r="M11" i="48"/>
  <c r="H11" i="48"/>
  <c r="I10" i="48"/>
  <c r="J10" i="48"/>
  <c r="K10" i="48"/>
  <c r="L10" i="48"/>
  <c r="M10" i="48"/>
  <c r="H10" i="48"/>
  <c r="G57" i="48"/>
  <c r="F57" i="48"/>
  <c r="E57" i="48"/>
  <c r="G55" i="48"/>
  <c r="F55" i="48"/>
  <c r="E55" i="48"/>
  <c r="G54" i="48"/>
  <c r="F54" i="48"/>
  <c r="E54" i="48"/>
  <c r="E78" i="48" s="1"/>
  <c r="R52" i="48"/>
  <c r="Q52" i="48"/>
  <c r="P52" i="48"/>
  <c r="G56" i="48"/>
  <c r="F56" i="48"/>
  <c r="E56" i="48"/>
  <c r="G29" i="48" l="1"/>
  <c r="H33" i="48" s="1"/>
  <c r="G27" i="48"/>
  <c r="H31" i="48" s="1"/>
  <c r="F26" i="49"/>
  <c r="E26" i="49"/>
  <c r="D26" i="49"/>
  <c r="G28" i="48"/>
  <c r="H32" i="48" s="1"/>
  <c r="M100" i="48"/>
  <c r="H81" i="48" s="1"/>
  <c r="M29" i="48"/>
  <c r="M33" i="48" s="1"/>
  <c r="M28" i="48"/>
  <c r="M32" i="48" s="1"/>
  <c r="M27" i="48"/>
  <c r="M31" i="48" s="1"/>
  <c r="Z14" i="20"/>
  <c r="M4" i="35" s="1"/>
  <c r="N6" i="55" s="1"/>
  <c r="AA9" i="20"/>
  <c r="G26" i="48"/>
  <c r="H30" i="48" s="1"/>
  <c r="M26" i="48"/>
  <c r="M30" i="48" s="1"/>
  <c r="G26" i="49"/>
  <c r="M9" i="48"/>
  <c r="M26" i="49"/>
  <c r="K26" i="49"/>
  <c r="K30" i="59" s="1"/>
  <c r="K31" i="59" s="1"/>
  <c r="J26" i="49"/>
  <c r="J30" i="59" s="1"/>
  <c r="J31" i="59" s="1"/>
  <c r="L26" i="49"/>
  <c r="L30" i="59" s="1"/>
  <c r="L31" i="59" s="1"/>
  <c r="I26" i="49"/>
  <c r="I30" i="59" s="1"/>
  <c r="I31" i="59" s="1"/>
  <c r="H26" i="49"/>
  <c r="H30" i="59" s="1"/>
  <c r="H31" i="59" s="1"/>
  <c r="M114" i="48"/>
  <c r="Z11" i="33"/>
  <c r="AA12" i="33"/>
  <c r="AA18" i="48"/>
  <c r="AB111" i="48"/>
  <c r="H100" i="48"/>
  <c r="K97" i="48"/>
  <c r="I98" i="48"/>
  <c r="L100" i="48"/>
  <c r="M99" i="48"/>
  <c r="H98" i="48"/>
  <c r="L99" i="48"/>
  <c r="J100" i="48"/>
  <c r="J98" i="48"/>
  <c r="J97" i="48"/>
  <c r="M98" i="48"/>
  <c r="K99" i="48"/>
  <c r="I100" i="48"/>
  <c r="I97" i="48"/>
  <c r="H97" i="48"/>
  <c r="L98" i="48"/>
  <c r="J99" i="48"/>
  <c r="L97" i="48"/>
  <c r="H99" i="48"/>
  <c r="K100" i="48"/>
  <c r="M97" i="48"/>
  <c r="K98" i="48"/>
  <c r="I99" i="48"/>
  <c r="X13" i="33"/>
  <c r="W10" i="33"/>
  <c r="W15" i="59" s="1"/>
  <c r="H48" i="48"/>
  <c r="H55" i="48" s="1"/>
  <c r="H50" i="48"/>
  <c r="H57" i="48" s="1"/>
  <c r="H47" i="48"/>
  <c r="H54" i="48" s="1"/>
  <c r="H49" i="48"/>
  <c r="H56" i="48" s="1"/>
  <c r="K46" i="49"/>
  <c r="L11" i="49"/>
  <c r="I46" i="49"/>
  <c r="E79" i="48"/>
  <c r="E80" i="48"/>
  <c r="F79" i="48"/>
  <c r="F78" i="48"/>
  <c r="F80" i="48"/>
  <c r="L9" i="48"/>
  <c r="G78" i="48"/>
  <c r="G79" i="48"/>
  <c r="E81" i="48"/>
  <c r="F81" i="48"/>
  <c r="G81" i="48"/>
  <c r="J80" i="48"/>
  <c r="J11" i="49"/>
  <c r="J12" i="49" s="1"/>
  <c r="G11" i="49"/>
  <c r="G12" i="49" s="1"/>
  <c r="P46" i="49"/>
  <c r="H46" i="49"/>
  <c r="F11" i="49"/>
  <c r="F12" i="49" s="1"/>
  <c r="N46" i="49"/>
  <c r="F46" i="49"/>
  <c r="J46" i="49"/>
  <c r="M46" i="49"/>
  <c r="H11" i="49"/>
  <c r="H12" i="49" s="1"/>
  <c r="L46" i="49"/>
  <c r="O46" i="49"/>
  <c r="G46" i="49"/>
  <c r="M11" i="49"/>
  <c r="M12" i="49" s="1"/>
  <c r="E11" i="49"/>
  <c r="E12" i="49" s="1"/>
  <c r="D11" i="49"/>
  <c r="I11" i="49"/>
  <c r="I12" i="49" s="1"/>
  <c r="K11" i="49"/>
  <c r="K12" i="49" s="1"/>
  <c r="K16" i="48"/>
  <c r="K9" i="48"/>
  <c r="L16" i="48"/>
  <c r="M16" i="48"/>
  <c r="J16" i="48"/>
  <c r="I16" i="48"/>
  <c r="H16" i="48"/>
  <c r="J9" i="48"/>
  <c r="I9" i="48"/>
  <c r="H9" i="48"/>
  <c r="I80" i="48"/>
  <c r="G80" i="48"/>
  <c r="F45" i="49" l="1"/>
  <c r="N12" i="49" s="1"/>
  <c r="M27" i="49"/>
  <c r="F58" i="59"/>
  <c r="F59" i="59" s="1"/>
  <c r="F61" i="59"/>
  <c r="D30" i="59"/>
  <c r="D31" i="59" s="1"/>
  <c r="E27" i="49"/>
  <c r="E28" i="49" s="1"/>
  <c r="E30" i="59"/>
  <c r="E31" i="59" s="1"/>
  <c r="G27" i="49"/>
  <c r="G28" i="49" s="1"/>
  <c r="G30" i="59"/>
  <c r="G31" i="59" s="1"/>
  <c r="AA14" i="20"/>
  <c r="N4" i="35" s="1"/>
  <c r="O6" i="55" s="1"/>
  <c r="AB9" i="20"/>
  <c r="N56" i="55"/>
  <c r="N81" i="55"/>
  <c r="F27" i="49"/>
  <c r="F28" i="49" s="1"/>
  <c r="F30" i="59"/>
  <c r="F31" i="59" s="1"/>
  <c r="M30" i="59"/>
  <c r="M31" i="59" s="1"/>
  <c r="M32" i="59" s="1"/>
  <c r="J32" i="59"/>
  <c r="I27" i="49"/>
  <c r="I28" i="49" s="1"/>
  <c r="M28" i="49"/>
  <c r="K27" i="49"/>
  <c r="K28" i="49" s="1"/>
  <c r="I32" i="59"/>
  <c r="K32" i="59"/>
  <c r="H27" i="49"/>
  <c r="H28" i="49" s="1"/>
  <c r="J27" i="49"/>
  <c r="J28" i="49" s="1"/>
  <c r="L32" i="59"/>
  <c r="AB12" i="33"/>
  <c r="AA11" i="33"/>
  <c r="AB18" i="48"/>
  <c r="AC111" i="48"/>
  <c r="AC18" i="48" s="1"/>
  <c r="K80" i="48"/>
  <c r="Y13" i="33"/>
  <c r="X10" i="33"/>
  <c r="J79" i="48"/>
  <c r="D12" i="49"/>
  <c r="D27" i="49" s="1"/>
  <c r="D28" i="49" s="1"/>
  <c r="T11" i="49"/>
  <c r="U11" i="49" s="1"/>
  <c r="V11" i="49" s="1"/>
  <c r="W11" i="49" s="1"/>
  <c r="X11" i="49" s="1"/>
  <c r="Y11" i="49" s="1"/>
  <c r="Z11" i="49" s="1"/>
  <c r="AA11" i="49" s="1"/>
  <c r="AB11" i="49" s="1"/>
  <c r="AC11" i="49" s="1"/>
  <c r="S11" i="49"/>
  <c r="L12" i="49"/>
  <c r="C18" i="49"/>
  <c r="C19" i="49" s="1"/>
  <c r="E18" i="49" l="1"/>
  <c r="E19" i="49" s="1"/>
  <c r="E32" i="59"/>
  <c r="G32" i="59"/>
  <c r="O81" i="55"/>
  <c r="O56" i="55"/>
  <c r="AB14" i="20"/>
  <c r="O4" i="35" s="1"/>
  <c r="P6" i="55" s="1"/>
  <c r="AC9" i="20"/>
  <c r="N32" i="59"/>
  <c r="F32" i="59"/>
  <c r="X15" i="59"/>
  <c r="H32" i="59"/>
  <c r="AB11" i="33"/>
  <c r="AC12" i="33"/>
  <c r="AC11" i="33" s="1"/>
  <c r="Q113" i="48"/>
  <c r="Q112" i="48"/>
  <c r="J81" i="48"/>
  <c r="K81" i="48" s="1"/>
  <c r="I50" i="48"/>
  <c r="I57" i="48" s="1"/>
  <c r="J49" i="48"/>
  <c r="J56" i="48" s="1"/>
  <c r="L80" i="48"/>
  <c r="Z13" i="33"/>
  <c r="Y10" i="33"/>
  <c r="Y15" i="59" s="1"/>
  <c r="I49" i="48"/>
  <c r="I56" i="48" s="1"/>
  <c r="K79" i="48"/>
  <c r="L27" i="49"/>
  <c r="L28" i="49" s="1"/>
  <c r="D18" i="49"/>
  <c r="D19" i="49" s="1"/>
  <c r="D20" i="49" s="1"/>
  <c r="F18" i="49"/>
  <c r="P81" i="55" l="1"/>
  <c r="P56" i="55"/>
  <c r="AC14" i="20"/>
  <c r="P4" i="35" s="1"/>
  <c r="Q6" i="55" s="1"/>
  <c r="L81" i="48"/>
  <c r="R113" i="48"/>
  <c r="Q20" i="48"/>
  <c r="Q19" i="48"/>
  <c r="Q16" i="48" s="1"/>
  <c r="R112" i="48"/>
  <c r="K49" i="48"/>
  <c r="K56" i="48" s="1"/>
  <c r="AA13" i="33"/>
  <c r="Z10" i="33"/>
  <c r="L79" i="48"/>
  <c r="I48" i="48"/>
  <c r="I55" i="48" s="1"/>
  <c r="J48" i="48"/>
  <c r="J55" i="48" s="1"/>
  <c r="F19" i="49"/>
  <c r="G18" i="49"/>
  <c r="G19" i="49" s="1"/>
  <c r="P30" i="59" l="1"/>
  <c r="P31" i="59" s="1"/>
  <c r="C18" i="35" s="1"/>
  <c r="Q81" i="55"/>
  <c r="Q56" i="55"/>
  <c r="Z15" i="59"/>
  <c r="R19" i="48"/>
  <c r="S112" i="48"/>
  <c r="R20" i="48"/>
  <c r="S113" i="48"/>
  <c r="K50" i="48"/>
  <c r="K57" i="48" s="1"/>
  <c r="J50" i="48"/>
  <c r="J57" i="48" s="1"/>
  <c r="K48" i="48"/>
  <c r="K55" i="48" s="1"/>
  <c r="AB13" i="33"/>
  <c r="AA10" i="33"/>
  <c r="AA15" i="59" s="1"/>
  <c r="C21" i="35"/>
  <c r="D23" i="55" s="1"/>
  <c r="D98" i="55" s="1"/>
  <c r="R16" i="48" l="1"/>
  <c r="P32" i="59"/>
  <c r="Q31" i="59"/>
  <c r="G61" i="59"/>
  <c r="G58" i="59"/>
  <c r="G59" i="59" s="1"/>
  <c r="T112" i="48"/>
  <c r="S19" i="48"/>
  <c r="T113" i="48"/>
  <c r="S20" i="48"/>
  <c r="AC13" i="33"/>
  <c r="AC10" i="33" s="1"/>
  <c r="AC15" i="59" s="1"/>
  <c r="AB10" i="33"/>
  <c r="AB15" i="59" s="1"/>
  <c r="D73" i="55"/>
  <c r="D21" i="35"/>
  <c r="E23" i="55" s="1"/>
  <c r="E98" i="55" s="1"/>
  <c r="S16" i="48" l="1"/>
  <c r="R31" i="59"/>
  <c r="D18" i="35"/>
  <c r="U112" i="48"/>
  <c r="T19" i="48"/>
  <c r="U113" i="48"/>
  <c r="T20" i="48"/>
  <c r="E73" i="55"/>
  <c r="E21" i="35"/>
  <c r="F23" i="55" s="1"/>
  <c r="F98" i="55" s="1"/>
  <c r="T16" i="48" l="1"/>
  <c r="E18" i="35"/>
  <c r="S31" i="59"/>
  <c r="V113" i="48"/>
  <c r="U20" i="48"/>
  <c r="V112" i="48"/>
  <c r="U19" i="48"/>
  <c r="U16" i="48" s="1"/>
  <c r="F73" i="55"/>
  <c r="F21" i="35"/>
  <c r="G23" i="55" s="1"/>
  <c r="G98" i="55" s="1"/>
  <c r="T31" i="59" l="1"/>
  <c r="F18" i="35"/>
  <c r="W112" i="48"/>
  <c r="V19" i="48"/>
  <c r="V20" i="48"/>
  <c r="W113" i="48"/>
  <c r="G73" i="55"/>
  <c r="G21" i="35"/>
  <c r="H23" i="55" s="1"/>
  <c r="H98" i="55" s="1"/>
  <c r="V16" i="48" l="1"/>
  <c r="G18" i="35"/>
  <c r="U31" i="59"/>
  <c r="W20" i="48"/>
  <c r="X113" i="48"/>
  <c r="X112" i="48"/>
  <c r="W19" i="48"/>
  <c r="W16" i="48" s="1"/>
  <c r="H73" i="55"/>
  <c r="H21" i="35"/>
  <c r="I23" i="55" s="1"/>
  <c r="I98" i="55" s="1"/>
  <c r="V31" i="59" l="1"/>
  <c r="H18" i="35"/>
  <c r="Y112" i="48"/>
  <c r="X19" i="48"/>
  <c r="X20" i="48"/>
  <c r="Y113" i="48"/>
  <c r="I73" i="55"/>
  <c r="I21" i="35"/>
  <c r="J23" i="55" s="1"/>
  <c r="J98" i="55" s="1"/>
  <c r="X16" i="48" l="1"/>
  <c r="W31" i="59"/>
  <c r="I18" i="35"/>
  <c r="Z113" i="48"/>
  <c r="Y20" i="48"/>
  <c r="Z112" i="48"/>
  <c r="Y19" i="48"/>
  <c r="Y16" i="48" s="1"/>
  <c r="J73" i="55"/>
  <c r="J21" i="35"/>
  <c r="K23" i="55" s="1"/>
  <c r="K98" i="55" s="1"/>
  <c r="X31" i="59" l="1"/>
  <c r="J18" i="35"/>
  <c r="AA112" i="48"/>
  <c r="Z19" i="48"/>
  <c r="AA113" i="48"/>
  <c r="Z20" i="48"/>
  <c r="M21" i="35"/>
  <c r="N23" i="55" s="1"/>
  <c r="K73" i="55"/>
  <c r="L21" i="35"/>
  <c r="M23" i="55" s="1"/>
  <c r="M98" i="55" s="1"/>
  <c r="K21" i="35"/>
  <c r="L23" i="55" s="1"/>
  <c r="L98" i="55" s="1"/>
  <c r="Z16" i="48" l="1"/>
  <c r="Y31" i="59"/>
  <c r="K18" i="35"/>
  <c r="AB112" i="48"/>
  <c r="AA19" i="48"/>
  <c r="AB113" i="48"/>
  <c r="AA20" i="48"/>
  <c r="N73" i="55"/>
  <c r="N98" i="55"/>
  <c r="N21" i="35"/>
  <c r="O23" i="55" s="1"/>
  <c r="L73" i="55"/>
  <c r="M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D11" i="25"/>
  <c r="AA16" i="48" l="1"/>
  <c r="L18" i="35"/>
  <c r="Z31" i="59"/>
  <c r="H19" i="25"/>
  <c r="H14" i="59" s="1"/>
  <c r="AC112" i="48"/>
  <c r="AC19" i="48" s="1"/>
  <c r="AB19" i="48"/>
  <c r="AC113" i="48"/>
  <c r="AC20" i="48" s="1"/>
  <c r="AB20" i="48"/>
  <c r="O73" i="55"/>
  <c r="O98" i="55"/>
  <c r="P21" i="35"/>
  <c r="Q23" i="55" s="1"/>
  <c r="O21" i="35"/>
  <c r="P23" i="55" s="1"/>
  <c r="F19" i="25"/>
  <c r="F14" i="59" s="1"/>
  <c r="G19" i="25"/>
  <c r="G14" i="59" s="1"/>
  <c r="E20" i="25"/>
  <c r="D20" i="25"/>
  <c r="K53" i="38"/>
  <c r="K22" i="59" s="1"/>
  <c r="L53" i="38"/>
  <c r="L22" i="59" s="1"/>
  <c r="M53" i="38"/>
  <c r="J53" i="38"/>
  <c r="J22" i="59" s="1"/>
  <c r="K54" i="38"/>
  <c r="L54" i="38"/>
  <c r="M54" i="38"/>
  <c r="J54" i="38"/>
  <c r="AC16" i="48" l="1"/>
  <c r="AB16" i="48"/>
  <c r="AA31" i="59"/>
  <c r="M18" i="35"/>
  <c r="M22" i="59"/>
  <c r="I65" i="38"/>
  <c r="E19" i="25"/>
  <c r="E14" i="59" s="1"/>
  <c r="P73" i="55"/>
  <c r="P98" i="55"/>
  <c r="Q73" i="55"/>
  <c r="Q98" i="55"/>
  <c r="D19" i="25"/>
  <c r="D14" i="59"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N18" i="35" l="1"/>
  <c r="AB31" i="59"/>
  <c r="Y92" i="26"/>
  <c r="AD41" i="26"/>
  <c r="AD42" i="26"/>
  <c r="R19" i="26"/>
  <c r="S19" i="26"/>
  <c r="T19" i="26"/>
  <c r="U19" i="26"/>
  <c r="V19" i="26"/>
  <c r="W19" i="26"/>
  <c r="X19" i="26"/>
  <c r="Y19" i="26"/>
  <c r="Y15" i="26"/>
  <c r="T14" i="26"/>
  <c r="T91" i="26" s="1"/>
  <c r="U91" i="26"/>
  <c r="V14" i="26"/>
  <c r="V91" i="26" s="1"/>
  <c r="W14" i="26"/>
  <c r="W91" i="26" s="1"/>
  <c r="X14" i="26"/>
  <c r="X91" i="26" s="1"/>
  <c r="Y14" i="26"/>
  <c r="Y91" i="26" s="1"/>
  <c r="N22" i="25"/>
  <c r="M22" i="25"/>
  <c r="Q18" i="30"/>
  <c r="R18" i="30"/>
  <c r="S18" i="30"/>
  <c r="T18" i="30"/>
  <c r="U18" i="30"/>
  <c r="V18" i="30"/>
  <c r="W18" i="30"/>
  <c r="N6" i="5"/>
  <c r="N7" i="5"/>
  <c r="N8" i="5"/>
  <c r="N9" i="5"/>
  <c r="N10" i="5"/>
  <c r="N11" i="5"/>
  <c r="N12" i="5"/>
  <c r="N13" i="5"/>
  <c r="N14" i="5"/>
  <c r="N1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O18" i="35" l="1"/>
  <c r="AC31" i="59"/>
  <c r="P18" i="35" s="1"/>
  <c r="AB51" i="26"/>
  <c r="N13" i="21"/>
  <c r="N14" i="21" s="1"/>
  <c r="N15" i="21" s="1"/>
  <c r="F13" i="21"/>
  <c r="F14" i="21" s="1"/>
  <c r="F15" i="21" s="1"/>
  <c r="S9" i="21"/>
  <c r="V13" i="21"/>
  <c r="V14" i="21" s="1"/>
  <c r="V15" i="21" s="1"/>
  <c r="Q13" i="21"/>
  <c r="Q14" i="21" s="1"/>
  <c r="T13" i="21"/>
  <c r="T14" i="21" s="1"/>
  <c r="T15" i="21" s="1"/>
  <c r="S13" i="21"/>
  <c r="S14" i="21" s="1"/>
  <c r="P13" i="21"/>
  <c r="P14" i="21" s="1"/>
  <c r="L13" i="21"/>
  <c r="L14" i="21" s="1"/>
  <c r="V52" i="26" s="1"/>
  <c r="I13" i="21"/>
  <c r="I14" i="21" s="1"/>
  <c r="I15" i="21" s="1"/>
  <c r="U13" i="21"/>
  <c r="U14" i="21" s="1"/>
  <c r="U15" i="21" s="1"/>
  <c r="K13" i="21"/>
  <c r="K14" i="21" s="1"/>
  <c r="U52" i="26" s="1"/>
  <c r="H13" i="21"/>
  <c r="H14" i="21" s="1"/>
  <c r="H15" i="21" s="1"/>
  <c r="R13" i="21"/>
  <c r="R14" i="21" s="1"/>
  <c r="AB52" i="26" s="1"/>
  <c r="G13" i="21"/>
  <c r="G14" i="21" s="1"/>
  <c r="G15" i="21" s="1"/>
  <c r="E1" i="21"/>
  <c r="D9" i="21"/>
  <c r="D10" i="21"/>
  <c r="N53" i="26" s="1"/>
  <c r="N17" i="26" s="1"/>
  <c r="X52" i="26"/>
  <c r="K9" i="21"/>
  <c r="C13" i="21"/>
  <c r="C14" i="21" s="1"/>
  <c r="C15" i="21" s="1"/>
  <c r="E13" i="21"/>
  <c r="E14" i="21" s="1"/>
  <c r="O13" i="21"/>
  <c r="O14" i="21" s="1"/>
  <c r="J13" i="21"/>
  <c r="M13" i="21"/>
  <c r="M14" i="21" s="1"/>
  <c r="D14" i="21"/>
  <c r="R16" i="25"/>
  <c r="S16" i="25" s="1"/>
  <c r="T16" i="25" s="1"/>
  <c r="U16" i="25" s="1"/>
  <c r="V16" i="25" s="1"/>
  <c r="W16" i="25" s="1"/>
  <c r="X16" i="25" s="1"/>
  <c r="Y16" i="25" s="1"/>
  <c r="Z16" i="25" s="1"/>
  <c r="AA16" i="25" s="1"/>
  <c r="AB16" i="25" s="1"/>
  <c r="AC16" i="25" s="1"/>
  <c r="R15" i="25"/>
  <c r="S15" i="25" s="1"/>
  <c r="T15" i="25" s="1"/>
  <c r="U15" i="25" s="1"/>
  <c r="V15" i="25" s="1"/>
  <c r="W15" i="25" s="1"/>
  <c r="X15" i="25" s="1"/>
  <c r="Y15" i="25" s="1"/>
  <c r="Z15" i="25" s="1"/>
  <c r="AA15" i="25" s="1"/>
  <c r="AB15" i="25" s="1"/>
  <c r="AC15" i="25" s="1"/>
  <c r="R17" i="25"/>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53" i="26" s="1"/>
  <c r="AC17" i="26" s="1"/>
  <c r="K10" i="21"/>
  <c r="O10" i="21"/>
  <c r="R10" i="21"/>
  <c r="AB53" i="26" s="1"/>
  <c r="AB17" i="26" s="1"/>
  <c r="J10" i="21"/>
  <c r="U9" i="21"/>
  <c r="M9" i="21"/>
  <c r="Q10" i="21"/>
  <c r="AA53" i="26" s="1"/>
  <c r="AA17" i="26" s="1"/>
  <c r="I10" i="21"/>
  <c r="T9" i="21"/>
  <c r="L9" i="21"/>
  <c r="P10" i="21"/>
  <c r="Z53" i="26" s="1"/>
  <c r="Z17" i="26" s="1"/>
  <c r="H10" i="21"/>
  <c r="R53"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52" i="26"/>
  <c r="P15" i="21"/>
  <c r="Z52" i="26"/>
  <c r="S15" i="21"/>
  <c r="AC52" i="26"/>
  <c r="V43" i="21"/>
  <c r="H31" i="21"/>
  <c r="P31" i="21"/>
  <c r="I31" i="21"/>
  <c r="Q31" i="21"/>
  <c r="J31" i="21"/>
  <c r="R31" i="21"/>
  <c r="F31" i="21"/>
  <c r="K31" i="21"/>
  <c r="S31" i="21"/>
  <c r="L31" i="21"/>
  <c r="T31" i="21"/>
  <c r="O31" i="21"/>
  <c r="M31" i="21"/>
  <c r="U31" i="21"/>
  <c r="N31" i="21"/>
  <c r="V31" i="21"/>
  <c r="G31" i="21"/>
  <c r="AB13" i="26"/>
  <c r="AB49"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51"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51" i="26"/>
  <c r="N35" i="21"/>
  <c r="V35" i="21"/>
  <c r="O35" i="21"/>
  <c r="J35" i="21"/>
  <c r="P35" i="21"/>
  <c r="Q35" i="21"/>
  <c r="R35" i="21"/>
  <c r="U35" i="21"/>
  <c r="K35" i="21"/>
  <c r="S35" i="21"/>
  <c r="M35" i="21"/>
  <c r="L35" i="21"/>
  <c r="T35" i="21"/>
  <c r="T43" i="21"/>
  <c r="S44" i="21"/>
  <c r="V44" i="21"/>
  <c r="T44" i="21"/>
  <c r="U44" i="21"/>
  <c r="AC51" i="26"/>
  <c r="S43" i="21"/>
  <c r="P52" i="26"/>
  <c r="Y53" i="26"/>
  <c r="U53" i="26"/>
  <c r="U17" i="26" s="1"/>
  <c r="W53" i="26"/>
  <c r="W17" i="26" s="1"/>
  <c r="S53" i="26"/>
  <c r="S17" i="26" s="1"/>
  <c r="Q53" i="26"/>
  <c r="Q17" i="26" s="1"/>
  <c r="O53" i="26"/>
  <c r="O17" i="26" s="1"/>
  <c r="V53" i="26"/>
  <c r="V17" i="26" s="1"/>
  <c r="Q52" i="26"/>
  <c r="L15" i="21"/>
  <c r="F84" i="21"/>
  <c r="N3" i="21"/>
  <c r="J3" i="21"/>
  <c r="S52" i="26"/>
  <c r="K15" i="21"/>
  <c r="D84" i="21"/>
  <c r="K3" i="21"/>
  <c r="H3" i="21"/>
  <c r="M3" i="21"/>
  <c r="T3" i="21"/>
  <c r="O3" i="21"/>
  <c r="U3" i="21"/>
  <c r="L12" i="21"/>
  <c r="F3" i="21"/>
  <c r="R52" i="26"/>
  <c r="D83" i="21"/>
  <c r="S3" i="21"/>
  <c r="G83" i="21"/>
  <c r="Q3" i="21"/>
  <c r="M12" i="21"/>
  <c r="J12" i="21"/>
  <c r="G12" i="21"/>
  <c r="F12" i="21"/>
  <c r="U51" i="26"/>
  <c r="U13" i="26" s="1"/>
  <c r="N51" i="26"/>
  <c r="F83" i="21"/>
  <c r="C84" i="21"/>
  <c r="T12" i="21"/>
  <c r="E3" i="21"/>
  <c r="D85" i="21"/>
  <c r="M15" i="21"/>
  <c r="W52" i="26"/>
  <c r="G84" i="21"/>
  <c r="R15" i="21"/>
  <c r="R12" i="21"/>
  <c r="R3" i="21"/>
  <c r="U12" i="21"/>
  <c r="H12" i="21"/>
  <c r="D15" i="21"/>
  <c r="N52" i="26"/>
  <c r="L3" i="21"/>
  <c r="C83" i="21"/>
  <c r="E83" i="21"/>
  <c r="P3" i="21"/>
  <c r="I3" i="21"/>
  <c r="C3" i="21"/>
  <c r="V11" i="21"/>
  <c r="V12" i="21"/>
  <c r="W13" i="21"/>
  <c r="O15" i="21"/>
  <c r="F85" i="21" s="1"/>
  <c r="Y52" i="26"/>
  <c r="D3" i="21"/>
  <c r="N12" i="21"/>
  <c r="Q12" i="21"/>
  <c r="O12" i="21"/>
  <c r="J14" i="21"/>
  <c r="E15" i="21"/>
  <c r="O52" i="26"/>
  <c r="G3" i="21"/>
  <c r="C12" i="21"/>
  <c r="Y51" i="26"/>
  <c r="Y13" i="26" s="1"/>
  <c r="P51" i="26"/>
  <c r="V51" i="26"/>
  <c r="V13" i="26" s="1"/>
  <c r="R51" i="26"/>
  <c r="R13" i="26" s="1"/>
  <c r="X51" i="26"/>
  <c r="X13" i="26" s="1"/>
  <c r="T51" i="26"/>
  <c r="T13" i="26" s="1"/>
  <c r="E12" i="21"/>
  <c r="O51" i="26"/>
  <c r="W51" i="26"/>
  <c r="W13" i="26" s="1"/>
  <c r="Q51" i="26"/>
  <c r="S51"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53" i="26"/>
  <c r="X17" i="26" s="1"/>
  <c r="F80" i="21"/>
  <c r="P53" i="26"/>
  <c r="P17" i="26" s="1"/>
  <c r="D80" i="21"/>
  <c r="E79" i="21"/>
  <c r="F79" i="21"/>
  <c r="T53" i="26"/>
  <c r="T17" i="26" s="1"/>
  <c r="E80" i="21"/>
  <c r="C79" i="21"/>
  <c r="F10" i="5"/>
  <c r="F16" i="5" s="1"/>
  <c r="C7" i="21"/>
  <c r="C8" i="21"/>
  <c r="C5" i="21"/>
  <c r="M17" i="59" s="1"/>
  <c r="F4" i="50" s="1"/>
  <c r="V6" i="21"/>
  <c r="W10" i="21"/>
  <c r="W9" i="21"/>
  <c r="F4" i="21"/>
  <c r="P18" i="59" s="1"/>
  <c r="G4" i="21"/>
  <c r="Q18" i="59" s="1"/>
  <c r="H4" i="21"/>
  <c r="R18" i="59" s="1"/>
  <c r="I4" i="21"/>
  <c r="S18" i="59" s="1"/>
  <c r="U5" i="21"/>
  <c r="S5" i="21"/>
  <c r="R5" i="21"/>
  <c r="AB17" i="59" s="1"/>
  <c r="O15" i="35" s="1"/>
  <c r="T5" i="21"/>
  <c r="N7" i="21"/>
  <c r="O7" i="21"/>
  <c r="P7" i="21"/>
  <c r="Q7" i="21"/>
  <c r="N5" i="21"/>
  <c r="X17" i="59" s="1"/>
  <c r="K15" i="35" s="1"/>
  <c r="O5" i="21"/>
  <c r="Y17" i="59" s="1"/>
  <c r="L15" i="35" s="1"/>
  <c r="P5" i="21"/>
  <c r="Z17" i="59" s="1"/>
  <c r="M15" i="35" s="1"/>
  <c r="Q5" i="21"/>
  <c r="N4" i="21"/>
  <c r="X18" i="59" s="1"/>
  <c r="X24" i="59" s="1"/>
  <c r="K16" i="35" s="1"/>
  <c r="O4" i="21"/>
  <c r="Y18" i="59" s="1"/>
  <c r="Y24" i="59" s="1"/>
  <c r="L16" i="35" s="1"/>
  <c r="P4" i="21"/>
  <c r="Z18" i="59" s="1"/>
  <c r="Z24" i="59" s="1"/>
  <c r="M16" i="35" s="1"/>
  <c r="Q4" i="21"/>
  <c r="AA18" i="59" s="1"/>
  <c r="AA24" i="59" s="1"/>
  <c r="N16" i="35" s="1"/>
  <c r="M5" i="21"/>
  <c r="W17" i="59" s="1"/>
  <c r="J15" i="35" s="1"/>
  <c r="K5" i="21"/>
  <c r="U17" i="59" s="1"/>
  <c r="H15" i="35" s="1"/>
  <c r="J5" i="21"/>
  <c r="T17" i="59" s="1"/>
  <c r="G15" i="35" s="1"/>
  <c r="L5" i="21"/>
  <c r="V17" i="59" s="1"/>
  <c r="I15" i="35" s="1"/>
  <c r="F5" i="21"/>
  <c r="P17" i="59" s="1"/>
  <c r="G5" i="21"/>
  <c r="Q17" i="59" s="1"/>
  <c r="D15" i="35" s="1"/>
  <c r="H5" i="21"/>
  <c r="R17" i="59" s="1"/>
  <c r="E15" i="35" s="1"/>
  <c r="I5" i="21"/>
  <c r="S17" i="59" s="1"/>
  <c r="F15" i="35" s="1"/>
  <c r="S6" i="21"/>
  <c r="T6" i="21"/>
  <c r="U6" i="21"/>
  <c r="R6" i="21"/>
  <c r="D7" i="21"/>
  <c r="H7" i="21"/>
  <c r="F7" i="21"/>
  <c r="G7" i="21"/>
  <c r="I7" i="21"/>
  <c r="J7" i="21"/>
  <c r="K7" i="21"/>
  <c r="L7" i="21"/>
  <c r="M7" i="21"/>
  <c r="C6" i="21"/>
  <c r="D6" i="21"/>
  <c r="Q6" i="21"/>
  <c r="N6" i="21"/>
  <c r="O6" i="21"/>
  <c r="P6" i="21"/>
  <c r="E7" i="21"/>
  <c r="E6" i="21"/>
  <c r="J4" i="21"/>
  <c r="T18" i="59" s="1"/>
  <c r="T24" i="59" s="1"/>
  <c r="G16" i="35" s="1"/>
  <c r="K4" i="21"/>
  <c r="U18" i="59" s="1"/>
  <c r="U24" i="59" s="1"/>
  <c r="H16" i="35" s="1"/>
  <c r="L4" i="21"/>
  <c r="V18" i="59" s="1"/>
  <c r="V24" i="59" s="1"/>
  <c r="I16" i="35" s="1"/>
  <c r="M4" i="21"/>
  <c r="W18" i="59" s="1"/>
  <c r="W24" i="59" s="1"/>
  <c r="J16" i="35" s="1"/>
  <c r="K6" i="21"/>
  <c r="K21" i="21" s="1"/>
  <c r="L6" i="21"/>
  <c r="L21" i="21" s="1"/>
  <c r="M6" i="21"/>
  <c r="M21" i="21" s="1"/>
  <c r="J6" i="21"/>
  <c r="J21" i="21" s="1"/>
  <c r="R4" i="21"/>
  <c r="AB18" i="59" s="1"/>
  <c r="AB24" i="59" s="1"/>
  <c r="O16" i="35" s="1"/>
  <c r="T4" i="21"/>
  <c r="S4" i="21"/>
  <c r="AC18" i="59" s="1"/>
  <c r="AC24" i="59" s="1"/>
  <c r="P16" i="35" s="1"/>
  <c r="U4" i="21"/>
  <c r="R7" i="21"/>
  <c r="S7" i="21"/>
  <c r="T7" i="21"/>
  <c r="U7" i="21"/>
  <c r="F21" i="21"/>
  <c r="G6" i="21"/>
  <c r="G21" i="21" s="1"/>
  <c r="G22" i="21" s="1"/>
  <c r="H6" i="21"/>
  <c r="H21" i="21" s="1"/>
  <c r="I6" i="21"/>
  <c r="I21" i="21" s="1"/>
  <c r="D5" i="21"/>
  <c r="N17" i="59" s="1"/>
  <c r="G4" i="50" s="1"/>
  <c r="E5" i="21"/>
  <c r="O17" i="59" s="1"/>
  <c r="H4" i="50" s="1"/>
  <c r="H16" i="5"/>
  <c r="B16" i="5"/>
  <c r="C16" i="5"/>
  <c r="I4" i="50" l="1"/>
  <c r="C15" i="35"/>
  <c r="AA17" i="59"/>
  <c r="N15" i="35" s="1"/>
  <c r="O17" i="55" s="1"/>
  <c r="AC17" i="59"/>
  <c r="P15" i="35" s="1"/>
  <c r="Q17" i="55" s="1"/>
  <c r="Q67" i="55" s="1"/>
  <c r="N18" i="55"/>
  <c r="P18" i="55"/>
  <c r="D21" i="21"/>
  <c r="N37" i="30" s="1"/>
  <c r="E21" i="21"/>
  <c r="O37" i="30" s="1"/>
  <c r="O43" i="30"/>
  <c r="M22" i="21"/>
  <c r="W38" i="30" s="1"/>
  <c r="W37" i="30"/>
  <c r="L22" i="21"/>
  <c r="V38" i="30" s="1"/>
  <c r="V37" i="30"/>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F20" i="21"/>
  <c r="P36" i="30" s="1"/>
  <c r="F19" i="21"/>
  <c r="P35" i="30" s="1"/>
  <c r="J20" i="21"/>
  <c r="T36" i="30" s="1"/>
  <c r="T21" i="30" s="1"/>
  <c r="J19" i="21"/>
  <c r="T35" i="30" s="1"/>
  <c r="T20" i="30" s="1"/>
  <c r="J18" i="21"/>
  <c r="T34" i="30" s="1"/>
  <c r="T17" i="30" s="1"/>
  <c r="E19" i="21"/>
  <c r="O35" i="30" s="1"/>
  <c r="E18" i="21"/>
  <c r="O34" i="30" s="1"/>
  <c r="E20" i="21"/>
  <c r="O36" i="30" s="1"/>
  <c r="V43" i="30"/>
  <c r="Z43" i="30"/>
  <c r="AB43" i="30"/>
  <c r="O7" i="35" s="1"/>
  <c r="P9" i="55" s="1"/>
  <c r="U43" i="30"/>
  <c r="Y43" i="30"/>
  <c r="L7" i="35" s="1"/>
  <c r="M9" i="55" s="1"/>
  <c r="M84" i="55" s="1"/>
  <c r="S43" i="30"/>
  <c r="AC43" i="30"/>
  <c r="P7" i="35" s="1"/>
  <c r="Q9" i="55" s="1"/>
  <c r="AA43" i="30"/>
  <c r="N7" i="35" s="1"/>
  <c r="O9" i="55" s="1"/>
  <c r="N43" i="30"/>
  <c r="G6" i="50" s="1"/>
  <c r="R43" i="30"/>
  <c r="M43" i="30"/>
  <c r="F6" i="50" s="1"/>
  <c r="Q43" i="30"/>
  <c r="D7" i="35" s="1"/>
  <c r="E9" i="55" s="1"/>
  <c r="E84" i="55" s="1"/>
  <c r="P43" i="30"/>
  <c r="I6" i="50" s="1"/>
  <c r="T43" i="30"/>
  <c r="G7" i="35" s="1"/>
  <c r="H9" i="55" s="1"/>
  <c r="H84" i="55" s="1"/>
  <c r="K48" i="21"/>
  <c r="S48" i="21"/>
  <c r="L48" i="21"/>
  <c r="T48" i="21"/>
  <c r="E48" i="21"/>
  <c r="E47" i="21" s="1"/>
  <c r="O98" i="26" s="1"/>
  <c r="M48" i="21"/>
  <c r="U48" i="21"/>
  <c r="F48" i="21"/>
  <c r="F47" i="21" s="1"/>
  <c r="P98" i="26" s="1"/>
  <c r="N48" i="21"/>
  <c r="V48" i="21"/>
  <c r="G48" i="21"/>
  <c r="G47" i="21" s="1"/>
  <c r="Q98" i="26" s="1"/>
  <c r="O48" i="21"/>
  <c r="D48" i="21"/>
  <c r="D47" i="21" s="1"/>
  <c r="N98" i="26" s="1"/>
  <c r="H48" i="21"/>
  <c r="P48" i="21"/>
  <c r="I48" i="21"/>
  <c r="Q48" i="21"/>
  <c r="J48" i="21"/>
  <c r="R48" i="21"/>
  <c r="Q18" i="55"/>
  <c r="O18" i="55"/>
  <c r="AA13" i="26"/>
  <c r="AA49" i="26"/>
  <c r="Z13" i="26"/>
  <c r="Z49" i="26"/>
  <c r="AC13" i="26"/>
  <c r="AC49" i="26"/>
  <c r="N17" i="55"/>
  <c r="P17" i="55"/>
  <c r="Y93" i="26"/>
  <c r="Y17" i="26"/>
  <c r="AD17" i="26" s="1"/>
  <c r="H28" i="21"/>
  <c r="F28" i="21"/>
  <c r="G28" i="21"/>
  <c r="F87" i="21"/>
  <c r="D87" i="21"/>
  <c r="E4" i="21"/>
  <c r="O18" i="59" s="1"/>
  <c r="O24" i="59" s="1"/>
  <c r="H5" i="50" s="1"/>
  <c r="D4" i="21"/>
  <c r="N18" i="59" s="1"/>
  <c r="N24" i="59" s="1"/>
  <c r="G5" i="50" s="1"/>
  <c r="E82" i="21"/>
  <c r="G82" i="21"/>
  <c r="C85" i="21"/>
  <c r="C87" i="21" s="1"/>
  <c r="W3" i="21"/>
  <c r="D82" i="21"/>
  <c r="J15" i="21"/>
  <c r="E85" i="21" s="1"/>
  <c r="T52" i="26"/>
  <c r="AD52" i="26" s="1"/>
  <c r="E84" i="21"/>
  <c r="C4" i="21"/>
  <c r="M18" i="59" s="1"/>
  <c r="M24" i="59" s="1"/>
  <c r="F5" i="50" s="1"/>
  <c r="W14" i="21"/>
  <c r="X43" i="30"/>
  <c r="W43" i="30"/>
  <c r="F82" i="21"/>
  <c r="C81" i="21"/>
  <c r="AD51" i="26"/>
  <c r="C82" i="21"/>
  <c r="W12" i="21"/>
  <c r="AD53"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O44" i="30" l="1"/>
  <c r="H6" i="50"/>
  <c r="O24" i="30"/>
  <c r="O67" i="55"/>
  <c r="O92" i="55"/>
  <c r="Q92" i="55"/>
  <c r="P15" i="30"/>
  <c r="P13" i="30"/>
  <c r="P12" i="30" s="1"/>
  <c r="C7" i="35"/>
  <c r="D9" i="55" s="1"/>
  <c r="D84" i="55" s="1"/>
  <c r="P44" i="30"/>
  <c r="P68" i="55"/>
  <c r="P93" i="55"/>
  <c r="N68" i="55"/>
  <c r="N93" i="55"/>
  <c r="E22" i="21"/>
  <c r="O38" i="30" s="1"/>
  <c r="Z24" i="30"/>
  <c r="Z15" i="30" s="1"/>
  <c r="Q24" i="30"/>
  <c r="R24" i="30"/>
  <c r="Q93" i="55"/>
  <c r="Q68" i="55"/>
  <c r="Q25" i="21"/>
  <c r="AA41" i="30" s="1"/>
  <c r="AA39" i="30"/>
  <c r="AA24" i="30" s="1"/>
  <c r="AA15" i="30" s="1"/>
  <c r="V24" i="30"/>
  <c r="V13" i="30" s="1"/>
  <c r="P92" i="55"/>
  <c r="P67" i="55"/>
  <c r="T24" i="30"/>
  <c r="T13" i="30" s="1"/>
  <c r="X24" i="30"/>
  <c r="U24" i="30"/>
  <c r="U13" i="30" s="1"/>
  <c r="N92" i="55"/>
  <c r="N67" i="55"/>
  <c r="O93" i="55"/>
  <c r="O68" i="55"/>
  <c r="Y24" i="30"/>
  <c r="Q59" i="55"/>
  <c r="Q84" i="55"/>
  <c r="O59" i="55"/>
  <c r="O84" i="55"/>
  <c r="P59" i="55"/>
  <c r="P84" i="55"/>
  <c r="D25" i="21"/>
  <c r="N41" i="30" s="1"/>
  <c r="I25" i="21"/>
  <c r="P25" i="21"/>
  <c r="Z41" i="30" s="1"/>
  <c r="H25" i="21"/>
  <c r="C25" i="21"/>
  <c r="M41" i="30" s="1"/>
  <c r="O25" i="21"/>
  <c r="Y41" i="30" s="1"/>
  <c r="E7" i="35"/>
  <c r="F9" i="55" s="1"/>
  <c r="F84" i="55" s="1"/>
  <c r="J25" i="21"/>
  <c r="M25" i="21"/>
  <c r="W41" i="30" s="1"/>
  <c r="K25" i="21"/>
  <c r="U41" i="30" s="1"/>
  <c r="N25" i="21"/>
  <c r="X41" i="30" s="1"/>
  <c r="M7" i="35"/>
  <c r="N9" i="55" s="1"/>
  <c r="E25" i="21"/>
  <c r="O41" i="30" s="1"/>
  <c r="F25" i="21"/>
  <c r="G25" i="21"/>
  <c r="L25" i="21"/>
  <c r="F7" i="35"/>
  <c r="G9" i="55" s="1"/>
  <c r="G84" i="55" s="1"/>
  <c r="I7" i="35"/>
  <c r="J9" i="55" s="1"/>
  <c r="J84" i="55" s="1"/>
  <c r="AB13" i="30"/>
  <c r="AC13" i="30"/>
  <c r="H7" i="35"/>
  <c r="I9" i="55" s="1"/>
  <c r="I84" i="55" s="1"/>
  <c r="O52" i="21"/>
  <c r="O47" i="21" s="1"/>
  <c r="Y98" i="26" s="1"/>
  <c r="H52" i="21"/>
  <c r="H47" i="21" s="1"/>
  <c r="R98" i="26" s="1"/>
  <c r="P52" i="21"/>
  <c r="I52" i="21"/>
  <c r="I47" i="21" s="1"/>
  <c r="S98" i="26" s="1"/>
  <c r="Q52" i="21"/>
  <c r="Q47" i="21" s="1"/>
  <c r="AA98" i="26" s="1"/>
  <c r="J52" i="21"/>
  <c r="J47" i="21" s="1"/>
  <c r="T98" i="26" s="1"/>
  <c r="R52" i="21"/>
  <c r="R47" i="21" s="1"/>
  <c r="AB98" i="26" s="1"/>
  <c r="K52" i="21"/>
  <c r="K47" i="21" s="1"/>
  <c r="S52" i="21"/>
  <c r="S47" i="21" s="1"/>
  <c r="AC98" i="26" s="1"/>
  <c r="L52" i="21"/>
  <c r="L47" i="21" s="1"/>
  <c r="V98" i="26" s="1"/>
  <c r="T52" i="21"/>
  <c r="T47" i="21" s="1"/>
  <c r="M52" i="21"/>
  <c r="M47" i="21" s="1"/>
  <c r="W98" i="26" s="1"/>
  <c r="U52" i="21"/>
  <c r="U47" i="21" s="1"/>
  <c r="N52" i="21"/>
  <c r="N47" i="21" s="1"/>
  <c r="X98" i="26" s="1"/>
  <c r="V52" i="21"/>
  <c r="V47" i="21" s="1"/>
  <c r="AB15" i="30"/>
  <c r="N44" i="30"/>
  <c r="K7" i="35"/>
  <c r="L9" i="55" s="1"/>
  <c r="L84" i="55" s="1"/>
  <c r="E59" i="55"/>
  <c r="H59" i="55"/>
  <c r="M59" i="55"/>
  <c r="P47" i="21"/>
  <c r="Z98" i="26" s="1"/>
  <c r="O28" i="21"/>
  <c r="Y96" i="26" s="1"/>
  <c r="V28" i="21"/>
  <c r="N28" i="21"/>
  <c r="X96" i="26" s="1"/>
  <c r="U28" i="21"/>
  <c r="M28" i="21"/>
  <c r="W96" i="26" s="1"/>
  <c r="T28" i="21"/>
  <c r="L28" i="21"/>
  <c r="V96" i="26" s="1"/>
  <c r="S28" i="21"/>
  <c r="AC96" i="26" s="1"/>
  <c r="K28" i="21"/>
  <c r="U96" i="26" s="1"/>
  <c r="P28" i="21"/>
  <c r="Z96" i="26" s="1"/>
  <c r="R28" i="21"/>
  <c r="AB96" i="26" s="1"/>
  <c r="J28" i="21"/>
  <c r="T96" i="26" s="1"/>
  <c r="Q28" i="21"/>
  <c r="AA96" i="26" s="1"/>
  <c r="I28" i="21"/>
  <c r="S96" i="26" s="1"/>
  <c r="C74" i="21"/>
  <c r="E87" i="21"/>
  <c r="J7" i="35"/>
  <c r="K9" i="55" s="1"/>
  <c r="K84" i="55" s="1"/>
  <c r="W8" i="21"/>
  <c r="W4" i="21"/>
  <c r="W15" i="21"/>
  <c r="W13" i="30"/>
  <c r="W15" i="30"/>
  <c r="D78" i="21"/>
  <c r="F12" i="30"/>
  <c r="G12" i="30"/>
  <c r="K14" i="40"/>
  <c r="K16" i="40" s="1"/>
  <c r="L14" i="40"/>
  <c r="L16" i="40" s="1"/>
  <c r="M14" i="40"/>
  <c r="M15" i="40" s="1"/>
  <c r="J14" i="40"/>
  <c r="S23" i="38"/>
  <c r="S24" i="38" s="1"/>
  <c r="S25" i="38" s="1"/>
  <c r="S26" i="38" s="1"/>
  <c r="K55" i="38"/>
  <c r="M48" i="38" s="1"/>
  <c r="L55" i="38"/>
  <c r="M55" i="38"/>
  <c r="I67" i="38" s="1"/>
  <c r="J55" i="38"/>
  <c r="J56" i="38" s="1"/>
  <c r="S38" i="38"/>
  <c r="S39" i="38" s="1"/>
  <c r="S40" i="38" s="1"/>
  <c r="S41" i="38" s="1"/>
  <c r="S42" i="38" s="1"/>
  <c r="S43" i="38" s="1"/>
  <c r="S44" i="38" s="1"/>
  <c r="S45" i="38" s="1"/>
  <c r="S28" i="38"/>
  <c r="S29" i="38" s="1"/>
  <c r="V14" i="40" l="1"/>
  <c r="D59" i="55"/>
  <c r="I69" i="38"/>
  <c r="I66" i="38"/>
  <c r="I70" i="38"/>
  <c r="U15" i="30"/>
  <c r="T15" i="30"/>
  <c r="Z13" i="30"/>
  <c r="V15" i="30"/>
  <c r="M56" i="38"/>
  <c r="O48" i="38"/>
  <c r="L56" i="38"/>
  <c r="N48" i="38"/>
  <c r="K56" i="38"/>
  <c r="I26" i="21"/>
  <c r="S41" i="30"/>
  <c r="Y15" i="30"/>
  <c r="Y13" i="30"/>
  <c r="J26" i="21"/>
  <c r="T41" i="30"/>
  <c r="G26" i="21"/>
  <c r="Q41" i="30"/>
  <c r="F26" i="21"/>
  <c r="P41" i="30"/>
  <c r="M26" i="21"/>
  <c r="H26" i="21"/>
  <c r="R41" i="30"/>
  <c r="L26" i="21"/>
  <c r="V41" i="30"/>
  <c r="K26" i="21"/>
  <c r="N84" i="55"/>
  <c r="N59" i="55"/>
  <c r="G59" i="55"/>
  <c r="AC15" i="30"/>
  <c r="D26" i="21"/>
  <c r="E26" i="21"/>
  <c r="F59" i="55"/>
  <c r="J59" i="55"/>
  <c r="AA13" i="30"/>
  <c r="I59" i="55"/>
  <c r="U98" i="26"/>
  <c r="W47" i="21"/>
  <c r="L59" i="55"/>
  <c r="X15" i="30"/>
  <c r="X13" i="30"/>
  <c r="K59" i="55"/>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I73" i="38" l="1"/>
  <c r="I71" i="38"/>
  <c r="Q15" i="40"/>
  <c r="N91"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O91" i="26"/>
  <c r="Q30" i="38"/>
  <c r="M46" i="38"/>
  <c r="M47" i="38" s="1"/>
  <c r="N11" i="38"/>
  <c r="O23" i="38"/>
  <c r="R38" i="38"/>
  <c r="R37" i="38"/>
  <c r="Q27" i="38"/>
  <c r="T41" i="38"/>
  <c r="P40" i="38"/>
  <c r="R40" i="38" s="1"/>
  <c r="N13" i="38"/>
  <c r="S15" i="38"/>
  <c r="L15" i="38" s="1"/>
  <c r="N15" i="38" s="1"/>
  <c r="L14" i="38"/>
  <c r="N14" i="38" s="1"/>
  <c r="S32" i="38"/>
  <c r="O32" i="38" s="1"/>
  <c r="Q32" i="38" s="1"/>
  <c r="Q19" i="59" l="1"/>
  <c r="Q24" i="59" s="1"/>
  <c r="D16" i="35" s="1"/>
  <c r="L46" i="61"/>
  <c r="Q16" i="40"/>
  <c r="Q17" i="40"/>
  <c r="Q13" i="40" s="1"/>
  <c r="R11" i="40"/>
  <c r="R19" i="59" s="1"/>
  <c r="R24" i="59" s="1"/>
  <c r="S15" i="40"/>
  <c r="S11" i="40" s="1"/>
  <c r="S19" i="59" s="1"/>
  <c r="S24" i="59" s="1"/>
  <c r="T42" i="38"/>
  <c r="P41" i="38"/>
  <c r="R41" i="38" s="1"/>
  <c r="S16" i="38"/>
  <c r="L16" i="38" s="1"/>
  <c r="N16" i="38" s="1"/>
  <c r="S33" i="38"/>
  <c r="O33" i="38" s="1"/>
  <c r="Q33" i="38" s="1"/>
  <c r="E16" i="35" l="1"/>
  <c r="F16" i="35"/>
  <c r="R16" i="40"/>
  <c r="Q12" i="40"/>
  <c r="Q14" i="26" s="1"/>
  <c r="Q91" i="26" s="1"/>
  <c r="R17" i="40"/>
  <c r="Q19" i="30"/>
  <c r="T43" i="38"/>
  <c r="P42" i="38"/>
  <c r="S17" i="38"/>
  <c r="L17" i="38" s="1"/>
  <c r="N17" i="38" s="1"/>
  <c r="S34" i="38"/>
  <c r="O34" i="38" s="1"/>
  <c r="Q13" i="30" l="1"/>
  <c r="Q15" i="30"/>
  <c r="S17" i="40"/>
  <c r="S13" i="40" s="1"/>
  <c r="S19" i="30" s="1"/>
  <c r="R13" i="40"/>
  <c r="R19" i="30" s="1"/>
  <c r="R12" i="40"/>
  <c r="R14" i="26" s="1"/>
  <c r="S16" i="40"/>
  <c r="S12" i="40" s="1"/>
  <c r="S14" i="26" s="1"/>
  <c r="S91" i="26" s="1"/>
  <c r="Q34" i="38"/>
  <c r="R42" i="38"/>
  <c r="T44" i="38"/>
  <c r="P43" i="38"/>
  <c r="R43" i="38" s="1"/>
  <c r="S18" i="38"/>
  <c r="S35" i="38"/>
  <c r="O35" i="38" s="1"/>
  <c r="Q35" i="38" s="1"/>
  <c r="R91" i="26" l="1"/>
  <c r="S13" i="30"/>
  <c r="S15" i="30"/>
  <c r="R13" i="30"/>
  <c r="R15" i="30"/>
  <c r="T45" i="38"/>
  <c r="P45" i="38" s="1"/>
  <c r="R45" i="38" s="1"/>
  <c r="P44" i="38"/>
  <c r="S19" i="38"/>
  <c r="L18" i="38"/>
  <c r="S36" i="38"/>
  <c r="O36" i="38" s="1"/>
  <c r="Q36" i="38" l="1"/>
  <c r="Q46" i="38" s="1"/>
  <c r="Q47" i="38" s="1"/>
  <c r="O46" i="38"/>
  <c r="O47" i="38" s="1"/>
  <c r="R44" i="38"/>
  <c r="R46" i="38" s="1"/>
  <c r="R47" i="38" s="1"/>
  <c r="P46" i="38"/>
  <c r="P47" i="38" s="1"/>
  <c r="N18" i="38"/>
  <c r="S20" i="38"/>
  <c r="L19" i="38"/>
  <c r="N19" i="38" s="1"/>
  <c r="N21" i="38" l="1"/>
  <c r="L20" i="38"/>
  <c r="N20" i="38" s="1"/>
  <c r="N55" i="38" l="1"/>
  <c r="J67" i="38" s="1"/>
  <c r="N46" i="38"/>
  <c r="N47" i="38" s="1"/>
  <c r="L46" i="38"/>
  <c r="L47" i="38" s="1"/>
  <c r="J66" i="38" l="1"/>
  <c r="J69" i="38"/>
  <c r="J70" i="38"/>
  <c r="P48" i="38"/>
  <c r="N56" i="38"/>
  <c r="J73" i="38" l="1"/>
  <c r="J71" i="38"/>
  <c r="C13" i="35"/>
  <c r="D15" i="55" s="1"/>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D16" i="55"/>
  <c r="D91" i="55" s="1"/>
  <c r="E16" i="55"/>
  <c r="E91" i="55" s="1"/>
  <c r="F16" i="55"/>
  <c r="F91" i="55" s="1"/>
  <c r="G16" i="55"/>
  <c r="G91" i="55" s="1"/>
  <c r="H16" i="55"/>
  <c r="H91" i="55" s="1"/>
  <c r="I16" i="55"/>
  <c r="I91" i="55" s="1"/>
  <c r="J16" i="55"/>
  <c r="J91" i="55" s="1"/>
  <c r="K16" i="55"/>
  <c r="K91" i="55" s="1"/>
  <c r="L16" i="55"/>
  <c r="L91" i="55" s="1"/>
  <c r="M16" i="55"/>
  <c r="M91" i="55" s="1"/>
  <c r="E18" i="55"/>
  <c r="E93" i="55" s="1"/>
  <c r="F18" i="55"/>
  <c r="F93" i="55" s="1"/>
  <c r="G18" i="55"/>
  <c r="G93" i="55" s="1"/>
  <c r="H18" i="55"/>
  <c r="H93" i="55" s="1"/>
  <c r="J18" i="55"/>
  <c r="J93" i="55" s="1"/>
  <c r="K18" i="55"/>
  <c r="K93" i="55" s="1"/>
  <c r="L18" i="55"/>
  <c r="L93" i="55" s="1"/>
  <c r="M18" i="55"/>
  <c r="M93" i="55" s="1"/>
  <c r="E17" i="55"/>
  <c r="E92" i="55" s="1"/>
  <c r="F17" i="55"/>
  <c r="F92" i="55" s="1"/>
  <c r="G17" i="55"/>
  <c r="G92" i="55" s="1"/>
  <c r="H17" i="55"/>
  <c r="H92" i="55" s="1"/>
  <c r="I17" i="55"/>
  <c r="I92" i="55" s="1"/>
  <c r="K17" i="55"/>
  <c r="K92" i="55" s="1"/>
  <c r="L17" i="55"/>
  <c r="L92" i="55" s="1"/>
  <c r="M17" i="55"/>
  <c r="M92" i="55" s="1"/>
  <c r="G67" i="55" l="1"/>
  <c r="H68" i="55"/>
  <c r="K66" i="55"/>
  <c r="F65" i="55"/>
  <c r="F67" i="55"/>
  <c r="G68" i="55"/>
  <c r="J66" i="55"/>
  <c r="M65" i="55"/>
  <c r="E65" i="55"/>
  <c r="D65" i="55"/>
  <c r="E68" i="55"/>
  <c r="H66" i="55"/>
  <c r="K65" i="55"/>
  <c r="E67" i="55"/>
  <c r="L67" i="55"/>
  <c r="G66" i="55"/>
  <c r="J65" i="55"/>
  <c r="F68" i="55"/>
  <c r="M67" i="55"/>
  <c r="L68" i="55"/>
  <c r="F66" i="55"/>
  <c r="I65" i="55"/>
  <c r="L65" i="55"/>
  <c r="I67" i="55"/>
  <c r="K68" i="55"/>
  <c r="M66" i="55"/>
  <c r="E66" i="55"/>
  <c r="H65" i="55"/>
  <c r="I66" i="55"/>
  <c r="M68" i="55"/>
  <c r="K67" i="55"/>
  <c r="H67" i="55"/>
  <c r="J68" i="55"/>
  <c r="L66" i="55"/>
  <c r="D66" i="55"/>
  <c r="G65" i="55"/>
  <c r="I18" i="55"/>
  <c r="I93" i="55" s="1"/>
  <c r="J17" i="55"/>
  <c r="J92" i="55" s="1"/>
  <c r="D17" i="55"/>
  <c r="D92" i="55" s="1"/>
  <c r="D67" i="55" l="1"/>
  <c r="J67" i="55"/>
  <c r="I68" i="55"/>
  <c r="E11" i="33" l="1"/>
  <c r="F11" i="33"/>
  <c r="G11" i="33"/>
  <c r="H11" i="33"/>
  <c r="H10" i="33" s="1"/>
  <c r="I11" i="33"/>
  <c r="J11" i="33"/>
  <c r="K11" i="33"/>
  <c r="L11" i="33"/>
  <c r="M11" i="33"/>
  <c r="D11" i="33"/>
  <c r="D10" i="33" s="1"/>
  <c r="D15" i="59" s="1"/>
  <c r="H15" i="59" l="1"/>
  <c r="D50" i="59"/>
  <c r="D51" i="59" s="1"/>
  <c r="D52" i="59"/>
  <c r="D25" i="59" s="1"/>
  <c r="H50" i="59"/>
  <c r="H51" i="59" s="1"/>
  <c r="H52" i="59"/>
  <c r="H25" i="59" s="1"/>
  <c r="F10" i="33"/>
  <c r="F15" i="59" s="1"/>
  <c r="J12" i="33"/>
  <c r="J10" i="33"/>
  <c r="J15" i="59" s="1"/>
  <c r="I10" i="33"/>
  <c r="I15" i="59" s="1"/>
  <c r="L12" i="33"/>
  <c r="L10" i="33"/>
  <c r="M12" i="33"/>
  <c r="M10" i="33"/>
  <c r="M15" i="59" s="1"/>
  <c r="E10" i="33"/>
  <c r="E15" i="59" s="1"/>
  <c r="K12" i="33"/>
  <c r="K10" i="33"/>
  <c r="K15" i="59" s="1"/>
  <c r="G10" i="33"/>
  <c r="G15" i="59" s="1"/>
  <c r="E22" i="33" l="1"/>
  <c r="D22" i="33"/>
  <c r="D61" i="59"/>
  <c r="D58" i="59"/>
  <c r="D59" i="59" s="1"/>
  <c r="L15" i="59"/>
  <c r="H54" i="59"/>
  <c r="H23" i="59" s="1"/>
  <c r="H27" i="59" s="1"/>
  <c r="G50" i="59"/>
  <c r="G51" i="59" s="1"/>
  <c r="G52" i="59"/>
  <c r="G25" i="59" s="1"/>
  <c r="F52" i="59"/>
  <c r="F25" i="59" s="1"/>
  <c r="F50" i="59"/>
  <c r="F51" i="59" s="1"/>
  <c r="E52" i="59"/>
  <c r="E25" i="59" s="1"/>
  <c r="E50" i="59"/>
  <c r="E51" i="59" s="1"/>
  <c r="D54" i="59"/>
  <c r="D23" i="59" s="1"/>
  <c r="C22" i="33"/>
  <c r="E54" i="59" l="1"/>
  <c r="E23" i="59" s="1"/>
  <c r="E27" i="59" s="1"/>
  <c r="G54" i="59"/>
  <c r="G23" i="59" s="1"/>
  <c r="G27" i="59" s="1"/>
  <c r="F54" i="59"/>
  <c r="F23" i="59" s="1"/>
  <c r="F27" i="59" s="1"/>
  <c r="C12" i="35" l="1"/>
  <c r="D14" i="55" s="1"/>
  <c r="D89" i="55" s="1"/>
  <c r="D64" i="55" l="1"/>
  <c r="D12" i="35"/>
  <c r="E14" i="55" s="1"/>
  <c r="E89" i="55" s="1"/>
  <c r="E64" i="55" l="1"/>
  <c r="E12" i="35"/>
  <c r="F14" i="55" s="1"/>
  <c r="F89" i="55" s="1"/>
  <c r="F64" i="55" l="1"/>
  <c r="F12" i="35"/>
  <c r="G14" i="55" s="1"/>
  <c r="G89" i="55" s="1"/>
  <c r="G64" i="55" l="1"/>
  <c r="H12" i="35"/>
  <c r="I14" i="55" s="1"/>
  <c r="I89" i="55" s="1"/>
  <c r="G12" i="35"/>
  <c r="H14" i="55" s="1"/>
  <c r="H89" i="55" s="1"/>
  <c r="I64" i="55" l="1"/>
  <c r="H64" i="55"/>
  <c r="I12" i="35" l="1"/>
  <c r="J14" i="55" s="1"/>
  <c r="J89" i="55" s="1"/>
  <c r="J64" i="55" l="1"/>
  <c r="J12" i="35"/>
  <c r="K14" i="55" s="1"/>
  <c r="K89" i="55" s="1"/>
  <c r="K64" i="55" l="1"/>
  <c r="K12" i="35"/>
  <c r="L14" i="55" s="1"/>
  <c r="L89" i="55" s="1"/>
  <c r="L64" i="55" l="1"/>
  <c r="L12" i="35" l="1"/>
  <c r="M14" i="55" s="1"/>
  <c r="M89" i="55" s="1"/>
  <c r="M64" i="55" l="1"/>
  <c r="M12" i="35"/>
  <c r="N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M11" i="30"/>
  <c r="M44" i="30" s="1"/>
  <c r="J11" i="30"/>
  <c r="I11" i="30"/>
  <c r="I44" i="30" s="1"/>
  <c r="H11" i="30"/>
  <c r="Q12" i="30" s="1"/>
  <c r="L44" i="30" l="1"/>
  <c r="J44" i="30"/>
  <c r="N89" i="55"/>
  <c r="N64" i="55"/>
  <c r="N12" i="35"/>
  <c r="O14" i="55" s="1"/>
  <c r="H44" i="30"/>
  <c r="AC12" i="30"/>
  <c r="AC11" i="30" s="1"/>
  <c r="AB12" i="30"/>
  <c r="AB11" i="30" s="1"/>
  <c r="Z12" i="30"/>
  <c r="Z11" i="30" s="1"/>
  <c r="AA12" i="30"/>
  <c r="AA11" i="30" s="1"/>
  <c r="L15" i="30"/>
  <c r="J15" i="30"/>
  <c r="I15" i="30"/>
  <c r="K13" i="30"/>
  <c r="K15" i="30"/>
  <c r="H13" i="30"/>
  <c r="H15" i="30"/>
  <c r="M15" i="30"/>
  <c r="J13" i="30"/>
  <c r="J12" i="30" s="1"/>
  <c r="M13" i="30"/>
  <c r="L13" i="30"/>
  <c r="L12" i="30" s="1"/>
  <c r="I13" i="30"/>
  <c r="I12" i="30" s="1"/>
  <c r="R12" i="30"/>
  <c r="W12" i="30"/>
  <c r="W11" i="30" s="1"/>
  <c r="S12" i="30"/>
  <c r="T12" i="30"/>
  <c r="Y12" i="30"/>
  <c r="Y11" i="30" s="1"/>
  <c r="U12" i="30"/>
  <c r="V12" i="30"/>
  <c r="V11" i="30" s="1"/>
  <c r="X12" i="30"/>
  <c r="X11" i="30" s="1"/>
  <c r="J9" i="29"/>
  <c r="J11" i="29" s="1"/>
  <c r="J16" i="59" s="1"/>
  <c r="K9" i="29"/>
  <c r="K11" i="29" s="1"/>
  <c r="K16" i="59" s="1"/>
  <c r="L9" i="29"/>
  <c r="L11" i="29" s="1"/>
  <c r="L16" i="59" s="1"/>
  <c r="M9" i="29"/>
  <c r="M10" i="29" s="1"/>
  <c r="M16" i="59" s="1"/>
  <c r="O64" i="55" l="1"/>
  <c r="O89" i="55"/>
  <c r="AA44" i="30"/>
  <c r="N6" i="35" s="1"/>
  <c r="O8" i="55" s="1"/>
  <c r="V44" i="30"/>
  <c r="I6" i="35" s="1"/>
  <c r="J8" i="55" s="1"/>
  <c r="W44" i="30"/>
  <c r="J6" i="35" s="1"/>
  <c r="K8" i="55" s="1"/>
  <c r="AC44" i="30"/>
  <c r="P6" i="35" s="1"/>
  <c r="Q8" i="55" s="1"/>
  <c r="X44" i="30"/>
  <c r="K6" i="35" s="1"/>
  <c r="L8" i="55" s="1"/>
  <c r="L83" i="55" s="1"/>
  <c r="Z44" i="30"/>
  <c r="M6" i="35" s="1"/>
  <c r="N8" i="55" s="1"/>
  <c r="AB44" i="30"/>
  <c r="O6" i="35" s="1"/>
  <c r="P8" i="55" s="1"/>
  <c r="Y44" i="30"/>
  <c r="L6" i="35" s="1"/>
  <c r="M8" i="55" s="1"/>
  <c r="O12" i="35"/>
  <c r="P14" i="55" s="1"/>
  <c r="P12" i="35"/>
  <c r="Q14" i="55" s="1"/>
  <c r="K12" i="30"/>
  <c r="M12" i="30"/>
  <c r="Q11" i="30"/>
  <c r="T11" i="30"/>
  <c r="S11" i="30"/>
  <c r="R11" i="30"/>
  <c r="U11" i="30"/>
  <c r="L39" i="26"/>
  <c r="C68" i="26"/>
  <c r="K39" i="26"/>
  <c r="M39" i="26"/>
  <c r="N39" i="26"/>
  <c r="O39" i="26"/>
  <c r="P39" i="26"/>
  <c r="Y43" i="26"/>
  <c r="C60" i="26"/>
  <c r="J40" i="26" s="1"/>
  <c r="AD40" i="26" s="1"/>
  <c r="F6" i="27"/>
  <c r="C75" i="26" s="1"/>
  <c r="P46" i="26" s="1"/>
  <c r="F9" i="27"/>
  <c r="C76" i="26" s="1"/>
  <c r="N47" i="26" s="1"/>
  <c r="F8" i="27"/>
  <c r="C77" i="26" s="1"/>
  <c r="R48" i="26" s="1"/>
  <c r="F17" i="27"/>
  <c r="F16" i="27"/>
  <c r="F11" i="27"/>
  <c r="F12" i="27"/>
  <c r="F14" i="27"/>
  <c r="F15" i="27"/>
  <c r="I9" i="26"/>
  <c r="J9" i="26"/>
  <c r="K9" i="26"/>
  <c r="L9" i="26"/>
  <c r="M9" i="26"/>
  <c r="H9" i="26"/>
  <c r="F7" i="27"/>
  <c r="F5" i="27"/>
  <c r="C74" i="26" s="1"/>
  <c r="Q89" i="55" l="1"/>
  <c r="Q64" i="55"/>
  <c r="P64" i="55"/>
  <c r="P89" i="55"/>
  <c r="N83" i="55"/>
  <c r="N58" i="55"/>
  <c r="Q83" i="55"/>
  <c r="Q58" i="55"/>
  <c r="P58" i="55"/>
  <c r="P83" i="55"/>
  <c r="O83" i="55"/>
  <c r="O58" i="55"/>
  <c r="M45" i="26"/>
  <c r="N45" i="26"/>
  <c r="L58" i="55"/>
  <c r="K83" i="55"/>
  <c r="K58" i="55"/>
  <c r="M83" i="55"/>
  <c r="M58" i="55"/>
  <c r="J83" i="55"/>
  <c r="J58" i="55"/>
  <c r="T44" i="30"/>
  <c r="G6" i="35" s="1"/>
  <c r="H8" i="55" s="1"/>
  <c r="U44" i="30"/>
  <c r="H6" i="35" s="1"/>
  <c r="I8" i="55" s="1"/>
  <c r="Q44" i="30"/>
  <c r="D6" i="35" s="1"/>
  <c r="E8" i="55" s="1"/>
  <c r="R44" i="30"/>
  <c r="E6" i="35" s="1"/>
  <c r="F8" i="55" s="1"/>
  <c r="S44" i="30"/>
  <c r="F6" i="35" s="1"/>
  <c r="G8" i="55" s="1"/>
  <c r="O28" i="30"/>
  <c r="N28" i="30"/>
  <c r="N32" i="30"/>
  <c r="O32" i="30"/>
  <c r="O25" i="30" s="1"/>
  <c r="O13" i="30" s="1"/>
  <c r="O12" i="30" s="1"/>
  <c r="N16" i="48"/>
  <c r="J39" i="26"/>
  <c r="AD39" i="26" s="1"/>
  <c r="AE12" i="26"/>
  <c r="X49" i="26"/>
  <c r="U48" i="26"/>
  <c r="T48" i="26"/>
  <c r="M47" i="26"/>
  <c r="X47" i="26"/>
  <c r="V46" i="26"/>
  <c r="W47" i="26"/>
  <c r="T49" i="26"/>
  <c r="U46" i="26"/>
  <c r="P47" i="26"/>
  <c r="S49" i="26"/>
  <c r="T46" i="26"/>
  <c r="O47" i="26"/>
  <c r="V48" i="26"/>
  <c r="Y49" i="26"/>
  <c r="S46" i="26"/>
  <c r="S48" i="26"/>
  <c r="U47" i="26"/>
  <c r="R49" i="26"/>
  <c r="R46" i="26"/>
  <c r="Q48" i="26"/>
  <c r="T47" i="26"/>
  <c r="W49" i="26"/>
  <c r="O49" i="26"/>
  <c r="M46" i="26"/>
  <c r="M48" i="26"/>
  <c r="P48" i="26"/>
  <c r="S47" i="26"/>
  <c r="V49" i="26"/>
  <c r="N46" i="26"/>
  <c r="X48" i="26"/>
  <c r="O48" i="26"/>
  <c r="R47" i="26"/>
  <c r="R16" i="26" s="1"/>
  <c r="U49" i="26"/>
  <c r="W46" i="26"/>
  <c r="W48" i="26"/>
  <c r="N48" i="26"/>
  <c r="N16" i="26" s="1"/>
  <c r="Q47" i="26"/>
  <c r="P49" i="26"/>
  <c r="O46" i="26"/>
  <c r="Q46" i="26"/>
  <c r="X46" i="26"/>
  <c r="V47" i="26"/>
  <c r="C73" i="26"/>
  <c r="C63" i="26" s="1"/>
  <c r="M44" i="26" s="1"/>
  <c r="I11" i="26"/>
  <c r="I20" i="26" s="1"/>
  <c r="I94" i="26" s="1"/>
  <c r="J11" i="26"/>
  <c r="L11" i="26"/>
  <c r="K11" i="26"/>
  <c r="M11" i="26"/>
  <c r="H11" i="26"/>
  <c r="O16" i="26" l="1"/>
  <c r="O93" i="26" s="1"/>
  <c r="N27" i="30"/>
  <c r="AD45" i="26"/>
  <c r="AE13" i="26" s="1"/>
  <c r="H83" i="55"/>
  <c r="H58" i="55"/>
  <c r="G83" i="55"/>
  <c r="G58" i="55"/>
  <c r="I83" i="55"/>
  <c r="I58" i="55"/>
  <c r="F83" i="55"/>
  <c r="F58" i="55"/>
  <c r="E83" i="55"/>
  <c r="E58" i="55"/>
  <c r="M16" i="26"/>
  <c r="X16" i="26"/>
  <c r="X93" i="26" s="1"/>
  <c r="S16" i="26"/>
  <c r="S93" i="26" s="1"/>
  <c r="P16" i="26"/>
  <c r="P93" i="26" s="1"/>
  <c r="Q16" i="26"/>
  <c r="V16" i="26"/>
  <c r="V93" i="26" s="1"/>
  <c r="W16" i="26"/>
  <c r="W93" i="26" s="1"/>
  <c r="T16" i="26"/>
  <c r="T93" i="26" s="1"/>
  <c r="U16" i="26"/>
  <c r="U93" i="26" s="1"/>
  <c r="O27" i="30"/>
  <c r="O16" i="48"/>
  <c r="M92" i="26"/>
  <c r="AD47" i="26"/>
  <c r="AD48" i="26"/>
  <c r="AD46" i="26"/>
  <c r="AE14" i="26" s="1"/>
  <c r="N93" i="26"/>
  <c r="M15" i="26"/>
  <c r="R93" i="26"/>
  <c r="H20" i="26"/>
  <c r="H94" i="26" s="1"/>
  <c r="H89" i="26" s="1"/>
  <c r="M43" i="26"/>
  <c r="N44" i="26"/>
  <c r="N92" i="26" s="1"/>
  <c r="C72" i="26"/>
  <c r="AD16" i="26" l="1"/>
  <c r="C20" i="35"/>
  <c r="D22" i="55" s="1"/>
  <c r="D97" i="55" s="1"/>
  <c r="O15" i="30"/>
  <c r="AE16" i="26"/>
  <c r="M93" i="26"/>
  <c r="N15" i="26"/>
  <c r="N20" i="26" s="1"/>
  <c r="O44" i="26"/>
  <c r="O92" i="26" s="1"/>
  <c r="N43" i="26"/>
  <c r="D72" i="55" l="1"/>
  <c r="O15" i="26"/>
  <c r="O20" i="26" s="1"/>
  <c r="O94" i="26" s="1"/>
  <c r="P44" i="26"/>
  <c r="O43" i="26"/>
  <c r="P92" i="26" l="1"/>
  <c r="P15" i="26"/>
  <c r="P20" i="26" s="1"/>
  <c r="D20" i="35"/>
  <c r="E22" i="55" s="1"/>
  <c r="E97" i="55" s="1"/>
  <c r="E20" i="35"/>
  <c r="F22" i="55" s="1"/>
  <c r="F97" i="55" s="1"/>
  <c r="Q44" i="26"/>
  <c r="P43" i="26"/>
  <c r="P94" i="26" l="1"/>
  <c r="Q20" i="26"/>
  <c r="E72" i="55"/>
  <c r="F72" i="55"/>
  <c r="F20" i="35"/>
  <c r="G22" i="55" s="1"/>
  <c r="G97" i="55" s="1"/>
  <c r="Q15" i="26"/>
  <c r="R44" i="26"/>
  <c r="R92" i="26" s="1"/>
  <c r="Q43" i="26"/>
  <c r="R20" i="26" l="1"/>
  <c r="S20" i="26" s="1"/>
  <c r="T20" i="26" s="1"/>
  <c r="U20" i="26" s="1"/>
  <c r="V20" i="26" s="1"/>
  <c r="W20" i="26" s="1"/>
  <c r="X20" i="26" s="1"/>
  <c r="Y20" i="26" s="1"/>
  <c r="Z20" i="26" s="1"/>
  <c r="AA20" i="26" s="1"/>
  <c r="AB20" i="26" s="1"/>
  <c r="AC20" i="26" s="1"/>
  <c r="Q94" i="26"/>
  <c r="Q89" i="26" s="1"/>
  <c r="G72" i="55"/>
  <c r="G20" i="35"/>
  <c r="H22" i="55" s="1"/>
  <c r="H97" i="55" s="1"/>
  <c r="R15" i="26"/>
  <c r="S44" i="26"/>
  <c r="S92" i="26" s="1"/>
  <c r="R43" i="26"/>
  <c r="H72" i="55" l="1"/>
  <c r="H20" i="35"/>
  <c r="I22" i="55" s="1"/>
  <c r="I97" i="55" s="1"/>
  <c r="S15" i="26"/>
  <c r="T44" i="26"/>
  <c r="T92" i="26" s="1"/>
  <c r="S43" i="26"/>
  <c r="I72" i="55" l="1"/>
  <c r="I20" i="35"/>
  <c r="J22" i="55" s="1"/>
  <c r="J97" i="55" s="1"/>
  <c r="T15" i="26"/>
  <c r="U44" i="26"/>
  <c r="U92" i="26" s="1"/>
  <c r="T43" i="26"/>
  <c r="J72" i="55" l="1"/>
  <c r="J20" i="35"/>
  <c r="K22" i="55" s="1"/>
  <c r="K97" i="55" s="1"/>
  <c r="U15" i="26"/>
  <c r="V44" i="26"/>
  <c r="V92" i="26" s="1"/>
  <c r="U43" i="26"/>
  <c r="L20" i="35" l="1"/>
  <c r="M22" i="55" s="1"/>
  <c r="M97" i="55" s="1"/>
  <c r="K72" i="55"/>
  <c r="K20" i="35"/>
  <c r="L22" i="55" s="1"/>
  <c r="L97" i="55" s="1"/>
  <c r="V15" i="26"/>
  <c r="W44" i="26"/>
  <c r="W92" i="26" s="1"/>
  <c r="V43" i="26"/>
  <c r="M20" i="35" l="1"/>
  <c r="N22" i="55" s="1"/>
  <c r="L72" i="55"/>
  <c r="M72" i="55"/>
  <c r="W15" i="26"/>
  <c r="X44" i="26"/>
  <c r="W43" i="26"/>
  <c r="N97" i="55" l="1"/>
  <c r="N72" i="55"/>
  <c r="N20" i="35"/>
  <c r="O22" i="55" s="1"/>
  <c r="X92" i="26"/>
  <c r="AD44" i="26"/>
  <c r="AE15" i="26" s="1"/>
  <c r="X15" i="26"/>
  <c r="AD15" i="26" s="1"/>
  <c r="X43" i="26"/>
  <c r="AD43" i="26" s="1"/>
  <c r="O97" i="55" l="1"/>
  <c r="O72" i="55"/>
  <c r="O20" i="35"/>
  <c r="P22" i="55" s="1"/>
  <c r="P20" i="35"/>
  <c r="Q22" i="55" s="1"/>
  <c r="D63" i="26"/>
  <c r="Q72" i="55" l="1"/>
  <c r="Q97" i="55"/>
  <c r="P97" i="55"/>
  <c r="P72" i="55"/>
  <c r="E63" i="26"/>
  <c r="B3" i="27" l="1"/>
  <c r="N13" i="25" l="1"/>
  <c r="N20" i="25" s="1"/>
  <c r="J14" i="26"/>
  <c r="K14" i="26"/>
  <c r="K91" i="26" s="1"/>
  <c r="L14" i="26"/>
  <c r="L91" i="26" s="1"/>
  <c r="M14" i="26"/>
  <c r="M91" i="26" s="1"/>
  <c r="J13" i="26"/>
  <c r="J96" i="26" s="1"/>
  <c r="K13" i="26"/>
  <c r="K96" i="26" s="1"/>
  <c r="L13" i="26"/>
  <c r="L96" i="26" s="1"/>
  <c r="M13" i="26"/>
  <c r="M96" i="26" l="1"/>
  <c r="M20" i="26"/>
  <c r="AD12" i="26"/>
  <c r="J91" i="26"/>
  <c r="AD13" i="26"/>
  <c r="L20" i="26"/>
  <c r="L94" i="26" s="1"/>
  <c r="K20" i="26"/>
  <c r="K94" i="26" s="1"/>
  <c r="M94" i="26"/>
  <c r="J20" i="26"/>
  <c r="J94" i="26" s="1"/>
  <c r="D61" i="26"/>
  <c r="D60" i="26"/>
  <c r="D62" i="26"/>
  <c r="M89" i="26" l="1"/>
  <c r="J89" i="26"/>
  <c r="I89" i="26"/>
  <c r="I61" i="20" s="1"/>
  <c r="H61" i="20"/>
  <c r="K89" i="26"/>
  <c r="L89" i="26"/>
  <c r="E60" i="26"/>
  <c r="D59" i="26"/>
  <c r="I33" i="20"/>
  <c r="J33" i="20"/>
  <c r="K33" i="20"/>
  <c r="L33" i="20"/>
  <c r="M33" i="20"/>
  <c r="H33" i="20"/>
  <c r="I60" i="20"/>
  <c r="J60" i="20"/>
  <c r="K60" i="20"/>
  <c r="L60" i="20"/>
  <c r="H60" i="20"/>
  <c r="J61" i="20" l="1"/>
  <c r="J62" i="20" s="1"/>
  <c r="C2" i="50"/>
  <c r="L61" i="20"/>
  <c r="L62" i="20" s="1"/>
  <c r="E2" i="50"/>
  <c r="M61" i="20"/>
  <c r="F2" i="50"/>
  <c r="K61" i="20"/>
  <c r="K62" i="20" s="1"/>
  <c r="D2" i="50"/>
  <c r="O60" i="20"/>
  <c r="H62" i="20"/>
  <c r="I62" i="20"/>
  <c r="H35" i="20"/>
  <c r="M35" i="20"/>
  <c r="L35" i="20"/>
  <c r="K35" i="20"/>
  <c r="J35" i="20"/>
  <c r="I35" i="20"/>
  <c r="M60" i="20"/>
  <c r="N60" i="20"/>
  <c r="AR75" i="20" l="1"/>
  <c r="AR76" i="20"/>
  <c r="AR74" i="20"/>
  <c r="AP74" i="20"/>
  <c r="AP76" i="20"/>
  <c r="AP75" i="20"/>
  <c r="AS75" i="20"/>
  <c r="AS74" i="20"/>
  <c r="AS76" i="20"/>
  <c r="AO75" i="20"/>
  <c r="AO76" i="20"/>
  <c r="AO74" i="20"/>
  <c r="AQ74" i="20"/>
  <c r="AQ76" i="20"/>
  <c r="AQ75" i="20"/>
  <c r="M62" i="20"/>
  <c r="K36" i="20"/>
  <c r="L36" i="20"/>
  <c r="I36" i="20"/>
  <c r="J36" i="20"/>
  <c r="H36" i="20"/>
  <c r="H37" i="20" s="1"/>
  <c r="I14" i="20"/>
  <c r="I15" i="20" s="1"/>
  <c r="J14" i="20"/>
  <c r="J15" i="20" s="1"/>
  <c r="K14" i="20"/>
  <c r="K15" i="20" s="1"/>
  <c r="L14" i="20"/>
  <c r="L15" i="20" s="1"/>
  <c r="H14" i="20"/>
  <c r="H15" i="20" s="1"/>
  <c r="L37" i="20" l="1"/>
  <c r="AT76" i="20"/>
  <c r="AT75" i="20"/>
  <c r="AT74" i="20"/>
  <c r="J37" i="20"/>
  <c r="C19" i="6" s="1"/>
  <c r="I37" i="20"/>
  <c r="K37" i="20"/>
  <c r="M36" i="20"/>
  <c r="M37" i="20" s="1"/>
  <c r="M14" i="20"/>
  <c r="M15" i="20" s="1"/>
  <c r="C5" i="35"/>
  <c r="D7" i="55" s="1"/>
  <c r="D82" i="55" s="1"/>
  <c r="C3" i="35"/>
  <c r="D5" i="55" s="1"/>
  <c r="D80" i="55" s="1"/>
  <c r="P60" i="20"/>
  <c r="I20" i="25"/>
  <c r="M13" i="25"/>
  <c r="M20" i="25" s="1"/>
  <c r="L13" i="25"/>
  <c r="L20" i="25" s="1"/>
  <c r="K13" i="25"/>
  <c r="K20" i="25" s="1"/>
  <c r="J13" i="25"/>
  <c r="J20" i="25" s="1"/>
  <c r="I13" i="25"/>
  <c r="H13" i="25"/>
  <c r="O13" i="25"/>
  <c r="O20" i="25" s="1"/>
  <c r="O19" i="25" l="1"/>
  <c r="O14" i="59" s="1"/>
  <c r="O50" i="59" s="1"/>
  <c r="O51" i="59" s="1"/>
  <c r="B19" i="6"/>
  <c r="D57" i="55"/>
  <c r="D55" i="55"/>
  <c r="R35" i="20"/>
  <c r="D5" i="35"/>
  <c r="E7" i="55" s="1"/>
  <c r="E82" i="55" s="1"/>
  <c r="D3" i="35"/>
  <c r="E5" i="55" s="1"/>
  <c r="E80" i="55" s="1"/>
  <c r="Q60" i="20"/>
  <c r="J19" i="25"/>
  <c r="J14" i="59" s="1"/>
  <c r="J50" i="59" s="1"/>
  <c r="J51" i="59" s="1"/>
  <c r="K19" i="25"/>
  <c r="K14" i="59" s="1"/>
  <c r="K50" i="59" s="1"/>
  <c r="K51" i="59" s="1"/>
  <c r="L19" i="25"/>
  <c r="L14" i="59" s="1"/>
  <c r="L50" i="59" s="1"/>
  <c r="L51" i="59" s="1"/>
  <c r="I19" i="25"/>
  <c r="I14" i="59" s="1"/>
  <c r="M19" i="25"/>
  <c r="M14" i="59" s="1"/>
  <c r="M50" i="59" s="1"/>
  <c r="M51" i="59" s="1"/>
  <c r="I52" i="59" l="1"/>
  <c r="I50" i="59"/>
  <c r="I51" i="59" s="1"/>
  <c r="E57" i="55"/>
  <c r="E55" i="55"/>
  <c r="S35" i="20"/>
  <c r="E5" i="35"/>
  <c r="F7" i="55" s="1"/>
  <c r="F82" i="55" s="1"/>
  <c r="E3" i="35"/>
  <c r="F5" i="55" s="1"/>
  <c r="F80" i="55" s="1"/>
  <c r="R60" i="20"/>
  <c r="I54" i="59" l="1"/>
  <c r="I23" i="59" s="1"/>
  <c r="I25" i="59"/>
  <c r="J52" i="59"/>
  <c r="F57" i="55"/>
  <c r="F55" i="55"/>
  <c r="N19" i="25"/>
  <c r="N14" i="59" s="1"/>
  <c r="N50" i="59" s="1"/>
  <c r="N51" i="59" s="1"/>
  <c r="T35" i="20"/>
  <c r="F5" i="35"/>
  <c r="G7" i="55" s="1"/>
  <c r="G82" i="55" s="1"/>
  <c r="F3" i="35"/>
  <c r="G5" i="55" s="1"/>
  <c r="G80" i="55" s="1"/>
  <c r="S60" i="20"/>
  <c r="C4" i="35"/>
  <c r="D6" i="55" s="1"/>
  <c r="D81" i="55" s="1"/>
  <c r="R12" i="25"/>
  <c r="R14" i="25" s="1"/>
  <c r="R13" i="25" s="1"/>
  <c r="I27" i="59" l="1"/>
  <c r="J25" i="59"/>
  <c r="K52" i="59"/>
  <c r="J54" i="59"/>
  <c r="J23" i="59" s="1"/>
  <c r="D9" i="35"/>
  <c r="E11" i="55" s="1"/>
  <c r="E86" i="55" s="1"/>
  <c r="C9" i="35"/>
  <c r="D11" i="55" s="1"/>
  <c r="D86" i="55" s="1"/>
  <c r="P19" i="25"/>
  <c r="P14" i="59" s="1"/>
  <c r="D56" i="55"/>
  <c r="G57" i="55"/>
  <c r="G55" i="55"/>
  <c r="U35" i="20"/>
  <c r="G5" i="35"/>
  <c r="H7" i="55" s="1"/>
  <c r="H82" i="55" s="1"/>
  <c r="G3" i="35"/>
  <c r="H5" i="55" s="1"/>
  <c r="H80" i="55" s="1"/>
  <c r="T60" i="20"/>
  <c r="D4" i="35"/>
  <c r="E6" i="55" s="1"/>
  <c r="E81" i="55" s="1"/>
  <c r="S12" i="25"/>
  <c r="S14" i="25" s="1"/>
  <c r="S13" i="25" s="1"/>
  <c r="K25" i="59" l="1"/>
  <c r="L52" i="59"/>
  <c r="K54" i="59"/>
  <c r="K23" i="59" s="1"/>
  <c r="J27" i="59"/>
  <c r="C3" i="50" s="1"/>
  <c r="D61" i="55"/>
  <c r="E61" i="55"/>
  <c r="E56" i="55"/>
  <c r="H57" i="55"/>
  <c r="H55" i="55"/>
  <c r="H5" i="35"/>
  <c r="I7" i="55" s="1"/>
  <c r="I82" i="55" s="1"/>
  <c r="V35" i="20"/>
  <c r="H3" i="35"/>
  <c r="I5" i="55" s="1"/>
  <c r="I80" i="55" s="1"/>
  <c r="U60" i="20"/>
  <c r="E4" i="35"/>
  <c r="F6" i="55" s="1"/>
  <c r="F81" i="55" s="1"/>
  <c r="C8" i="35"/>
  <c r="D10" i="55" s="1"/>
  <c r="D85" i="55" s="1"/>
  <c r="R20" i="25"/>
  <c r="Q11" i="25"/>
  <c r="T12" i="25"/>
  <c r="T14" i="25" s="1"/>
  <c r="T13" i="25" s="1"/>
  <c r="Q19" i="25" l="1"/>
  <c r="E9" i="35"/>
  <c r="F11" i="55" s="1"/>
  <c r="F86" i="55" s="1"/>
  <c r="K27" i="59"/>
  <c r="D3" i="50" s="1"/>
  <c r="M52" i="59"/>
  <c r="L25" i="59"/>
  <c r="L54" i="59"/>
  <c r="L23" i="59" s="1"/>
  <c r="D60" i="55"/>
  <c r="F56" i="55"/>
  <c r="I57" i="55"/>
  <c r="I55" i="55"/>
  <c r="W35" i="20"/>
  <c r="I5" i="35"/>
  <c r="J7" i="55" s="1"/>
  <c r="J82" i="55" s="1"/>
  <c r="I3" i="35"/>
  <c r="J5" i="55" s="1"/>
  <c r="J80" i="55" s="1"/>
  <c r="V60" i="20"/>
  <c r="F4" i="35"/>
  <c r="G6" i="55" s="1"/>
  <c r="G81" i="55" s="1"/>
  <c r="S20" i="25"/>
  <c r="R11" i="25"/>
  <c r="R19" i="25" s="1"/>
  <c r="R14" i="59" s="1"/>
  <c r="U12" i="25"/>
  <c r="Q14" i="59" l="1"/>
  <c r="L33" i="61"/>
  <c r="D8" i="35"/>
  <c r="E10" i="55" s="1"/>
  <c r="E85" i="55" s="1"/>
  <c r="F61" i="55"/>
  <c r="F9" i="35"/>
  <c r="G11" i="55" s="1"/>
  <c r="G86" i="55" s="1"/>
  <c r="L27" i="59"/>
  <c r="E3" i="50" s="1"/>
  <c r="N52" i="59"/>
  <c r="M25" i="59"/>
  <c r="M54" i="59"/>
  <c r="M23" i="59" s="1"/>
  <c r="J57" i="55"/>
  <c r="G56" i="55"/>
  <c r="J55" i="55"/>
  <c r="J5" i="35"/>
  <c r="K7" i="55" s="1"/>
  <c r="K82" i="55" s="1"/>
  <c r="X35" i="20"/>
  <c r="J3" i="35"/>
  <c r="K5" i="55" s="1"/>
  <c r="K80" i="55" s="1"/>
  <c r="W60" i="20"/>
  <c r="U14" i="25"/>
  <c r="U13" i="25" s="1"/>
  <c r="V12" i="25"/>
  <c r="E8" i="35"/>
  <c r="F10" i="55" s="1"/>
  <c r="F85" i="55" s="1"/>
  <c r="G4" i="35"/>
  <c r="H6" i="55" s="1"/>
  <c r="H81" i="55" s="1"/>
  <c r="T20" i="25"/>
  <c r="S11" i="25"/>
  <c r="S19" i="25" s="1"/>
  <c r="S14" i="59" s="1"/>
  <c r="E60" i="55" l="1"/>
  <c r="G61" i="55"/>
  <c r="G9" i="35"/>
  <c r="H11" i="55" s="1"/>
  <c r="H86" i="55" s="1"/>
  <c r="O52" i="59"/>
  <c r="N25" i="59"/>
  <c r="N54" i="59"/>
  <c r="N23" i="59" s="1"/>
  <c r="M27" i="59"/>
  <c r="F3" i="50" s="1"/>
  <c r="F60" i="55"/>
  <c r="H56" i="55"/>
  <c r="K57" i="55"/>
  <c r="K55" i="55"/>
  <c r="K5" i="35"/>
  <c r="L7" i="55" s="1"/>
  <c r="L82" i="55" s="1"/>
  <c r="Y35" i="20"/>
  <c r="K3" i="35"/>
  <c r="L5" i="55" s="1"/>
  <c r="L80" i="55" s="1"/>
  <c r="X60" i="20"/>
  <c r="W12" i="25"/>
  <c r="V14" i="25"/>
  <c r="V13" i="25" s="1"/>
  <c r="F8" i="35"/>
  <c r="G10" i="55" s="1"/>
  <c r="G85" i="55" s="1"/>
  <c r="H4" i="35"/>
  <c r="I6" i="55" s="1"/>
  <c r="I81" i="55" s="1"/>
  <c r="U20" i="25"/>
  <c r="T11" i="25"/>
  <c r="T19" i="25" s="1"/>
  <c r="T14" i="59" s="1"/>
  <c r="H61" i="55" l="1"/>
  <c r="N27" i="59"/>
  <c r="G3" i="50" s="1"/>
  <c r="P52" i="59"/>
  <c r="O25" i="59"/>
  <c r="O54" i="59"/>
  <c r="O23" i="59" s="1"/>
  <c r="L5" i="35"/>
  <c r="M7" i="55" s="1"/>
  <c r="M82" i="55" s="1"/>
  <c r="Z35" i="20"/>
  <c r="G60" i="55"/>
  <c r="L57" i="55"/>
  <c r="I56" i="55"/>
  <c r="L55" i="55"/>
  <c r="L3" i="35"/>
  <c r="M5" i="55" s="1"/>
  <c r="M80" i="55" s="1"/>
  <c r="Y60" i="20"/>
  <c r="H9" i="35"/>
  <c r="I11" i="55" s="1"/>
  <c r="I86" i="55" s="1"/>
  <c r="V20" i="25"/>
  <c r="X12" i="25"/>
  <c r="W14" i="25"/>
  <c r="W13" i="25" s="1"/>
  <c r="G8" i="35"/>
  <c r="H10" i="55" s="1"/>
  <c r="H85" i="55" s="1"/>
  <c r="I4" i="35"/>
  <c r="J6" i="55" s="1"/>
  <c r="J81" i="55" s="1"/>
  <c r="U11" i="25"/>
  <c r="U19" i="25" s="1"/>
  <c r="U14" i="59" s="1"/>
  <c r="BI16" i="5"/>
  <c r="BH16" i="5"/>
  <c r="BG16" i="5"/>
  <c r="BF16" i="5"/>
  <c r="BE16" i="5"/>
  <c r="BD16" i="5"/>
  <c r="BC16" i="5"/>
  <c r="BB16" i="5"/>
  <c r="AY16" i="5"/>
  <c r="BJ16" i="5"/>
  <c r="AO16" i="5"/>
  <c r="AX16" i="5"/>
  <c r="AS16" i="5"/>
  <c r="AW16" i="5"/>
  <c r="AR16" i="5"/>
  <c r="AQ16" i="5"/>
  <c r="AV16" i="5"/>
  <c r="AN16" i="5"/>
  <c r="C83" i="26" s="1"/>
  <c r="AM16" i="5"/>
  <c r="AL16" i="5"/>
  <c r="C80" i="26" s="1"/>
  <c r="C61" i="26" s="1"/>
  <c r="AU16" i="5"/>
  <c r="AK16" i="5"/>
  <c r="AP16" i="5"/>
  <c r="AJ16" i="5"/>
  <c r="AI16" i="5"/>
  <c r="AH16" i="5"/>
  <c r="AG16" i="5"/>
  <c r="AF16" i="5"/>
  <c r="AE16" i="5"/>
  <c r="AD16" i="5"/>
  <c r="AC16" i="5"/>
  <c r="AB16" i="5"/>
  <c r="AA16" i="5"/>
  <c r="Z16" i="5"/>
  <c r="Y16" i="5"/>
  <c r="X16" i="5"/>
  <c r="W16" i="5"/>
  <c r="V16" i="5"/>
  <c r="U16" i="5"/>
  <c r="T16" i="5"/>
  <c r="S16" i="5"/>
  <c r="R16" i="5"/>
  <c r="Q16" i="5"/>
  <c r="P16" i="5"/>
  <c r="O16" i="5"/>
  <c r="Q52" i="59" l="1"/>
  <c r="P25" i="59"/>
  <c r="O27" i="59"/>
  <c r="H3" i="50" s="1"/>
  <c r="D62" i="59"/>
  <c r="M57" i="55"/>
  <c r="AA35" i="20"/>
  <c r="M5" i="35"/>
  <c r="N7" i="55" s="1"/>
  <c r="H60" i="55"/>
  <c r="I61" i="55"/>
  <c r="J56" i="55"/>
  <c r="M55" i="55"/>
  <c r="M16" i="5"/>
  <c r="C82" i="26"/>
  <c r="C65" i="26" s="1"/>
  <c r="Y12" i="25"/>
  <c r="X14" i="25"/>
  <c r="X13" i="25" s="1"/>
  <c r="I9" i="35"/>
  <c r="J11" i="55" s="1"/>
  <c r="J86" i="55" s="1"/>
  <c r="W20" i="25"/>
  <c r="V11" i="25"/>
  <c r="V19" i="25" s="1"/>
  <c r="V14" i="59" s="1"/>
  <c r="C81" i="26"/>
  <c r="C62" i="26" s="1"/>
  <c r="E62" i="26" s="1"/>
  <c r="N16" i="5"/>
  <c r="H8" i="35"/>
  <c r="I10" i="55" s="1"/>
  <c r="I85" i="55" s="1"/>
  <c r="J4" i="35"/>
  <c r="K6" i="55" s="1"/>
  <c r="K81" i="55" s="1"/>
  <c r="C79" i="26"/>
  <c r="N50" i="26" s="1"/>
  <c r="E61" i="26"/>
  <c r="W11" i="25" l="1"/>
  <c r="W19" i="25" s="1"/>
  <c r="W14" i="59" s="1"/>
  <c r="Q25" i="59"/>
  <c r="R52" i="59"/>
  <c r="N57" i="55"/>
  <c r="N82" i="55"/>
  <c r="AB35" i="20"/>
  <c r="N5" i="35"/>
  <c r="O7" i="55" s="1"/>
  <c r="Z12" i="25"/>
  <c r="Y14" i="25"/>
  <c r="Y13" i="25" s="1"/>
  <c r="J61" i="55"/>
  <c r="I60" i="55"/>
  <c r="K56" i="55"/>
  <c r="X20" i="25"/>
  <c r="J9" i="35"/>
  <c r="K11" i="55" s="1"/>
  <c r="K86" i="55" s="1"/>
  <c r="K4" i="35"/>
  <c r="L6" i="55" s="1"/>
  <c r="L81" i="55" s="1"/>
  <c r="C64" i="26"/>
  <c r="C78" i="26"/>
  <c r="C67" i="26" s="1"/>
  <c r="Q50" i="26"/>
  <c r="J8" i="35" l="1"/>
  <c r="K10" i="55" s="1"/>
  <c r="K85" i="55" s="1"/>
  <c r="D17" i="35"/>
  <c r="E19" i="55" s="1"/>
  <c r="Q12" i="59"/>
  <c r="R25" i="59"/>
  <c r="S52" i="59"/>
  <c r="O82" i="55"/>
  <c r="O57" i="55"/>
  <c r="O5" i="35"/>
  <c r="P7" i="55" s="1"/>
  <c r="AC35" i="20"/>
  <c r="Z14" i="25"/>
  <c r="Z13" i="25" s="1"/>
  <c r="AA12" i="25"/>
  <c r="K61" i="55"/>
  <c r="L56" i="55"/>
  <c r="L4" i="35"/>
  <c r="M6" i="55" s="1"/>
  <c r="M81" i="55" s="1"/>
  <c r="I8" i="35"/>
  <c r="J10" i="55" s="1"/>
  <c r="J85" i="55" s="1"/>
  <c r="AD50" i="26"/>
  <c r="AE19" i="26" s="1"/>
  <c r="Q19" i="26" s="1"/>
  <c r="Y20" i="25"/>
  <c r="K9" i="35"/>
  <c r="L11" i="55" s="1"/>
  <c r="L86" i="55" s="1"/>
  <c r="X11" i="25"/>
  <c r="X19" i="25" s="1"/>
  <c r="X14" i="59" s="1"/>
  <c r="E64" i="26"/>
  <c r="E59" i="26" s="1"/>
  <c r="C59" i="26"/>
  <c r="Q49" i="26"/>
  <c r="N49" i="26"/>
  <c r="K60" i="55" l="1"/>
  <c r="R27" i="59"/>
  <c r="E17" i="35" s="1"/>
  <c r="F19" i="55" s="1"/>
  <c r="R12" i="59"/>
  <c r="E94" i="55"/>
  <c r="E69" i="55"/>
  <c r="S25" i="59"/>
  <c r="E62" i="59" s="1"/>
  <c r="T52" i="59"/>
  <c r="Z20" i="25"/>
  <c r="P57" i="55"/>
  <c r="P82" i="55"/>
  <c r="P5" i="35"/>
  <c r="Q7" i="55" s="1"/>
  <c r="AB12" i="25"/>
  <c r="AA14" i="25"/>
  <c r="AA13" i="25" s="1"/>
  <c r="J60" i="55"/>
  <c r="L61" i="55"/>
  <c r="M56" i="55"/>
  <c r="K8" i="35"/>
  <c r="L10" i="55" s="1"/>
  <c r="L85" i="55" s="1"/>
  <c r="AD49" i="26"/>
  <c r="L9" i="35"/>
  <c r="M11" i="55" s="1"/>
  <c r="M86" i="55" s="1"/>
  <c r="Y11" i="25"/>
  <c r="Y19" i="25" s="1"/>
  <c r="Y14" i="59" s="1"/>
  <c r="M9" i="35" l="1"/>
  <c r="N11" i="55" s="1"/>
  <c r="N61" i="55" s="1"/>
  <c r="U52" i="59"/>
  <c r="T25" i="59"/>
  <c r="AA20" i="25"/>
  <c r="AB20" i="25" s="1"/>
  <c r="F94" i="55"/>
  <c r="F69" i="55"/>
  <c r="S27" i="59"/>
  <c r="F17" i="35" s="1"/>
  <c r="G19" i="55" s="1"/>
  <c r="S12" i="59"/>
  <c r="Z11" i="25"/>
  <c r="Z19" i="25" s="1"/>
  <c r="M8" i="35" s="1"/>
  <c r="N10" i="55" s="1"/>
  <c r="N60" i="55" s="1"/>
  <c r="Q82" i="55"/>
  <c r="Q57" i="55"/>
  <c r="AB14" i="25"/>
  <c r="AB13" i="25" s="1"/>
  <c r="AC12" i="25"/>
  <c r="M61" i="55"/>
  <c r="L60" i="55"/>
  <c r="N94" i="26"/>
  <c r="N89" i="26" s="1"/>
  <c r="L8" i="35"/>
  <c r="M10" i="55" s="1"/>
  <c r="M85" i="55" s="1"/>
  <c r="N86" i="55" l="1"/>
  <c r="AA11" i="25"/>
  <c r="AA19" i="25" s="1"/>
  <c r="AA14" i="59" s="1"/>
  <c r="G94" i="55"/>
  <c r="G69" i="55"/>
  <c r="N85" i="55"/>
  <c r="O9" i="35"/>
  <c r="P11" i="55" s="1"/>
  <c r="P61" i="55" s="1"/>
  <c r="N9" i="35"/>
  <c r="O11" i="55" s="1"/>
  <c r="U25" i="59"/>
  <c r="V52" i="59"/>
  <c r="Z14" i="59"/>
  <c r="T27" i="59"/>
  <c r="G17" i="35" s="1"/>
  <c r="H19" i="55" s="1"/>
  <c r="T12" i="59"/>
  <c r="AB11" i="25"/>
  <c r="AB19" i="25" s="1"/>
  <c r="O8" i="35" s="1"/>
  <c r="P10" i="55" s="1"/>
  <c r="P60" i="55" s="1"/>
  <c r="G2" i="50"/>
  <c r="AC14" i="25"/>
  <c r="AC13" i="25" s="1"/>
  <c r="AC20" i="25"/>
  <c r="M60" i="55"/>
  <c r="N61" i="20"/>
  <c r="N62" i="20" s="1"/>
  <c r="O89" i="26"/>
  <c r="H2" i="50" s="1"/>
  <c r="N8" i="35" l="1"/>
  <c r="O10" i="55" s="1"/>
  <c r="AU76" i="20"/>
  <c r="AU75" i="20"/>
  <c r="AU74" i="20"/>
  <c r="AB14" i="59"/>
  <c r="P86" i="55"/>
  <c r="P9" i="35"/>
  <c r="Q11" i="55" s="1"/>
  <c r="Q61" i="55" s="1"/>
  <c r="V25" i="59"/>
  <c r="W52" i="59"/>
  <c r="U27" i="59"/>
  <c r="H17" i="35" s="1"/>
  <c r="I19" i="55" s="1"/>
  <c r="U12" i="59"/>
  <c r="O86" i="55"/>
  <c r="O61" i="55"/>
  <c r="H69" i="55"/>
  <c r="H94" i="55"/>
  <c r="P85" i="55"/>
  <c r="O85" i="55"/>
  <c r="O60" i="55"/>
  <c r="AC11" i="25"/>
  <c r="AC19" i="25" s="1"/>
  <c r="P8" i="35" s="1"/>
  <c r="Q10" i="55" s="1"/>
  <c r="O61" i="20"/>
  <c r="O62" i="20" s="1"/>
  <c r="N36" i="20"/>
  <c r="N37" i="20" s="1"/>
  <c r="N15" i="20"/>
  <c r="O36" i="20" l="1"/>
  <c r="O37" i="20" s="1"/>
  <c r="AV75" i="20"/>
  <c r="AV76" i="20"/>
  <c r="AV74" i="20"/>
  <c r="Q86" i="55"/>
  <c r="X52" i="59"/>
  <c r="W25" i="59"/>
  <c r="F62" i="59" s="1"/>
  <c r="V27" i="59"/>
  <c r="I17" i="35" s="1"/>
  <c r="J19" i="55" s="1"/>
  <c r="V12" i="59"/>
  <c r="AC14" i="59"/>
  <c r="I94" i="55"/>
  <c r="I69" i="55"/>
  <c r="Q85" i="55"/>
  <c r="Q60" i="55"/>
  <c r="O15" i="20"/>
  <c r="H12" i="30"/>
  <c r="W27" i="59" l="1"/>
  <c r="J17" i="35" s="1"/>
  <c r="K19" i="55" s="1"/>
  <c r="W12" i="59"/>
  <c r="J94" i="55"/>
  <c r="J69" i="55"/>
  <c r="X25" i="59"/>
  <c r="Y52" i="59"/>
  <c r="N27" i="49"/>
  <c r="R94" i="26"/>
  <c r="R89" i="26" s="1"/>
  <c r="R11" i="26"/>
  <c r="Q61" i="20"/>
  <c r="Q62" i="20" s="1"/>
  <c r="D2" i="35"/>
  <c r="E4" i="55" s="1"/>
  <c r="E79" i="55" s="1"/>
  <c r="AX74" i="20" l="1"/>
  <c r="AX76" i="20"/>
  <c r="AX75" i="20"/>
  <c r="Z52" i="59"/>
  <c r="Y25" i="59"/>
  <c r="K69" i="55"/>
  <c r="K94" i="55"/>
  <c r="X27" i="59"/>
  <c r="K17" i="35" s="1"/>
  <c r="L19" i="55" s="1"/>
  <c r="X12" i="59"/>
  <c r="F60" i="59"/>
  <c r="F64" i="59" s="1"/>
  <c r="S94" i="26"/>
  <c r="S89" i="26" s="1"/>
  <c r="S11" i="26"/>
  <c r="E54" i="55"/>
  <c r="Q36" i="20"/>
  <c r="Q15" i="20"/>
  <c r="E2" i="35"/>
  <c r="F4" i="55" s="1"/>
  <c r="F79" i="55" s="1"/>
  <c r="R61" i="20"/>
  <c r="R62" i="20" s="1"/>
  <c r="AY74" i="20" l="1"/>
  <c r="AY76" i="20"/>
  <c r="AY75" i="20"/>
  <c r="L94" i="55"/>
  <c r="L69" i="55"/>
  <c r="Y27" i="59"/>
  <c r="L17" i="35" s="1"/>
  <c r="M19" i="55" s="1"/>
  <c r="Y12" i="59"/>
  <c r="Z25" i="59"/>
  <c r="AA52" i="59"/>
  <c r="C11" i="35"/>
  <c r="D13" i="55" s="1"/>
  <c r="D88" i="55" s="1"/>
  <c r="R36" i="20"/>
  <c r="R37" i="20" s="1"/>
  <c r="R15" i="20"/>
  <c r="T94" i="26"/>
  <c r="T89" i="26" s="1"/>
  <c r="T11" i="26"/>
  <c r="F54" i="55"/>
  <c r="S61" i="20"/>
  <c r="S62" i="20" s="1"/>
  <c r="F2" i="35"/>
  <c r="G4" i="55" s="1"/>
  <c r="G79" i="55" s="1"/>
  <c r="Q30" i="59"/>
  <c r="AZ75" i="20" l="1"/>
  <c r="AZ74" i="20"/>
  <c r="AZ76" i="20"/>
  <c r="M94" i="55"/>
  <c r="M69" i="55"/>
  <c r="AB52" i="59"/>
  <c r="AA25" i="59"/>
  <c r="G62" i="59" s="1"/>
  <c r="Z12" i="59"/>
  <c r="Z27" i="59"/>
  <c r="M17" i="35" s="1"/>
  <c r="N19" i="55" s="1"/>
  <c r="C10" i="35"/>
  <c r="D12" i="55" s="1"/>
  <c r="D87" i="55" s="1"/>
  <c r="D11" i="35"/>
  <c r="D63" i="55"/>
  <c r="U94" i="26"/>
  <c r="U89" i="26" s="1"/>
  <c r="U11" i="26"/>
  <c r="S36" i="20"/>
  <c r="S37" i="20" s="1"/>
  <c r="S15" i="20"/>
  <c r="G2" i="35"/>
  <c r="H4" i="55" s="1"/>
  <c r="H79" i="55" s="1"/>
  <c r="T61" i="20"/>
  <c r="T62" i="20" s="1"/>
  <c r="G54" i="55"/>
  <c r="N28" i="49"/>
  <c r="BA75" i="20" l="1"/>
  <c r="BA76" i="20"/>
  <c r="BA74" i="20"/>
  <c r="N69" i="55"/>
  <c r="N94" i="55"/>
  <c r="AB25" i="59"/>
  <c r="AC52" i="59"/>
  <c r="AC25" i="59" s="1"/>
  <c r="AA27" i="59"/>
  <c r="N17" i="35" s="1"/>
  <c r="O19" i="55" s="1"/>
  <c r="AA12" i="59"/>
  <c r="G60" i="59" s="1"/>
  <c r="G64" i="59" s="1"/>
  <c r="S30" i="59"/>
  <c r="R30" i="59"/>
  <c r="D62" i="55"/>
  <c r="G45" i="49"/>
  <c r="E11" i="35"/>
  <c r="V94" i="26"/>
  <c r="V89" i="26" s="1"/>
  <c r="V11" i="26"/>
  <c r="T36" i="20"/>
  <c r="T37" i="20" s="1"/>
  <c r="T15" i="20"/>
  <c r="H54" i="55"/>
  <c r="U61" i="20"/>
  <c r="U62" i="20" s="1"/>
  <c r="H2" i="35"/>
  <c r="I4" i="55" s="1"/>
  <c r="I79" i="55" s="1"/>
  <c r="R27" i="49" l="1"/>
  <c r="BB76" i="20"/>
  <c r="BB74" i="20"/>
  <c r="BB75" i="20"/>
  <c r="F11" i="35"/>
  <c r="G13" i="55" s="1"/>
  <c r="G88" i="55" s="1"/>
  <c r="O69" i="55"/>
  <c r="O94" i="55"/>
  <c r="AB27" i="59"/>
  <c r="O17" i="35" s="1"/>
  <c r="P19" i="55" s="1"/>
  <c r="AB12" i="59"/>
  <c r="AC27" i="59"/>
  <c r="P17" i="35" s="1"/>
  <c r="Q19" i="55" s="1"/>
  <c r="AC12" i="59"/>
  <c r="T26" i="49"/>
  <c r="T30" i="59" s="1"/>
  <c r="Q27" i="49"/>
  <c r="I54" i="55"/>
  <c r="W94" i="26"/>
  <c r="W89" i="26" s="1"/>
  <c r="W11" i="26"/>
  <c r="U36" i="20"/>
  <c r="U37" i="20" s="1"/>
  <c r="U15" i="20"/>
  <c r="I2" i="35"/>
  <c r="J4" i="55" s="1"/>
  <c r="J79" i="55" s="1"/>
  <c r="V61" i="20"/>
  <c r="V62" i="20" s="1"/>
  <c r="U26" i="49" l="1"/>
  <c r="U30" i="59" s="1"/>
  <c r="G11" i="35"/>
  <c r="P69" i="55"/>
  <c r="P94" i="55"/>
  <c r="Q94" i="55"/>
  <c r="Q69" i="55"/>
  <c r="H11" i="35"/>
  <c r="G63" i="55"/>
  <c r="J54" i="55"/>
  <c r="X94" i="26"/>
  <c r="X89" i="26" s="1"/>
  <c r="X11" i="26"/>
  <c r="V36" i="20"/>
  <c r="V37" i="20" s="1"/>
  <c r="V15" i="20"/>
  <c r="J2" i="35"/>
  <c r="K4" i="55" s="1"/>
  <c r="K79" i="55" s="1"/>
  <c r="W61" i="20"/>
  <c r="W62" i="20" s="1"/>
  <c r="V26" i="49"/>
  <c r="V30" i="59" s="1"/>
  <c r="D20" i="55"/>
  <c r="D95" i="55" s="1"/>
  <c r="E13" i="55"/>
  <c r="E88" i="55" s="1"/>
  <c r="F10" i="35"/>
  <c r="G12" i="55" s="1"/>
  <c r="G87" i="55" s="1"/>
  <c r="S10" i="26"/>
  <c r="S9" i="26" s="1"/>
  <c r="S28" i="49"/>
  <c r="F13" i="55"/>
  <c r="F88" i="55" s="1"/>
  <c r="I11" i="35" l="1"/>
  <c r="Z94" i="26"/>
  <c r="Z89" i="26" s="1"/>
  <c r="Z11" i="26"/>
  <c r="G62" i="55"/>
  <c r="F63" i="55"/>
  <c r="E63" i="55"/>
  <c r="D70" i="55"/>
  <c r="K54" i="55"/>
  <c r="Y11" i="26"/>
  <c r="Y94" i="26"/>
  <c r="Y89" i="26" s="1"/>
  <c r="X61" i="20"/>
  <c r="X62" i="20" s="1"/>
  <c r="K2" i="35"/>
  <c r="L4" i="55" s="1"/>
  <c r="L79" i="55" s="1"/>
  <c r="W36" i="20"/>
  <c r="W37" i="20" s="1"/>
  <c r="W15" i="20"/>
  <c r="W26" i="49"/>
  <c r="W30" i="59" s="1"/>
  <c r="D10" i="35"/>
  <c r="E12" i="55" s="1"/>
  <c r="E87" i="55" s="1"/>
  <c r="Q10" i="26"/>
  <c r="Q28" i="49"/>
  <c r="E20" i="55"/>
  <c r="E95" i="55" s="1"/>
  <c r="R10" i="26"/>
  <c r="R9" i="26" s="1"/>
  <c r="E10" i="35"/>
  <c r="F12" i="55" s="1"/>
  <c r="F87" i="55" s="1"/>
  <c r="R28" i="49"/>
  <c r="J11" i="35" l="1"/>
  <c r="M2" i="35"/>
  <c r="N4" i="55" s="1"/>
  <c r="Z61" i="20"/>
  <c r="Z62" i="20" s="1"/>
  <c r="AA94" i="26"/>
  <c r="AA89" i="26" s="1"/>
  <c r="AA11" i="26"/>
  <c r="E70" i="55"/>
  <c r="F62" i="55"/>
  <c r="E62" i="55"/>
  <c r="L54" i="55"/>
  <c r="X36" i="20"/>
  <c r="X37" i="20" s="1"/>
  <c r="X15" i="20"/>
  <c r="Y61" i="20"/>
  <c r="Y62" i="20" s="1"/>
  <c r="L2" i="35"/>
  <c r="M4" i="55" s="1"/>
  <c r="M79" i="55" s="1"/>
  <c r="F20" i="55"/>
  <c r="F95" i="55" s="1"/>
  <c r="X26" i="49"/>
  <c r="X30" i="59" s="1"/>
  <c r="H45" i="49"/>
  <c r="N54" i="55" l="1"/>
  <c r="N79" i="55"/>
  <c r="K11" i="35"/>
  <c r="T12" i="49"/>
  <c r="T27" i="49" s="1"/>
  <c r="N2" i="35"/>
  <c r="O4" i="55" s="1"/>
  <c r="AA61" i="20"/>
  <c r="AA62" i="20" s="1"/>
  <c r="AB94" i="26"/>
  <c r="AB89" i="26" s="1"/>
  <c r="AB11" i="26"/>
  <c r="Z15" i="20"/>
  <c r="Z36" i="20"/>
  <c r="F70" i="55"/>
  <c r="M54" i="55"/>
  <c r="Y36" i="20"/>
  <c r="Y37" i="20" s="1"/>
  <c r="Y15" i="20"/>
  <c r="G20" i="55"/>
  <c r="G95" i="55" s="1"/>
  <c r="Y26" i="49"/>
  <c r="Y30" i="59" s="1"/>
  <c r="I45" i="49"/>
  <c r="O54" i="55" l="1"/>
  <c r="O79" i="55"/>
  <c r="Z37" i="20"/>
  <c r="L11" i="35"/>
  <c r="U12" i="49"/>
  <c r="U27" i="49" s="1"/>
  <c r="Z26" i="49"/>
  <c r="Z30" i="59" s="1"/>
  <c r="O2" i="35"/>
  <c r="P4" i="55" s="1"/>
  <c r="AB61" i="20"/>
  <c r="AB62" i="20" s="1"/>
  <c r="AC94" i="26"/>
  <c r="AC89" i="26" s="1"/>
  <c r="AC11" i="26"/>
  <c r="AA15" i="20"/>
  <c r="AA36" i="20"/>
  <c r="G70" i="55"/>
  <c r="H20" i="55"/>
  <c r="H95" i="55" s="1"/>
  <c r="H13" i="55"/>
  <c r="H88" i="55" s="1"/>
  <c r="V12" i="49" l="1"/>
  <c r="V27" i="49" s="1"/>
  <c r="P54" i="55"/>
  <c r="P79" i="55"/>
  <c r="M11" i="35"/>
  <c r="AA26" i="49"/>
  <c r="P2" i="35"/>
  <c r="Q4" i="55" s="1"/>
  <c r="AC61" i="20"/>
  <c r="AC62" i="20" s="1"/>
  <c r="AB15" i="20"/>
  <c r="AB36" i="20"/>
  <c r="H70" i="55"/>
  <c r="H63" i="55"/>
  <c r="G10" i="35"/>
  <c r="H12" i="55" s="1"/>
  <c r="H87" i="55" s="1"/>
  <c r="T10" i="26"/>
  <c r="T9" i="26" s="1"/>
  <c r="T28" i="49"/>
  <c r="I20" i="55"/>
  <c r="I95" i="55" s="1"/>
  <c r="I13" i="55"/>
  <c r="I88" i="55" s="1"/>
  <c r="W12" i="49" l="1"/>
  <c r="W27" i="49" s="1"/>
  <c r="AB26" i="49"/>
  <c r="AB30" i="59" s="1"/>
  <c r="AA30" i="59"/>
  <c r="Q79" i="55"/>
  <c r="Q54" i="55"/>
  <c r="N11" i="35"/>
  <c r="O13" i="55" s="1"/>
  <c r="AC15" i="20"/>
  <c r="AC36" i="20"/>
  <c r="H62" i="55"/>
  <c r="I63" i="55"/>
  <c r="I70" i="55"/>
  <c r="J20" i="55"/>
  <c r="J95" i="55" s="1"/>
  <c r="H10" i="35"/>
  <c r="I12" i="55" s="1"/>
  <c r="I87" i="55" s="1"/>
  <c r="U10" i="26"/>
  <c r="U9" i="26" s="1"/>
  <c r="U28" i="49"/>
  <c r="J13" i="55"/>
  <c r="J88" i="55" s="1"/>
  <c r="X12" i="49"/>
  <c r="X27" i="49" s="1"/>
  <c r="AC26" i="49" l="1"/>
  <c r="AC30" i="59" s="1"/>
  <c r="O11" i="35"/>
  <c r="P13" i="55" s="1"/>
  <c r="P63" i="55" s="1"/>
  <c r="O88" i="55"/>
  <c r="O63" i="55"/>
  <c r="J70" i="55"/>
  <c r="I62" i="55"/>
  <c r="J63" i="55"/>
  <c r="Y12" i="49"/>
  <c r="Y27" i="49" s="1"/>
  <c r="K13" i="55"/>
  <c r="K88" i="55" s="1"/>
  <c r="I10" i="35"/>
  <c r="J12" i="55" s="1"/>
  <c r="J87" i="55" s="1"/>
  <c r="V10" i="26"/>
  <c r="V9" i="26" s="1"/>
  <c r="V28" i="49"/>
  <c r="K20" i="55"/>
  <c r="K95" i="55" s="1"/>
  <c r="P88" i="55" l="1"/>
  <c r="P11" i="35"/>
  <c r="Q13" i="55" s="1"/>
  <c r="Q88" i="55" s="1"/>
  <c r="Z12" i="49"/>
  <c r="Z27" i="49" s="1"/>
  <c r="J62" i="55"/>
  <c r="K70" i="55"/>
  <c r="K63" i="55"/>
  <c r="L20" i="55"/>
  <c r="L95" i="55" s="1"/>
  <c r="L13" i="55"/>
  <c r="L88" i="55" s="1"/>
  <c r="J10" i="35"/>
  <c r="K12" i="55" s="1"/>
  <c r="K87" i="55" s="1"/>
  <c r="W10" i="26"/>
  <c r="W9" i="26" s="1"/>
  <c r="W28" i="49"/>
  <c r="M13" i="55"/>
  <c r="M88" i="55" s="1"/>
  <c r="Q63" i="55" l="1"/>
  <c r="AA12" i="49"/>
  <c r="AA27" i="49" s="1"/>
  <c r="N20" i="55"/>
  <c r="K62" i="55"/>
  <c r="L63" i="55"/>
  <c r="L70" i="55"/>
  <c r="M63" i="55"/>
  <c r="Y10" i="26"/>
  <c r="Y9" i="26" s="1"/>
  <c r="L10" i="35"/>
  <c r="M12" i="55" s="1"/>
  <c r="M87" i="55" s="1"/>
  <c r="Y28" i="49"/>
  <c r="X10" i="26"/>
  <c r="X9" i="26" s="1"/>
  <c r="K10" i="35"/>
  <c r="L12" i="55" s="1"/>
  <c r="L87" i="55" s="1"/>
  <c r="X28" i="49"/>
  <c r="M20" i="55"/>
  <c r="M95" i="55" s="1"/>
  <c r="O9" i="48"/>
  <c r="N9" i="48"/>
  <c r="N95" i="55" l="1"/>
  <c r="N70" i="55"/>
  <c r="O20" i="55"/>
  <c r="AB12" i="49"/>
  <c r="AB27" i="49" s="1"/>
  <c r="N13" i="55"/>
  <c r="M70" i="55"/>
  <c r="L62" i="55"/>
  <c r="M62" i="55"/>
  <c r="O95" i="55" l="1"/>
  <c r="O70" i="55"/>
  <c r="N63" i="55"/>
  <c r="N88" i="55"/>
  <c r="Z10" i="26"/>
  <c r="Z9" i="26" s="1"/>
  <c r="M10" i="35"/>
  <c r="N12" i="55" s="1"/>
  <c r="Z28" i="49"/>
  <c r="P20" i="55"/>
  <c r="AC12" i="49"/>
  <c r="AC27" i="49" s="1"/>
  <c r="C19" i="35"/>
  <c r="D21" i="55" s="1"/>
  <c r="D96" i="55" s="1"/>
  <c r="N87" i="55" l="1"/>
  <c r="N62" i="55"/>
  <c r="P70" i="55"/>
  <c r="P95" i="55"/>
  <c r="N10" i="35"/>
  <c r="O12" i="55" s="1"/>
  <c r="AA10" i="26"/>
  <c r="AA9" i="26" s="1"/>
  <c r="AA28" i="49"/>
  <c r="Q20" i="55"/>
  <c r="D71" i="55"/>
  <c r="D19" i="35"/>
  <c r="E21" i="55" s="1"/>
  <c r="E96" i="55" s="1"/>
  <c r="O87" i="55" l="1"/>
  <c r="O62" i="55"/>
  <c r="Q95" i="55"/>
  <c r="Q70" i="55"/>
  <c r="O10" i="35"/>
  <c r="P12" i="55" s="1"/>
  <c r="AB10" i="26"/>
  <c r="AB9" i="26" s="1"/>
  <c r="AB28" i="49"/>
  <c r="P10" i="35"/>
  <c r="Q12" i="55" s="1"/>
  <c r="AC10" i="26"/>
  <c r="AC9" i="26" s="1"/>
  <c r="AC28" i="49"/>
  <c r="E71" i="55"/>
  <c r="E19" i="35"/>
  <c r="F21" i="55" s="1"/>
  <c r="F96" i="55" s="1"/>
  <c r="Q62" i="55" l="1"/>
  <c r="Q87" i="55"/>
  <c r="P62" i="55"/>
  <c r="P87" i="55"/>
  <c r="F71" i="55"/>
  <c r="F19" i="35"/>
  <c r="G21" i="55" s="1"/>
  <c r="G96" i="55" s="1"/>
  <c r="G71" i="55" l="1"/>
  <c r="G19" i="35"/>
  <c r="H21" i="55" s="1"/>
  <c r="H96" i="55" s="1"/>
  <c r="H71" i="55" l="1"/>
  <c r="H19" i="35"/>
  <c r="I21" i="55" s="1"/>
  <c r="I96" i="55" s="1"/>
  <c r="I71" i="55" l="1"/>
  <c r="I19" i="35"/>
  <c r="J21" i="55" s="1"/>
  <c r="J96" i="55" s="1"/>
  <c r="J71" i="55" l="1"/>
  <c r="J19" i="35"/>
  <c r="K21" i="55" s="1"/>
  <c r="K96" i="55" s="1"/>
  <c r="L19" i="35" l="1"/>
  <c r="M21" i="55" s="1"/>
  <c r="M96" i="55" s="1"/>
  <c r="K71" i="55"/>
  <c r="K19" i="35"/>
  <c r="L21" i="55" s="1"/>
  <c r="L96" i="55" s="1"/>
  <c r="M19" i="35" l="1"/>
  <c r="N21" i="55" s="1"/>
  <c r="L71" i="55"/>
  <c r="M71" i="55"/>
  <c r="N96" i="55" l="1"/>
  <c r="N71" i="55"/>
  <c r="N19" i="35"/>
  <c r="O21" i="55" s="1"/>
  <c r="O71" i="55" l="1"/>
  <c r="O96" i="55"/>
  <c r="P19" i="35"/>
  <c r="Q21" i="55" s="1"/>
  <c r="O19" i="35"/>
  <c r="P21" i="55" s="1"/>
  <c r="P96" i="55" l="1"/>
  <c r="P71" i="55"/>
  <c r="Q71" i="55"/>
  <c r="Q96" i="55"/>
  <c r="G3" i="46"/>
  <c r="Q11" i="26" l="1"/>
  <c r="Q9" i="26" s="1"/>
  <c r="AD19" i="26"/>
  <c r="P19" i="59" l="1"/>
  <c r="P50" i="59" s="1"/>
  <c r="P51" i="59" s="1"/>
  <c r="P24" i="59" l="1"/>
  <c r="P54" i="59"/>
  <c r="P23" i="59" s="1"/>
  <c r="P27" i="59" s="1"/>
  <c r="P91" i="26"/>
  <c r="AD14" i="26"/>
  <c r="C6" i="35"/>
  <c r="D8" i="55" s="1"/>
  <c r="E60" i="59"/>
  <c r="E64" i="59" s="1"/>
  <c r="P89" i="26" l="1"/>
  <c r="I2" i="50" s="1"/>
  <c r="C16" i="35"/>
  <c r="D18" i="55" s="1"/>
  <c r="D68" i="55" s="1"/>
  <c r="I5" i="50"/>
  <c r="C17" i="35"/>
  <c r="D19" i="55" s="1"/>
  <c r="D94" i="55" s="1"/>
  <c r="I3" i="50"/>
  <c r="D93" i="55"/>
  <c r="D83" i="55"/>
  <c r="D58" i="55"/>
  <c r="C2" i="35"/>
  <c r="D4" i="55" s="1"/>
  <c r="P61" i="20"/>
  <c r="P62" i="20" s="1"/>
  <c r="D69" i="55" l="1"/>
  <c r="AW75" i="20"/>
  <c r="AW76" i="20"/>
  <c r="AW74" i="20"/>
  <c r="P15" i="20"/>
  <c r="P36" i="20"/>
  <c r="D54" i="55"/>
  <c r="D79" i="55"/>
  <c r="P37" i="20" l="1"/>
  <c r="Q37" i="20"/>
  <c r="Q114" i="48"/>
  <c r="D22" i="35" s="1"/>
  <c r="E24" i="55" s="1"/>
  <c r="C22" i="35"/>
  <c r="D24" i="55" s="1"/>
  <c r="D74" i="55" l="1"/>
  <c r="D99" i="55"/>
  <c r="E99" i="55"/>
  <c r="E74" i="55"/>
  <c r="R114" i="48"/>
  <c r="S114" i="48" l="1"/>
  <c r="R21" i="48"/>
  <c r="E22" i="35" s="1"/>
  <c r="F24" i="55" s="1"/>
  <c r="F74" i="55" l="1"/>
  <c r="F99" i="55"/>
  <c r="S21" i="48"/>
  <c r="F22" i="35" s="1"/>
  <c r="G24" i="55" s="1"/>
  <c r="T114" i="48"/>
  <c r="T21" i="48" l="1"/>
  <c r="G22" i="35" s="1"/>
  <c r="H24" i="55" s="1"/>
  <c r="U114" i="48"/>
  <c r="G74" i="55"/>
  <c r="G99" i="55"/>
  <c r="U21" i="48" l="1"/>
  <c r="H22" i="35" s="1"/>
  <c r="I24" i="55" s="1"/>
  <c r="V114" i="48"/>
  <c r="H74" i="55"/>
  <c r="H99" i="55"/>
  <c r="V21" i="48" l="1"/>
  <c r="I22" i="35" s="1"/>
  <c r="J24" i="55" s="1"/>
  <c r="W114" i="48"/>
  <c r="I74" i="55"/>
  <c r="I99" i="55"/>
  <c r="W21" i="48" l="1"/>
  <c r="J22" i="35" s="1"/>
  <c r="K24" i="55" s="1"/>
  <c r="X114" i="48"/>
  <c r="J99" i="55"/>
  <c r="J74" i="55"/>
  <c r="X21" i="48" l="1"/>
  <c r="K22" i="35" s="1"/>
  <c r="L24" i="55" s="1"/>
  <c r="Y114" i="48"/>
  <c r="K99" i="55"/>
  <c r="K74" i="55"/>
  <c r="Y21" i="48" l="1"/>
  <c r="L22" i="35" s="1"/>
  <c r="M24" i="55" s="1"/>
  <c r="Z114" i="48"/>
  <c r="L74" i="55"/>
  <c r="L99" i="55"/>
  <c r="AA114" i="48" l="1"/>
  <c r="Z21" i="48"/>
  <c r="M22" i="35" s="1"/>
  <c r="N24" i="55" s="1"/>
  <c r="M74" i="55"/>
  <c r="M99" i="55"/>
  <c r="N99" i="55" l="1"/>
  <c r="N74" i="55"/>
  <c r="AB114" i="48"/>
  <c r="AA21" i="48"/>
  <c r="N22" i="35" s="1"/>
  <c r="O24" i="55" s="1"/>
  <c r="AC114" i="48" l="1"/>
  <c r="AC21" i="48" s="1"/>
  <c r="P22" i="35" s="1"/>
  <c r="Q24" i="55" s="1"/>
  <c r="AB21" i="48"/>
  <c r="O22" i="35" s="1"/>
  <c r="P24" i="55" s="1"/>
  <c r="O74" i="55"/>
  <c r="O99" i="55"/>
  <c r="P74" i="55" l="1"/>
  <c r="P99" i="55"/>
  <c r="Q99" i="55"/>
  <c r="Q7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69"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0"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1"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FAA719CB-7F07-4E42-9EB0-76368060AFF3}">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66" authorId="3"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7"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0"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1"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2"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tc={DB908DB8-ED36-4713-AE3C-B9DFD0F93D1E}</author>
    <author>tc={231573E3-0BC7-4FF3-930E-C1ADD0D8B15C}</author>
    <author>tc={24AEA133-04EA-41AE-B43F-D03F7849E47B}</author>
  </authors>
  <commentList>
    <comment ref="P25" authorId="0" shapeId="0" xr:uid="{DB908DB8-ED36-4713-AE3C-B9DFD0F93D1E}">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P57" authorId="1" shapeId="0" xr:uid="{231573E3-0BC7-4FF3-930E-C1ADD0D8B15C}">
      <text>
        <t>[Threaded comment]
Your version of Excel allows you to read this threaded comment; however, any edits to it will get removed if the file is opened in a newer version of Excel. Learn more: https://go.microsoft.com/fwlink/?linkid=870924
Comment:
    Disaster loans came in weaker than score predicted, so changing our forecast to bump up going forward</t>
      </text>
    </comment>
    <comment ref="P58" authorId="2" shapeId="0" xr:uid="{24AEA133-04EA-41AE-B43F-D03F7849E47B}">
      <text>
        <t>[Threaded comment]
Your version of Excel allows you to read this threaded comment; however, any edits to it will get removed if the file is opened in a newer version of Excel. Learn more: https://go.microsoft.com/fwlink/?linkid=870924
Comment:
    Data coming in lower than score prediction so bumping up in forecast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7"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49E36A45-17D3-41F8-A91D-8E2AE6FCD96D}">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52" authorId="1"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2" authorId="2"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tc={DC8487FB-C6EB-42F5-AE71-8B2B07C2A8EE}</author>
  </authors>
  <commentList>
    <comment ref="D39" authorId="0"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0" authorId="1"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42" authorId="2"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43" authorId="3"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44" authorId="4"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2"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63"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4"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5"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89" authorId="9"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90" authorId="10"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1" authorId="11" shapeId="0" xr:uid="{DC8487FB-C6EB-42F5-AE71-8B2B07C2A8EE}">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<sst xmlns="http://schemas.openxmlformats.org/spreadsheetml/2006/main" count="2546" uniqueCount="1261">
  <si>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</si>
  <si>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</si>
  <si>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</si>
  <si>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</si>
  <si>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</si>
  <si>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</si>
  <si>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</si>
  <si>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</si>
  <si>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</si>
  <si>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</si>
  <si>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</si>
  <si>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</si>
  <si>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</si>
  <si>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</si>
  <si>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</si>
  <si>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</si>
  <si>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</si>
  <si>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</si>
  <si>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</si>
  <si>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</si>
  <si>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</si>
  <si>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</si>
  <si>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</si>
  <si>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</si>
  <si>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</si>
  <si>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</si>
  <si>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</si>
  <si>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</si>
  <si>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</si>
  <si>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</si>
  <si>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</si>
  <si>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</si>
  <si>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</si>
  <si>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</si>
  <si>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</si>
  <si>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</si>
  <si>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</si>
  <si>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</si>
  <si>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</si>
  <si>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</si>
  <si>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</si>
  <si>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</si>
  <si>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</si>
  <si>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</si>
  <si>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</si>
  <si>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</si>
  <si>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</si>
  <si>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</si>
  <si>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</si>
  <si>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</si>
  <si>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</si>
  <si>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</si>
  <si>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</si>
  <si>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</si>
  <si>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</si>
  <si>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</si>
  <si>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</si>
  <si>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</si>
  <si>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</si>
  <si>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</si>
  <si>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</si>
  <si>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</si>
  <si>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</si>
  <si>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</si>
  <si>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</si>
  <si>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</si>
  <si>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</si>
  <si>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</si>
  <si>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</si>
  <si>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</si>
  <si>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</si>
  <si>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</si>
  <si>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</si>
  <si>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</si>
  <si>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</si>
  <si>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</si>
  <si>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</si>
  <si>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</si>
  <si>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</si>
  <si>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</si>
  <si>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</si>
  <si>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</si>
  <si>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</si>
  <si>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</si>
  <si>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</si>
  <si>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</si>
  <si>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</si>
  <si>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</si>
  <si>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</si>
  <si>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</si>
  <si>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</si>
  <si>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</si>
  <si>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</si>
  <si>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</si>
  <si>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</si>
  <si>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</si>
  <si>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</si>
  <si>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</si>
  <si>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</si>
  <si>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</si>
  <si>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</si>
  <si>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</si>
  <si>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</si>
  <si>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</si>
  <si>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</si>
  <si>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</si>
  <si>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</si>
  <si>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</si>
  <si>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</si>
  <si>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</si>
  <si>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</si>
  <si>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</si>
  <si>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</si>
  <si>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</si>
  <si>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</si>
  <si>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</si>
  <si>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</si>
  <si>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</si>
  <si>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</si>
  <si>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</si>
  <si>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</si>
  <si>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</si>
  <si>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</si>
  <si>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</si>
  <si>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</si>
  <si>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</si>
  <si>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</si>
  <si>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</si>
  <si>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</si>
  <si>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</si>
  <si>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</si>
  <si>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</si>
  <si>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</si>
  <si>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</si>
  <si>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</si>
  <si>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</si>
  <si>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</si>
  <si>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</si>
  <si>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</si>
  <si>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</si>
  <si>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</si>
  <si>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</si>
  <si>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</si>
  <si>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</si>
  <si>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</si>
  <si>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</si>
  <si>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</si>
  <si>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</si>
  <si>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</si>
  <si>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</si>
  <si>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</si>
  <si>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</si>
  <si>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</si>
  <si>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</si>
  <si>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</si>
  <si>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</si>
  <si>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</si>
  <si>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</si>
  <si>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</si>
  <si>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</si>
  <si>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</si>
  <si>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</si>
  <si>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</si>
  <si>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</si>
  <si>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</si>
  <si>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</si>
  <si>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</si>
  <si>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</si>
  <si>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</si>
  <si>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</si>
  <si>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</si>
  <si>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</si>
  <si>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</si>
  <si>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</si>
  <si>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</si>
  <si>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</si>
  <si>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</si>
  <si>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</si>
  <si>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</si>
  <si>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</si>
  <si>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</si>
  <si>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</si>
  <si>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</si>
  <si>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</si>
  <si>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</si>
  <si>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</si>
  <si>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</si>
  <si>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</si>
  <si>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</si>
  <si>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</si>
  <si>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</si>
  <si>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</si>
  <si>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</si>
  <si>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</si>
  <si>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</si>
  <si>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</si>
  <si>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</si>
  <si>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</si>
  <si>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</si>
  <si>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</si>
  <si>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</si>
  <si>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</si>
  <si>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</si>
  <si>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</si>
  <si>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</si>
  <si>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</si>
  <si>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</si>
  <si>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</si>
  <si>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</si>
  <si>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</si>
  <si>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</si>
  <si>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</si>
  <si>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</si>
  <si>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</si>
  <si>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</si>
  <si>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</si>
  <si>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</si>
  <si>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</si>
  <si>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</si>
  <si>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</si>
  <si>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</si>
  <si>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</si>
  <si>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</si>
  <si>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</si>
  <si>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</si>
  <si>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</si>
  <si>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</si>
  <si>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</si>
  <si>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</si>
  <si>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</si>
  <si>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</si>
  <si>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</si>
  <si>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</si>
  <si>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</si>
  <si>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</si>
  <si>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</si>
  <si>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</si>
  <si>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</si>
  <si>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</si>
  <si>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</si>
  <si>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</si>
  <si>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</si>
  <si>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</si>
  <si>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</si>
  <si>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</si>
  <si>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</si>
  <si>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</si>
  <si>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</si>
  <si>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</si>
  <si>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</si>
  <si>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</si>
  <si>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</si>
  <si>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Aug.</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</si>
  <si>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</si>
  <si>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</si>
  <si>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</si>
  <si>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</si>
  <si>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</si>
  <si>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</si>
  <si>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</si>
  <si>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</si>
  <si>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</si>
  <si>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</si>
  <si>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</si>
  <si>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</si>
  <si>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</si>
  <si>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</si>
  <si>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</si>
  <si>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</si>
  <si>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</si>
  <si>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</si>
  <si>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</si>
  <si>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</si>
  <si>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</si>
  <si>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</si>
  <si>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</si>
  <si>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</si>
  <si>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</si>
  <si>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</si>
  <si>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</si>
  <si>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</si>
  <si>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</si>
  <si>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</si>
  <si>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</si>
  <si>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</si>
  <si>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</si>
  <si>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</si>
  <si>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</si>
  <si>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</si>
  <si>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</si>
  <si>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</si>
  <si>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</si>
  <si>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</si>
  <si>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</si>
  <si>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</si>
  <si>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</si>
  <si>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</si>
  <si>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</si>
  <si>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</si>
  <si>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</si>
  <si>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</si>
  <si>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</si>
  <si>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</si>
  <si>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</si>
  <si>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</si>
  <si>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</si>
  <si>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</si>
  <si>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</si>
  <si>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</si>
  <si>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</si>
  <si>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</si>
  <si>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</si>
  <si>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</si>
  <si>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</si>
  <si>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</si>
  <si>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</si>
  <si>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</si>
  <si>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</si>
  <si>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</si>
  <si>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</si>
  <si>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</si>
  <si>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</si>
  <si>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</si>
  <si>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</si>
  <si>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</si>
  <si>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</si>
  <si>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</si>
  <si>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</si>
  <si>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</si>
  <si>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</si>
  <si>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</si>
  <si>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</si>
  <si>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</si>
  <si>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</si>
  <si>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</si>
  <si>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</si>
  <si>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</si>
  <si>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</si>
  <si>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</si>
  <si>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</si>
  <si>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</si>
  <si>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</si>
  <si>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</si>
  <si>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</si>
  <si>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</si>
  <si>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</si>
  <si>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</si>
  <si>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</si>
  <si>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</si>
  <si>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</si>
  <si>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</si>
  <si>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</si>
  <si>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</si>
  <si>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</si>
  <si>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</si>
  <si>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</si>
  <si>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</si>
  <si>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</si>
  <si>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</si>
  <si>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</si>
  <si>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</si>
  <si>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</si>
  <si>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</si>
  <si>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</si>
  <si>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</si>
  <si>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</si>
  <si>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</si>
  <si>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</si>
  <si>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</si>
  <si>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</si>
  <si>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</si>
  <si>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</si>
  <si>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</si>
  <si>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</si>
  <si>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</si>
  <si>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</si>
  <si>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</si>
  <si>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</si>
  <si>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</si>
  <si>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</si>
  <si>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</si>
  <si>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</si>
  <si>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</si>
  <si>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</si>
  <si>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</si>
  <si>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</si>
  <si>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</si>
  <si>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</si>
  <si>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</si>
  <si>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</si>
  <si>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</si>
  <si>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</si>
  <si>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</si>
  <si>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</si>
  <si>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</si>
  <si>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</si>
  <si>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</si>
  <si>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</si>
  <si>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</si>
  <si>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</si>
  <si>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</si>
  <si>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</si>
  <si>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</si>
  <si>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</si>
  <si>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</si>
  <si>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</si>
  <si>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</si>
  <si>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</si>
  <si>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</si>
  <si>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</si>
  <si>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</si>
  <si>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</si>
  <si>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</si>
  <si>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</si>
  <si>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</si>
  <si>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</si>
  <si>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</si>
  <si>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</si>
  <si>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</si>
  <si>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</si>
  <si>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</si>
  <si>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</si>
  <si>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</si>
  <si>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</si>
  <si>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</si>
  <si>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</si>
  <si>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</si>
  <si>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</si>
  <si>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</si>
  <si>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</si>
  <si>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</si>
  <si>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</si>
  <si>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</si>
  <si>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</si>
  <si>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</si>
  <si>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</si>
  <si>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</si>
  <si>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</si>
  <si>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</si>
  <si>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</si>
  <si>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</si>
  <si>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</si>
  <si>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</si>
  <si>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</si>
  <si>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</si>
  <si>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</si>
  <si>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</si>
  <si>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</si>
  <si>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</si>
  <si>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</si>
  <si>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</si>
  <si>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</si>
  <si>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</si>
  <si>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</si>
  <si>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</si>
  <si>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</si>
  <si>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</si>
  <si>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</si>
  <si>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</si>
  <si>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</si>
  <si>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</si>
  <si>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</si>
  <si>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</si>
  <si>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</si>
  <si>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</si>
  <si>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</si>
  <si>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</si>
  <si>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</si>
  <si>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</si>
  <si>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</si>
  <si>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</si>
  <si>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</si>
  <si>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</si>
  <si>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</si>
  <si>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</si>
  <si>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</si>
  <si>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</si>
  <si>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</si>
  <si>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</si>
  <si>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</si>
  <si>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</si>
  <si>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</si>
  <si>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</si>
  <si>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</si>
  <si>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</si>
  <si>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</si>
  <si>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</si>
  <si>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</si>
  <si>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</si>
  <si>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</si>
  <si>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</si>
  <si>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</si>
  <si>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</si>
  <si>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</si>
  <si>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</si>
  <si>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</si>
  <si>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</si>
  <si>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</si>
  <si>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</si>
  <si>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</si>
  <si>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</si>
  <si>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</si>
  <si>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</si>
  <si>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</si>
  <si>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</si>
  <si>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</si>
  <si>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</si>
  <si>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</si>
  <si>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</si>
  <si>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</si>
  <si>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</si>
  <si>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</si>
  <si>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</si>
  <si>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</si>
  <si>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</si>
  <si>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</si>
  <si>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</si>
  <si>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</si>
  <si>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</si>
  <si>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</si>
  <si>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</si>
  <si>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</si>
  <si>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</si>
  <si>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</si>
  <si>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</si>
  <si>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</si>
  <si>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</si>
  <si>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</si>
  <si>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</si>
  <si>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</si>
  <si>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</si>
  <si>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</si>
  <si>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</si>
  <si>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</si>
  <si>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</si>
  <si>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</si>
  <si>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</si>
  <si>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</si>
  <si>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</si>
  <si>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</si>
  <si>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</si>
  <si>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</si>
  <si>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</si>
  <si>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</si>
  <si>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</si>
  <si>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</si>
  <si>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</si>
  <si>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</si>
  <si>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</si>
  <si>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</si>
  <si>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</si>
  <si>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</si>
  <si>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</si>
  <si>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t>Total Medicare</t>
  </si>
  <si>
    <t>yptmr</t>
  </si>
  <si>
    <t>Medicare ex COVID Payment Rates</t>
  </si>
  <si>
    <t>Resumption of Sequester</t>
  </si>
  <si>
    <t>Higher COVID Payment Rates</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</si>
  <si>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</si>
  <si>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</si>
  <si>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</si>
  <si>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</si>
  <si>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</si>
  <si>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</si>
  <si>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</si>
  <si>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</si>
  <si>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</si>
  <si>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</si>
  <si>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</si>
  <si>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</si>
  <si>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</si>
  <si>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</si>
  <si>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</si>
  <si>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</si>
  <si>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</si>
  <si>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</si>
  <si>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</si>
  <si>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</si>
  <si>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</si>
  <si>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</si>
  <si>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</si>
  <si>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</si>
  <si>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</si>
  <si>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</si>
  <si>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</si>
  <si>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</si>
  <si>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</si>
  <si>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</si>
  <si>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</si>
  <si>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</si>
  <si>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</si>
  <si>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</si>
  <si>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</si>
  <si>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</si>
  <si>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</si>
  <si>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</si>
  <si>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</si>
  <si>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</si>
  <si>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</si>
  <si>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</si>
  <si>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</si>
  <si>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</si>
  <si>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</si>
  <si>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</si>
  <si>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</si>
  <si>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</si>
  <si>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</si>
  <si>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</si>
  <si>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</si>
  <si>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</si>
  <si>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</si>
  <si>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</si>
  <si>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</si>
  <si>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</si>
  <si>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</si>
  <si>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</si>
  <si>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</si>
  <si>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</si>
  <si>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</si>
  <si>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</si>
  <si>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</si>
  <si>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</si>
  <si>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</si>
  <si>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</si>
  <si>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</si>
  <si>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</si>
  <si>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</si>
  <si>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</si>
  <si>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</si>
  <si>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</si>
  <si>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</si>
  <si>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</si>
  <si>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</si>
  <si>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</si>
  <si>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</si>
  <si>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</si>
  <si>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</si>
  <si>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</si>
  <si>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</si>
  <si>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</si>
  <si>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</si>
  <si>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</si>
  <si>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</si>
  <si>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</si>
  <si>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</si>
  <si>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</si>
  <si>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</si>
  <si>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</si>
  <si>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</si>
  <si>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</si>
  <si>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</si>
  <si>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</si>
  <si>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</si>
  <si>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</si>
  <si>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</si>
  <si>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</si>
  <si>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</si>
  <si>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</si>
  <si>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</si>
  <si>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</si>
  <si>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</si>
  <si>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</si>
  <si>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</si>
  <si>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</si>
  <si>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</si>
  <si>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</si>
  <si>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</si>
  <si>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</si>
  <si>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</si>
  <si>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</si>
  <si>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</si>
  <si>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</si>
  <si>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</si>
  <si>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</si>
  <si>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</si>
  <si>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</si>
  <si>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</si>
  <si>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</si>
  <si>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</si>
  <si>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</si>
  <si>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</si>
  <si>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</si>
  <si>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</si>
  <si>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</si>
  <si>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</si>
  <si>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</si>
  <si>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</si>
  <si>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</si>
  <si>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</si>
  <si>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</si>
  <si>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</si>
  <si>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</si>
  <si>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</si>
  <si>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</si>
  <si>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</si>
  <si>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</si>
  <si>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</si>
  <si>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</si>
  <si>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</si>
  <si>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</si>
  <si>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</si>
  <si>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</si>
  <si>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</si>
  <si>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</si>
  <si>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</si>
  <si>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</si>
  <si>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</si>
  <si>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</si>
  <si>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</si>
  <si>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</si>
  <si>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</si>
  <si>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</si>
  <si>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</si>
  <si>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</si>
  <si>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</si>
  <si>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</si>
  <si>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</si>
  <si>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</si>
  <si>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</si>
  <si>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</si>
  <si>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</si>
  <si>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</si>
  <si>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</si>
  <si>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</si>
  <si>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</si>
  <si>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</si>
  <si>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</si>
  <si>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</si>
  <si>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</si>
  <si>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</si>
  <si>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</si>
  <si>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</si>
  <si>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</si>
  <si>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</si>
  <si>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</si>
  <si>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</si>
  <si>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</si>
  <si>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</si>
  <si>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</si>
  <si>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</si>
  <si>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</si>
  <si>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</si>
  <si>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</si>
  <si>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</si>
  <si>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</si>
  <si>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</si>
  <si>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</si>
  <si>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</si>
  <si>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</si>
  <si>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</si>
  <si>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</si>
  <si>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</si>
  <si>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</si>
  <si>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</si>
  <si>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</si>
  <si>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</si>
  <si>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</si>
  <si>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</si>
  <si>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</si>
  <si>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</si>
  <si>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</si>
  <si>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</si>
  <si>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</si>
  <si>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</si>
  <si>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</si>
  <si>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</si>
  <si>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</si>
  <si>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</si>
  <si>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</si>
  <si>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</si>
  <si>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</si>
  <si>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</si>
  <si>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</si>
  <si>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</si>
  <si>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</si>
  <si>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</si>
  <si>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</si>
  <si>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</si>
  <si>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</si>
  <si>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</si>
  <si>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</si>
  <si>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</si>
  <si>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</si>
  <si>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</si>
  <si>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</si>
  <si>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</si>
  <si>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</si>
  <si>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</si>
  <si>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</si>
  <si>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</si>
  <si>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</si>
  <si>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</si>
  <si>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</si>
  <si>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</si>
  <si>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</si>
  <si>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</si>
  <si>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</si>
  <si>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</si>
  <si>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</si>
  <si>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</si>
  <si>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</si>
  <si>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</si>
  <si>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</si>
  <si>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</si>
  <si>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</si>
  <si>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</si>
  <si>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</si>
  <si>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</si>
  <si>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</si>
  <si>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</si>
  <si>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</si>
  <si>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</si>
  <si>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</si>
  <si>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</si>
  <si>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</si>
  <si>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</si>
  <si>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</si>
  <si>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</si>
  <si>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</si>
  <si>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</si>
  <si>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</si>
  <si>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</si>
  <si>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</si>
  <si>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</si>
  <si>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</si>
  <si>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</si>
  <si>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</si>
  <si>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</si>
  <si>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</si>
  <si>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</si>
  <si>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</si>
  <si>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</si>
  <si>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</si>
  <si>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</si>
  <si>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</si>
  <si>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</si>
  <si>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</si>
  <si>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</si>
  <si>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</si>
  <si>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</si>
  <si>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</si>
  <si>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</si>
  <si>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</si>
  <si>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</si>
  <si>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</si>
  <si>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</si>
  <si>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</si>
  <si>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</si>
  <si>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</si>
  <si>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</si>
  <si>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</si>
  <si>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</si>
  <si>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</si>
  <si>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</si>
  <si>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</si>
  <si>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</si>
  <si>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</si>
  <si>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</si>
  <si>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</si>
  <si>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</si>
  <si>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</si>
  <si>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</si>
  <si>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</si>
  <si>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</si>
  <si>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</si>
  <si>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</si>
  <si>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</si>
  <si>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</si>
  <si>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</si>
  <si>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</si>
  <si>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</si>
  <si>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</si>
  <si>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</si>
  <si>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</si>
  <si>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</si>
  <si>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</si>
  <si>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</si>
  <si>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</si>
  <si>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</si>
  <si>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</si>
  <si>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</si>
  <si>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</si>
  <si>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</si>
  <si>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</si>
  <si>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</si>
  <si>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</si>
  <si>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</si>
  <si>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</si>
  <si>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</si>
  <si>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</si>
  <si>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</si>
  <si>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</si>
  <si>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</si>
  <si>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</si>
  <si>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</si>
  <si>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</si>
  <si>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</si>
  <si>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</si>
  <si>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</si>
  <si>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</si>
  <si>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</si>
  <si>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</si>
  <si>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</si>
  <si>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</si>
  <si>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</si>
  <si>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</si>
  <si>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</si>
  <si>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</si>
  <si>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</si>
  <si>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</si>
  <si>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</si>
  <si>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</si>
  <si>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</si>
  <si>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</si>
  <si>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</si>
  <si>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</si>
  <si>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</si>
  <si>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</si>
  <si>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</si>
  <si>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</si>
  <si>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</si>
  <si>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</si>
  <si>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</si>
  <si>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</si>
  <si>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</si>
  <si>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</si>
  <si>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</si>
  <si>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</si>
  <si>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</si>
  <si>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</si>
  <si>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</si>
  <si>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</si>
  <si>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</si>
  <si>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</si>
  <si>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</si>
  <si>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</si>
  <si>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</si>
  <si>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</si>
  <si>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</si>
  <si>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</si>
  <si>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</si>
  <si>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</si>
  <si>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</si>
  <si>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</si>
  <si>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</si>
  <si>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</si>
  <si>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</si>
  <si>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</si>
  <si>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</si>
  <si>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</si>
  <si>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</si>
  <si>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</si>
  <si>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</si>
  <si>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</si>
  <si>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</si>
  <si>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</si>
  <si>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</si>
  <si>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</si>
  <si>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</si>
  <si>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</si>
  <si>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</si>
  <si>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</si>
  <si>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</si>
  <si>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</si>
  <si>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</si>
  <si>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</si>
  <si>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</si>
  <si>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</si>
  <si>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</si>
  <si>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</si>
  <si>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</si>
  <si>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</si>
  <si>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</si>
  <si>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</si>
  <si>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</si>
  <si>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</si>
  <si>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</si>
  <si>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</si>
  <si>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</si>
  <si>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</si>
  <si>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</si>
  <si>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</si>
  <si>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</si>
  <si>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</si>
  <si>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</si>
  <si>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</si>
  <si>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</si>
  <si>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</si>
  <si>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</si>
  <si>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</si>
  <si>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</si>
  <si>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</si>
  <si>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</si>
  <si>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</si>
  <si>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</si>
  <si>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</si>
  <si>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</si>
  <si>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</si>
  <si>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</si>
  <si>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</si>
  <si>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</si>
  <si>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</si>
  <si>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</si>
  <si>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</si>
  <si>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</si>
  <si>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</si>
  <si>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</si>
  <si>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</si>
  <si>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</si>
  <si>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</si>
  <si>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</si>
  <si>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</si>
  <si>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</si>
  <si>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</si>
  <si>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</si>
  <si>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</si>
  <si>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</si>
  <si>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</si>
  <si>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</si>
  <si>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</si>
  <si>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</si>
  <si>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</si>
  <si>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</si>
  <si>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</si>
  <si>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</si>
  <si>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</si>
  <si>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</si>
  <si>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</si>
  <si>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</si>
  <si>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</si>
  <si>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</si>
  <si>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</si>
  <si>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</si>
  <si>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</si>
  <si>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</si>
  <si>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</si>
  <si>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</si>
  <si>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</si>
  <si>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</si>
  <si>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</si>
  <si>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</si>
  <si>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</si>
  <si>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</si>
  <si>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</si>
  <si>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</si>
  <si>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</si>
  <si>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</si>
  <si>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</si>
  <si>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</si>
  <si>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</si>
  <si>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</si>
  <si>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</si>
  <si>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</si>
  <si>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</si>
  <si>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</si>
  <si>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</si>
  <si>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</si>
  <si>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</si>
  <si>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</si>
  <si>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</si>
  <si>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</si>
  <si>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</si>
  <si>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</si>
  <si>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</si>
  <si>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</si>
  <si>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</si>
  <si>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</si>
  <si>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</si>
  <si>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</si>
  <si>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</si>
  <si>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</si>
  <si>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</si>
  <si>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</si>
  <si>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</si>
  <si>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</si>
  <si>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</si>
  <si>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</si>
  <si>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</si>
  <si>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</si>
  <si>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</si>
  <si>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</si>
  <si>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</si>
  <si>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</si>
  <si>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</si>
  <si>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</si>
  <si>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</si>
  <si>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</si>
  <si>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</si>
  <si>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</si>
  <si>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</si>
  <si>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</si>
  <si>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</si>
  <si>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</si>
  <si>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</si>
  <si>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</si>
  <si>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</si>
  <si>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</si>
  <si>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</si>
  <si>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</si>
  <si>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</si>
  <si>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</si>
  <si>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</si>
  <si>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</si>
  <si>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</si>
  <si>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</si>
  <si>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</si>
  <si>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</si>
  <si>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</si>
  <si>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</si>
  <si>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</si>
  <si>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</si>
  <si>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</si>
  <si>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</si>
  <si>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</si>
  <si>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</si>
  <si>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</si>
  <si>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</si>
  <si>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</si>
  <si>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</si>
  <si>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</si>
  <si>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</si>
  <si>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</si>
  <si>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</si>
  <si>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</si>
  <si>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</si>
  <si>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</si>
  <si>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</si>
  <si>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</si>
  <si>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</si>
  <si>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</si>
  <si>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</si>
  <si>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</si>
  <si>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</si>
  <si>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</si>
  <si>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</si>
  <si>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</si>
  <si>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</si>
  <si>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</si>
  <si>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</si>
  <si>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</si>
  <si>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</si>
  <si>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</si>
  <si>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</si>
  <si>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</si>
  <si>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</si>
  <si>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</si>
  <si>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</si>
  <si>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</si>
  <si>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</si>
  <si>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</si>
  <si>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</si>
  <si>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</si>
  <si>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</si>
  <si>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</si>
  <si>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</si>
  <si>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</si>
  <si>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</si>
  <si>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</si>
  <si>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</si>
  <si>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</si>
  <si>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</si>
  <si>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</si>
  <si>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</si>
  <si>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</si>
  <si>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</si>
  <si>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</si>
  <si>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</si>
  <si>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</si>
  <si>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</si>
  <si>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</si>
  <si>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</si>
  <si>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</si>
  <si>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</si>
  <si>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</si>
  <si>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</si>
  <si>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</si>
  <si>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</si>
  <si>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</si>
  <si>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</si>
  <si>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</si>
  <si>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</si>
  <si>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</si>
  <si>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</si>
  <si>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</si>
  <si>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Billl</t>
  </si>
  <si>
    <t>Add factor for the Bipartisan Infrastructure Bill</t>
  </si>
  <si>
    <t>Levels</t>
  </si>
  <si>
    <t>Line</t>
  </si>
  <si>
    <t>Jul.</t>
  </si>
  <si>
    <t>Sep.</t>
  </si>
  <si>
    <t>Oct.</t>
  </si>
  <si>
    <t>Nov.</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</si>
  <si>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</si>
  <si>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</si>
  <si>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</si>
  <si>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</si>
  <si>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</si>
  <si>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</si>
  <si>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</si>
  <si>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</si>
  <si>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</si>
  <si>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</si>
  <si>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</si>
  <si>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</si>
  <si>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Go to haver or HaverView and get the lasgova, lalgova and cpgs monthly numbers (sometimes this are historically revised so check this); update the table in the Federal and State Purchases sheet.</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</si>
  <si>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</si>
  <si>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</si>
  <si>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</si>
  <si>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</si>
  <si>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2021 Q4 2nd revision</t>
  </si>
  <si>
    <t xml:space="preserve"> 2021 Q4 plus Current Forecast</t>
  </si>
  <si>
    <t>https://www.cbo.gov/publication/57037</t>
  </si>
  <si>
    <t>2021 Q4 3rd revision</t>
  </si>
  <si>
    <t>Previous Forecast (February 2022)</t>
  </si>
  <si>
    <t>Dec.</t>
  </si>
  <si>
    <r>
      <t xml:space="preserve">                               Lost wages supplemental payments </t>
    </r>
    <r>
      <rPr>
        <vertAlign val="superscript"/>
        <sz val="11"/>
        <color theme="1"/>
        <rFont val="Calibri"/>
        <family val="2"/>
        <scheme val="minor"/>
      </rPr>
      <t>7</t>
    </r>
  </si>
  <si>
    <t>Average</t>
  </si>
  <si>
    <t>Our forecast</t>
  </si>
  <si>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</si>
  <si>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</si>
  <si>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</si>
  <si>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</si>
  <si>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</si>
  <si>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</si>
  <si>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</si>
  <si>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</si>
  <si>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</si>
  <si>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</si>
  <si>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</si>
  <si>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Save a copy of the last update's version of the spreadsheet if you haven't already</t>
  </si>
  <si>
    <t>We save a new copy of the spreadsheet each month so that we can refer to last month's assumptions and data to compare changes.</t>
  </si>
  <si>
    <t>If there isn't a forecast sheet from last month already archived in the results/update month/input_data folder from last month, create a copy of the forecast sheet and rename it forecast_month_date.xlsx, and save it there.</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</si>
  <si>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</si>
  <si>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In each component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</si>
  <si>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 xml:space="preserve">Prepare the Revisions sheet for the new quarter </t>
  </si>
  <si>
    <t xml:space="preserve">Prepare the Forecast Comparison sheet </t>
  </si>
  <si>
    <t xml:space="preserve">Prepare the Historical Overrides sheet </t>
  </si>
  <si>
    <t xml:space="preserve">Copy past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</si>
  <si>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r>
      <t xml:space="preserve">Run fim/00_pre_process.R.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</si>
  <si>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t>Go to Haver or HaverView and get the lasgova, lalgova and cpgs monthly numbers (sometimes this are historically revised so check this); update the table in the Federal and State Purchases sheet.</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</si>
  <si>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</si>
  <si>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</si>
  <si>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</si>
  <si>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</si>
  <si>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</si>
  <si>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</si>
  <si>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</si>
  <si>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</si>
  <si>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</si>
  <si>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</si>
  <si>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r>
      <t xml:space="preserve"> Run fim/00_pre_process.R.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</si>
  <si>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</si>
  <si>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</si>
  <si>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</si>
  <si>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</si>
  <si>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</si>
  <si>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</si>
  <si>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</si>
  <si>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</si>
  <si>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Methodology:</t>
  </si>
  <si>
    <t xml:space="preserve">Methodology: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</si>
</sst>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0.00_);\(0.00\)"/>
    <numFmt numFmtId="174" formatCode="#,##0.0000"/>
  </numFmts>
  <fonts count="86"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i/>
      <sz val="11"/>
      <color rgb="FF000000"/>
      <name val="Calibri"/>
      <family val="2"/>
    </font>
    <font>
      <sz val="11"/>
      <color theme="1"/>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
      <u/>
      <sz val="11"/>
      <name val="Arial"/>
      <family val="2"/>
    </font>
    <font>
      <sz val="12"/>
      <color rgb="FF000000"/>
      <name val="Courier New"/>
      <family val="3"/>
    </font>
    <font>
      <sz val="14"/>
      <color rgb="FF000000"/>
      <name val="Courier New"/>
      <family val="3"/>
    </font>
    <font>
      <sz val="11"/>
      <color rgb="FFFF0000"/>
      <name val="Arial"/>
      <family val="2"/>
    </font>
  </fonts>
  <fills count="60">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s>
  <borders count="64">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indexed="64"/>
      </left>
      <right/>
      <top style="thin">
        <color indexed="64"/>
      </top>
      <bottom/>
      <diagonal/>
    </border>
    <border>
      <left/>
      <right style="thin">
        <color indexed="64"/>
      </right>
      <top style="thin">
        <color indexed="64"/>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right style="medium">
        <color rgb="FFDFE4EC"/>
      </right>
      <top/>
      <bottom style="medium">
        <color rgb="FFDFE4EC"/>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style="medium">
        <color theme="0" tint="-0.4999847407452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79" fillId="0" borderId="0"/>
    <xf numFmtId="0" fontId="1" fillId="0" borderId="0"/>
    <xf numFmtId="0" fontId="1" fillId="0" borderId="0"/>
    <xf numFmtId="9" fontId="1" fillId="0" borderId="0" applyFont="0" applyFill="0" applyBorder="0" applyAlignment="0" applyProtection="0"/>
    <xf numFmtId="0" fontId="17" fillId="0" borderId="0"/>
  </cellStyleXfs>
  <cellXfs count="1480">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3" fillId="0" borderId="0" xfId="0" applyFont="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0" fontId="49" fillId="0" borderId="21" xfId="0" applyFont="1" applyBorder="1" applyAlignment="1">
      <alignment horizontal="center"/>
    </xf>
    <xf numFmtId="164" fontId="15" fillId="0" borderId="21" xfId="0" applyNumberFormat="1" applyFont="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2" fillId="0" borderId="0" xfId="11" applyFont="1" applyAlignment="1">
      <alignment horizontal="left" indent="1"/>
    </xf>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172" fontId="15" fillId="0" borderId="0" xfId="0" applyNumberFormat="1" applyFont="1"/>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0" fontId="0" fillId="0" borderId="0" xfId="0" applyAlignment="1">
      <alignment horizontal="left" vertical="center" indent="2"/>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1"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76" fillId="0" borderId="0" xfId="0" applyFont="1" applyAlignment="1">
      <alignment wrapText="1"/>
    </xf>
    <xf numFmtId="0" fontId="77" fillId="0" borderId="0" xfId="7"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3"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0" fontId="15" fillId="41" borderId="2" xfId="0" applyFont="1" applyFill="1" applyBorder="1" applyAlignment="1">
      <alignment horizontal="center" wrapText="1"/>
    </xf>
    <xf numFmtId="0" fontId="50" fillId="0" borderId="2" xfId="0"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17" xfId="0" applyNumberFormat="1" applyFont="1" applyBorder="1" applyAlignment="1">
      <alignment horizontal="center"/>
    </xf>
    <xf numFmtId="0" fontId="78" fillId="0" borderId="0" xfId="0" applyFont="1" applyAlignment="1">
      <alignment vertical="center" wrapText="1"/>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0" fontId="50" fillId="44" borderId="4"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166" fontId="21" fillId="44" borderId="17" xfId="37" applyNumberFormat="1" applyFont="1" applyFill="1" applyBorder="1" applyAlignment="1">
      <alignment horizontal="center"/>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56" fillId="44" borderId="21" xfId="0" applyNumberFormat="1" applyFont="1" applyFill="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3"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0" fontId="0" fillId="0" borderId="0" xfId="0" applyAlignment="1">
      <alignment horizontal="left" indent="1"/>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21"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66" fontId="3" fillId="46" borderId="0" xfId="0" applyNumberFormat="1" applyFont="1" applyFill="1" applyAlignment="1">
      <alignment horizontal="right"/>
    </xf>
    <xf numFmtId="166" fontId="3" fillId="0" borderId="32"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6" xfId="0" applyNumberFormat="1" applyFont="1" applyBorder="1" applyAlignment="1">
      <alignment horizontal="right"/>
    </xf>
    <xf numFmtId="166" fontId="0" fillId="46" borderId="32"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6" xfId="0" applyNumberFormat="1" applyFill="1" applyBorder="1" applyAlignment="1">
      <alignment horizontal="right"/>
    </xf>
    <xf numFmtId="166" fontId="0" fillId="0" borderId="32" xfId="0" applyNumberFormat="1" applyBorder="1" applyAlignment="1">
      <alignment horizontal="right"/>
    </xf>
    <xf numFmtId="166" fontId="0" fillId="0" borderId="30" xfId="0" applyNumberFormat="1" applyBorder="1" applyAlignment="1">
      <alignment horizontal="right"/>
    </xf>
    <xf numFmtId="166" fontId="0" fillId="0" borderId="36" xfId="0" applyNumberFormat="1" applyBorder="1" applyAlignment="1">
      <alignment horizontal="right"/>
    </xf>
    <xf numFmtId="166" fontId="3" fillId="46" borderId="32"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3"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7" xfId="0" applyNumberFormat="1" applyFont="1" applyBorder="1" applyAlignment="1">
      <alignment horizontal="right"/>
    </xf>
    <xf numFmtId="0" fontId="71" fillId="0" borderId="0" xfId="0" quotePrefix="1" applyFont="1"/>
    <xf numFmtId="0" fontId="0" fillId="0" borderId="0" xfId="0" quotePrefix="1"/>
    <xf numFmtId="0" fontId="43" fillId="0" borderId="0" xfId="315"/>
    <xf numFmtId="14" fontId="15" fillId="0" borderId="1" xfId="0" applyNumberFormat="1" applyFont="1" applyBorder="1"/>
    <xf numFmtId="0" fontId="49" fillId="3" borderId="21" xfId="0" applyFont="1" applyFill="1" applyBorder="1"/>
    <xf numFmtId="167" fontId="0" fillId="0" borderId="0" xfId="2" applyNumberFormat="1" applyFont="1"/>
    <xf numFmtId="0" fontId="69" fillId="46" borderId="38" xfId="0" applyFont="1" applyFill="1" applyBorder="1"/>
    <xf numFmtId="0" fontId="69" fillId="0" borderId="35" xfId="0" applyFont="1" applyBorder="1"/>
    <xf numFmtId="0" fontId="0" fillId="46" borderId="35" xfId="0" applyFill="1" applyBorder="1"/>
    <xf numFmtId="0" fontId="0" fillId="0" borderId="35" xfId="0" applyBorder="1"/>
    <xf numFmtId="0" fontId="69" fillId="46" borderId="35" xfId="0" applyFont="1" applyFill="1" applyBorder="1"/>
    <xf numFmtId="0" fontId="68" fillId="46" borderId="35" xfId="0" applyFont="1" applyFill="1" applyBorder="1"/>
    <xf numFmtId="0" fontId="68" fillId="0" borderId="35" xfId="0" applyFont="1" applyBorder="1"/>
    <xf numFmtId="0" fontId="68" fillId="0" borderId="35" xfId="0" applyFont="1" applyBorder="1" applyAlignment="1">
      <alignment horizontal="left"/>
    </xf>
    <xf numFmtId="0" fontId="0" fillId="0" borderId="35" xfId="0" applyBorder="1" applyAlignment="1">
      <alignment horizontal="left"/>
    </xf>
    <xf numFmtId="0" fontId="71" fillId="46" borderId="35" xfId="509" quotePrefix="1" applyFont="1" applyFill="1" applyBorder="1" applyAlignment="1">
      <alignment horizontal="left"/>
    </xf>
    <xf numFmtId="0" fontId="71" fillId="0" borderId="35" xfId="509" quotePrefix="1" applyFont="1" applyBorder="1" applyAlignment="1">
      <alignment horizontal="left"/>
    </xf>
    <xf numFmtId="0" fontId="72" fillId="0" borderId="35" xfId="0" applyFont="1" applyBorder="1" applyAlignment="1">
      <alignment horizontal="left" indent="3"/>
    </xf>
    <xf numFmtId="0" fontId="73" fillId="0" borderId="35" xfId="0" applyFont="1" applyBorder="1" applyAlignment="1">
      <alignment horizontal="left"/>
    </xf>
    <xf numFmtId="0" fontId="69" fillId="0" borderId="40" xfId="0" applyFont="1" applyBorder="1"/>
    <xf numFmtId="166" fontId="0" fillId="44" borderId="21" xfId="0" applyNumberFormat="1" applyFill="1" applyBorder="1" applyAlignment="1">
      <alignment horizontal="center"/>
    </xf>
    <xf numFmtId="0" fontId="15" fillId="44" borderId="27" xfId="0" applyFont="1" applyFill="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0" fontId="15" fillId="0" borderId="21"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1" fontId="15" fillId="0" borderId="21" xfId="0" applyNumberFormat="1" applyFont="1" applyBorder="1" applyAlignment="1">
      <alignment horizontal="center" wrapText="1"/>
    </xf>
    <xf numFmtId="164" fontId="15" fillId="0" borderId="3" xfId="0" applyNumberFormat="1" applyFont="1" applyBorder="1" applyAlignment="1">
      <alignment horizontal="center"/>
    </xf>
    <xf numFmtId="168" fontId="15" fillId="3" borderId="2" xfId="0" applyNumberFormat="1" applyFont="1" applyFill="1" applyBorder="1" applyAlignment="1">
      <alignment horizontal="center"/>
    </xf>
    <xf numFmtId="164" fontId="56" fillId="0" borderId="21" xfId="0" applyNumberFormat="1"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0" fillId="44" borderId="16" xfId="0" applyFill="1" applyBorder="1" applyAlignment="1">
      <alignment horizontal="center"/>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applyNumberFormat="1" applyFont="1" applyBorder="1" applyAlignment="1">
      <alignment horizontal="center" vertical="top" wrapText="1"/>
    </xf>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44" borderId="4" xfId="0" applyNumberFormat="1" applyFont="1" applyFill="1" applyBorder="1" applyAlignment="1">
      <alignment horizontal="right"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1" xfId="0" applyBorder="1" applyAlignment="1">
      <alignment horizontal="left" wrapText="1" indent="2"/>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4" xfId="0" applyNumberFormat="1" applyFont="1" applyFill="1" applyBorder="1" applyAlignment="1">
      <alignment horizontal="center" wrapText="1"/>
    </xf>
    <xf numFmtId="1" fontId="15" fillId="0" borderId="41" xfId="0" applyNumberFormat="1" applyFont="1" applyBorder="1" applyAlignment="1">
      <alignment horizontal="center"/>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0" fontId="15" fillId="44" borderId="21" xfId="0" applyFont="1" applyFill="1" applyBorder="1" applyAlignment="1">
      <alignment horizontal="center"/>
    </xf>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2"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164" fontId="15" fillId="0" borderId="0" xfId="0" applyNumberFormat="1" applyFont="1" applyFill="1"/>
    <xf numFmtId="0" fontId="15" fillId="0" borderId="41"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2" xfId="0" applyFont="1" applyFill="1" applyBorder="1"/>
    <xf numFmtId="164" fontId="15" fillId="0" borderId="0" xfId="0" applyNumberFormat="1" applyFont="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0" fontId="56" fillId="0" borderId="1" xfId="0" applyFont="1" applyFill="1" applyBorder="1" applyAlignment="1">
      <alignment horizontal="center"/>
    </xf>
    <xf numFmtId="164" fontId="21" fillId="0" borderId="41"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0" fontId="15" fillId="0" borderId="4" xfId="0" applyFont="1" applyFill="1" applyBorder="1" applyAlignment="1">
      <alignment horizontal="center" wrapText="1"/>
    </xf>
    <xf numFmtId="164" fontId="50" fillId="0" borderId="4"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xf numFmtId="0" fontId="15" fillId="0" borderId="19" xfId="0" applyFont="1" applyBorder="1"/>
    <xf numFmtId="168" fontId="15" fillId="0" borderId="2" xfId="0" applyNumberFormat="1" applyFont="1" applyBorder="1"/>
    <xf numFmtId="0" fontId="49" fillId="0" borderId="24" xfId="0" applyFont="1" applyBorder="1"/>
    <xf numFmtId="0" fontId="49" fillId="0" borderId="25" xfId="0" applyFont="1" applyBorder="1"/>
    <xf numFmtId="164" fontId="15" fillId="0" borderId="42" xfId="0" applyNumberFormat="1" applyFont="1" applyBorder="1" applyAlignment="1">
      <alignment horizontal="center"/>
    </xf>
    <xf numFmtId="168" fontId="15" fillId="50" borderId="2" xfId="0" applyNumberFormat="1" applyFont="1" applyFill="1" applyBorder="1"/>
    <xf numFmtId="4" fontId="15" fillId="0" borderId="0" xfId="0" applyNumberFormat="1" applyFont="1"/>
    <xf numFmtId="164" fontId="50" fillId="0" borderId="2" xfId="0" applyNumberFormat="1" applyFont="1" applyFill="1" applyBorder="1" applyAlignment="1">
      <alignment horizontal="center"/>
    </xf>
    <xf numFmtId="0" fontId="15" fillId="0" borderId="0" xfId="0" applyFont="1"/>
    <xf numFmtId="0" fontId="15" fillId="0" borderId="1" xfId="0" applyFont="1" applyBorder="1"/>
    <xf numFmtId="0" fontId="49" fillId="0" borderId="1" xfId="0" applyFont="1" applyBorder="1" applyAlignment="1">
      <alignment horizontal="left" wrapText="1"/>
    </xf>
    <xf numFmtId="164" fontId="15" fillId="0" borderId="1" xfId="0" applyNumberFormat="1" applyFont="1" applyBorder="1" applyAlignment="1">
      <alignment horizontal="center"/>
    </xf>
    <xf numFmtId="1" fontId="0" fillId="0" borderId="0" xfId="0" applyNumberFormat="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xf>
    <xf numFmtId="0" fontId="49" fillId="0" borderId="1" xfId="0" applyFont="1" applyBorder="1"/>
    <xf numFmtId="164" fontId="15" fillId="44" borderId="4" xfId="0" applyNumberFormat="1" applyFont="1" applyFill="1" applyBorder="1" applyAlignment="1">
      <alignment horizontal="center"/>
    </xf>
    <xf numFmtId="0" fontId="50" fillId="44" borderId="4" xfId="0" applyFont="1" applyFill="1" applyBorder="1" applyAlignment="1">
      <alignment horizontal="center"/>
    </xf>
    <xf numFmtId="0" fontId="15" fillId="44" borderId="4"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0" fontId="15" fillId="44" borderId="0" xfId="0"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0" fontId="0" fillId="0" borderId="0" xfId="0"/>
    <xf numFmtId="0" fontId="3" fillId="0" borderId="0" xfId="0" applyFont="1" applyFill="1"/>
    <xf numFmtId="0" fontId="0" fillId="0" borderId="0" xfId="0" applyAlignment="1">
      <alignment wrapText="1"/>
    </xf>
    <xf numFmtId="0" fontId="0" fillId="0" borderId="0" xfId="0" applyFill="1" applyBorder="1" applyAlignment="1">
      <alignment horizontal="center"/>
    </xf>
    <xf numFmtId="14" fontId="15" fillId="0" borderId="41" xfId="0" applyNumberFormat="1" applyFont="1" applyBorder="1"/>
    <xf numFmtId="168" fontId="15" fillId="0" borderId="42" xfId="0" applyNumberFormat="1" applyFont="1" applyBorder="1"/>
    <xf numFmtId="168" fontId="15" fillId="0" borderId="4" xfId="0" applyNumberFormat="1" applyFont="1" applyBorder="1"/>
    <xf numFmtId="0" fontId="83" fillId="0" borderId="0" xfId="0" applyFont="1" applyAlignment="1">
      <alignment horizontal="center" vertical="center" wrapText="1"/>
    </xf>
    <xf numFmtId="17" fontId="83" fillId="0" borderId="56" xfId="0" applyNumberFormat="1" applyFont="1" applyBorder="1" applyAlignment="1">
      <alignment horizontal="left" vertical="center" wrapText="1" indent="1"/>
    </xf>
    <xf numFmtId="0" fontId="84" fillId="0" borderId="0" xfId="0" applyFont="1" applyAlignment="1">
      <alignment horizontal="center" vertical="center" wrapText="1"/>
    </xf>
    <xf numFmtId="17" fontId="84" fillId="0" borderId="56" xfId="0" applyNumberFormat="1" applyFont="1" applyBorder="1" applyAlignment="1">
      <alignment horizontal="left" vertical="center" wrapText="1" indent="1"/>
    </xf>
    <xf numFmtId="0" fontId="15" fillId="44" borderId="1" xfId="0" applyFont="1" applyFill="1" applyBorder="1" applyAlignment="1">
      <alignment horizontal="center"/>
    </xf>
    <xf numFmtId="0" fontId="15" fillId="44" borderId="0" xfId="0" applyFont="1" applyFill="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0" fillId="0" borderId="0" xfId="0" applyFill="1" applyAlignment="1">
      <alignment wrapText="1"/>
    </xf>
    <xf numFmtId="0" fontId="15" fillId="44" borderId="21"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15" fillId="44" borderId="1" xfId="0" applyFont="1" applyFill="1" applyBorder="1" applyAlignment="1">
      <alignment horizontal="center"/>
    </xf>
    <xf numFmtId="0" fontId="15" fillId="0" borderId="21" xfId="0" applyFont="1" applyFill="1" applyBorder="1" applyAlignment="1">
      <alignment horizontal="center"/>
    </xf>
    <xf numFmtId="0" fontId="15" fillId="0" borderId="4" xfId="0" applyFont="1" applyFill="1" applyBorder="1" applyAlignment="1">
      <alignment horizontal="center"/>
    </xf>
    <xf numFmtId="0" fontId="15" fillId="0" borderId="1" xfId="0" applyFont="1" applyFill="1" applyBorder="1" applyAlignment="1">
      <alignment horizontal="center"/>
    </xf>
    <xf numFmtId="3" fontId="15" fillId="0" borderId="4" xfId="0"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4" xfId="509" quotePrefix="1" applyFont="1" applyFill="1" applyBorder="1" applyAlignment="1">
      <alignment horizontal="center" wrapText="1"/>
    </xf>
    <xf numFmtId="3" fontId="15" fillId="0" borderId="4" xfId="0" quotePrefix="1" applyNumberFormat="1" applyFont="1" applyFill="1" applyBorder="1" applyAlignment="1">
      <alignment horizontal="center"/>
    </xf>
    <xf numFmtId="166" fontId="15" fillId="0" borderId="4" xfId="0" applyNumberFormat="1" applyFont="1" applyFill="1" applyBorder="1" applyAlignment="1">
      <alignment horizontal="center"/>
    </xf>
    <xf numFmtId="0" fontId="15" fillId="0" borderId="3" xfId="0" applyFont="1" applyFill="1" applyBorder="1" applyAlignment="1">
      <alignment horizontal="center"/>
    </xf>
    <xf numFmtId="0" fontId="15" fillId="0" borderId="2" xfId="0" applyFont="1" applyFill="1" applyBorder="1" applyAlignment="1">
      <alignment horizontal="center"/>
    </xf>
    <xf numFmtId="166" fontId="15" fillId="0" borderId="2" xfId="0" applyNumberFormat="1" applyFont="1" applyFill="1" applyBorder="1" applyAlignment="1">
      <alignment horizontal="center"/>
    </xf>
    <xf numFmtId="166" fontId="21" fillId="0" borderId="2" xfId="37" applyNumberFormat="1" applyFont="1" applyFill="1" applyBorder="1" applyAlignment="1">
      <alignment horizontal="center"/>
    </xf>
    <xf numFmtId="166" fontId="21" fillId="0" borderId="17" xfId="37" applyNumberFormat="1" applyFont="1" applyFill="1" applyBorder="1" applyAlignment="1">
      <alignment horizontal="center"/>
    </xf>
    <xf numFmtId="0" fontId="15" fillId="0" borderId="0" xfId="0" applyFont="1" applyFill="1" applyBorder="1" applyAlignment="1">
      <alignment horizontal="center"/>
    </xf>
    <xf numFmtId="166" fontId="15" fillId="0" borderId="0" xfId="0" applyNumberFormat="1" applyFont="1" applyFill="1" applyBorder="1" applyAlignment="1">
      <alignment horizontal="center"/>
    </xf>
    <xf numFmtId="3" fontId="15" fillId="0" borderId="0" xfId="0" applyNumberFormat="1" applyFont="1" applyFill="1" applyBorder="1" applyAlignment="1">
      <alignment horizontal="center"/>
    </xf>
    <xf numFmtId="0" fontId="21" fillId="0" borderId="0" xfId="509" quotePrefix="1" applyFont="1" applyFill="1" applyBorder="1" applyAlignment="1">
      <alignment horizontal="center" wrapText="1"/>
    </xf>
    <xf numFmtId="166" fontId="15" fillId="0" borderId="0"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0" fontId="15" fillId="0" borderId="41" xfId="0" applyFont="1" applyFill="1" applyBorder="1" applyAlignment="1">
      <alignment horizontal="center"/>
    </xf>
    <xf numFmtId="164" fontId="50" fillId="0" borderId="41" xfId="0" applyNumberFormat="1" applyFont="1" applyFill="1" applyBorder="1" applyAlignment="1">
      <alignment horizontal="center"/>
    </xf>
    <xf numFmtId="164" fontId="50" fillId="0" borderId="21" xfId="0" applyNumberFormat="1" applyFont="1" applyFill="1" applyBorder="1" applyAlignment="1">
      <alignment horizontal="center"/>
    </xf>
    <xf numFmtId="164" fontId="15" fillId="0" borderId="3" xfId="0" applyNumberFormat="1" applyFont="1" applyFill="1" applyBorder="1" applyAlignment="1">
      <alignment horizontal="center"/>
    </xf>
    <xf numFmtId="164" fontId="15" fillId="0" borderId="2" xfId="0" applyNumberFormat="1" applyFont="1" applyFill="1" applyBorder="1" applyAlignment="1">
      <alignment horizontal="center"/>
    </xf>
    <xf numFmtId="164" fontId="15" fillId="0" borderId="17" xfId="0" applyNumberFormat="1" applyFont="1" applyFill="1" applyBorder="1" applyAlignment="1">
      <alignment horizontal="center"/>
    </xf>
    <xf numFmtId="166" fontId="15" fillId="0" borderId="4" xfId="0" applyNumberFormat="1" applyFont="1" applyFill="1" applyBorder="1" applyAlignment="1">
      <alignment horizontal="center" wrapText="1"/>
    </xf>
    <xf numFmtId="3" fontId="15" fillId="0" borderId="4" xfId="0" quotePrefix="1" applyNumberFormat="1" applyFont="1" applyFill="1" applyBorder="1" applyAlignment="1">
      <alignment horizontal="center" wrapText="1"/>
    </xf>
    <xf numFmtId="1" fontId="15" fillId="0" borderId="4" xfId="0" applyNumberFormat="1" applyFont="1" applyFill="1" applyBorder="1" applyAlignment="1">
      <alignment horizontal="center" wrapText="1"/>
    </xf>
    <xf numFmtId="1" fontId="15" fillId="0" borderId="4" xfId="0" quotePrefix="1" applyNumberFormat="1" applyFont="1" applyFill="1" applyBorder="1" applyAlignment="1">
      <alignment horizontal="center" wrapText="1"/>
    </xf>
    <xf numFmtId="164" fontId="50" fillId="0" borderId="3" xfId="0" applyNumberFormat="1" applyFont="1" applyFill="1" applyBorder="1" applyAlignment="1">
      <alignment horizontal="center"/>
    </xf>
    <xf numFmtId="0" fontId="15" fillId="50" borderId="3" xfId="0" applyFont="1" applyFill="1" applyBorder="1" applyAlignment="1">
      <alignment wrapText="1"/>
    </xf>
    <xf numFmtId="3" fontId="15" fillId="0" borderId="0" xfId="0" applyNumberFormat="1" applyFont="1" applyFill="1" applyAlignment="1">
      <alignment horizontal="center" vertical="top" wrapText="1"/>
    </xf>
    <xf numFmtId="1" fontId="15" fillId="0" borderId="0" xfId="0" quotePrefix="1" applyNumberFormat="1" applyFont="1" applyBorder="1" applyAlignment="1">
      <alignment horizontal="center" wrapText="1"/>
    </xf>
    <xf numFmtId="166" fontId="15" fillId="0" borderId="0" xfId="0" quotePrefix="1" applyNumberFormat="1" applyFont="1" applyBorder="1" applyAlignment="1">
      <alignment horizontal="center" vertical="top" wrapText="1"/>
    </xf>
    <xf numFmtId="1" fontId="15" fillId="0" borderId="0" xfId="0" applyNumberFormat="1" applyFont="1" applyBorder="1" applyAlignment="1">
      <alignment horizontal="center" wrapText="1"/>
    </xf>
    <xf numFmtId="3" fontId="15" fillId="0" borderId="0" xfId="0" applyNumberFormat="1" applyFont="1" applyBorder="1" applyAlignment="1">
      <alignment horizontal="center" wrapText="1"/>
    </xf>
    <xf numFmtId="3" fontId="15" fillId="0" borderId="0" xfId="0" quotePrefix="1" applyNumberFormat="1" applyFont="1" applyBorder="1" applyAlignment="1">
      <alignment horizontal="center" vertical="top" wrapText="1"/>
    </xf>
    <xf numFmtId="166" fontId="15" fillId="0" borderId="0" xfId="0" applyNumberFormat="1" applyFont="1" applyBorder="1" applyAlignment="1">
      <alignment horizontal="center" wrapText="1"/>
    </xf>
    <xf numFmtId="0" fontId="15" fillId="0" borderId="0" xfId="0" applyFont="1" applyBorder="1" applyAlignment="1">
      <alignment horizontal="center" wrapText="1"/>
    </xf>
    <xf numFmtId="164" fontId="15" fillId="0" borderId="0" xfId="0" applyNumberFormat="1" applyFont="1" applyBorder="1" applyAlignment="1">
      <alignment horizontal="center" wrapText="1"/>
    </xf>
    <xf numFmtId="3" fontId="15" fillId="0" borderId="41" xfId="0" quotePrefix="1" applyNumberFormat="1" applyFont="1" applyBorder="1" applyAlignment="1">
      <alignment horizontal="center" vertical="top" wrapText="1"/>
    </xf>
    <xf numFmtId="166" fontId="15" fillId="0" borderId="42" xfId="0" applyNumberFormat="1" applyFont="1" applyFill="1" applyBorder="1" applyAlignment="1">
      <alignment horizontal="center" wrapText="1"/>
    </xf>
    <xf numFmtId="164" fontId="15" fillId="0" borderId="4" xfId="0" applyNumberFormat="1" applyFont="1" applyFill="1" applyBorder="1" applyAlignment="1">
      <alignment horizontal="center" wrapText="1"/>
    </xf>
    <xf numFmtId="166" fontId="15" fillId="0" borderId="17" xfId="0" applyNumberFormat="1" applyFont="1" applyFill="1" applyBorder="1" applyAlignment="1">
      <alignment horizontal="center" wrapText="1"/>
    </xf>
    <xf numFmtId="0" fontId="50" fillId="0" borderId="0" xfId="0" applyFont="1" applyBorder="1" applyAlignment="1">
      <alignment horizontal="center" wrapText="1"/>
    </xf>
    <xf numFmtId="166" fontId="50" fillId="0" borderId="0" xfId="0" quotePrefix="1" applyNumberFormat="1" applyFont="1" applyBorder="1" applyAlignment="1">
      <alignment horizontal="center" wrapText="1"/>
    </xf>
    <xf numFmtId="166" fontId="15" fillId="0" borderId="0" xfId="0" applyNumberFormat="1" applyFont="1" applyBorder="1" applyAlignment="1">
      <alignment horizontal="center" vertical="top" wrapText="1"/>
    </xf>
    <xf numFmtId="0" fontId="50" fillId="0" borderId="41" xfId="0" applyFont="1" applyBorder="1" applyAlignment="1">
      <alignment horizontal="center" wrapText="1"/>
    </xf>
    <xf numFmtId="166" fontId="50" fillId="0" borderId="42" xfId="0" quotePrefix="1" applyNumberFormat="1" applyFont="1" applyFill="1" applyBorder="1" applyAlignment="1">
      <alignment horizontal="center" wrapText="1"/>
    </xf>
    <xf numFmtId="166" fontId="50" fillId="0" borderId="4" xfId="0" quotePrefix="1" applyNumberFormat="1" applyFont="1" applyFill="1" applyBorder="1" applyAlignment="1">
      <alignment horizontal="center" wrapText="1"/>
    </xf>
    <xf numFmtId="166" fontId="15" fillId="0" borderId="4" xfId="0" applyNumberFormat="1" applyFont="1" applyFill="1" applyBorder="1" applyAlignment="1">
      <alignment horizontal="center" vertical="top" wrapText="1"/>
    </xf>
    <xf numFmtId="3" fontId="15" fillId="0" borderId="0" xfId="0" quotePrefix="1" applyNumberFormat="1" applyFont="1" applyBorder="1" applyAlignment="1">
      <alignment horizontal="center"/>
    </xf>
    <xf numFmtId="0" fontId="15" fillId="0" borderId="0" xfId="0" applyFont="1" applyBorder="1" applyAlignment="1">
      <alignment horizontal="left" wrapText="1"/>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3" fontId="15" fillId="0" borderId="42" xfId="0" quotePrefix="1" applyNumberFormat="1" applyFont="1" applyBorder="1" applyAlignment="1">
      <alignment horizontal="center"/>
    </xf>
    <xf numFmtId="0" fontId="15" fillId="0" borderId="0" xfId="0" applyFont="1" applyBorder="1" applyAlignment="1">
      <alignment horizontal="left"/>
    </xf>
    <xf numFmtId="0" fontId="15" fillId="0" borderId="41" xfId="0" applyFont="1" applyBorder="1" applyAlignment="1">
      <alignment horizontal="left"/>
    </xf>
    <xf numFmtId="166" fontId="15" fillId="0" borderId="42" xfId="0" quotePrefix="1" applyNumberFormat="1" applyFont="1" applyFill="1" applyBorder="1" applyAlignment="1">
      <alignment horizontal="center"/>
    </xf>
    <xf numFmtId="166" fontId="15" fillId="0" borderId="4" xfId="0" quotePrefix="1" applyNumberFormat="1" applyFont="1" applyFill="1" applyBorder="1" applyAlignment="1">
      <alignment horizontal="center"/>
    </xf>
    <xf numFmtId="166" fontId="15" fillId="0" borderId="17" xfId="0" quotePrefix="1" applyNumberFormat="1" applyFont="1" applyFill="1" applyBorder="1" applyAlignment="1">
      <alignment horizontal="center"/>
    </xf>
    <xf numFmtId="0" fontId="15" fillId="0" borderId="0" xfId="0" applyFont="1" applyBorder="1" applyAlignment="1">
      <alignment wrapText="1"/>
    </xf>
    <xf numFmtId="0" fontId="49" fillId="0" borderId="0" xfId="0" applyFont="1" applyBorder="1" applyAlignment="1">
      <alignment horizontal="center" vertical="top" wrapText="1"/>
    </xf>
    <xf numFmtId="1" fontId="15" fillId="0" borderId="0" xfId="0" quotePrefix="1" applyNumberFormat="1" applyFont="1" applyFill="1" applyBorder="1" applyAlignment="1">
      <alignment horizontal="center" wrapText="1"/>
    </xf>
    <xf numFmtId="1" fontId="49" fillId="0" borderId="0" xfId="0" applyNumberFormat="1" applyFont="1" applyBorder="1" applyAlignment="1">
      <alignment horizontal="center" wrapText="1"/>
    </xf>
    <xf numFmtId="3" fontId="15" fillId="0" borderId="0" xfId="0" quotePrefix="1" applyNumberFormat="1" applyFont="1" applyBorder="1" applyAlignment="1">
      <alignment horizontal="center" wrapText="1"/>
    </xf>
    <xf numFmtId="3" fontId="15" fillId="0" borderId="0" xfId="0" quotePrefix="1" applyNumberFormat="1" applyFont="1" applyFill="1" applyBorder="1" applyAlignment="1">
      <alignment horizontal="center" wrapText="1"/>
    </xf>
    <xf numFmtId="1" fontId="15" fillId="0" borderId="0" xfId="0" applyNumberFormat="1" applyFont="1" applyFill="1" applyBorder="1" applyAlignment="1">
      <alignment horizontal="center" wrapText="1"/>
    </xf>
    <xf numFmtId="165" fontId="15" fillId="0" borderId="0" xfId="0" applyNumberFormat="1" applyFont="1" applyBorder="1" applyAlignment="1">
      <alignment horizontal="center" wrapText="1"/>
    </xf>
    <xf numFmtId="0" fontId="50" fillId="0" borderId="0" xfId="0" applyFont="1" applyBorder="1" applyAlignment="1">
      <alignment wrapText="1"/>
    </xf>
    <xf numFmtId="3" fontId="50" fillId="0" borderId="0" xfId="0" applyNumberFormat="1" applyFont="1" applyBorder="1" applyAlignment="1">
      <alignment horizontal="center" wrapText="1"/>
    </xf>
    <xf numFmtId="165" fontId="50" fillId="0" borderId="0" xfId="0" applyNumberFormat="1" applyFont="1" applyBorder="1" applyAlignment="1">
      <alignment wrapText="1"/>
    </xf>
    <xf numFmtId="1" fontId="15" fillId="0" borderId="21" xfId="0" quotePrefix="1" applyNumberFormat="1" applyFont="1" applyFill="1" applyBorder="1" applyAlignment="1">
      <alignment horizontal="center" wrapText="1"/>
    </xf>
    <xf numFmtId="1" fontId="15" fillId="0" borderId="42" xfId="0" quotePrefix="1" applyNumberFormat="1" applyFont="1" applyFill="1" applyBorder="1" applyAlignment="1">
      <alignment horizontal="center" wrapText="1"/>
    </xf>
    <xf numFmtId="1" fontId="15" fillId="0" borderId="1" xfId="0" applyNumberFormat="1" applyFont="1" applyFill="1" applyBorder="1" applyAlignment="1">
      <alignment horizontal="center" wrapText="1"/>
    </xf>
    <xf numFmtId="3" fontId="50" fillId="0" borderId="4" xfId="0" applyNumberFormat="1" applyFont="1" applyFill="1" applyBorder="1" applyAlignment="1">
      <alignment horizontal="center" wrapText="1"/>
    </xf>
    <xf numFmtId="164" fontId="15" fillId="0" borderId="0" xfId="0" applyNumberFormat="1" applyFont="1" applyBorder="1" applyAlignment="1">
      <alignment horizontal="center"/>
    </xf>
    <xf numFmtId="168" fontId="15" fillId="0" borderId="0" xfId="0" applyNumberFormat="1" applyFont="1" applyBorder="1" applyAlignment="1">
      <alignment horizontal="center"/>
    </xf>
    <xf numFmtId="164" fontId="15" fillId="0" borderId="41" xfId="0" applyNumberFormat="1" applyFont="1" applyBorder="1" applyAlignment="1">
      <alignment horizontal="center"/>
    </xf>
    <xf numFmtId="164" fontId="15" fillId="0" borderId="0" xfId="0" quotePrefix="1" applyNumberFormat="1" applyFont="1" applyBorder="1" applyAlignment="1">
      <alignment horizontal="center" wrapText="1"/>
    </xf>
    <xf numFmtId="164" fontId="56" fillId="0" borderId="41" xfId="0" applyNumberFormat="1" applyFont="1" applyBorder="1" applyAlignment="1">
      <alignment horizontal="center"/>
    </xf>
    <xf numFmtId="164" fontId="56" fillId="0" borderId="42" xfId="0" applyNumberFormat="1" applyFont="1" applyFill="1" applyBorder="1" applyAlignment="1">
      <alignment horizontal="center"/>
    </xf>
    <xf numFmtId="164" fontId="15" fillId="0" borderId="4" xfId="0" quotePrefix="1" applyNumberFormat="1" applyFont="1" applyFill="1" applyBorder="1" applyAlignment="1">
      <alignment horizontal="center" wrapText="1"/>
    </xf>
    <xf numFmtId="0" fontId="50" fillId="0" borderId="0" xfId="0" applyFont="1" applyBorder="1" applyAlignment="1">
      <alignment horizontal="center"/>
    </xf>
    <xf numFmtId="0" fontId="15" fillId="0" borderId="42" xfId="0" applyFont="1" applyBorder="1" applyAlignment="1">
      <alignment horizontal="center"/>
    </xf>
    <xf numFmtId="0" fontId="22" fillId="0" borderId="41" xfId="0" applyFont="1" applyFill="1" applyBorder="1" applyAlignment="1">
      <alignment horizontal="center"/>
    </xf>
    <xf numFmtId="0" fontId="22" fillId="0" borderId="21" xfId="0" applyFont="1" applyFill="1" applyBorder="1" applyAlignment="1">
      <alignment horizontal="center"/>
    </xf>
    <xf numFmtId="164" fontId="15" fillId="0" borderId="21" xfId="0" applyNumberFormat="1" applyFont="1" applyFill="1" applyBorder="1" applyAlignment="1">
      <alignment horizontal="center"/>
    </xf>
    <xf numFmtId="0" fontId="15" fillId="0" borderId="42" xfId="0" applyFont="1" applyFill="1" applyBorder="1" applyAlignment="1">
      <alignment horizontal="center"/>
    </xf>
    <xf numFmtId="0" fontId="15" fillId="44" borderId="41" xfId="0" applyFont="1" applyFill="1" applyBorder="1" applyAlignment="1">
      <alignment horizontal="center"/>
    </xf>
    <xf numFmtId="164" fontId="21" fillId="44" borderId="1" xfId="0" applyNumberFormat="1" applyFont="1" applyFill="1" applyBorder="1" applyAlignment="1">
      <alignment horizontal="center"/>
    </xf>
    <xf numFmtId="164" fontId="56" fillId="44" borderId="1" xfId="0" applyNumberFormat="1" applyFont="1" applyFill="1" applyBorder="1" applyAlignment="1">
      <alignment horizontal="center"/>
    </xf>
    <xf numFmtId="0" fontId="15" fillId="44" borderId="1" xfId="0" applyFont="1" applyFill="1" applyBorder="1" applyAlignment="1">
      <alignment horizontal="center" wrapText="1"/>
    </xf>
    <xf numFmtId="0" fontId="21" fillId="44" borderId="1" xfId="0" applyFont="1" applyFill="1" applyBorder="1" applyAlignment="1">
      <alignment horizontal="center"/>
    </xf>
    <xf numFmtId="164" fontId="15" fillId="44" borderId="1" xfId="0" applyNumberFormat="1" applyFont="1" applyFill="1" applyBorder="1" applyAlignment="1">
      <alignment horizontal="center"/>
    </xf>
    <xf numFmtId="0" fontId="50" fillId="44" borderId="1" xfId="0" applyFont="1" applyFill="1" applyBorder="1" applyAlignment="1">
      <alignment horizontal="center"/>
    </xf>
    <xf numFmtId="164" fontId="50" fillId="44" borderId="1" xfId="0" applyNumberFormat="1" applyFont="1" applyFill="1" applyBorder="1" applyAlignment="1">
      <alignment horizontal="center"/>
    </xf>
    <xf numFmtId="0" fontId="15" fillId="44" borderId="1" xfId="0" applyFont="1" applyFill="1" applyBorder="1"/>
    <xf numFmtId="0" fontId="15" fillId="0" borderId="41" xfId="0" applyFont="1" applyBorder="1" applyAlignment="1">
      <alignment horizontal="center"/>
    </xf>
    <xf numFmtId="164" fontId="21" fillId="0" borderId="42" xfId="0" applyNumberFormat="1" applyFont="1" applyFill="1" applyBorder="1" applyAlignment="1">
      <alignment horizontal="center"/>
    </xf>
    <xf numFmtId="164" fontId="15" fillId="0" borderId="4" xfId="0" applyNumberFormat="1" applyFont="1" applyFill="1" applyBorder="1"/>
    <xf numFmtId="164" fontId="15" fillId="3" borderId="4" xfId="0" applyNumberFormat="1" applyFont="1" applyFill="1" applyBorder="1"/>
    <xf numFmtId="0" fontId="15" fillId="0" borderId="4" xfId="0" quotePrefix="1" applyFont="1" applyFill="1" applyBorder="1"/>
    <xf numFmtId="164" fontId="15" fillId="0" borderId="17" xfId="0" applyNumberFormat="1" applyFont="1" applyFill="1" applyBorder="1"/>
    <xf numFmtId="3" fontId="21" fillId="0" borderId="0" xfId="0" applyNumberFormat="1" applyFont="1" applyBorder="1"/>
    <xf numFmtId="3" fontId="21" fillId="0" borderId="4" xfId="0" applyNumberFormat="1" applyFont="1" applyBorder="1"/>
    <xf numFmtId="168" fontId="15" fillId="50" borderId="17" xfId="0" applyNumberFormat="1" applyFont="1" applyFill="1" applyBorder="1"/>
    <xf numFmtId="3" fontId="15" fillId="0" borderId="41" xfId="0" applyNumberFormat="1" applyFont="1" applyBorder="1"/>
    <xf numFmtId="3" fontId="21" fillId="0" borderId="21" xfId="0" applyNumberFormat="1" applyFont="1" applyBorder="1"/>
    <xf numFmtId="3" fontId="21" fillId="0" borderId="42" xfId="0" applyNumberFormat="1" applyFont="1" applyBorder="1"/>
    <xf numFmtId="3" fontId="15" fillId="0" borderId="1" xfId="0" applyNumberFormat="1" applyFont="1" applyBorder="1"/>
    <xf numFmtId="0" fontId="15" fillId="0" borderId="23" xfId="0" applyFont="1" applyBorder="1"/>
    <xf numFmtId="0" fontId="15" fillId="0" borderId="18" xfId="0" applyFont="1" applyBorder="1" applyAlignment="1">
      <alignment horizontal="left" wrapText="1" indent="8"/>
    </xf>
    <xf numFmtId="164" fontId="15" fillId="0" borderId="0" xfId="0" quotePrefix="1"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1" fontId="50" fillId="0" borderId="0" xfId="0" quotePrefix="1" applyNumberFormat="1" applyFont="1" applyBorder="1" applyAlignment="1">
      <alignment horizontal="center" vertical="top" wrapText="1"/>
    </xf>
    <xf numFmtId="164" fontId="15" fillId="0" borderId="0" xfId="0" applyNumberFormat="1" applyFont="1" applyBorder="1" applyAlignment="1">
      <alignment horizontal="center" vertical="top" wrapText="1"/>
    </xf>
    <xf numFmtId="164" fontId="50" fillId="0" borderId="0" xfId="0" applyNumberFormat="1" applyFont="1" applyBorder="1" applyAlignment="1">
      <alignment horizontal="center" vertical="top" wrapText="1"/>
    </xf>
    <xf numFmtId="164" fontId="15" fillId="0" borderId="41" xfId="0" applyNumberFormat="1" applyFont="1" applyBorder="1" applyAlignment="1">
      <alignment horizontal="right" vertical="top" wrapText="1"/>
    </xf>
    <xf numFmtId="164" fontId="15" fillId="0" borderId="42" xfId="0" quotePrefix="1" applyNumberFormat="1" applyFont="1" applyFill="1" applyBorder="1" applyAlignment="1">
      <alignment horizontal="right" vertical="top" wrapText="1"/>
    </xf>
    <xf numFmtId="164" fontId="15" fillId="0" borderId="4" xfId="0" applyNumberFormat="1" applyFont="1" applyFill="1" applyBorder="1" applyAlignment="1">
      <alignment horizontal="right" vertical="top" wrapText="1"/>
    </xf>
    <xf numFmtId="0" fontId="21" fillId="0" borderId="41" xfId="0" applyFont="1" applyBorder="1" applyAlignment="1">
      <alignment horizontal="center"/>
    </xf>
    <xf numFmtId="168" fontId="15" fillId="0" borderId="0" xfId="0" applyNumberFormat="1" applyFont="1" applyBorder="1"/>
    <xf numFmtId="1" fontId="21" fillId="0" borderId="0" xfId="37" applyNumberFormat="1" applyFont="1" applyBorder="1" applyAlignment="1">
      <alignment horizontal="center"/>
    </xf>
    <xf numFmtId="1" fontId="15" fillId="0" borderId="42" xfId="0" applyNumberFormat="1" applyFont="1" applyFill="1" applyBorder="1" applyAlignment="1">
      <alignment horizontal="center"/>
    </xf>
    <xf numFmtId="1" fontId="15" fillId="0" borderId="4" xfId="0" applyNumberFormat="1" applyFont="1" applyFill="1" applyBorder="1" applyAlignment="1">
      <alignment horizontal="center"/>
    </xf>
    <xf numFmtId="1" fontId="21" fillId="0" borderId="4" xfId="37" applyNumberFormat="1" applyFont="1" applyFill="1" applyBorder="1" applyAlignment="1">
      <alignment horizontal="center"/>
    </xf>
    <xf numFmtId="1" fontId="15" fillId="0" borderId="17" xfId="0" applyNumberFormat="1" applyFont="1" applyFill="1" applyBorder="1" applyAlignment="1">
      <alignment horizontal="center"/>
    </xf>
    <xf numFmtId="0" fontId="21" fillId="41" borderId="3" xfId="0" applyFont="1" applyFill="1" applyBorder="1" applyAlignment="1">
      <alignment horizontal="center"/>
    </xf>
    <xf numFmtId="0" fontId="21" fillId="41" borderId="2" xfId="0" applyFont="1" applyFill="1" applyBorder="1" applyAlignment="1">
      <alignment horizontal="center"/>
    </xf>
    <xf numFmtId="0" fontId="49" fillId="0" borderId="0" xfId="0" applyFont="1" applyBorder="1"/>
    <xf numFmtId="0" fontId="49" fillId="0" borderId="0" xfId="0" applyFont="1" applyBorder="1" applyAlignment="1">
      <alignment horizontal="center"/>
    </xf>
    <xf numFmtId="171" fontId="55" fillId="0" borderId="0" xfId="0" applyNumberFormat="1" applyFont="1" applyBorder="1" applyAlignment="1">
      <alignment horizontal="center"/>
    </xf>
    <xf numFmtId="1" fontId="15" fillId="0" borderId="0" xfId="0" applyNumberFormat="1" applyFont="1" applyBorder="1" applyAlignment="1">
      <alignment wrapText="1"/>
    </xf>
    <xf numFmtId="0" fontId="0" fillId="0" borderId="0" xfId="0" applyBorder="1"/>
    <xf numFmtId="0" fontId="21" fillId="0" borderId="0" xfId="11" applyFont="1" applyBorder="1"/>
    <xf numFmtId="9" fontId="21" fillId="0" borderId="0" xfId="2" applyFont="1" applyBorder="1"/>
    <xf numFmtId="168" fontId="15" fillId="0" borderId="0" xfId="0" applyNumberFormat="1" applyFont="1" applyBorder="1" applyAlignment="1">
      <alignment wrapText="1"/>
    </xf>
    <xf numFmtId="9" fontId="21" fillId="0" borderId="4" xfId="2" applyFont="1" applyBorder="1"/>
    <xf numFmtId="0" fontId="21" fillId="0" borderId="2" xfId="11" applyFont="1" applyBorder="1"/>
    <xf numFmtId="9" fontId="21" fillId="0" borderId="2" xfId="2" applyFont="1" applyBorder="1"/>
    <xf numFmtId="9" fontId="21" fillId="0" borderId="17" xfId="2" applyFont="1" applyBorder="1"/>
    <xf numFmtId="0" fontId="49" fillId="52" borderId="23" xfId="0" applyFont="1" applyFill="1" applyBorder="1" applyAlignment="1">
      <alignment horizontal="center"/>
    </xf>
    <xf numFmtId="1" fontId="15" fillId="0" borderId="1" xfId="0" applyNumberFormat="1" applyFont="1" applyBorder="1" applyAlignment="1">
      <alignment wrapText="1"/>
    </xf>
    <xf numFmtId="1" fontId="15" fillId="0" borderId="4" xfId="0" applyNumberFormat="1" applyFont="1" applyBorder="1" applyAlignment="1">
      <alignment wrapText="1"/>
    </xf>
    <xf numFmtId="168" fontId="15" fillId="0" borderId="1" xfId="0" applyNumberFormat="1" applyFont="1" applyBorder="1" applyAlignment="1">
      <alignment wrapText="1"/>
    </xf>
    <xf numFmtId="168" fontId="15" fillId="0" borderId="4" xfId="0" applyNumberFormat="1" applyFont="1" applyBorder="1" applyAlignment="1">
      <alignment wrapText="1"/>
    </xf>
    <xf numFmtId="168" fontId="15" fillId="0" borderId="3" xfId="0" applyNumberFormat="1" applyFont="1" applyBorder="1" applyAlignment="1">
      <alignment wrapText="1"/>
    </xf>
    <xf numFmtId="168" fontId="15" fillId="0" borderId="2" xfId="0" applyNumberFormat="1" applyFont="1" applyBorder="1" applyAlignment="1">
      <alignment wrapText="1"/>
    </xf>
    <xf numFmtId="168" fontId="15" fillId="0" borderId="17" xfId="0" applyNumberFormat="1" applyFont="1" applyBorder="1" applyAlignment="1">
      <alignment wrapText="1"/>
    </xf>
    <xf numFmtId="0" fontId="49" fillId="0" borderId="0" xfId="0" applyFont="1" applyFill="1" applyBorder="1" applyAlignment="1">
      <alignment horizontal="center"/>
    </xf>
    <xf numFmtId="3" fontId="21" fillId="0" borderId="0" xfId="0" applyNumberFormat="1" applyFont="1" applyFill="1" applyBorder="1" applyAlignment="1">
      <alignment horizontal="center"/>
    </xf>
    <xf numFmtId="3" fontId="21" fillId="0" borderId="4" xfId="0" applyNumberFormat="1" applyFont="1" applyFill="1" applyBorder="1"/>
    <xf numFmtId="3" fontId="82" fillId="0" borderId="4" xfId="0" applyNumberFormat="1" applyFont="1" applyFill="1" applyBorder="1"/>
    <xf numFmtId="9" fontId="21" fillId="0" borderId="0" xfId="2" applyFont="1" applyFill="1" applyBorder="1"/>
    <xf numFmtId="9" fontId="21" fillId="0" borderId="4" xfId="2" applyFont="1" applyFill="1" applyBorder="1"/>
    <xf numFmtId="164" fontId="50" fillId="0" borderId="0" xfId="0" applyNumberFormat="1" applyFont="1" applyFill="1" applyBorder="1" applyAlignment="1">
      <alignment vertical="top" wrapText="1"/>
    </xf>
    <xf numFmtId="0" fontId="15" fillId="0" borderId="41" xfId="0" applyFont="1" applyBorder="1" applyAlignment="1">
      <alignment horizontal="left" indent="1"/>
    </xf>
    <xf numFmtId="0" fontId="21" fillId="0" borderId="4" xfId="11" applyFont="1" applyBorder="1"/>
    <xf numFmtId="0" fontId="0" fillId="0" borderId="2" xfId="0" applyBorder="1"/>
    <xf numFmtId="0" fontId="21" fillId="0" borderId="17" xfId="11" applyFont="1" applyBorder="1"/>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21" fillId="0" borderId="1"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0" fontId="15" fillId="0" borderId="0" xfId="0" applyFont="1" applyFill="1" applyAlignment="1">
      <alignment horizontal="center"/>
    </xf>
    <xf numFmtId="166" fontId="0" fillId="50" borderId="4" xfId="0" applyNumberFormat="1" applyFill="1" applyBorder="1" applyAlignment="1">
      <alignment horizontal="center"/>
    </xf>
    <xf numFmtId="166" fontId="0" fillId="50" borderId="42" xfId="0" applyNumberFormat="1" applyFill="1" applyBorder="1" applyAlignment="1">
      <alignment horizontal="center"/>
    </xf>
    <xf numFmtId="0" fontId="15" fillId="0" borderId="0" xfId="0" applyFont="1" applyBorder="1" applyAlignment="1">
      <alignment vertical="top" wrapText="1"/>
    </xf>
    <xf numFmtId="0" fontId="15" fillId="0" borderId="0" xfId="0" applyFont="1" applyBorder="1" applyAlignment="1">
      <alignment horizontal="left" vertical="top" wrapText="1" indent="2"/>
    </xf>
    <xf numFmtId="3" fontId="15" fillId="0" borderId="0" xfId="0" applyNumberFormat="1" applyFont="1" applyBorder="1" applyAlignment="1">
      <alignment horizontal="center" vertical="top"/>
    </xf>
    <xf numFmtId="0" fontId="15" fillId="0" borderId="0" xfId="0" applyFont="1" applyFill="1" applyBorder="1" applyAlignment="1">
      <alignment vertical="top" wrapText="1"/>
    </xf>
    <xf numFmtId="0" fontId="15" fillId="0" borderId="0" xfId="0" applyFont="1" applyFill="1" applyBorder="1" applyAlignment="1">
      <alignment horizontal="left" vertical="top" wrapText="1" indent="2"/>
    </xf>
    <xf numFmtId="3"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horizontal="center" vertical="top" wrapText="1"/>
    </xf>
    <xf numFmtId="0" fontId="15" fillId="0" borderId="0" xfId="0" applyFont="1" applyFill="1" applyAlignment="1">
      <alignment vertical="top" wrapText="1"/>
    </xf>
    <xf numFmtId="3" fontId="15" fillId="0" borderId="0" xfId="0" quotePrefix="1" applyNumberFormat="1" applyFont="1" applyFill="1" applyAlignment="1">
      <alignment horizontal="center" vertical="top" wrapText="1"/>
    </xf>
    <xf numFmtId="165" fontId="15" fillId="0" borderId="0" xfId="0" quotePrefix="1" applyNumberFormat="1" applyFont="1" applyFill="1" applyAlignment="1">
      <alignment horizontal="center" vertical="top" wrapText="1"/>
    </xf>
    <xf numFmtId="0" fontId="15" fillId="0" borderId="0" xfId="0" applyFont="1" applyFill="1" applyBorder="1" applyAlignment="1">
      <alignment horizontal="left" wrapText="1"/>
    </xf>
    <xf numFmtId="3" fontId="15" fillId="44" borderId="42" xfId="0" applyNumberFormat="1" applyFont="1" applyFill="1" applyBorder="1" applyAlignment="1">
      <alignment horizontal="center"/>
    </xf>
    <xf numFmtId="3" fontId="15" fillId="50" borderId="42" xfId="0" quotePrefix="1" applyNumberFormat="1" applyFont="1" applyFill="1" applyBorder="1" applyAlignment="1">
      <alignment horizontal="center"/>
    </xf>
    <xf numFmtId="0" fontId="0" fillId="0" borderId="0" xfId="0" applyFill="1" applyBorder="1"/>
    <xf numFmtId="0" fontId="15" fillId="0" borderId="0" xfId="0" applyFont="1" applyFill="1" applyBorder="1" applyAlignment="1">
      <alignment horizontal="left" vertical="top" indent="1"/>
    </xf>
    <xf numFmtId="0" fontId="55" fillId="0" borderId="0" xfId="0" applyFont="1" applyFill="1" applyBorder="1" applyAlignment="1">
      <alignment horizontal="left" indent="2"/>
    </xf>
    <xf numFmtId="164" fontId="15" fillId="0" borderId="0" xfId="0" quotePrefix="1" applyNumberFormat="1" applyFont="1" applyFill="1" applyBorder="1" applyAlignment="1">
      <alignment horizontal="center" wrapText="1"/>
    </xf>
    <xf numFmtId="0" fontId="0" fillId="0" borderId="0" xfId="0" applyAlignment="1">
      <alignment wrapText="1"/>
    </xf>
    <xf numFmtId="166" fontId="21" fillId="0" borderId="0" xfId="37" applyNumberFormat="1" applyFont="1" applyFill="1" applyBorder="1" applyAlignment="1">
      <alignment horizontal="center"/>
    </xf>
    <xf numFmtId="164" fontId="49" fillId="0" borderId="24" xfId="0" applyNumberFormat="1" applyFont="1" applyFill="1" applyBorder="1" applyAlignment="1"/>
    <xf numFmtId="164" fontId="49" fillId="0" borderId="25" xfId="0" applyNumberFormat="1" applyFont="1" applyFill="1" applyBorder="1" applyAlignment="1"/>
    <xf numFmtId="168" fontId="15" fillId="0" borderId="0" xfId="0" applyNumberFormat="1" applyFont="1" applyFill="1" applyBorder="1" applyAlignment="1">
      <alignment horizontal="center"/>
    </xf>
    <xf numFmtId="164" fontId="49" fillId="0" borderId="0" xfId="0" applyNumberFormat="1" applyFont="1" applyFill="1" applyBorder="1" applyAlignment="1"/>
    <xf numFmtId="0" fontId="76" fillId="0" borderId="0" xfId="0" applyFont="1" applyFill="1" applyAlignment="1">
      <alignment wrapText="1"/>
    </xf>
    <xf numFmtId="0" fontId="5" fillId="0" borderId="0" xfId="0" applyFont="1" applyFill="1" applyAlignment="1">
      <alignment wrapText="1"/>
    </xf>
    <xf numFmtId="166" fontId="15" fillId="52" borderId="0" xfId="0" quotePrefix="1" applyNumberFormat="1" applyFont="1" applyFill="1" applyAlignment="1">
      <alignment horizontal="center" wrapText="1"/>
    </xf>
    <xf numFmtId="174" fontId="15" fillId="0" borderId="0" xfId="0" quotePrefix="1" applyNumberFormat="1" applyFont="1" applyAlignment="1">
      <alignment horizontal="center"/>
    </xf>
    <xf numFmtId="0" fontId="67" fillId="0" borderId="1" xfId="0" applyFont="1" applyBorder="1" applyAlignment="1">
      <alignment horizontal="left" wrapText="1"/>
    </xf>
    <xf numFmtId="164" fontId="15" fillId="52" borderId="0" xfId="0" applyNumberFormat="1" applyFont="1" applyFill="1" applyAlignment="1">
      <alignment horizontal="center" wrapText="1"/>
    </xf>
    <xf numFmtId="166" fontId="50" fillId="44" borderId="21" xfId="0" quotePrefix="1" applyNumberFormat="1" applyFont="1" applyFill="1" applyBorder="1" applyAlignment="1">
      <alignment horizontal="center" wrapText="1"/>
    </xf>
    <xf numFmtId="166" fontId="50" fillId="44" borderId="42" xfId="0" quotePrefix="1" applyNumberFormat="1" applyFont="1" applyFill="1" applyBorder="1" applyAlignment="1">
      <alignment horizontal="center" wrapText="1"/>
    </xf>
    <xf numFmtId="0" fontId="15" fillId="0" borderId="23" xfId="0" applyFont="1" applyBorder="1" applyAlignment="1">
      <alignment wrapText="1"/>
    </xf>
    <xf numFmtId="0" fontId="15" fillId="0" borderId="24" xfId="0" applyFont="1" applyBorder="1"/>
    <xf numFmtId="0" fontId="15" fillId="0" borderId="25" xfId="0" applyFont="1" applyBorder="1"/>
    <xf numFmtId="0" fontId="15" fillId="44" borderId="21" xfId="0" applyFont="1" applyFill="1" applyBorder="1" applyAlignment="1">
      <alignment horizontal="center"/>
    </xf>
    <xf numFmtId="0" fontId="15" fillId="44" borderId="42" xfId="0" applyFont="1" applyFill="1" applyBorder="1" applyAlignment="1">
      <alignment horizontal="center"/>
    </xf>
    <xf numFmtId="3" fontId="15" fillId="44" borderId="4" xfId="0" quotePrefix="1" applyNumberFormat="1" applyFont="1" applyFill="1" applyBorder="1" applyAlignment="1">
      <alignment horizontal="center"/>
    </xf>
    <xf numFmtId="3" fontId="49" fillId="0" borderId="0"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3" fontId="15" fillId="0" borderId="0" xfId="0" applyNumberFormat="1" applyFont="1" applyFill="1" applyBorder="1" applyAlignment="1">
      <alignment wrapText="1"/>
    </xf>
    <xf numFmtId="164" fontId="0" fillId="0" borderId="0" xfId="0" applyNumberFormat="1" applyFill="1" applyBorder="1" applyAlignment="1">
      <alignment horizontal="center"/>
    </xf>
    <xf numFmtId="166" fontId="0" fillId="0" borderId="0" xfId="0" applyNumberFormat="1" applyFill="1" applyBorder="1" applyAlignment="1">
      <alignment horizontal="center"/>
    </xf>
    <xf numFmtId="0" fontId="0" fillId="0" borderId="0" xfId="0" applyFill="1" applyBorder="1" applyAlignment="1">
      <alignment wrapText="1"/>
    </xf>
    <xf numFmtId="3" fontId="15" fillId="0" borderId="0" xfId="0" applyNumberFormat="1" applyFont="1" applyFill="1" applyBorder="1" applyAlignment="1">
      <alignment horizontal="left" vertical="top"/>
    </xf>
    <xf numFmtId="165"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vertical="top" wrapText="1"/>
    </xf>
    <xf numFmtId="1" fontId="15" fillId="0" borderId="41" xfId="0" applyNumberFormat="1" applyFont="1" applyFill="1" applyBorder="1" applyAlignment="1">
      <alignment horizontal="center"/>
    </xf>
    <xf numFmtId="1" fontId="15" fillId="0" borderId="21" xfId="0" applyNumberFormat="1" applyFont="1" applyFill="1" applyBorder="1" applyAlignment="1">
      <alignment horizontal="center"/>
    </xf>
    <xf numFmtId="1" fontId="15" fillId="0" borderId="1" xfId="0" quotePrefix="1" applyNumberFormat="1" applyFont="1" applyFill="1" applyBorder="1" applyAlignment="1">
      <alignment horizontal="center" wrapText="1"/>
    </xf>
    <xf numFmtId="166" fontId="15" fillId="0" borderId="1" xfId="0" quotePrefix="1" applyNumberFormat="1" applyFont="1" applyFill="1" applyBorder="1" applyAlignment="1">
      <alignment horizontal="center" vertical="top" wrapText="1"/>
    </xf>
    <xf numFmtId="166" fontId="15" fillId="0" borderId="0" xfId="0" quotePrefix="1" applyNumberFormat="1" applyFont="1" applyFill="1" applyBorder="1" applyAlignment="1">
      <alignment horizontal="center" vertical="top" wrapText="1"/>
    </xf>
    <xf numFmtId="3" fontId="15" fillId="0" borderId="1" xfId="0" quotePrefix="1" applyNumberFormat="1" applyFont="1" applyFill="1" applyBorder="1" applyAlignment="1">
      <alignment horizontal="center" vertical="top" wrapText="1"/>
    </xf>
    <xf numFmtId="3" fontId="15" fillId="0" borderId="42" xfId="0" applyNumberFormat="1" applyFont="1" applyBorder="1" applyAlignment="1">
      <alignment horizontal="center"/>
    </xf>
    <xf numFmtId="3" fontId="15" fillId="44" borderId="0" xfId="0" applyNumberFormat="1" applyFont="1" applyFill="1" applyBorder="1" applyAlignment="1">
      <alignment horizontal="center" wrapText="1"/>
    </xf>
    <xf numFmtId="166" fontId="15" fillId="44" borderId="0" xfId="0" applyNumberFormat="1" applyFont="1" applyFill="1" applyBorder="1" applyAlignment="1">
      <alignment horizontal="center" wrapText="1"/>
    </xf>
    <xf numFmtId="3" fontId="15" fillId="0" borderId="3" xfId="0" applyNumberFormat="1" applyFont="1" applyFill="1" applyBorder="1" applyAlignment="1">
      <alignment horizontal="center" vertical="top" wrapText="1"/>
    </xf>
    <xf numFmtId="3" fontId="15" fillId="0" borderId="2" xfId="0" applyNumberFormat="1" applyFont="1" applyFill="1" applyBorder="1" applyAlignment="1">
      <alignment horizontal="center" vertical="top" wrapText="1"/>
    </xf>
    <xf numFmtId="3" fontId="15" fillId="0" borderId="17" xfId="0" applyNumberFormat="1" applyFont="1" applyFill="1" applyBorder="1" applyAlignment="1">
      <alignment horizontal="center" vertical="top" wrapText="1"/>
    </xf>
    <xf numFmtId="0" fontId="15" fillId="0" borderId="0" xfId="0" applyFont="1" applyFill="1" applyBorder="1" applyAlignment="1">
      <alignment wrapText="1"/>
    </xf>
    <xf numFmtId="0" fontId="55" fillId="0" borderId="1" xfId="0" applyFont="1" applyFill="1" applyBorder="1" applyAlignment="1">
      <alignment horizontal="left" indent="2"/>
    </xf>
    <xf numFmtId="166" fontId="15" fillId="0" borderId="0" xfId="0" quotePrefix="1" applyNumberFormat="1" applyFont="1" applyFill="1" applyAlignment="1">
      <alignment horizontal="center" vertical="top" wrapText="1"/>
    </xf>
    <xf numFmtId="0" fontId="81" fillId="0" borderId="0" xfId="0" applyFont="1" applyFill="1" applyBorder="1"/>
    <xf numFmtId="0" fontId="49" fillId="0" borderId="1" xfId="0" applyFont="1" applyFill="1" applyBorder="1" applyAlignment="1">
      <alignment horizontal="center" wrapText="1"/>
    </xf>
    <xf numFmtId="0" fontId="49" fillId="0" borderId="0" xfId="0" applyFont="1" applyFill="1" applyBorder="1" applyAlignment="1">
      <alignment horizontal="center" wrapText="1"/>
    </xf>
    <xf numFmtId="3" fontId="15" fillId="0" borderId="4" xfId="0" applyNumberFormat="1" applyFont="1" applyFill="1" applyBorder="1" applyAlignment="1">
      <alignment vertical="top"/>
    </xf>
    <xf numFmtId="0" fontId="15" fillId="0" borderId="1" xfId="0" applyFont="1" applyFill="1" applyBorder="1" applyAlignment="1">
      <alignment horizontal="left" vertical="top" wrapText="1" indent="1"/>
    </xf>
    <xf numFmtId="0" fontId="15" fillId="0" borderId="0" xfId="0" applyFont="1" applyFill="1" applyAlignment="1">
      <alignment wrapText="1"/>
    </xf>
    <xf numFmtId="0" fontId="15" fillId="0" borderId="1" xfId="0" applyFont="1" applyFill="1" applyBorder="1" applyAlignment="1">
      <alignment wrapText="1"/>
    </xf>
    <xf numFmtId="0" fontId="15" fillId="0" borderId="1" xfId="0" applyFont="1" applyFill="1" applyBorder="1" applyAlignment="1">
      <alignment horizontal="left" vertical="top" wrapText="1" indent="2"/>
    </xf>
    <xf numFmtId="165" fontId="15" fillId="0" borderId="0" xfId="0" applyNumberFormat="1" applyFont="1" applyFill="1" applyBorder="1" applyAlignment="1">
      <alignment horizontal="center" wrapText="1"/>
    </xf>
    <xf numFmtId="3" fontId="0" fillId="0" borderId="0" xfId="0" applyNumberFormat="1" applyFill="1" applyBorder="1"/>
    <xf numFmtId="168" fontId="15" fillId="0" borderId="4" xfId="0" applyNumberFormat="1" applyFont="1" applyFill="1" applyBorder="1" applyAlignment="1">
      <alignment horizontal="center"/>
    </xf>
    <xf numFmtId="168" fontId="15" fillId="0" borderId="2" xfId="0" applyNumberFormat="1" applyFont="1" applyFill="1" applyBorder="1" applyAlignment="1">
      <alignment horizontal="center"/>
    </xf>
    <xf numFmtId="168" fontId="15" fillId="0" borderId="17" xfId="0" applyNumberFormat="1" applyFont="1" applyFill="1" applyBorder="1" applyAlignment="1">
      <alignment horizontal="center"/>
    </xf>
    <xf numFmtId="168" fontId="15" fillId="44" borderId="0" xfId="0" applyNumberFormat="1" applyFont="1" applyFill="1" applyBorder="1" applyAlignment="1">
      <alignment horizontal="center"/>
    </xf>
    <xf numFmtId="168" fontId="15" fillId="0" borderId="4" xfId="2" applyNumberFormat="1" applyFont="1" applyFill="1" applyBorder="1" applyAlignment="1">
      <alignment horizontal="center"/>
    </xf>
    <xf numFmtId="168" fontId="15" fillId="44" borderId="0" xfId="2" applyNumberFormat="1" applyFont="1" applyFill="1" applyBorder="1" applyAlignment="1">
      <alignment horizontal="center"/>
    </xf>
    <xf numFmtId="168" fontId="15" fillId="44" borderId="4" xfId="2" applyNumberFormat="1" applyFont="1" applyFill="1" applyBorder="1" applyAlignment="1">
      <alignment horizontal="center"/>
    </xf>
    <xf numFmtId="0" fontId="15" fillId="0" borderId="0" xfId="0" applyFont="1" applyFill="1" applyBorder="1" applyAlignment="1"/>
    <xf numFmtId="0" fontId="50" fillId="0" borderId="4" xfId="0" applyFont="1" applyBorder="1" applyAlignment="1">
      <alignment horizontal="center"/>
    </xf>
    <xf numFmtId="0" fontId="0" fillId="0" borderId="0" xfId="0" applyFill="1" applyBorder="1" applyAlignment="1"/>
    <xf numFmtId="168" fontId="15" fillId="44" borderId="1" xfId="0" applyNumberFormat="1" applyFont="1" applyFill="1" applyBorder="1" applyAlignment="1">
      <alignment horizontal="center"/>
    </xf>
    <xf numFmtId="164" fontId="50" fillId="0" borderId="0" xfId="0" applyNumberFormat="1" applyFont="1" applyFill="1" applyBorder="1" applyAlignment="1">
      <alignment horizontal="center" vertical="top" wrapText="1"/>
    </xf>
    <xf numFmtId="1" fontId="50" fillId="0" borderId="0" xfId="0" quotePrefix="1" applyNumberFormat="1" applyFont="1" applyFill="1" applyBorder="1" applyAlignment="1">
      <alignment horizontal="center" vertical="top" wrapText="1"/>
    </xf>
    <xf numFmtId="1" fontId="15" fillId="0" borderId="0" xfId="0" applyNumberFormat="1" applyFont="1" applyFill="1" applyBorder="1" applyAlignment="1">
      <alignment horizontal="center" vertical="top" wrapText="1"/>
    </xf>
    <xf numFmtId="164" fontId="15" fillId="0" borderId="0" xfId="0" applyNumberFormat="1" applyFont="1" applyFill="1" applyBorder="1" applyAlignment="1">
      <alignment horizontal="right" vertical="top" wrapText="1"/>
    </xf>
    <xf numFmtId="9" fontId="15" fillId="0" borderId="0" xfId="2" applyFont="1" applyFill="1" applyBorder="1" applyAlignment="1">
      <alignment horizontal="right" vertical="top" wrapText="1"/>
    </xf>
    <xf numFmtId="164" fontId="15" fillId="0" borderId="0" xfId="0" applyNumberFormat="1" applyFont="1" applyFill="1" applyBorder="1" applyAlignment="1">
      <alignment horizontal="center" vertical="top" wrapText="1"/>
    </xf>
    <xf numFmtId="3" fontId="21" fillId="0" borderId="0" xfId="11" applyNumberFormat="1" applyFont="1" applyFill="1" applyBorder="1"/>
    <xf numFmtId="3" fontId="85" fillId="0" borderId="0" xfId="0" applyNumberFormat="1" applyFont="1" applyAlignment="1">
      <alignment horizontal="center" wrapText="1"/>
    </xf>
    <xf numFmtId="0" fontId="3" fillId="0" borderId="0" xfId="0" applyFont="1" applyAlignment="1">
      <alignment horizontal="center"/>
    </xf>
    <xf numFmtId="0" fontId="0" fillId="0" borderId="0" xfId="0" applyAlignment="1">
      <alignment horizontal="center"/>
    </xf>
    <xf numFmtId="0" fontId="46" fillId="0" borderId="0" xfId="511"/>
    <xf numFmtId="167" fontId="15" fillId="50" borderId="2" xfId="2" applyNumberFormat="1" applyFont="1" applyFill="1" applyBorder="1" applyAlignment="1">
      <alignment horizontal="center"/>
    </xf>
    <xf numFmtId="0" fontId="3" fillId="0" borderId="43" xfId="0" applyFont="1" applyBorder="1"/>
    <xf numFmtId="0" fontId="0" fillId="0" borderId="44" xfId="0" applyBorder="1"/>
    <xf numFmtId="0" fontId="0" fillId="0" borderId="47" xfId="0" applyBorder="1"/>
    <xf numFmtId="0" fontId="0" fillId="0" borderId="51" xfId="0" applyBorder="1"/>
    <xf numFmtId="0" fontId="0" fillId="0" borderId="52" xfId="0" applyBorder="1"/>
    <xf numFmtId="0" fontId="0" fillId="0" borderId="58" xfId="0" applyBorder="1" applyAlignment="1">
      <alignment horizontal="center"/>
    </xf>
    <xf numFmtId="0" fontId="0" fillId="0" borderId="34" xfId="0" applyBorder="1" applyAlignment="1">
      <alignment horizontal="center"/>
    </xf>
    <xf numFmtId="0" fontId="0" fillId="0" borderId="59" xfId="0" applyBorder="1" applyAlignment="1">
      <alignment horizontal="center"/>
    </xf>
    <xf numFmtId="0" fontId="3" fillId="46" borderId="0" xfId="0" applyFont="1" applyFill="1"/>
    <xf numFmtId="166" fontId="3" fillId="46" borderId="53" xfId="0" applyNumberFormat="1" applyFont="1" applyFill="1" applyBorder="1" applyAlignment="1">
      <alignment horizontal="right"/>
    </xf>
    <xf numFmtId="166" fontId="3" fillId="46" borderId="43" xfId="0" applyNumberFormat="1" applyFont="1" applyFill="1" applyBorder="1" applyAlignment="1">
      <alignment horizontal="right"/>
    </xf>
    <xf numFmtId="166" fontId="3" fillId="46" borderId="54" xfId="0" applyNumberFormat="1" applyFont="1" applyFill="1" applyBorder="1" applyAlignment="1">
      <alignment horizontal="right"/>
    </xf>
    <xf numFmtId="166" fontId="3" fillId="46" borderId="55" xfId="0" applyNumberFormat="1" applyFont="1" applyFill="1" applyBorder="1" applyAlignment="1">
      <alignment horizontal="right"/>
    </xf>
    <xf numFmtId="0" fontId="0" fillId="46" borderId="0" xfId="0" applyFill="1"/>
    <xf numFmtId="0" fontId="3" fillId="0" borderId="29" xfId="0" applyFont="1" applyBorder="1"/>
    <xf numFmtId="0" fontId="0" fillId="50" borderId="0" xfId="0" applyFill="1"/>
    <xf numFmtId="0" fontId="0" fillId="50" borderId="35" xfId="0" applyFill="1" applyBorder="1"/>
    <xf numFmtId="166" fontId="0" fillId="50" borderId="32" xfId="0" applyNumberFormat="1" applyFill="1" applyBorder="1" applyAlignment="1">
      <alignment horizontal="right"/>
    </xf>
    <xf numFmtId="166" fontId="0" fillId="50" borderId="0" xfId="0" applyNumberFormat="1" applyFill="1" applyAlignment="1">
      <alignment horizontal="right"/>
    </xf>
    <xf numFmtId="166" fontId="0" fillId="50" borderId="30" xfId="0" applyNumberFormat="1" applyFill="1" applyBorder="1" applyAlignment="1">
      <alignment horizontal="right"/>
    </xf>
    <xf numFmtId="166" fontId="0" fillId="50" borderId="36" xfId="0" applyNumberFormat="1" applyFill="1" applyBorder="1" applyAlignment="1">
      <alignment horizontal="right"/>
    </xf>
    <xf numFmtId="0" fontId="0" fillId="50" borderId="35" xfId="0" applyFill="1" applyBorder="1" applyAlignment="1">
      <alignment horizontal="left"/>
    </xf>
    <xf numFmtId="0" fontId="0" fillId="50" borderId="39" xfId="0" applyFill="1" applyBorder="1"/>
    <xf numFmtId="166" fontId="0" fillId="0" borderId="0" xfId="0" applyNumberFormat="1" applyFill="1"/>
    <xf numFmtId="166" fontId="0" fillId="50" borderId="0" xfId="0" applyNumberFormat="1" applyFill="1"/>
    <xf numFmtId="3" fontId="0" fillId="0" borderId="0" xfId="0" applyNumberFormat="1" applyFill="1"/>
    <xf numFmtId="0" fontId="0" fillId="0" borderId="0" xfId="0" applyAlignment="1">
      <alignment wrapText="1"/>
    </xf>
    <xf numFmtId="164" fontId="15" fillId="0" borderId="0" xfId="0" applyNumberFormat="1" applyFont="1"/>
    <xf numFmtId="0" fontId="15" fillId="0" borderId="0" xfId="0" applyFont="1" applyFill="1" applyBorder="1" applyAlignment="1">
      <alignment horizontal="center" wrapText="1"/>
    </xf>
    <xf numFmtId="0" fontId="49" fillId="0" borderId="1" xfId="0" applyFont="1" applyBorder="1" applyAlignment="1">
      <alignment horizontal="center" vertical="top"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0" fillId="47" borderId="1" xfId="0" applyFill="1" applyBorder="1" applyAlignment="1">
      <alignment vertical="top" wrapText="1"/>
    </xf>
    <xf numFmtId="0" fontId="0" fillId="47" borderId="3" xfId="0" applyFill="1" applyBorder="1" applyAlignment="1">
      <alignment vertical="top"/>
    </xf>
    <xf numFmtId="0" fontId="0" fillId="47" borderId="1" xfId="0" applyFont="1" applyFill="1" applyBorder="1" applyAlignment="1">
      <alignment vertical="top"/>
    </xf>
    <xf numFmtId="0" fontId="5" fillId="0" borderId="0" xfId="0" applyFont="1" applyFill="1" applyBorder="1" applyAlignment="1">
      <alignment wrapText="1"/>
    </xf>
    <xf numFmtId="0" fontId="76" fillId="0" borderId="0" xfId="0" applyFont="1" applyFill="1" applyBorder="1" applyAlignment="1">
      <alignment wrapText="1"/>
    </xf>
    <xf numFmtId="0" fontId="76" fillId="0" borderId="0" xfId="0" applyFont="1" applyFill="1" applyBorder="1" applyAlignment="1">
      <alignment horizontal="left" vertical="top" wrapText="1"/>
    </xf>
    <xf numFmtId="0" fontId="4" fillId="0" borderId="1" xfId="0" applyFont="1" applyFill="1" applyBorder="1" applyAlignment="1">
      <alignment wrapText="1"/>
    </xf>
    <xf numFmtId="0" fontId="4" fillId="0" borderId="0" xfId="0" applyFont="1" applyFill="1" applyBorder="1" applyAlignment="1">
      <alignment wrapText="1"/>
    </xf>
    <xf numFmtId="0" fontId="76" fillId="0" borderId="0" xfId="0" applyFont="1" applyBorder="1" applyAlignment="1">
      <alignment vertical="top" wrapText="1"/>
    </xf>
    <xf numFmtId="0" fontId="76" fillId="0" borderId="1" xfId="0" applyFont="1" applyBorder="1" applyAlignment="1">
      <alignment wrapText="1"/>
    </xf>
    <xf numFmtId="0" fontId="0" fillId="0" borderId="1" xfId="0" applyBorder="1" applyAlignment="1">
      <alignment wrapText="1"/>
    </xf>
    <xf numFmtId="0" fontId="0" fillId="0" borderId="0" xfId="0" applyBorder="1" applyAlignment="1">
      <alignment vertical="top" wrapText="1"/>
    </xf>
    <xf numFmtId="0" fontId="76" fillId="0" borderId="0" xfId="0" applyFont="1" applyBorder="1" applyAlignment="1">
      <alignment wrapText="1"/>
    </xf>
    <xf numFmtId="0" fontId="4" fillId="0" borderId="1" xfId="0" applyFont="1" applyFill="1" applyBorder="1" applyAlignment="1">
      <alignment horizontal="left" wrapText="1"/>
    </xf>
    <xf numFmtId="0" fontId="0" fillId="0" borderId="0" xfId="0" applyBorder="1" applyAlignment="1">
      <alignment wrapText="1"/>
    </xf>
    <xf numFmtId="0" fontId="0" fillId="0" borderId="3" xfId="0" applyBorder="1" applyAlignment="1">
      <alignment wrapText="1"/>
    </xf>
    <xf numFmtId="0" fontId="0" fillId="0" borderId="2" xfId="0" applyBorder="1" applyAlignment="1">
      <alignment wrapText="1"/>
    </xf>
    <xf numFmtId="0" fontId="5" fillId="0" borderId="63" xfId="0" applyFont="1" applyFill="1" applyBorder="1" applyAlignment="1">
      <alignment wrapText="1"/>
    </xf>
    <xf numFmtId="0" fontId="76" fillId="0" borderId="19" xfId="0" applyFont="1" applyFill="1" applyBorder="1" applyAlignment="1">
      <alignment wrapText="1"/>
    </xf>
    <xf numFmtId="0" fontId="0" fillId="0" borderId="19" xfId="0" applyFill="1" applyBorder="1" applyAlignment="1">
      <alignment wrapText="1"/>
    </xf>
    <xf numFmtId="0" fontId="76" fillId="0" borderId="18" xfId="0" applyFont="1" applyFill="1" applyBorder="1" applyAlignment="1">
      <alignment wrapText="1"/>
    </xf>
    <xf numFmtId="0" fontId="76" fillId="0" borderId="63" xfId="0" applyFont="1" applyFill="1" applyBorder="1" applyAlignment="1">
      <alignment wrapText="1"/>
    </xf>
    <xf numFmtId="0" fontId="0" fillId="0" borderId="63" xfId="0" applyFill="1" applyBorder="1" applyAlignment="1">
      <alignment wrapText="1"/>
    </xf>
    <xf numFmtId="0" fontId="0" fillId="0" borderId="18" xfId="0" applyFill="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0" xfId="0" applyFont="1" applyBorder="1" applyAlignment="1">
      <alignment wrapText="1"/>
    </xf>
    <xf numFmtId="0" fontId="3" fillId="0" borderId="0" xfId="0" applyFont="1" applyFill="1" applyAlignment="1">
      <alignment wrapText="1"/>
    </xf>
    <xf numFmtId="0" fontId="75" fillId="0" borderId="63" xfId="0" applyFont="1" applyFill="1" applyBorder="1" applyAlignment="1">
      <alignment horizontal="center" wrapText="1"/>
    </xf>
    <xf numFmtId="0" fontId="0" fillId="0" borderId="63" xfId="0" applyBorder="1"/>
    <xf numFmtId="0" fontId="0" fillId="0" borderId="19" xfId="0" applyBorder="1"/>
    <xf numFmtId="0" fontId="0" fillId="0" borderId="18" xfId="0" applyBorder="1"/>
    <xf numFmtId="0" fontId="0" fillId="0" borderId="41" xfId="0" applyBorder="1" applyAlignment="1">
      <alignment wrapText="1"/>
    </xf>
    <xf numFmtId="0" fontId="0" fillId="0" borderId="21" xfId="0" applyBorder="1" applyAlignment="1">
      <alignment wrapText="1"/>
    </xf>
    <xf numFmtId="0" fontId="0" fillId="0" borderId="0" xfId="0" applyBorder="1" applyAlignment="1">
      <alignment vertical="center" wrapText="1"/>
    </xf>
    <xf numFmtId="0" fontId="0" fillId="0" borderId="2" xfId="0" applyBorder="1" applyAlignment="1">
      <alignment vertical="center" wrapText="1"/>
    </xf>
    <xf numFmtId="0" fontId="4" fillId="0" borderId="41" xfId="0" applyFont="1" applyFill="1" applyBorder="1" applyAlignment="1">
      <alignment wrapText="1"/>
    </xf>
    <xf numFmtId="0" fontId="4" fillId="0" borderId="21" xfId="0" applyFont="1" applyFill="1" applyBorder="1" applyAlignment="1">
      <alignment wrapText="1"/>
    </xf>
    <xf numFmtId="0" fontId="20" fillId="0" borderId="0" xfId="7" applyBorder="1" applyAlignment="1">
      <alignment wrapText="1"/>
    </xf>
    <xf numFmtId="0" fontId="5" fillId="57" borderId="60" xfId="0" applyFont="1" applyFill="1" applyBorder="1" applyAlignment="1">
      <alignment horizontal="center" wrapText="1"/>
    </xf>
    <xf numFmtId="0" fontId="5" fillId="57" borderId="61" xfId="0" applyFont="1" applyFill="1" applyBorder="1" applyAlignment="1">
      <alignment horizontal="center" wrapText="1"/>
    </xf>
    <xf numFmtId="0" fontId="5" fillId="57" borderId="62" xfId="0" applyFont="1" applyFill="1" applyBorder="1" applyAlignment="1">
      <alignment horizontal="center" wrapText="1"/>
    </xf>
    <xf numFmtId="0" fontId="3" fillId="43" borderId="60" xfId="0" applyFont="1" applyFill="1" applyBorder="1" applyAlignment="1">
      <alignment horizontal="center" wrapText="1"/>
    </xf>
    <xf numFmtId="0" fontId="3" fillId="43" borderId="61" xfId="0" applyFont="1" applyFill="1" applyBorder="1" applyAlignment="1">
      <alignment horizontal="center" wrapText="1"/>
    </xf>
    <xf numFmtId="0" fontId="3" fillId="43" borderId="62" xfId="0" applyFont="1" applyFill="1" applyBorder="1" applyAlignment="1">
      <alignment horizontal="center" wrapText="1"/>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48" fillId="0" borderId="1" xfId="0" applyFont="1" applyFill="1" applyBorder="1" applyAlignment="1">
      <alignment horizontal="center" wrapText="1"/>
    </xf>
    <xf numFmtId="0" fontId="48" fillId="0" borderId="0" xfId="0" applyFont="1" applyFill="1" applyBorder="1" applyAlignment="1">
      <alignment horizontal="center" wrapText="1"/>
    </xf>
    <xf numFmtId="0" fontId="75" fillId="58" borderId="60" xfId="0" applyFont="1" applyFill="1" applyBorder="1" applyAlignment="1">
      <alignment horizontal="center" wrapText="1"/>
    </xf>
    <xf numFmtId="0" fontId="75" fillId="58" borderId="61" xfId="0" applyFont="1" applyFill="1" applyBorder="1" applyAlignment="1">
      <alignment horizontal="center" wrapText="1"/>
    </xf>
    <xf numFmtId="0" fontId="75" fillId="58" borderId="62" xfId="0" applyFont="1" applyFill="1" applyBorder="1" applyAlignment="1">
      <alignment horizontal="center" wrapText="1"/>
    </xf>
    <xf numFmtId="0" fontId="48" fillId="3" borderId="60" xfId="0" applyFont="1" applyFill="1" applyBorder="1" applyAlignment="1">
      <alignment horizontal="center" wrapText="1"/>
    </xf>
    <xf numFmtId="0" fontId="48" fillId="3" borderId="61" xfId="0" applyFont="1" applyFill="1" applyBorder="1" applyAlignment="1">
      <alignment horizontal="center" wrapText="1"/>
    </xf>
    <xf numFmtId="0" fontId="48" fillId="3" borderId="62" xfId="0" applyFont="1" applyFill="1" applyBorder="1" applyAlignment="1">
      <alignment horizontal="center" wrapText="1"/>
    </xf>
    <xf numFmtId="0" fontId="4" fillId="0" borderId="0" xfId="0" applyFont="1" applyFill="1" applyBorder="1" applyAlignment="1">
      <alignment horizontal="left" wrapText="1"/>
    </xf>
    <xf numFmtId="0" fontId="48" fillId="0" borderId="41" xfId="0" applyFont="1" applyFill="1" applyBorder="1" applyAlignment="1">
      <alignment horizontal="center" wrapText="1"/>
    </xf>
    <xf numFmtId="0" fontId="48" fillId="0" borderId="21" xfId="0" applyFont="1" applyFill="1" applyBorder="1" applyAlignment="1">
      <alignment horizontal="center" wrapText="1"/>
    </xf>
    <xf numFmtId="0" fontId="48" fillId="0" borderId="42" xfId="0" applyFont="1" applyFill="1" applyBorder="1" applyAlignment="1">
      <alignment horizontal="center" wrapText="1"/>
    </xf>
    <xf numFmtId="0" fontId="48" fillId="0" borderId="3" xfId="0" applyFont="1" applyFill="1" applyBorder="1" applyAlignment="1">
      <alignment horizontal="center" wrapText="1"/>
    </xf>
    <xf numFmtId="0" fontId="48" fillId="0" borderId="2" xfId="0" applyFont="1" applyFill="1" applyBorder="1" applyAlignment="1">
      <alignment horizontal="center" wrapText="1"/>
    </xf>
    <xf numFmtId="0" fontId="48" fillId="0" borderId="17" xfId="0" applyFont="1" applyFill="1" applyBorder="1" applyAlignment="1">
      <alignment horizontal="center" wrapText="1"/>
    </xf>
    <xf numFmtId="0" fontId="4" fillId="0" borderId="21" xfId="0" applyFont="1" applyFill="1" applyBorder="1" applyAlignment="1">
      <alignment horizontal="left" wrapText="1"/>
    </xf>
    <xf numFmtId="0" fontId="4" fillId="0" borderId="42" xfId="0" applyFont="1" applyFill="1" applyBorder="1" applyAlignment="1">
      <alignment horizontal="left" wrapText="1"/>
    </xf>
    <xf numFmtId="0" fontId="3" fillId="3" borderId="0" xfId="0" applyFont="1" applyFill="1" applyAlignment="1">
      <alignment horizontal="center"/>
    </xf>
    <xf numFmtId="0" fontId="3" fillId="0" borderId="29" xfId="0" applyFont="1"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57" xfId="0" applyBorder="1" applyAlignment="1">
      <alignment horizontal="center"/>
    </xf>
    <xf numFmtId="0" fontId="0" fillId="0" borderId="50" xfId="0" applyBorder="1" applyAlignment="1">
      <alignment horizontal="center"/>
    </xf>
    <xf numFmtId="0" fontId="18" fillId="0" borderId="0" xfId="5" applyAlignment="1">
      <alignment horizontal="center"/>
    </xf>
    <xf numFmtId="164" fontId="49"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15" fillId="41" borderId="41" xfId="0" applyFont="1" applyFill="1" applyBorder="1" applyAlignment="1">
      <alignment horizontal="center"/>
    </xf>
    <xf numFmtId="0" fontId="15" fillId="41" borderId="42" xfId="0" applyFont="1" applyFill="1" applyBorder="1"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49" fillId="41" borderId="21" xfId="0" applyFont="1" applyFill="1" applyBorder="1" applyAlignment="1">
      <alignment horizontal="center"/>
    </xf>
    <xf numFmtId="0" fontId="49" fillId="41" borderId="42" xfId="0" applyFont="1" applyFill="1" applyBorder="1" applyAlignment="1">
      <alignment horizontal="center"/>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0" fillId="41" borderId="41" xfId="0" applyFont="1" applyFill="1" applyBorder="1" applyAlignment="1">
      <alignment horizontal="center"/>
    </xf>
    <xf numFmtId="0" fontId="80" fillId="41" borderId="21" xfId="0" applyFont="1" applyFill="1" applyBorder="1" applyAlignment="1">
      <alignment horizontal="center"/>
    </xf>
    <xf numFmtId="0" fontId="80" fillId="41" borderId="42" xfId="0" applyFont="1" applyFill="1" applyBorder="1" applyAlignment="1">
      <alignment horizontal="center"/>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0" borderId="4" xfId="0" applyFont="1" applyBorder="1" applyAlignment="1">
      <alignment horizontal="center" wrapText="1"/>
    </xf>
    <xf numFmtId="0" fontId="49" fillId="0" borderId="0" xfId="0" applyFont="1" applyAlignment="1">
      <alignment horizontal="center"/>
    </xf>
    <xf numFmtId="0" fontId="15" fillId="0" borderId="1" xfId="0" applyFont="1" applyBorder="1" applyAlignment="1">
      <alignment horizontal="left" vertical="top" wrapText="1"/>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44" borderId="26" xfId="0" applyFont="1" applyFill="1" applyBorder="1" applyAlignment="1">
      <alignment horizontal="center"/>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Fill="1" applyBorder="1" applyAlignment="1">
      <alignment horizontal="center" wrapText="1"/>
    </xf>
    <xf numFmtId="0" fontId="49" fillId="0" borderId="21" xfId="0" applyFont="1" applyFill="1" applyBorder="1" applyAlignment="1">
      <alignment horizontal="center" wrapText="1"/>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0" borderId="41"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22" fillId="0" borderId="41"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49" borderId="0" xfId="0" applyFont="1" applyFill="1" applyAlignment="1">
      <alignment horizontal="center"/>
    </xf>
    <xf numFmtId="0" fontId="63" fillId="51" borderId="20" xfId="0" applyFont="1" applyFill="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49" fillId="41" borderId="42" xfId="0" applyFont="1" applyFill="1" applyBorder="1" applyAlignment="1">
      <alignment horizontal="center" wrapText="1"/>
    </xf>
    <xf numFmtId="164" fontId="59" fillId="3" borderId="23" xfId="0" applyNumberFormat="1" applyFont="1" applyFill="1" applyBorder="1" applyAlignment="1">
      <alignment horizontal="center" vertical="top" wrapText="1"/>
    </xf>
    <xf numFmtId="164" fontId="59" fillId="3" borderId="24" xfId="0" applyNumberFormat="1" applyFont="1" applyFill="1" applyBorder="1" applyAlignment="1">
      <alignment horizontal="center" vertical="top" wrapText="1"/>
    </xf>
    <xf numFmtId="164" fontId="59" fillId="3" borderId="25" xfId="0" applyNumberFormat="1" applyFont="1" applyFill="1" applyBorder="1" applyAlignment="1">
      <alignment horizontal="center" vertical="top" wrapText="1"/>
    </xf>
    <xf numFmtId="0" fontId="49" fillId="0" borderId="15" xfId="0" applyFont="1" applyBorder="1" applyAlignment="1">
      <alignment horizontal="left"/>
    </xf>
    <xf numFmtId="0" fontId="49" fillId="0" borderId="21" xfId="0" applyFont="1" applyBorder="1" applyAlignment="1">
      <alignment horizontal="left"/>
    </xf>
    <xf numFmtId="0" fontId="15" fillId="44" borderId="41" xfId="0" applyFont="1" applyFill="1" applyBorder="1" applyAlignment="1">
      <alignment horizontal="center"/>
    </xf>
    <xf numFmtId="0" fontId="15" fillId="44" borderId="42" xfId="0" applyFont="1" applyFill="1" applyBorder="1" applyAlignment="1">
      <alignment horizontal="center"/>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xf numFmtId="166" fontId="50" fillId="0" borderId="1" xfId="0" quotePrefix="1" applyNumberFormat="1" applyFont="1" applyFill="1" applyBorder="1" applyAlignment="1">
      <alignment horizontal="center"/>
    </xf>
    <xf numFmtId="166" fontId="50" fillId="0" borderId="0" xfId="0" quotePrefix="1" applyNumberFormat="1" applyFont="1" applyFill="1" applyBorder="1" applyAlignment="1">
      <alignment horizontal="center"/>
    </xf>
    <xf numFmtId="3" fontId="50" fillId="0" borderId="0" xfId="0" quotePrefix="1" applyNumberFormat="1" applyFont="1" applyFill="1" applyBorder="1" applyAlignment="1">
      <alignment horizontal="center"/>
    </xf>
    <xf numFmtId="3" fontId="50" fillId="0" borderId="4" xfId="0" quotePrefix="1" applyNumberFormat="1" applyFont="1" applyFill="1" applyBorder="1" applyAlignment="1">
      <alignment horizontal="center"/>
    </xf>
    <xf numFmtId="3" fontId="50" fillId="44" borderId="0" xfId="0" quotePrefix="1" applyNumberFormat="1" applyFont="1" applyFill="1" applyAlignment="1">
      <alignment horizontal="center"/>
    </xf>
    <xf numFmtId="3" fontId="50" fillId="44" borderId="4" xfId="0" quotePrefix="1" applyNumberFormat="1" applyFont="1" applyFill="1" applyBorder="1" applyAlignment="1">
      <alignment horizontal="center"/>
    </xf>
    <xf numFmtId="3" fontId="50" fillId="0" borderId="0" xfId="0" applyNumberFormat="1" applyFont="1" applyFill="1" applyBorder="1" applyAlignment="1">
      <alignment horizontal="center"/>
    </xf>
    <xf numFmtId="3" fontId="50" fillId="0" borderId="4" xfId="0" applyNumberFormat="1" applyFont="1" applyFill="1" applyBorder="1" applyAlignment="1">
      <alignment horizontal="center"/>
    </xf>
    <xf numFmtId="3" fontId="50" fillId="44" borderId="0" xfId="0" applyNumberFormat="1" applyFont="1" applyFill="1" applyAlignment="1">
      <alignment horizontal="center"/>
    </xf>
    <xf numFmtId="3" fontId="50" fillId="44" borderId="4" xfId="0" applyNumberFormat="1" applyFont="1" applyFill="1" applyBorder="1" applyAlignment="1">
      <alignment horizontal="center"/>
    </xf>
    <xf numFmtId="0" fontId="50" fillId="0" borderId="24" xfId="0" applyFont="1" applyBorder="1" applyAlignment="1">
      <alignment horizontal="left"/>
    </xf>
    <xf numFmtId="0" fontId="50" fillId="0" borderId="23" xfId="0" applyFont="1" applyBorder="1" applyAlignment="1">
      <alignment horizontal="left"/>
    </xf>
    <xf numFmtId="166" fontId="50" fillId="0" borderId="24" xfId="0" quotePrefix="1" applyNumberFormat="1" applyFont="1" applyBorder="1" applyAlignment="1">
      <alignment horizontal="center"/>
    </xf>
    <xf numFmtId="166" fontId="50" fillId="0" borderId="25" xfId="0" quotePrefix="1" applyNumberFormat="1" applyFont="1" applyBorder="1" applyAlignment="1">
      <alignment horizontal="center"/>
    </xf>
    <xf numFmtId="166" fontId="56" fillId="44" borderId="24" xfId="0" quotePrefix="1" applyNumberFormat="1" applyFont="1" applyFill="1" applyBorder="1" applyAlignment="1">
      <alignment horizontal="center"/>
    </xf>
    <xf numFmtId="166" fontId="56" fillId="44" borderId="25" xfId="0" quotePrefix="1" applyNumberFormat="1" applyFont="1" applyFill="1" applyBorder="1" applyAlignment="1">
      <alignment horizontal="center"/>
    </xf>
    <xf numFmtId="166" fontId="50" fillId="0" borderId="0" xfId="0" quotePrefix="1" applyNumberFormat="1" applyFont="1" applyAlignment="1">
      <alignment horizontal="center"/>
    </xf>
    <xf numFmtId="0" fontId="50" fillId="0" borderId="0" xfId="0" applyFont="1" applyBorder="1" applyAlignment="1">
      <alignment horizontal="left" wrapText="1"/>
    </xf>
    <xf numFmtId="3" fontId="50" fillId="0" borderId="0" xfId="0" quotePrefix="1" applyNumberFormat="1" applyFont="1" applyBorder="1" applyAlignment="1">
      <alignment horizontal="center"/>
    </xf>
    <xf numFmtId="3" fontId="50" fillId="0" borderId="4" xfId="0" quotePrefix="1" applyNumberFormat="1" applyFont="1" applyBorder="1" applyAlignment="1">
      <alignment horizontal="center"/>
    </xf>
    <xf numFmtId="3" fontId="15" fillId="0" borderId="0" xfId="0" quotePrefix="1" applyNumberFormat="1" applyFont="1" applyFill="1" applyBorder="1" applyAlignment="1">
      <alignment horizontal="center" wrapText="1"/>
    </xf>
    <xf numFmtId="3" fontId="15" fillId="44" borderId="0" xfId="0" quotePrefix="1" applyNumberFormat="1" applyFont="1" applyFill="1" applyBorder="1" applyAlignment="1">
      <alignment horizontal="center"/>
    </xf>
    <xf numFmtId="3" fontId="21" fillId="0" borderId="0" xfId="37" applyNumberFormat="1" applyFont="1" applyFill="1" applyBorder="1" applyAlignment="1">
      <alignment horizontal="center"/>
    </xf>
    <xf numFmtId="164" fontId="21" fillId="0" borderId="0" xfId="37" applyNumberFormat="1" applyFont="1" applyFill="1" applyBorder="1" applyAlignment="1">
      <alignment horizontal="center"/>
    </xf>
    <xf numFmtId="3" fontId="15" fillId="0" borderId="15" xfId="0" quotePrefix="1" applyNumberFormat="1" applyFont="1" applyBorder="1" applyAlignment="1">
      <alignment horizontal="center"/>
    </xf>
    <xf numFmtId="3" fontId="21" fillId="44" borderId="0" xfId="37" applyNumberFormat="1" applyFont="1" applyFill="1" applyBorder="1" applyAlignment="1">
      <alignment horizontal="center"/>
    </xf>
    <xf numFmtId="166" fontId="15" fillId="44" borderId="0" xfId="0" applyNumberFormat="1" applyFont="1" applyFill="1" applyBorder="1" applyAlignment="1">
      <alignment horizontal="center"/>
    </xf>
    <xf numFmtId="164" fontId="21" fillId="44" borderId="0" xfId="37" applyNumberFormat="1" applyFont="1" applyFill="1" applyBorder="1" applyAlignment="1">
      <alignment horizontal="center"/>
    </xf>
    <xf numFmtId="3" fontId="50" fillId="44" borderId="0" xfId="0" applyNumberFormat="1" applyFont="1" applyFill="1" applyBorder="1" applyAlignment="1">
      <alignment horizontal="center"/>
    </xf>
    <xf numFmtId="165" fontId="15" fillId="0" borderId="21" xfId="0" applyNumberFormat="1" applyFont="1" applyBorder="1" applyAlignment="1">
      <alignment horizontal="center" wrapText="1"/>
    </xf>
    <xf numFmtId="3" fontId="15" fillId="0" borderId="42" xfId="0" applyNumberFormat="1" applyFont="1" applyFill="1" applyBorder="1" applyAlignment="1">
      <alignment horizontal="center" wrapText="1"/>
    </xf>
    <xf numFmtId="0" fontId="0" fillId="44" borderId="42" xfId="0" applyFill="1" applyBorder="1"/>
    <xf numFmtId="3" fontId="50" fillId="44" borderId="0" xfId="0" applyNumberFormat="1" applyFont="1" applyFill="1" applyBorder="1" applyAlignment="1">
      <alignment horizontal="center" wrapText="1"/>
    </xf>
    <xf numFmtId="1" fontId="50" fillId="0" borderId="2" xfId="0" applyNumberFormat="1" applyFont="1" applyBorder="1" applyAlignment="1">
      <alignment horizontal="center"/>
    </xf>
    <xf numFmtId="1" fontId="50" fillId="0" borderId="17" xfId="0" applyNumberFormat="1" applyFont="1" applyFill="1" applyBorder="1" applyAlignment="1">
      <alignment horizontal="center"/>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3" fontId="15" fillId="44" borderId="42" xfId="0" applyNumberFormat="1" applyFont="1" applyFill="1" applyBorder="1" applyAlignment="1">
      <alignment horizontal="center" wrapText="1"/>
    </xf>
    <xf numFmtId="3" fontId="15" fillId="44" borderId="0" xfId="0" quotePrefix="1" applyNumberFormat="1" applyFont="1" applyFill="1" applyBorder="1" applyAlignment="1">
      <alignment horizontal="center" wrapText="1"/>
    </xf>
    <xf numFmtId="0" fontId="0" fillId="44" borderId="0" xfId="0" applyFill="1" applyBorder="1"/>
    <xf numFmtId="1" fontId="15" fillId="44" borderId="0" xfId="0" quotePrefix="1" applyNumberFormat="1" applyFont="1" applyFill="1" applyBorder="1" applyAlignment="1">
      <alignment horizontal="center" wrapText="1"/>
    </xf>
    <xf numFmtId="3" fontId="0" fillId="44" borderId="0" xfId="0" applyNumberFormat="1" applyFill="1" applyBorder="1"/>
    <xf numFmtId="164" fontId="15" fillId="44" borderId="0" xfId="0" applyNumberFormat="1" applyFont="1" applyFill="1" applyBorder="1" applyAlignment="1">
      <alignment horizontal="center" wrapText="1"/>
    </xf>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7">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FADCBC"/>
      <color rgb="FFB3FFFF"/>
      <color rgb="FFC6E0B4"/>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Purchases'!$H$32:$U$32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Purchases'!$AO$70:$BB$70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Purchases'!$H$32:$U$32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2604.3633609610974</c:v>
                </c:pt>
                <c:pt idx="10">
                  <c:v>2654.9571479589972</c:v>
                </c:pt>
                <c:pt idx="11">
                  <c:v>2700.2468008461938</c:v>
                </c:pt>
                <c:pt idx="12">
                  <c:v>2736.633097522003</c:v>
                </c:pt>
                <c:pt idx="13">
                  <c:v>2770.217700441061</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Purchases'!$AO$72:$BB$72</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Purchases'!$H$32:$U$32</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Purchases'!$AO$71:$BB$71</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Purchases'!$AO$74:$BB$74</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2053.1151479999999</c:v>
                </c:pt>
                <c:pt idx="9">
                  <c:v>2072.3329299985726</c:v>
                </c:pt>
                <c:pt idx="10">
                  <c:v>2096.0230373636391</c:v>
                </c:pt>
                <c:pt idx="11">
                  <c:v>2118.6931747422368</c:v>
                </c:pt>
                <c:pt idx="12">
                  <c:v>2130.4121597619046</c:v>
                </c:pt>
                <c:pt idx="13">
                  <c:v>2143.7672094581208</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2066.0100000000002</c:v>
                </c:pt>
                <c:pt idx="8">
                  <c:v>2073.8151479999997</c:v>
                </c:pt>
                <c:pt idx="9">
                  <c:v>2105.6962909596705</c:v>
                </c:pt>
                <c:pt idx="10">
                  <c:v>2155.9801853226363</c:v>
                </c:pt>
                <c:pt idx="11">
                  <c:v>2197.9399755884306</c:v>
                </c:pt>
                <c:pt idx="12">
                  <c:v>2221.0452572839076</c:v>
                </c:pt>
                <c:pt idx="13">
                  <c:v>2241.9849098991817</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Purchases'!$AO$76:$BB$76</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2076.415148</c:v>
                </c:pt>
                <c:pt idx="9">
                  <c:v>2105.2329299985731</c:v>
                </c:pt>
                <c:pt idx="10">
                  <c:v>2141.623037363639</c:v>
                </c:pt>
                <c:pt idx="11">
                  <c:v>2165.0931747422369</c:v>
                </c:pt>
                <c:pt idx="12">
                  <c:v>2175.0121597619045</c:v>
                </c:pt>
                <c:pt idx="13">
                  <c:v>2185.5672094581209</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Purchases'!$AO$65:$BB$65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Purchases'!$AO$75:$BB$75</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1904.1151479999999</c:v>
                      </c:pt>
                      <c:pt idx="9">
                        <c:v>1918.3329299985728</c:v>
                      </c:pt>
                      <c:pt idx="10">
                        <c:v>1940.0230373636391</c:v>
                      </c:pt>
                      <c:pt idx="11">
                        <c:v>1959.6931747422368</c:v>
                      </c:pt>
                      <c:pt idx="12">
                        <c:v>1970.4121597619046</c:v>
                      </c:pt>
                      <c:pt idx="13">
                        <c:v>1984.7672094581208</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60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60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16" dataDxfId="15">
  <autoFilter ref="A2:D50" xr:uid="{AFE7EBBA-0E52-684B-AE3F-DAE47002C36D}"/>
  <tableColumns count="4">
    <tableColumn id="1" xr3:uid="{1CBC7486-21F3-4D68-AEAB-B260D3DC1265}" name="Provision" dataDxfId="14"/>
    <tableColumn id="2" xr3:uid="{B72D09CC-D35A-4A45-8D8D-9C97129E01A1}" name="Ten year cost (annualized)" dataDxfId="13"/>
    <tableColumn id="4" xr3:uid="{A8BE311C-E3F6-4043-8119-413ED4A13011}" name="Column1" dataDxfId="12"/>
    <tableColumn id="5" xr3:uid="{A41ECCE3-5E03-45CB-9B64-5E91C95099AB}" name="Column2" dataDxfId="11"/>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69" dT="2021-06-14T11:28:38.43" personId="{58CF8BEC-4104-46F7-BE4F-2C9403635492}" id="{BB2BD600-D27D-45BD-8287-F361E12EE9C4}">
    <text>https://www.cbo.gov/system/files/2020-04/hr748.pdf</text>
  </threadedComment>
  <threadedComment ref="C7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1"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66" dT="2021-06-07T15:35:26.89" personId="{58CF8BEC-4104-46F7-BE4F-2C9403635492}" id="{5B268A7E-4684-4417-99DA-FD209D4D638F}">
    <text>January 2020 Ten Year Economic Projections, Quarterly Table, Row 131</text>
  </threadedComment>
  <threadedComment ref="AM67" dT="2021-07-07T15:58:20.18" personId="{58CF8BEC-4104-46F7-BE4F-2C9403635492}" id="{EDDC02C6-9D5A-4D48-BD38-306F90DEE81E}">
    <text>July 2021 Ten-Year Economic Projections, Quarterly Table, Row 130</text>
  </threadedComment>
  <threadedComment ref="AM70" dT="2021-06-08T18:07:26.42" personId="{58CF8BEC-4104-46F7-BE4F-2C9403635492}" id="{740ECA18-D6DC-4F42-982C-CBA3C5290FBF}">
    <text>January 2020 Ten Year Economic Projections, Quarterly Table, Row 130</text>
  </threadedComment>
  <threadedComment ref="AM71" dT="2021-06-08T18:07:37.18" personId="{58CF8BEC-4104-46F7-BE4F-2C9403635492}" id="{1C07D7AD-E31D-4773-BE5C-B49586DCA617}">
    <text>February 2021 Ten Year Economic Projections, Quarterly Table, Row 130</text>
  </threadedComment>
  <threadedComment ref="AM72"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5" dT="2022-01-28T16:13:54.75" personId="{58CF8BEC-4104-46F7-BE4F-2C9403635492}" id="{DB908DB8-ED36-4713-AE3C-B9DFD0F93D1E}">
    <text>This is used to keep line 12 (non-leg subsidies) at a consistent level</text>
  </threadedComment>
  <threadedComment ref="P57" dT="2021-10-29T16:11:55.52" personId="{58CF8BEC-4104-46F7-BE4F-2C9403635492}" id="{231573E3-0BC7-4FF3-930E-C1ADD0D8B15C}">
    <text>Disaster loans came in weaker than score predicted, so changing our forecast to bump up going forward</text>
  </threadedComment>
  <threadedComment ref="P58" dT="2021-10-29T16:16:14.38" personId="{58CF8BEC-4104-46F7-BE4F-2C9403635492}" id="{24AEA133-04EA-41AE-B43F-D03F7849E47B}">
    <text>Data coming in lower than score prediction so bumping up in forecast</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52" dT="2021-11-02T13:23:36.94" personId="{58CF8BEC-4104-46F7-BE4F-2C9403635492}" id="{8624CBF8-0C25-4544-B55E-7210BBE07E41}">
    <text>Formula changes to grow by counterfactual pre-covid growth rate</text>
  </threadedComment>
  <threadedComment ref="M52"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D39" dT="2021-07-23T18:29:44.86" personId="{58CF8BEC-4104-46F7-BE4F-2C9403635492}" id="{5BC45E12-A1BF-4D3A-8400-86F7FB4B639C}">
    <text>July 2021 CBO Revenue Projections, Table 1, Row 11</text>
  </threadedComment>
  <threadedComment ref="D40" dT="2021-07-23T18:30:19.48" personId="{58CF8BEC-4104-46F7-BE4F-2C9403635492}" id="{C93D758A-376E-4ADB-9FBC-C0583695E1EA}">
    <text>July 2021 CBO Revenue Projections, Table 1, Row 12</text>
  </threadedComment>
  <threadedComment ref="D42" dT="2021-07-23T18:32:18.69" personId="{58CF8BEC-4104-46F7-BE4F-2C9403635492}" id="{64D0EC66-8B96-40E7-A04C-C308174D41BF}">
    <text>July 2021 CBO Revenue Projections, Table 1, Row 15</text>
  </threadedComment>
  <threadedComment ref="D43" dT="2021-07-23T18:32:27.82" personId="{58CF8BEC-4104-46F7-BE4F-2C9403635492}" id="{AD68B43D-B368-4F10-8676-0F65E9119296}">
    <text>July 2021 CBO Revenue Projections, Table 1, Row 17</text>
  </threadedComment>
  <threadedComment ref="D44" dT="2021-07-23T18:30:34.27" personId="{58CF8BEC-4104-46F7-BE4F-2C9403635492}" id="{655C1D52-3072-4BEF-AB85-7EA4B5DD03E3}">
    <text>July 2021 CBO Revenue Projections, Table 1, Row 11</text>
  </threadedComment>
  <threadedComment ref="D62" dT="2021-07-23T18:33:48.98" personId="{58CF8BEC-4104-46F7-BE4F-2C9403635492}" id="{AFB606EB-2C77-4FBA-805A-853A55D6F8B3}">
    <text>July 2021 CBO Economic Projections, Fiscal Year Table, Row 92</text>
  </threadedComment>
  <threadedComment ref="D63" dT="2021-07-23T18:33:54.55" personId="{58CF8BEC-4104-46F7-BE4F-2C9403635492}" id="{0B84B7CB-88AC-4DB2-A9D9-A38BD6B560A2}">
    <text>July 2021 CBO Economic Projections, Fiscal Year Table, Row 96</text>
  </threadedComment>
  <threadedComment ref="D64" dT="2021-07-23T18:34:05.07" personId="{58CF8BEC-4104-46F7-BE4F-2C9403635492}" id="{0C8C4388-8CB7-4F64-8ECC-A3E55BF48974}">
    <text>July 2021 CBO Economic Projections, Fiscal Year Table, Row 116</text>
  </threadedComment>
  <threadedComment ref="D65" dT="2021-07-23T18:34:12.63" personId="{58CF8BEC-4104-46F7-BE4F-2C9403635492}" id="{568717E5-188C-48CA-9FAB-434BF53ED207}">
    <text>July 2021 CBO Economic Projections, Fiscal Year Table, Row 110</text>
  </threadedComment>
  <threadedComment ref="D89" dT="2021-07-23T18:49:30.10" personId="{58CF8BEC-4104-46F7-BE4F-2C9403635492}" id="{7899D3FD-3161-4B20-BD11-089D65961CBD}">
    <text>July 2021 CBO Ten Year Economic Projections, Quarterly Table, Row 96</text>
  </threadedComment>
  <threadedComment ref="D90" dT="2021-07-23T18:56:56.50" personId="{58CF8BEC-4104-46F7-BE4F-2C9403635492}" id="{92DCE874-AC14-4080-8F99-EF0B35B01255}">
    <text>July 2021 CBO Ten Year Economic Projections, Quarterly Table, Row 116</text>
  </threadedComment>
  <threadedComment ref="D91" dT="2022-03-31T15:05:09.08" personId="{104078EE-2393-4C21-9029-18A325FBDB70}" id="{DC8487FB-C6EB-42F5-AE71-8B2B07C2A8EE}">
    <text>July 2021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americanactionforum.org/research/tracker-paycheck-protection-program-loans/"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0.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5.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3"/>
  <sheetViews>
    <sheetView topLeftCell="A18" zoomScale="82" zoomScaleNormal="82" workbookViewId="0">
      <selection activeCell="C23" sqref="C23:Q23"/>
    </sheetView>
  </sheetViews>
  <sheetFormatPr defaultColWidth="8.7265625" defaultRowHeight="14.5" x14ac:dyDescent="0.35"/>
  <cols>
    <col min="2" max="2" width="34.36328125" style="497" customWidth="1"/>
    <col min="3" max="16" width="8.453125" style="497"/>
    <col min="17" max="17" width="38.453125" style="497" customWidth="1"/>
  </cols>
  <sheetData>
    <row r="10" spans="2:17" x14ac:dyDescent="0.35">
      <c r="B10" s="1254" t="s">
        <v>0</v>
      </c>
      <c r="C10" s="1255"/>
      <c r="D10" s="1255"/>
      <c r="E10" s="1255"/>
      <c r="F10" s="1255"/>
      <c r="G10" s="1255"/>
      <c r="H10" s="1255"/>
      <c r="I10" s="1255"/>
      <c r="J10" s="1255"/>
      <c r="K10" s="1255"/>
      <c r="L10" s="1255"/>
      <c r="M10" s="1255"/>
      <c r="N10" s="1255"/>
      <c r="O10" s="1255"/>
      <c r="P10" s="1255"/>
      <c r="Q10" s="1256"/>
    </row>
    <row r="11" spans="2:17" x14ac:dyDescent="0.35">
      <c r="B11" s="1257"/>
      <c r="C11" s="1258"/>
      <c r="D11" s="1258"/>
      <c r="E11" s="1258"/>
      <c r="F11" s="1258"/>
      <c r="G11" s="1258"/>
      <c r="H11" s="1258"/>
      <c r="I11" s="1258"/>
      <c r="J11" s="1258"/>
      <c r="K11" s="1258"/>
      <c r="L11" s="1258"/>
      <c r="M11" s="1258"/>
      <c r="N11" s="1258"/>
      <c r="O11" s="1258"/>
      <c r="P11" s="1258"/>
      <c r="Q11" s="1259"/>
    </row>
    <row r="12" spans="2:17" x14ac:dyDescent="0.35">
      <c r="B12" s="494" t="s">
        <v>1</v>
      </c>
      <c r="C12" s="716"/>
      <c r="D12" s="716"/>
      <c r="E12" s="716"/>
      <c r="F12" s="716"/>
      <c r="G12" s="716"/>
      <c r="H12" s="716"/>
      <c r="I12" s="716"/>
      <c r="J12" s="716"/>
      <c r="K12" s="716"/>
      <c r="L12" s="716"/>
      <c r="M12" s="716"/>
      <c r="N12" s="716"/>
      <c r="O12" s="716"/>
      <c r="P12" s="716"/>
      <c r="Q12" s="498"/>
    </row>
    <row r="13" spans="2:17" x14ac:dyDescent="0.35">
      <c r="B13" s="495" t="s">
        <v>2</v>
      </c>
      <c r="C13" s="1260" t="s">
        <v>3</v>
      </c>
      <c r="D13" s="1260"/>
      <c r="E13" s="1260"/>
      <c r="F13" s="1260"/>
      <c r="G13" s="1260"/>
      <c r="H13" s="1260"/>
      <c r="I13" s="1260"/>
      <c r="J13" s="1260"/>
      <c r="K13" s="1260"/>
      <c r="L13" s="1260"/>
      <c r="M13" s="1260"/>
      <c r="N13" s="1260"/>
      <c r="O13" s="1260"/>
      <c r="P13" s="1260"/>
      <c r="Q13" s="1261"/>
    </row>
    <row r="14" spans="2:17" x14ac:dyDescent="0.35">
      <c r="B14" s="495" t="s">
        <v>4</v>
      </c>
      <c r="C14" s="499" t="s">
        <v>5</v>
      </c>
      <c r="D14" s="499"/>
      <c r="E14" s="499"/>
      <c r="F14" s="499"/>
      <c r="G14" s="499"/>
      <c r="H14" s="499"/>
      <c r="I14" s="499"/>
      <c r="J14" s="499"/>
      <c r="K14" s="499"/>
      <c r="L14" s="499"/>
      <c r="M14" s="499"/>
      <c r="N14" s="499"/>
      <c r="O14" s="499"/>
      <c r="P14" s="499"/>
      <c r="Q14" s="500"/>
    </row>
    <row r="15" spans="2:17" x14ac:dyDescent="0.35">
      <c r="B15" s="495" t="s">
        <v>6</v>
      </c>
      <c r="C15" s="499" t="s">
        <v>7</v>
      </c>
      <c r="D15" s="499"/>
      <c r="E15" s="499"/>
      <c r="F15" s="499"/>
      <c r="G15" s="499"/>
      <c r="H15" s="499"/>
      <c r="I15" s="499"/>
      <c r="J15" s="499"/>
      <c r="K15" s="499"/>
      <c r="L15" s="499"/>
      <c r="M15" s="499"/>
      <c r="N15" s="499"/>
      <c r="O15" s="499"/>
      <c r="P15" s="499"/>
      <c r="Q15" s="500"/>
    </row>
    <row r="16" spans="2:17" x14ac:dyDescent="0.35">
      <c r="B16" s="495" t="s">
        <v>8</v>
      </c>
      <c r="C16" s="499" t="s">
        <v>1219</v>
      </c>
      <c r="D16" s="499"/>
      <c r="E16" s="499"/>
      <c r="F16" s="499"/>
      <c r="G16" s="499"/>
      <c r="H16" s="499"/>
      <c r="I16" s="499"/>
      <c r="J16" s="499"/>
      <c r="K16" s="499"/>
      <c r="L16" s="499"/>
      <c r="M16" s="499"/>
      <c r="N16" s="499"/>
      <c r="O16" s="499"/>
      <c r="P16" s="499"/>
      <c r="Q16" s="500"/>
    </row>
    <row r="17" spans="2:17" x14ac:dyDescent="0.35">
      <c r="B17" s="495" t="s">
        <v>9</v>
      </c>
      <c r="C17" s="499" t="s">
        <v>10</v>
      </c>
      <c r="D17" s="499"/>
      <c r="E17" s="499"/>
      <c r="F17" s="499"/>
      <c r="G17" s="499"/>
      <c r="H17" s="499"/>
      <c r="I17" s="499"/>
      <c r="J17" s="499"/>
      <c r="K17" s="499"/>
      <c r="L17" s="499"/>
      <c r="M17" s="499"/>
      <c r="N17" s="499"/>
      <c r="O17" s="499"/>
      <c r="P17" s="499"/>
      <c r="Q17" s="500"/>
    </row>
    <row r="18" spans="2:17" x14ac:dyDescent="0.35">
      <c r="B18" s="495" t="s">
        <v>1220</v>
      </c>
      <c r="C18" s="499" t="s">
        <v>11</v>
      </c>
      <c r="D18" s="499"/>
      <c r="E18" s="499"/>
      <c r="F18" s="499"/>
      <c r="G18" s="499"/>
      <c r="H18" s="499"/>
      <c r="I18" s="499"/>
      <c r="J18" s="499"/>
      <c r="K18" s="499"/>
      <c r="L18" s="499"/>
      <c r="M18" s="499"/>
      <c r="N18" s="499"/>
      <c r="O18" s="499"/>
      <c r="P18" s="499"/>
      <c r="Q18" s="500"/>
    </row>
    <row r="19" spans="2:17" x14ac:dyDescent="0.35">
      <c r="B19" s="495" t="s">
        <v>12</v>
      </c>
      <c r="C19" s="499" t="s">
        <v>1221</v>
      </c>
      <c r="D19" s="499"/>
      <c r="E19" s="499"/>
      <c r="F19" s="499"/>
      <c r="G19" s="499"/>
      <c r="H19" s="499"/>
      <c r="I19" s="499"/>
      <c r="J19" s="499"/>
      <c r="K19" s="499"/>
      <c r="L19" s="499"/>
      <c r="M19" s="499"/>
      <c r="N19" s="499"/>
      <c r="O19" s="499"/>
      <c r="P19" s="499"/>
      <c r="Q19" s="500"/>
    </row>
    <row r="20" spans="2:17" ht="30.75" customHeight="1" x14ac:dyDescent="0.35">
      <c r="B20" s="495" t="s">
        <v>13</v>
      </c>
      <c r="C20" s="1252" t="s">
        <v>14</v>
      </c>
      <c r="D20" s="1252"/>
      <c r="E20" s="1252"/>
      <c r="F20" s="1252"/>
      <c r="G20" s="1252"/>
      <c r="H20" s="1252"/>
      <c r="I20" s="1252"/>
      <c r="J20" s="1252"/>
      <c r="K20" s="1252"/>
      <c r="L20" s="1252"/>
      <c r="M20" s="1252"/>
      <c r="N20" s="1252"/>
      <c r="O20" s="1252"/>
      <c r="P20" s="1252"/>
      <c r="Q20" s="1253"/>
    </row>
    <row r="21" spans="2:17" x14ac:dyDescent="0.35">
      <c r="B21" s="495" t="s">
        <v>15</v>
      </c>
      <c r="C21" s="499" t="s">
        <v>16</v>
      </c>
      <c r="D21" s="499"/>
      <c r="E21" s="499"/>
      <c r="F21" s="499"/>
      <c r="G21" s="499"/>
      <c r="H21" s="499"/>
      <c r="I21" s="499"/>
      <c r="J21" s="499"/>
      <c r="K21" s="499"/>
      <c r="L21" s="499"/>
      <c r="M21" s="499"/>
      <c r="N21" s="499"/>
      <c r="O21" s="499"/>
      <c r="P21" s="499"/>
      <c r="Q21" s="500"/>
    </row>
    <row r="22" spans="2:17" ht="32.25" customHeight="1" x14ac:dyDescent="0.35">
      <c r="B22" s="1206" t="s">
        <v>1223</v>
      </c>
      <c r="C22" s="1252" t="s">
        <v>1222</v>
      </c>
      <c r="D22" s="1252"/>
      <c r="E22" s="1252"/>
      <c r="F22" s="1252"/>
      <c r="G22" s="1252"/>
      <c r="H22" s="1252"/>
      <c r="I22" s="1252"/>
      <c r="J22" s="1252"/>
      <c r="K22" s="1252"/>
      <c r="L22" s="1252"/>
      <c r="M22" s="1252"/>
      <c r="N22" s="1252"/>
      <c r="O22" s="1252"/>
      <c r="P22" s="1252"/>
      <c r="Q22" s="1253"/>
    </row>
    <row r="23" spans="2:17" ht="31.15" customHeight="1" x14ac:dyDescent="0.35">
      <c r="B23" s="495" t="s">
        <v>17</v>
      </c>
      <c r="C23" s="1252" t="s">
        <v>1224</v>
      </c>
      <c r="D23" s="1252"/>
      <c r="E23" s="1252"/>
      <c r="F23" s="1252"/>
      <c r="G23" s="1252"/>
      <c r="H23" s="1252"/>
      <c r="I23" s="1252"/>
      <c r="J23" s="1252"/>
      <c r="K23" s="1252"/>
      <c r="L23" s="1252"/>
      <c r="M23" s="1252"/>
      <c r="N23" s="1252"/>
      <c r="O23" s="1252"/>
      <c r="P23" s="1252"/>
      <c r="Q23" s="1253"/>
    </row>
    <row r="24" spans="2:17" x14ac:dyDescent="0.35">
      <c r="B24" s="495" t="s">
        <v>18</v>
      </c>
      <c r="C24" s="499" t="s">
        <v>19</v>
      </c>
      <c r="D24" s="499"/>
      <c r="E24" s="499"/>
      <c r="F24" s="499"/>
      <c r="G24" s="499"/>
      <c r="H24" s="499"/>
      <c r="I24" s="499"/>
      <c r="J24" s="499"/>
      <c r="K24" s="499"/>
      <c r="L24" s="499"/>
      <c r="M24" s="499"/>
      <c r="N24" s="499"/>
      <c r="O24" s="499"/>
      <c r="P24" s="499"/>
      <c r="Q24" s="500"/>
    </row>
    <row r="25" spans="2:17" x14ac:dyDescent="0.35">
      <c r="B25" s="495" t="s">
        <v>20</v>
      </c>
      <c r="C25" s="499" t="s">
        <v>21</v>
      </c>
      <c r="D25" s="499"/>
      <c r="E25" s="499"/>
      <c r="F25" s="499"/>
      <c r="G25" s="499"/>
      <c r="H25" s="499"/>
      <c r="I25" s="499"/>
      <c r="J25" s="499"/>
      <c r="K25" s="499"/>
      <c r="L25" s="499"/>
      <c r="M25" s="499"/>
      <c r="N25" s="499"/>
      <c r="O25" s="499"/>
      <c r="P25" s="499"/>
      <c r="Q25" s="500"/>
    </row>
    <row r="26" spans="2:17" x14ac:dyDescent="0.35">
      <c r="B26" s="495" t="s">
        <v>22</v>
      </c>
      <c r="C26" s="499" t="s">
        <v>23</v>
      </c>
      <c r="D26" s="499"/>
      <c r="E26" s="499"/>
      <c r="F26" s="499"/>
      <c r="G26" s="499"/>
      <c r="H26" s="499"/>
      <c r="I26" s="499"/>
      <c r="J26" s="499"/>
      <c r="K26" s="499"/>
      <c r="L26" s="499"/>
      <c r="M26" s="499"/>
      <c r="N26" s="499"/>
      <c r="O26" s="499"/>
      <c r="P26" s="499"/>
      <c r="Q26" s="500"/>
    </row>
    <row r="27" spans="2:17" x14ac:dyDescent="0.35">
      <c r="B27" s="495" t="s">
        <v>24</v>
      </c>
      <c r="C27" s="499" t="s">
        <v>1225</v>
      </c>
      <c r="D27" s="499"/>
      <c r="E27" s="499"/>
      <c r="F27" s="499"/>
      <c r="G27" s="499"/>
      <c r="H27" s="499"/>
      <c r="I27" s="499"/>
      <c r="J27" s="499"/>
      <c r="K27" s="499"/>
      <c r="L27" s="499"/>
      <c r="M27" s="499"/>
      <c r="N27" s="499"/>
      <c r="O27" s="499"/>
      <c r="P27" s="499"/>
      <c r="Q27" s="500"/>
    </row>
    <row r="28" spans="2:17" x14ac:dyDescent="0.35">
      <c r="B28" s="495" t="s">
        <v>25</v>
      </c>
      <c r="C28" s="499" t="s">
        <v>1226</v>
      </c>
      <c r="D28" s="499"/>
      <c r="E28" s="499"/>
      <c r="F28" s="499"/>
      <c r="G28" s="499"/>
      <c r="H28" s="499"/>
      <c r="I28" s="499"/>
      <c r="J28" s="499"/>
      <c r="K28" s="499"/>
      <c r="L28" s="499"/>
      <c r="M28" s="499"/>
      <c r="N28" s="499"/>
      <c r="O28" s="499"/>
      <c r="P28" s="499"/>
      <c r="Q28" s="500"/>
    </row>
    <row r="29" spans="2:17" x14ac:dyDescent="0.35">
      <c r="B29" s="495" t="s">
        <v>26</v>
      </c>
      <c r="C29" s="499" t="s">
        <v>27</v>
      </c>
      <c r="D29" s="499"/>
      <c r="E29" s="499"/>
      <c r="F29" s="499"/>
      <c r="G29" s="499"/>
      <c r="H29" s="499"/>
      <c r="I29" s="499"/>
      <c r="J29" s="499"/>
      <c r="K29" s="499"/>
      <c r="L29" s="499"/>
      <c r="M29" s="499"/>
      <c r="N29" s="499"/>
      <c r="O29" s="499"/>
      <c r="P29" s="499"/>
      <c r="Q29" s="500"/>
    </row>
    <row r="30" spans="2:17" x14ac:dyDescent="0.35">
      <c r="B30" s="495"/>
      <c r="C30" s="499"/>
      <c r="D30" s="499"/>
      <c r="E30" s="499"/>
      <c r="F30" s="499"/>
      <c r="G30" s="499"/>
      <c r="H30" s="499"/>
      <c r="I30" s="499"/>
      <c r="J30" s="499"/>
      <c r="K30" s="499"/>
      <c r="L30" s="499"/>
      <c r="M30" s="499"/>
      <c r="N30" s="499"/>
      <c r="O30" s="499"/>
      <c r="P30" s="499"/>
      <c r="Q30" s="500"/>
    </row>
    <row r="31" spans="2:17" x14ac:dyDescent="0.35">
      <c r="B31" s="496" t="s">
        <v>28</v>
      </c>
      <c r="C31" s="499"/>
      <c r="D31" s="499"/>
      <c r="E31" s="499"/>
      <c r="F31" s="499"/>
      <c r="G31" s="499"/>
      <c r="H31" s="499"/>
      <c r="I31" s="499"/>
      <c r="J31" s="499"/>
      <c r="K31" s="499"/>
      <c r="L31" s="499"/>
      <c r="M31" s="499"/>
      <c r="N31" s="499"/>
      <c r="O31" s="499"/>
      <c r="P31" s="499"/>
      <c r="Q31" s="500"/>
    </row>
    <row r="32" spans="2:17" x14ac:dyDescent="0.35">
      <c r="B32" s="1208" t="s">
        <v>29</v>
      </c>
      <c r="C32" s="499"/>
      <c r="D32" s="499"/>
      <c r="E32" s="499"/>
      <c r="F32" s="499"/>
      <c r="G32" s="499"/>
      <c r="H32" s="499"/>
      <c r="I32" s="499"/>
      <c r="J32" s="499"/>
      <c r="K32" s="499"/>
      <c r="L32" s="499"/>
      <c r="M32" s="499"/>
      <c r="N32" s="499"/>
      <c r="O32" s="499"/>
      <c r="P32" s="499"/>
      <c r="Q32" s="500"/>
    </row>
    <row r="33" spans="2:17" ht="30.75" customHeight="1" x14ac:dyDescent="0.35">
      <c r="B33" s="1251" t="s">
        <v>1227</v>
      </c>
      <c r="C33" s="1252"/>
      <c r="D33" s="1252"/>
      <c r="E33" s="1252"/>
      <c r="F33" s="1252"/>
      <c r="G33" s="1252"/>
      <c r="H33" s="1252"/>
      <c r="I33" s="1252"/>
      <c r="J33" s="1252"/>
      <c r="K33" s="1252"/>
      <c r="L33" s="1252"/>
      <c r="M33" s="1252"/>
      <c r="N33" s="1252"/>
      <c r="O33" s="1252"/>
      <c r="P33" s="1252"/>
      <c r="Q33" s="1253"/>
    </row>
    <row r="34" spans="2:17" x14ac:dyDescent="0.35">
      <c r="B34" s="503" t="s">
        <v>30</v>
      </c>
      <c r="C34" s="499"/>
      <c r="D34" s="499"/>
      <c r="E34" s="499"/>
      <c r="F34" s="499"/>
      <c r="G34" s="499"/>
      <c r="H34" s="499"/>
      <c r="I34" s="499"/>
      <c r="J34" s="499"/>
      <c r="K34" s="499"/>
      <c r="L34" s="499"/>
      <c r="M34" s="499"/>
      <c r="N34" s="499"/>
      <c r="O34" s="499"/>
      <c r="P34" s="499"/>
      <c r="Q34" s="500"/>
    </row>
    <row r="35" spans="2:17" x14ac:dyDescent="0.35">
      <c r="B35" s="495" t="s">
        <v>31</v>
      </c>
      <c r="C35" s="499"/>
      <c r="D35" s="499"/>
      <c r="E35" s="499"/>
      <c r="F35" s="499"/>
      <c r="G35" s="499"/>
      <c r="H35" s="499"/>
      <c r="I35" s="499"/>
      <c r="J35" s="499"/>
      <c r="K35" s="499"/>
      <c r="L35" s="499"/>
      <c r="M35" s="499"/>
      <c r="N35" s="499"/>
      <c r="O35" s="499"/>
      <c r="P35" s="499"/>
      <c r="Q35" s="500"/>
    </row>
    <row r="36" spans="2:17" x14ac:dyDescent="0.35">
      <c r="B36" s="1207" t="s">
        <v>32</v>
      </c>
      <c r="C36" s="501"/>
      <c r="D36" s="501"/>
      <c r="E36" s="501"/>
      <c r="F36" s="501"/>
      <c r="G36" s="501"/>
      <c r="H36" s="501"/>
      <c r="I36" s="501"/>
      <c r="J36" s="501"/>
      <c r="K36" s="501"/>
      <c r="L36" s="501"/>
      <c r="M36" s="501"/>
      <c r="N36" s="501"/>
      <c r="O36" s="501"/>
      <c r="P36" s="501"/>
      <c r="Q36" s="502"/>
    </row>
    <row r="39" spans="2:17" x14ac:dyDescent="0.35">
      <c r="B39" s="504"/>
      <c r="C39" s="504"/>
      <c r="D39" s="504"/>
      <c r="E39" s="504"/>
      <c r="F39" s="504"/>
      <c r="G39" s="504"/>
      <c r="H39" s="504"/>
      <c r="I39" s="504"/>
      <c r="J39" s="504"/>
      <c r="K39" s="504"/>
      <c r="L39" s="504"/>
      <c r="M39" s="504"/>
      <c r="N39" s="504"/>
      <c r="O39" s="504"/>
      <c r="P39" s="504"/>
      <c r="Q39" s="504"/>
    </row>
    <row r="40" spans="2:17" x14ac:dyDescent="0.35">
      <c r="B40" s="504"/>
      <c r="C40" s="504"/>
      <c r="D40" s="504"/>
      <c r="E40" s="504"/>
      <c r="F40" s="504"/>
      <c r="G40" s="504"/>
      <c r="H40" s="504"/>
      <c r="I40" s="504"/>
      <c r="J40" s="504"/>
      <c r="K40" s="504"/>
      <c r="L40" s="504"/>
      <c r="M40" s="504"/>
      <c r="N40" s="504"/>
      <c r="O40" s="504"/>
      <c r="P40" s="504"/>
      <c r="Q40" s="504"/>
    </row>
    <row r="41" spans="2:17" x14ac:dyDescent="0.35">
      <c r="B41" s="504"/>
      <c r="C41" s="504"/>
      <c r="D41" s="504"/>
      <c r="E41" s="504"/>
      <c r="F41" s="504"/>
      <c r="G41" s="504"/>
      <c r="H41" s="504"/>
      <c r="I41" s="504"/>
      <c r="J41" s="504"/>
      <c r="K41" s="504"/>
      <c r="L41" s="504"/>
      <c r="M41" s="504"/>
      <c r="N41" s="504"/>
      <c r="O41" s="504"/>
      <c r="P41" s="504"/>
      <c r="Q41" s="504"/>
    </row>
    <row r="42" spans="2:17" x14ac:dyDescent="0.35">
      <c r="B42" s="504"/>
      <c r="C42" s="504"/>
      <c r="D42" s="504"/>
      <c r="E42" s="504"/>
      <c r="F42" s="504"/>
      <c r="G42" s="504"/>
      <c r="H42" s="504"/>
      <c r="I42" s="504"/>
      <c r="J42" s="504"/>
      <c r="K42" s="504"/>
      <c r="L42" s="504"/>
      <c r="M42" s="504"/>
      <c r="N42" s="504"/>
      <c r="O42" s="504"/>
      <c r="P42" s="504"/>
      <c r="Q42" s="504"/>
    </row>
    <row r="43" spans="2:17" x14ac:dyDescent="0.35">
      <c r="B43" s="504"/>
      <c r="C43" s="504"/>
      <c r="D43" s="504"/>
      <c r="E43" s="504"/>
      <c r="F43" s="504"/>
      <c r="G43" s="504"/>
      <c r="H43" s="504"/>
      <c r="I43" s="504"/>
      <c r="J43" s="504"/>
      <c r="K43" s="504"/>
      <c r="L43" s="504"/>
      <c r="M43" s="504"/>
      <c r="N43" s="504"/>
      <c r="O43" s="504"/>
      <c r="P43" s="504"/>
      <c r="Q43" s="504"/>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defaultColWidth="10.7265625" defaultRowHeight="14.5" x14ac:dyDescent="0.35"/>
  <cols>
    <col min="1" max="1" width="70.7265625" bestFit="1" customWidth="1"/>
    <col min="2" max="2" width="70.7265625" customWidth="1"/>
  </cols>
  <sheetData>
    <row r="1" spans="1:45" ht="15.5" x14ac:dyDescent="0.35">
      <c r="A1" s="1287" t="s">
        <v>324</v>
      </c>
      <c r="B1" s="1287"/>
      <c r="C1" s="1287"/>
      <c r="D1" s="1287"/>
      <c r="E1" s="1287"/>
      <c r="F1" s="1287"/>
      <c r="G1" s="1287"/>
      <c r="H1" s="1287"/>
      <c r="I1" s="1287"/>
      <c r="J1" s="1287"/>
      <c r="K1" s="1287"/>
      <c r="L1" s="1287"/>
      <c r="M1" s="1287"/>
      <c r="N1" s="1287"/>
      <c r="O1" s="1287"/>
    </row>
    <row r="2" spans="1:45" ht="31" x14ac:dyDescent="0.35">
      <c r="A2" s="204"/>
      <c r="B2" s="204" t="s">
        <v>193</v>
      </c>
      <c r="C2" s="221">
        <v>1</v>
      </c>
      <c r="D2" s="221">
        <f>C2+1</f>
        <v>2</v>
      </c>
      <c r="E2" s="221">
        <f t="shared" ref="E2:N2" si="0">D2+1</f>
        <v>3</v>
      </c>
      <c r="F2" s="221">
        <f t="shared" si="0"/>
        <v>4</v>
      </c>
      <c r="G2" s="221">
        <f t="shared" si="0"/>
        <v>5</v>
      </c>
      <c r="H2" s="221">
        <f t="shared" si="0"/>
        <v>6</v>
      </c>
      <c r="I2" s="221">
        <f t="shared" si="0"/>
        <v>7</v>
      </c>
      <c r="J2" s="221">
        <f t="shared" si="0"/>
        <v>8</v>
      </c>
      <c r="K2" s="221">
        <f t="shared" si="0"/>
        <v>9</v>
      </c>
      <c r="L2" s="221">
        <f t="shared" si="0"/>
        <v>10</v>
      </c>
      <c r="M2" s="221">
        <f t="shared" si="0"/>
        <v>11</v>
      </c>
      <c r="N2" s="221">
        <f t="shared" si="0"/>
        <v>12</v>
      </c>
      <c r="O2" s="219" t="s">
        <v>325</v>
      </c>
    </row>
    <row r="3" spans="1:45" ht="15.5" x14ac:dyDescent="0.35">
      <c r="A3" s="206" t="s">
        <v>326</v>
      </c>
      <c r="B3" s="554" t="s">
        <v>327</v>
      </c>
      <c r="C3" s="715">
        <v>0.22500000000000001</v>
      </c>
      <c r="D3" s="715">
        <v>0.22500000000000001</v>
      </c>
      <c r="E3" s="715">
        <v>0.22500000000000001</v>
      </c>
      <c r="F3" s="715">
        <v>0.22500000000000001</v>
      </c>
      <c r="G3" s="714">
        <v>0</v>
      </c>
      <c r="H3" s="714">
        <v>0</v>
      </c>
      <c r="I3" s="714">
        <v>0</v>
      </c>
      <c r="J3" s="714">
        <v>0</v>
      </c>
      <c r="K3" s="714">
        <v>0</v>
      </c>
      <c r="L3" s="714">
        <v>0</v>
      </c>
      <c r="M3" s="714">
        <v>0</v>
      </c>
      <c r="N3" s="714">
        <v>0</v>
      </c>
      <c r="O3" s="205"/>
      <c r="P3" s="715"/>
      <c r="Q3" s="715"/>
      <c r="R3" s="715"/>
      <c r="S3" s="715"/>
      <c r="T3" s="714"/>
      <c r="U3" s="714"/>
      <c r="V3" s="714"/>
      <c r="W3" s="714"/>
      <c r="X3" s="714"/>
      <c r="Y3" s="714"/>
      <c r="Z3" s="714"/>
      <c r="AA3" s="714"/>
      <c r="AC3" s="713"/>
      <c r="AD3" s="713"/>
      <c r="AE3" s="713"/>
      <c r="AF3" s="713"/>
      <c r="AG3" s="713"/>
      <c r="AH3" s="713"/>
      <c r="AI3" s="713"/>
      <c r="AJ3" s="713"/>
      <c r="AK3" s="713"/>
      <c r="AL3" s="713"/>
      <c r="AM3" s="713"/>
      <c r="AN3" s="713"/>
      <c r="AO3" s="713"/>
      <c r="AP3" s="713"/>
      <c r="AQ3" s="713"/>
      <c r="AR3" s="713"/>
      <c r="AS3" s="713"/>
    </row>
    <row r="4" spans="1:45" ht="15.5" x14ac:dyDescent="0.35">
      <c r="A4" s="208" t="s">
        <v>328</v>
      </c>
      <c r="B4" s="555" t="s">
        <v>329</v>
      </c>
      <c r="C4" s="715">
        <v>-3.3333333333333333E-2</v>
      </c>
      <c r="D4" s="715">
        <v>-3.3333333333333333E-2</v>
      </c>
      <c r="E4" s="715">
        <v>-3.3333333333333333E-2</v>
      </c>
      <c r="F4" s="715">
        <v>-3.3333333333333333E-2</v>
      </c>
      <c r="G4" s="715">
        <v>-3.3333333333333333E-2</v>
      </c>
      <c r="H4" s="715">
        <v>-3.3333333333333333E-2</v>
      </c>
      <c r="I4" s="715">
        <v>-3.3333333333333333E-2</v>
      </c>
      <c r="J4" s="715">
        <v>-3.3333333333333333E-2</v>
      </c>
      <c r="K4" s="715">
        <v>-3.3333333333333333E-2</v>
      </c>
      <c r="L4" s="715">
        <v>-3.3333333333333333E-2</v>
      </c>
      <c r="M4" s="715">
        <v>-3.3333333333333333E-2</v>
      </c>
      <c r="N4" s="715">
        <v>-3.3333333333333333E-2</v>
      </c>
      <c r="O4" s="220">
        <f>SUM(C4:N4)</f>
        <v>-0.39999999999999997</v>
      </c>
      <c r="P4" s="715"/>
      <c r="Q4" s="715"/>
      <c r="R4" s="715"/>
      <c r="S4" s="715"/>
      <c r="T4" s="715"/>
      <c r="U4" s="715"/>
      <c r="V4" s="715"/>
      <c r="W4" s="715"/>
      <c r="X4" s="715"/>
      <c r="Y4" s="715"/>
      <c r="Z4" s="715"/>
      <c r="AA4" s="715"/>
      <c r="AC4" s="713"/>
      <c r="AD4" s="713"/>
      <c r="AE4" s="713"/>
      <c r="AF4" s="713"/>
      <c r="AG4" s="713"/>
      <c r="AH4" s="713"/>
      <c r="AI4" s="713"/>
      <c r="AJ4" s="713"/>
      <c r="AK4" s="713"/>
      <c r="AL4" s="713"/>
      <c r="AM4" s="713"/>
      <c r="AN4" s="713"/>
    </row>
    <row r="5" spans="1:45" ht="15.5" x14ac:dyDescent="0.35">
      <c r="A5" s="208" t="s">
        <v>330</v>
      </c>
      <c r="B5" s="555" t="s">
        <v>331</v>
      </c>
      <c r="C5" s="715">
        <v>-0.12</v>
      </c>
      <c r="D5" s="715">
        <v>-0.12</v>
      </c>
      <c r="E5" s="715">
        <v>-0.06</v>
      </c>
      <c r="F5" s="715">
        <v>-0.06</v>
      </c>
      <c r="G5" s="715">
        <v>-0.06</v>
      </c>
      <c r="H5" s="715">
        <v>-0.06</v>
      </c>
      <c r="I5" s="715">
        <v>-0.06</v>
      </c>
      <c r="J5" s="715">
        <v>-0.06</v>
      </c>
      <c r="K5" s="715">
        <v>0</v>
      </c>
      <c r="L5" s="715">
        <v>0</v>
      </c>
      <c r="M5" s="715">
        <v>0</v>
      </c>
      <c r="N5" s="715">
        <v>0</v>
      </c>
      <c r="O5" s="220">
        <f t="shared" ref="O5:O13" si="1">SUM(C5:N5)</f>
        <v>-0.60000000000000009</v>
      </c>
      <c r="P5" s="715"/>
      <c r="Q5" s="715"/>
      <c r="R5" s="715"/>
      <c r="S5" s="715"/>
      <c r="T5" s="715"/>
      <c r="U5" s="715"/>
      <c r="V5" s="715"/>
      <c r="W5" s="715"/>
      <c r="X5" s="715"/>
      <c r="Y5" s="715"/>
      <c r="Z5" s="715"/>
      <c r="AA5" s="715"/>
      <c r="AC5" s="713"/>
      <c r="AD5" s="713"/>
      <c r="AE5" s="713"/>
      <c r="AF5" s="713"/>
      <c r="AG5" s="713"/>
      <c r="AH5" s="713"/>
      <c r="AI5" s="713"/>
      <c r="AJ5" s="713"/>
      <c r="AK5" s="713"/>
      <c r="AL5" s="713"/>
      <c r="AM5" s="713"/>
      <c r="AN5" s="713"/>
    </row>
    <row r="6" spans="1:45" ht="15.5" x14ac:dyDescent="0.35">
      <c r="A6" s="206" t="s">
        <v>332</v>
      </c>
      <c r="B6" s="554" t="s">
        <v>227</v>
      </c>
      <c r="C6" s="715">
        <v>0.24499999999999997</v>
      </c>
      <c r="D6" s="715">
        <v>0.105</v>
      </c>
      <c r="E6" s="715">
        <v>5.5999999999999994E-2</v>
      </c>
      <c r="F6" s="715">
        <v>5.5999999999999994E-2</v>
      </c>
      <c r="G6" s="715">
        <v>5.5999999999999994E-2</v>
      </c>
      <c r="H6" s="715">
        <v>5.5999999999999994E-2</v>
      </c>
      <c r="I6" s="715">
        <v>5.5999999999999994E-2</v>
      </c>
      <c r="J6" s="715">
        <v>5.5999999999999994E-2</v>
      </c>
      <c r="K6" s="715">
        <v>0</v>
      </c>
      <c r="L6" s="715">
        <v>0</v>
      </c>
      <c r="M6" s="715">
        <v>0</v>
      </c>
      <c r="N6" s="715">
        <v>0</v>
      </c>
      <c r="O6" s="220">
        <f t="shared" si="1"/>
        <v>0.68600000000000017</v>
      </c>
      <c r="P6" s="715"/>
      <c r="Q6" s="715"/>
      <c r="R6" s="715"/>
      <c r="S6" s="715"/>
      <c r="T6" s="715"/>
      <c r="U6" s="715"/>
      <c r="V6" s="715"/>
      <c r="W6" s="715"/>
      <c r="X6" s="715"/>
      <c r="Y6" s="715"/>
      <c r="Z6" s="715"/>
      <c r="AA6" s="715"/>
      <c r="AC6" s="713"/>
      <c r="AD6" s="713"/>
      <c r="AE6" s="713"/>
      <c r="AF6" s="713"/>
      <c r="AG6" s="713"/>
      <c r="AH6" s="713"/>
      <c r="AI6" s="713"/>
      <c r="AJ6" s="713"/>
      <c r="AK6" s="713"/>
      <c r="AL6" s="713"/>
      <c r="AM6" s="713"/>
      <c r="AN6" s="713"/>
    </row>
    <row r="7" spans="1:45" ht="15.5" x14ac:dyDescent="0.35">
      <c r="A7" s="206" t="s">
        <v>333</v>
      </c>
      <c r="B7" s="554" t="s">
        <v>334</v>
      </c>
      <c r="C7" s="715">
        <v>0.315</v>
      </c>
      <c r="D7" s="715">
        <v>0.315</v>
      </c>
      <c r="E7" s="715">
        <v>9.0000000000000011E-2</v>
      </c>
      <c r="F7" s="715">
        <v>9.0000000000000011E-2</v>
      </c>
      <c r="G7" s="715">
        <v>4.5000000000000005E-2</v>
      </c>
      <c r="H7" s="715">
        <v>4.5000000000000005E-2</v>
      </c>
      <c r="I7" s="715">
        <v>0</v>
      </c>
      <c r="J7" s="715">
        <v>0</v>
      </c>
      <c r="K7" s="715">
        <v>0</v>
      </c>
      <c r="L7" s="715">
        <v>0</v>
      </c>
      <c r="M7" s="715">
        <v>0</v>
      </c>
      <c r="N7" s="715">
        <v>0</v>
      </c>
      <c r="O7" s="220">
        <f t="shared" si="1"/>
        <v>0.9</v>
      </c>
      <c r="P7" s="715"/>
      <c r="Q7" s="715"/>
      <c r="R7" s="715"/>
      <c r="S7" s="715"/>
      <c r="T7" s="715"/>
      <c r="U7" s="715"/>
      <c r="V7" s="715"/>
      <c r="W7" s="715"/>
      <c r="X7" s="715"/>
      <c r="Y7" s="715"/>
      <c r="Z7" s="715"/>
      <c r="AA7" s="715"/>
      <c r="AC7" s="713"/>
      <c r="AD7" s="713"/>
      <c r="AE7" s="713"/>
      <c r="AF7" s="713"/>
      <c r="AG7" s="713"/>
      <c r="AH7" s="713"/>
      <c r="AI7" s="713"/>
      <c r="AJ7" s="713"/>
      <c r="AK7" s="713"/>
      <c r="AL7" s="713"/>
      <c r="AM7" s="713"/>
      <c r="AN7" s="713"/>
    </row>
    <row r="8" spans="1:45" ht="15.5" x14ac:dyDescent="0.35">
      <c r="A8" s="206" t="s">
        <v>335</v>
      </c>
      <c r="B8" s="554" t="s">
        <v>336</v>
      </c>
      <c r="C8" s="715">
        <v>0.22500000000000001</v>
      </c>
      <c r="D8" s="715">
        <v>0.22500000000000001</v>
      </c>
      <c r="E8" s="715">
        <v>0.22500000000000001</v>
      </c>
      <c r="F8" s="715">
        <v>0.22500000000000001</v>
      </c>
      <c r="G8" s="715">
        <v>0</v>
      </c>
      <c r="H8" s="715">
        <v>0</v>
      </c>
      <c r="I8" s="715">
        <v>0</v>
      </c>
      <c r="J8" s="715">
        <v>0</v>
      </c>
      <c r="K8" s="715">
        <v>0</v>
      </c>
      <c r="L8" s="715">
        <v>0</v>
      </c>
      <c r="M8" s="715">
        <v>0</v>
      </c>
      <c r="N8" s="715">
        <v>0</v>
      </c>
      <c r="O8" s="220">
        <f t="shared" si="1"/>
        <v>0.9</v>
      </c>
      <c r="P8" s="715"/>
      <c r="Q8" s="715"/>
      <c r="R8" s="715"/>
      <c r="S8" s="715"/>
      <c r="T8" s="715"/>
      <c r="U8" s="715"/>
      <c r="V8" s="715"/>
      <c r="W8" s="715"/>
      <c r="X8" s="715"/>
      <c r="Y8" s="715"/>
      <c r="Z8" s="715"/>
      <c r="AA8" s="715"/>
      <c r="AC8" s="713"/>
      <c r="AD8" s="713"/>
      <c r="AE8" s="713"/>
      <c r="AF8" s="713"/>
      <c r="AG8" s="713"/>
      <c r="AH8" s="713"/>
      <c r="AI8" s="713"/>
      <c r="AJ8" s="713"/>
      <c r="AK8" s="713"/>
      <c r="AL8" s="713"/>
      <c r="AM8" s="713"/>
      <c r="AN8" s="713"/>
    </row>
    <row r="9" spans="1:45" ht="15.5" x14ac:dyDescent="0.35">
      <c r="A9" s="206" t="s">
        <v>337</v>
      </c>
      <c r="B9" s="554" t="s">
        <v>338</v>
      </c>
      <c r="C9" s="715">
        <v>4.9500000000000002E-2</v>
      </c>
      <c r="D9" s="715">
        <v>4.2750000000000003E-2</v>
      </c>
      <c r="E9" s="715">
        <v>4.0500000000000001E-2</v>
      </c>
      <c r="F9" s="715">
        <v>3.8250000000000006E-2</v>
      </c>
      <c r="G9" s="715">
        <v>3.6000000000000004E-2</v>
      </c>
      <c r="H9" s="715">
        <v>3.6000000000000004E-2</v>
      </c>
      <c r="I9" s="715">
        <v>3.6000000000000004E-2</v>
      </c>
      <c r="J9" s="715">
        <v>3.6000000000000004E-2</v>
      </c>
      <c r="K9" s="715">
        <v>3.3750000000000002E-2</v>
      </c>
      <c r="L9" s="715">
        <v>3.3750000000000002E-2</v>
      </c>
      <c r="M9" s="715">
        <v>3.3750000000000002E-2</v>
      </c>
      <c r="N9" s="715">
        <v>3.3750000000000002E-2</v>
      </c>
      <c r="O9" s="220">
        <f t="shared" si="1"/>
        <v>0.45000000000000007</v>
      </c>
      <c r="P9" s="715"/>
      <c r="Q9" s="715"/>
      <c r="R9" s="715"/>
      <c r="S9" s="715"/>
      <c r="T9" s="715"/>
      <c r="U9" s="715"/>
      <c r="V9" s="715"/>
      <c r="W9" s="715"/>
      <c r="X9" s="715"/>
      <c r="Y9" s="715"/>
      <c r="Z9" s="715"/>
      <c r="AA9" s="715"/>
      <c r="AC9" s="713"/>
      <c r="AD9" s="713"/>
      <c r="AE9" s="713"/>
      <c r="AF9" s="713"/>
      <c r="AG9" s="713"/>
      <c r="AH9" s="713"/>
      <c r="AI9" s="713"/>
      <c r="AJ9" s="713"/>
      <c r="AK9" s="713"/>
      <c r="AL9" s="713"/>
      <c r="AM9" s="713"/>
      <c r="AN9" s="713"/>
    </row>
    <row r="10" spans="1:45" ht="15.5" x14ac:dyDescent="0.35">
      <c r="A10" s="206" t="s">
        <v>339</v>
      </c>
      <c r="B10" s="554" t="s">
        <v>229</v>
      </c>
      <c r="C10" s="715">
        <v>0.14000000000000001</v>
      </c>
      <c r="D10" s="715">
        <v>0.1</v>
      </c>
      <c r="E10" s="715">
        <v>0.1</v>
      </c>
      <c r="F10" s="715">
        <v>0.05</v>
      </c>
      <c r="G10" s="715">
        <v>0.05</v>
      </c>
      <c r="H10" s="715">
        <v>0.05</v>
      </c>
      <c r="I10" s="715">
        <v>0.05</v>
      </c>
      <c r="J10" s="715">
        <v>0.05</v>
      </c>
      <c r="K10" s="715">
        <v>0.05</v>
      </c>
      <c r="L10" s="715">
        <v>0</v>
      </c>
      <c r="M10" s="715">
        <v>0</v>
      </c>
      <c r="N10" s="715">
        <v>0</v>
      </c>
      <c r="O10" s="220">
        <f>SUM(C10:N10)</f>
        <v>0.64000000000000012</v>
      </c>
      <c r="P10" s="715"/>
      <c r="Q10" s="715"/>
      <c r="R10" s="715"/>
      <c r="S10" s="715"/>
      <c r="T10" s="715"/>
      <c r="U10" s="715"/>
      <c r="V10" s="715"/>
      <c r="W10" s="715"/>
      <c r="X10" s="715"/>
      <c r="Y10" s="715"/>
      <c r="Z10" s="715"/>
      <c r="AA10" s="715"/>
      <c r="AC10" s="713"/>
      <c r="AD10" s="713"/>
      <c r="AE10" s="713"/>
      <c r="AF10" s="713"/>
      <c r="AG10" s="713"/>
      <c r="AH10" s="713"/>
      <c r="AI10" s="713"/>
      <c r="AJ10" s="713"/>
      <c r="AK10" s="713"/>
      <c r="AL10" s="713"/>
      <c r="AM10" s="713"/>
      <c r="AN10" s="713"/>
    </row>
    <row r="11" spans="1:45" ht="15.5" x14ac:dyDescent="0.35">
      <c r="A11" s="206" t="s">
        <v>340</v>
      </c>
      <c r="B11" s="554" t="s">
        <v>341</v>
      </c>
      <c r="C11" s="715">
        <v>0.2</v>
      </c>
      <c r="D11" s="715">
        <v>0.17</v>
      </c>
      <c r="E11" s="715">
        <v>0.16</v>
      </c>
      <c r="F11" s="715">
        <v>0.15</v>
      </c>
      <c r="G11" s="715">
        <v>0.09</v>
      </c>
      <c r="H11" s="715">
        <v>0.05</v>
      </c>
      <c r="I11" s="715">
        <v>0.05</v>
      </c>
      <c r="J11" s="715">
        <v>0.04</v>
      </c>
      <c r="K11" s="715">
        <v>0</v>
      </c>
      <c r="L11" s="715">
        <v>0</v>
      </c>
      <c r="M11" s="715">
        <v>0</v>
      </c>
      <c r="N11" s="715">
        <v>0</v>
      </c>
      <c r="O11" s="220">
        <f>SUM(C11:N11)</f>
        <v>0.91000000000000014</v>
      </c>
      <c r="P11" s="715"/>
      <c r="Q11" s="715"/>
      <c r="R11" s="715"/>
      <c r="S11" s="715"/>
      <c r="T11" s="715"/>
      <c r="U11" s="715"/>
      <c r="V11" s="715"/>
      <c r="W11" s="715"/>
      <c r="X11" s="715"/>
      <c r="Y11" s="715"/>
      <c r="Z11" s="715"/>
      <c r="AA11" s="715"/>
      <c r="AC11" s="713"/>
      <c r="AD11" s="713"/>
      <c r="AE11" s="713"/>
      <c r="AF11" s="713"/>
      <c r="AG11" s="713"/>
      <c r="AH11" s="713"/>
      <c r="AI11" s="713"/>
      <c r="AJ11" s="713"/>
      <c r="AK11" s="713"/>
      <c r="AL11" s="713"/>
      <c r="AM11" s="713"/>
      <c r="AN11" s="713"/>
    </row>
    <row r="12" spans="1:45" ht="31" x14ac:dyDescent="0.35">
      <c r="A12" s="207" t="s">
        <v>342</v>
      </c>
      <c r="B12" s="556" t="s">
        <v>343</v>
      </c>
      <c r="C12" s="715">
        <v>0.2</v>
      </c>
      <c r="D12" s="715">
        <v>0.17</v>
      </c>
      <c r="E12" s="715">
        <v>0.16</v>
      </c>
      <c r="F12" s="715">
        <v>0.15</v>
      </c>
      <c r="G12" s="715">
        <v>0.09</v>
      </c>
      <c r="H12" s="715">
        <v>0.05</v>
      </c>
      <c r="I12" s="715">
        <v>0.05</v>
      </c>
      <c r="J12" s="715">
        <v>0.04</v>
      </c>
      <c r="K12" s="715">
        <v>0</v>
      </c>
      <c r="L12" s="715">
        <v>0</v>
      </c>
      <c r="M12" s="715">
        <v>0</v>
      </c>
      <c r="N12" s="715">
        <v>0</v>
      </c>
      <c r="O12" s="220">
        <f t="shared" si="1"/>
        <v>0.91000000000000014</v>
      </c>
      <c r="P12" s="715"/>
      <c r="Q12" s="715"/>
      <c r="R12" s="715"/>
      <c r="S12" s="715"/>
      <c r="T12" s="715"/>
      <c r="U12" s="715"/>
      <c r="V12" s="715"/>
      <c r="W12" s="715"/>
      <c r="X12" s="715"/>
      <c r="Y12" s="715"/>
      <c r="Z12" s="715"/>
      <c r="AA12" s="715"/>
      <c r="AC12" s="713"/>
      <c r="AD12" s="713"/>
      <c r="AE12" s="713"/>
      <c r="AF12" s="713"/>
      <c r="AG12" s="713"/>
      <c r="AH12" s="713"/>
      <c r="AI12" s="713"/>
      <c r="AJ12" s="713"/>
      <c r="AK12" s="713"/>
      <c r="AL12" s="713"/>
      <c r="AM12" s="713"/>
      <c r="AN12" s="713"/>
    </row>
    <row r="13" spans="1:45" ht="31" x14ac:dyDescent="0.35">
      <c r="A13" s="207" t="s">
        <v>344</v>
      </c>
      <c r="B13" s="556" t="s">
        <v>345</v>
      </c>
      <c r="C13" s="715">
        <v>0.14000000000000001</v>
      </c>
      <c r="D13" s="715">
        <v>0.1</v>
      </c>
      <c r="E13" s="715">
        <v>0.1</v>
      </c>
      <c r="F13" s="715">
        <v>0.05</v>
      </c>
      <c r="G13" s="715">
        <v>0.05</v>
      </c>
      <c r="H13" s="715">
        <v>0.05</v>
      </c>
      <c r="I13" s="715">
        <v>0.05</v>
      </c>
      <c r="J13" s="715">
        <v>0.05</v>
      </c>
      <c r="K13" s="715">
        <v>0.05</v>
      </c>
      <c r="L13" s="715">
        <v>0</v>
      </c>
      <c r="M13" s="715">
        <v>0</v>
      </c>
      <c r="N13" s="715">
        <v>0</v>
      </c>
      <c r="O13" s="220">
        <f t="shared" si="1"/>
        <v>0.64000000000000012</v>
      </c>
      <c r="P13" s="715"/>
      <c r="Q13" s="715"/>
      <c r="R13" s="715"/>
      <c r="S13" s="715"/>
      <c r="T13" s="715"/>
      <c r="U13" s="715"/>
      <c r="V13" s="715"/>
      <c r="W13" s="715"/>
      <c r="X13" s="715"/>
      <c r="Y13" s="715"/>
      <c r="Z13" s="715"/>
      <c r="AA13" s="715"/>
      <c r="AC13" s="713"/>
      <c r="AD13" s="713"/>
      <c r="AE13" s="713"/>
      <c r="AF13" s="713"/>
      <c r="AG13" s="713"/>
      <c r="AH13" s="713"/>
      <c r="AI13" s="713"/>
      <c r="AJ13" s="713"/>
      <c r="AK13" s="713"/>
      <c r="AL13" s="713"/>
      <c r="AM13" s="713"/>
      <c r="AN13" s="713"/>
    </row>
    <row r="14" spans="1:45" ht="46.5" x14ac:dyDescent="0.35">
      <c r="A14" s="207" t="s">
        <v>346</v>
      </c>
      <c r="B14" s="556" t="s">
        <v>347</v>
      </c>
      <c r="C14" s="715">
        <v>0.04</v>
      </c>
      <c r="D14" s="715">
        <v>0.04</v>
      </c>
      <c r="E14" s="715">
        <v>1.7000000000000001E-2</v>
      </c>
      <c r="F14" s="715">
        <v>1.7000000000000001E-2</v>
      </c>
      <c r="G14" s="715">
        <v>1.7000000000000001E-2</v>
      </c>
      <c r="H14" s="715">
        <v>1.7000000000000001E-2</v>
      </c>
      <c r="I14" s="715">
        <v>1.7000000000000001E-2</v>
      </c>
      <c r="J14" s="715">
        <v>1.7000000000000001E-2</v>
      </c>
      <c r="K14" s="715">
        <v>1.7000000000000001E-2</v>
      </c>
      <c r="L14" s="715">
        <v>1.7000000000000001E-2</v>
      </c>
      <c r="M14" s="715">
        <v>1.7000000000000001E-2</v>
      </c>
      <c r="N14" s="715">
        <v>1.7000000000000001E-2</v>
      </c>
      <c r="O14" s="220">
        <f>SUM(C14:N14)</f>
        <v>0.25000000000000011</v>
      </c>
      <c r="P14" s="715"/>
      <c r="Q14" s="715"/>
      <c r="R14" s="715"/>
      <c r="S14" s="715"/>
      <c r="T14" s="715"/>
      <c r="U14" s="715"/>
      <c r="V14" s="715"/>
      <c r="W14" s="715"/>
      <c r="X14" s="715"/>
      <c r="Y14" s="715"/>
      <c r="Z14" s="715"/>
      <c r="AA14" s="715"/>
      <c r="AC14" s="713"/>
      <c r="AD14" s="713"/>
      <c r="AE14" s="713"/>
      <c r="AF14" s="713"/>
      <c r="AG14" s="713"/>
      <c r="AH14" s="713"/>
      <c r="AI14" s="713"/>
      <c r="AJ14" s="713"/>
      <c r="AK14" s="713"/>
      <c r="AL14" s="713"/>
      <c r="AM14" s="713"/>
      <c r="AN14" s="713"/>
    </row>
  </sheetData>
  <mergeCells count="1">
    <mergeCell ref="A1:O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L40"/>
  <sheetViews>
    <sheetView topLeftCell="A7" zoomScale="70" zoomScaleNormal="70" workbookViewId="0">
      <selection activeCell="G16" sqref="G16"/>
    </sheetView>
  </sheetViews>
  <sheetFormatPr defaultColWidth="8.453125" defaultRowHeight="14" x14ac:dyDescent="0.3"/>
  <cols>
    <col min="1" max="1" width="8.453125" style="27"/>
    <col min="2" max="2" width="52.453125" style="27" customWidth="1"/>
    <col min="3" max="7" width="11.453125" style="27" customWidth="1"/>
    <col min="8" max="8" width="12.1796875" style="27" bestFit="1" customWidth="1"/>
    <col min="9" max="9" width="8.453125" style="27" bestFit="1" customWidth="1"/>
    <col min="10" max="10" width="10.453125" style="27" bestFit="1" customWidth="1"/>
    <col min="11" max="11" width="8.453125" style="27" bestFit="1" customWidth="1"/>
    <col min="12" max="12" width="11.453125" style="27" bestFit="1" customWidth="1"/>
    <col min="13" max="20" width="9.453125" style="27" customWidth="1"/>
    <col min="21" max="25" width="10.7265625" style="27" customWidth="1"/>
    <col min="26" max="26" width="11.1796875" style="27" customWidth="1"/>
    <col min="27" max="32" width="9.453125" style="27" customWidth="1"/>
    <col min="33" max="36" width="8.453125" style="27" bestFit="1" customWidth="1"/>
    <col min="37" max="16384" width="8.453125" style="27"/>
  </cols>
  <sheetData>
    <row r="1" spans="2:30" x14ac:dyDescent="0.3">
      <c r="B1" s="1290" t="s">
        <v>53</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30" ht="14.25" customHeight="1" x14ac:dyDescent="0.3">
      <c r="B2" s="1291" t="s">
        <v>348</v>
      </c>
      <c r="C2" s="1291"/>
      <c r="D2" s="1291"/>
      <c r="E2" s="1291"/>
      <c r="F2" s="1291"/>
      <c r="G2" s="1291"/>
      <c r="H2" s="1291"/>
      <c r="I2" s="1291"/>
      <c r="J2" s="1291"/>
      <c r="K2" s="1291"/>
      <c r="L2" s="1291"/>
      <c r="M2" s="1291"/>
      <c r="N2" s="1291"/>
      <c r="O2" s="1291"/>
      <c r="P2" s="1291"/>
      <c r="Q2" s="1291"/>
      <c r="R2" s="1291"/>
      <c r="S2" s="1291"/>
      <c r="T2" s="1291"/>
      <c r="U2" s="1291"/>
      <c r="V2" s="1291"/>
      <c r="W2" s="1291"/>
      <c r="X2" s="1291"/>
      <c r="Y2" s="1291"/>
      <c r="Z2" s="1291"/>
      <c r="AA2" s="1291"/>
      <c r="AB2" s="1291"/>
      <c r="AC2" s="1291"/>
    </row>
    <row r="3" spans="2:30" x14ac:dyDescent="0.3">
      <c r="B3" s="1291"/>
      <c r="C3" s="1291"/>
      <c r="D3" s="1291"/>
      <c r="E3" s="1291"/>
      <c r="F3" s="1291"/>
      <c r="G3" s="1291"/>
      <c r="H3" s="1291"/>
      <c r="I3" s="1291"/>
      <c r="J3" s="1291"/>
      <c r="K3" s="1291"/>
      <c r="L3" s="1291"/>
      <c r="M3" s="1291"/>
      <c r="N3" s="1291"/>
      <c r="O3" s="1291"/>
      <c r="P3" s="1291"/>
      <c r="Q3" s="1291"/>
      <c r="R3" s="1291"/>
      <c r="S3" s="1291"/>
      <c r="T3" s="1291"/>
      <c r="U3" s="1291"/>
      <c r="V3" s="1291"/>
      <c r="W3" s="1291"/>
      <c r="X3" s="1291"/>
      <c r="Y3" s="1291"/>
      <c r="Z3" s="1291"/>
      <c r="AA3" s="1291"/>
      <c r="AB3" s="1291"/>
      <c r="AC3" s="1291"/>
    </row>
    <row r="4" spans="2:30" x14ac:dyDescent="0.3">
      <c r="B4" s="1291"/>
      <c r="C4" s="1291"/>
      <c r="D4" s="1291"/>
      <c r="E4" s="1291"/>
      <c r="F4" s="1291"/>
      <c r="G4" s="1291"/>
      <c r="H4" s="1291"/>
      <c r="I4" s="1291"/>
      <c r="J4" s="1291"/>
      <c r="K4" s="1291"/>
      <c r="L4" s="1291"/>
      <c r="M4" s="1291"/>
      <c r="N4" s="1291"/>
      <c r="O4" s="1291"/>
      <c r="P4" s="1291"/>
      <c r="Q4" s="1291"/>
      <c r="R4" s="1291"/>
      <c r="S4" s="1291"/>
      <c r="T4" s="1291"/>
      <c r="U4" s="1291"/>
      <c r="V4" s="1291"/>
      <c r="W4" s="1291"/>
      <c r="X4" s="1291"/>
      <c r="Y4" s="1291"/>
      <c r="Z4" s="1291"/>
      <c r="AA4" s="1291"/>
      <c r="AB4" s="1291"/>
      <c r="AC4" s="1291"/>
    </row>
    <row r="5" spans="2:30" x14ac:dyDescent="0.3">
      <c r="B5" s="1291"/>
      <c r="C5" s="1291"/>
      <c r="D5" s="1291"/>
      <c r="E5" s="1291"/>
      <c r="F5" s="1291"/>
      <c r="G5" s="1291"/>
      <c r="H5" s="1291"/>
      <c r="I5" s="1291"/>
      <c r="J5" s="1291"/>
      <c r="K5" s="1291"/>
      <c r="L5" s="1291"/>
      <c r="M5" s="1291"/>
      <c r="N5" s="1291"/>
      <c r="O5" s="1291"/>
      <c r="P5" s="1291"/>
      <c r="Q5" s="1291"/>
      <c r="R5" s="1291"/>
      <c r="S5" s="1291"/>
      <c r="T5" s="1291"/>
      <c r="U5" s="1291"/>
      <c r="V5" s="1291"/>
      <c r="W5" s="1291"/>
      <c r="X5" s="1291"/>
      <c r="Y5" s="1291"/>
      <c r="Z5" s="1291"/>
      <c r="AA5" s="1291"/>
      <c r="AB5" s="1291"/>
      <c r="AC5" s="1291"/>
    </row>
    <row r="6" spans="2:30" ht="38.65" customHeight="1" x14ac:dyDescent="0.3">
      <c r="B6" s="1291"/>
      <c r="C6" s="1291"/>
      <c r="D6" s="1291"/>
      <c r="E6" s="1291"/>
      <c r="F6" s="1291"/>
      <c r="G6" s="1291"/>
      <c r="H6" s="1291"/>
      <c r="I6" s="1291"/>
      <c r="J6" s="1291"/>
      <c r="K6" s="1291"/>
      <c r="L6" s="1291"/>
      <c r="M6" s="1291"/>
      <c r="N6" s="1291"/>
      <c r="O6" s="1291"/>
      <c r="P6" s="1291"/>
      <c r="Q6" s="1291"/>
      <c r="R6" s="1291"/>
      <c r="S6" s="1291"/>
      <c r="T6" s="1291"/>
      <c r="U6" s="1291"/>
      <c r="V6" s="1291"/>
      <c r="W6" s="1291"/>
      <c r="X6" s="1291"/>
      <c r="Y6" s="1291"/>
      <c r="Z6" s="1291"/>
      <c r="AA6" s="1291"/>
      <c r="AB6" s="1291"/>
      <c r="AC6" s="1291"/>
    </row>
    <row r="7" spans="2:30" x14ac:dyDescent="0.3">
      <c r="B7" s="38"/>
      <c r="C7" s="38"/>
      <c r="D7" s="38"/>
      <c r="E7" s="38"/>
      <c r="F7" s="38"/>
      <c r="G7" s="38"/>
      <c r="H7" s="39"/>
      <c r="I7" s="39"/>
      <c r="J7" s="39"/>
      <c r="K7" s="39"/>
      <c r="L7" s="39"/>
      <c r="M7" s="39"/>
      <c r="N7" s="39"/>
      <c r="O7" s="39"/>
      <c r="P7" s="39"/>
      <c r="Q7" s="39"/>
      <c r="R7" s="39"/>
      <c r="S7" s="39"/>
      <c r="T7" s="39"/>
      <c r="U7" s="39"/>
      <c r="V7" s="39"/>
      <c r="W7" s="39"/>
      <c r="X7" s="39"/>
      <c r="Y7" s="39"/>
    </row>
    <row r="8" spans="2:30" ht="14.65" customHeight="1" x14ac:dyDescent="0.3">
      <c r="B8" s="1295" t="s">
        <v>349</v>
      </c>
      <c r="C8" s="1296"/>
      <c r="D8" s="1307" t="s">
        <v>350</v>
      </c>
      <c r="E8" s="1308"/>
      <c r="F8" s="1308"/>
      <c r="G8" s="1308"/>
      <c r="H8" s="1308"/>
      <c r="I8" s="1308"/>
      <c r="J8" s="1308"/>
      <c r="K8" s="1308"/>
      <c r="L8" s="1308"/>
      <c r="M8" s="1308"/>
      <c r="N8" s="1308"/>
      <c r="O8" s="1308"/>
      <c r="P8" s="1309"/>
      <c r="Q8" s="1304" t="s">
        <v>351</v>
      </c>
      <c r="R8" s="1305"/>
      <c r="S8" s="1305"/>
      <c r="T8" s="1305"/>
      <c r="U8" s="1305"/>
      <c r="V8" s="1305"/>
      <c r="W8" s="1305"/>
      <c r="X8" s="1305"/>
      <c r="Y8" s="1305"/>
      <c r="Z8" s="1305"/>
      <c r="AA8" s="1305"/>
      <c r="AB8" s="1305"/>
      <c r="AC8" s="1306"/>
    </row>
    <row r="9" spans="2:30" ht="12.75" customHeight="1" x14ac:dyDescent="0.3">
      <c r="B9" s="1297"/>
      <c r="C9" s="1298"/>
      <c r="D9" s="455">
        <v>2018</v>
      </c>
      <c r="E9" s="1292">
        <v>2019</v>
      </c>
      <c r="F9" s="1293"/>
      <c r="G9" s="1293"/>
      <c r="H9" s="1294"/>
      <c r="I9" s="1293">
        <v>2020</v>
      </c>
      <c r="J9" s="1293"/>
      <c r="K9" s="1293"/>
      <c r="L9" s="1293"/>
      <c r="M9" s="1302">
        <v>2021</v>
      </c>
      <c r="N9" s="1293"/>
      <c r="O9" s="1293"/>
      <c r="P9" s="1303"/>
      <c r="Q9" s="1299">
        <v>2022</v>
      </c>
      <c r="R9" s="1300"/>
      <c r="S9" s="1300"/>
      <c r="T9" s="1300"/>
      <c r="U9" s="1299">
        <v>2023</v>
      </c>
      <c r="V9" s="1300"/>
      <c r="W9" s="1300"/>
      <c r="X9" s="1301"/>
      <c r="Y9" s="1299">
        <v>2024</v>
      </c>
      <c r="Z9" s="1300"/>
      <c r="AA9" s="1300"/>
      <c r="AB9" s="1300"/>
      <c r="AC9" s="306">
        <v>2025</v>
      </c>
    </row>
    <row r="10" spans="2:30" ht="14.65" customHeight="1" x14ac:dyDescent="0.3">
      <c r="B10" s="1297"/>
      <c r="C10" s="1298"/>
      <c r="D10" s="156" t="s">
        <v>352</v>
      </c>
      <c r="E10" s="156" t="s">
        <v>353</v>
      </c>
      <c r="F10" s="139" t="s">
        <v>354</v>
      </c>
      <c r="G10" s="139" t="s">
        <v>253</v>
      </c>
      <c r="H10" s="146" t="s">
        <v>352</v>
      </c>
      <c r="I10" s="140" t="s">
        <v>353</v>
      </c>
      <c r="J10" s="140" t="s">
        <v>354</v>
      </c>
      <c r="K10" s="140" t="s">
        <v>253</v>
      </c>
      <c r="L10" s="140" t="s">
        <v>352</v>
      </c>
      <c r="M10" s="151" t="s">
        <v>353</v>
      </c>
      <c r="N10" s="773" t="s">
        <v>354</v>
      </c>
      <c r="O10" s="773" t="s">
        <v>253</v>
      </c>
      <c r="P10" s="30" t="s">
        <v>352</v>
      </c>
      <c r="Q10" s="51" t="s">
        <v>353</v>
      </c>
      <c r="R10" s="51" t="s">
        <v>354</v>
      </c>
      <c r="S10" s="51" t="s">
        <v>253</v>
      </c>
      <c r="T10" s="51" t="s">
        <v>352</v>
      </c>
      <c r="U10" s="50" t="s">
        <v>353</v>
      </c>
      <c r="V10" s="51" t="s">
        <v>354</v>
      </c>
      <c r="W10" s="51" t="s">
        <v>253</v>
      </c>
      <c r="X10" s="52" t="s">
        <v>352</v>
      </c>
      <c r="Y10" s="50" t="s">
        <v>353</v>
      </c>
      <c r="Z10" s="402" t="s">
        <v>354</v>
      </c>
      <c r="AA10" s="51" t="s">
        <v>253</v>
      </c>
      <c r="AB10" s="51" t="s">
        <v>352</v>
      </c>
      <c r="AC10" s="53" t="s">
        <v>353</v>
      </c>
    </row>
    <row r="11" spans="2:30" x14ac:dyDescent="0.3">
      <c r="B11" s="328" t="s">
        <v>116</v>
      </c>
      <c r="C11" s="702" t="s">
        <v>355</v>
      </c>
      <c r="D11" s="926">
        <f>'Haver Pivoted'!GO14</f>
        <v>27.1</v>
      </c>
      <c r="E11" s="907">
        <f>'Haver Pivoted'!GP14</f>
        <v>28.4</v>
      </c>
      <c r="F11" s="907">
        <f>'Haver Pivoted'!GQ14</f>
        <v>27.8</v>
      </c>
      <c r="G11" s="907">
        <f>'Haver Pivoted'!GR14</f>
        <v>27.4</v>
      </c>
      <c r="H11" s="907">
        <f>'Haver Pivoted'!GS14</f>
        <v>26.8</v>
      </c>
      <c r="I11" s="907">
        <f>'Haver Pivoted'!GT14</f>
        <v>39.5</v>
      </c>
      <c r="J11" s="907">
        <f>'Haver Pivoted'!GU14</f>
        <v>1039.4000000000001</v>
      </c>
      <c r="K11" s="907">
        <f>'Haver Pivoted'!GV14</f>
        <v>767.8</v>
      </c>
      <c r="L11" s="907">
        <f>'Haver Pivoted'!GW14</f>
        <v>299.89999999999998</v>
      </c>
      <c r="M11" s="907">
        <f>'Haver Pivoted'!GX14</f>
        <v>565.79999999999995</v>
      </c>
      <c r="N11" s="907">
        <f>'Haver Pivoted'!GY14</f>
        <v>480.4</v>
      </c>
      <c r="O11" s="907">
        <f>'Haver Pivoted'!GZ14</f>
        <v>272.3</v>
      </c>
      <c r="P11" s="908">
        <f>'Haver Pivoted'!HA14</f>
        <v>37.700000000000003</v>
      </c>
      <c r="Q11" s="717">
        <f t="shared" ref="Q11:AC11" si="0">Q12+Q13+Q20</f>
        <v>26.36900787401575</v>
      </c>
      <c r="R11" s="717">
        <f t="shared" si="0"/>
        <v>24.537826771653545</v>
      </c>
      <c r="S11" s="717">
        <f t="shared" si="0"/>
        <v>23.657574803149608</v>
      </c>
      <c r="T11" s="717">
        <f t="shared" si="0"/>
        <v>23.36844094488189</v>
      </c>
      <c r="U11" s="717">
        <f t="shared" si="0"/>
        <v>23.529070866141733</v>
      </c>
      <c r="V11" s="717">
        <f t="shared" si="0"/>
        <v>23.88888188976378</v>
      </c>
      <c r="W11" s="717">
        <f t="shared" si="0"/>
        <v>24.255118110236221</v>
      </c>
      <c r="X11" s="717">
        <f t="shared" si="0"/>
        <v>24.640629921259844</v>
      </c>
      <c r="Y11" s="717">
        <f t="shared" si="0"/>
        <v>25.122519685039375</v>
      </c>
      <c r="Z11" s="717">
        <f t="shared" si="0"/>
        <v>25.520881889763785</v>
      </c>
      <c r="AA11" s="717">
        <f t="shared" si="0"/>
        <v>25.835716535433075</v>
      </c>
      <c r="AB11" s="717">
        <f t="shared" si="0"/>
        <v>26.227653543307088</v>
      </c>
      <c r="AC11" s="516">
        <f t="shared" si="0"/>
        <v>26.606740157480321</v>
      </c>
      <c r="AD11" s="27" t="s">
        <v>356</v>
      </c>
    </row>
    <row r="12" spans="2:30" x14ac:dyDescent="0.3">
      <c r="B12" s="322" t="s">
        <v>357</v>
      </c>
      <c r="C12" s="323" t="s">
        <v>358</v>
      </c>
      <c r="D12" s="909">
        <f>'Haver Pivoted'!GO63</f>
        <v>0</v>
      </c>
      <c r="E12" s="920">
        <f>'Haver Pivoted'!GP63</f>
        <v>0</v>
      </c>
      <c r="F12" s="920">
        <f>'Haver Pivoted'!GQ63</f>
        <v>0</v>
      </c>
      <c r="G12" s="920">
        <f>'Haver Pivoted'!GR63</f>
        <v>0</v>
      </c>
      <c r="H12" s="920">
        <f>'Haver Pivoted'!GS63</f>
        <v>0</v>
      </c>
      <c r="I12" s="920">
        <f>'Haver Pivoted'!GT63</f>
        <v>0</v>
      </c>
      <c r="J12" s="920">
        <f>'Haver Pivoted'!GU63</f>
        <v>0.1</v>
      </c>
      <c r="K12" s="920">
        <f>'Haver Pivoted'!GV63</f>
        <v>3.7</v>
      </c>
      <c r="L12" s="920">
        <f>'Haver Pivoted'!GW63</f>
        <v>12.9</v>
      </c>
      <c r="M12" s="920">
        <f>'Haver Pivoted'!GX63</f>
        <v>25</v>
      </c>
      <c r="N12" s="920">
        <f>'Haver Pivoted'!GY63</f>
        <v>5.8</v>
      </c>
      <c r="O12" s="920">
        <f>'Haver Pivoted'!GZ63</f>
        <v>5.7</v>
      </c>
      <c r="P12" s="908">
        <f>'Haver Pivoted'!HA63</f>
        <v>2.4</v>
      </c>
      <c r="Q12" s="874">
        <v>0</v>
      </c>
      <c r="R12" s="874">
        <f>MAX(Q12*(R22-5)/(Q22-5),0)</f>
        <v>0</v>
      </c>
      <c r="S12" s="874">
        <f>MAX(R12*(S22-5)/(R22-5),0)</f>
        <v>0</v>
      </c>
      <c r="T12" s="874">
        <f>MAX(S12*(T22-5)/(S22-5),0)</f>
        <v>0</v>
      </c>
      <c r="U12" s="874">
        <f t="shared" ref="U12:AC12" si="1">T12*U22/T22</f>
        <v>0</v>
      </c>
      <c r="V12" s="874">
        <f t="shared" si="1"/>
        <v>0</v>
      </c>
      <c r="W12" s="874">
        <f t="shared" si="1"/>
        <v>0</v>
      </c>
      <c r="X12" s="874">
        <f t="shared" si="1"/>
        <v>0</v>
      </c>
      <c r="Y12" s="874">
        <f t="shared" si="1"/>
        <v>0</v>
      </c>
      <c r="Z12" s="874">
        <f t="shared" si="1"/>
        <v>0</v>
      </c>
      <c r="AA12" s="874">
        <f t="shared" si="1"/>
        <v>0</v>
      </c>
      <c r="AB12" s="874">
        <f t="shared" si="1"/>
        <v>0</v>
      </c>
      <c r="AC12" s="357">
        <f t="shared" si="1"/>
        <v>0</v>
      </c>
    </row>
    <row r="13" spans="2:30" x14ac:dyDescent="0.3">
      <c r="B13" s="322" t="s">
        <v>359</v>
      </c>
      <c r="C13" s="323"/>
      <c r="D13" s="909"/>
      <c r="E13" s="920"/>
      <c r="F13" s="920"/>
      <c r="G13" s="920"/>
      <c r="H13" s="921">
        <f>SUM(H14:H17)</f>
        <v>0</v>
      </c>
      <c r="I13" s="921">
        <f t="shared" ref="I13:M13" si="2">SUM(I14:I17)</f>
        <v>0</v>
      </c>
      <c r="J13" s="921">
        <f t="shared" si="2"/>
        <v>779.7</v>
      </c>
      <c r="K13" s="921">
        <f t="shared" si="2"/>
        <v>582.6</v>
      </c>
      <c r="L13" s="921">
        <f t="shared" si="2"/>
        <v>216.5</v>
      </c>
      <c r="M13" s="921">
        <f t="shared" si="2"/>
        <v>505</v>
      </c>
      <c r="N13" s="922">
        <f>SUM(N14:N17)</f>
        <v>429.59999999999997</v>
      </c>
      <c r="O13" s="922">
        <f t="shared" ref="O13:AC13" si="3">SUM(O14:O17)</f>
        <v>230.4</v>
      </c>
      <c r="P13" s="910">
        <f t="shared" si="3"/>
        <v>8.1</v>
      </c>
      <c r="Q13" s="874">
        <v>0</v>
      </c>
      <c r="R13" s="874">
        <f t="shared" si="3"/>
        <v>0</v>
      </c>
      <c r="S13" s="874">
        <f t="shared" si="3"/>
        <v>0</v>
      </c>
      <c r="T13" s="874">
        <f t="shared" si="3"/>
        <v>0</v>
      </c>
      <c r="U13" s="874">
        <f t="shared" si="3"/>
        <v>0</v>
      </c>
      <c r="V13" s="874">
        <f t="shared" si="3"/>
        <v>0</v>
      </c>
      <c r="W13" s="874">
        <f t="shared" si="3"/>
        <v>0</v>
      </c>
      <c r="X13" s="874">
        <f t="shared" si="3"/>
        <v>0</v>
      </c>
      <c r="Y13" s="874">
        <f t="shared" si="3"/>
        <v>0</v>
      </c>
      <c r="Z13" s="874">
        <f t="shared" si="3"/>
        <v>0</v>
      </c>
      <c r="AA13" s="874">
        <f t="shared" si="3"/>
        <v>0</v>
      </c>
      <c r="AB13" s="874">
        <f t="shared" si="3"/>
        <v>0</v>
      </c>
      <c r="AC13" s="357">
        <f t="shared" si="3"/>
        <v>0</v>
      </c>
    </row>
    <row r="14" spans="2:30" ht="18" customHeight="1" x14ac:dyDescent="0.3">
      <c r="B14" s="324" t="s">
        <v>360</v>
      </c>
      <c r="C14" s="58" t="s">
        <v>358</v>
      </c>
      <c r="D14" s="805">
        <f>'Haver Pivoted'!GO63</f>
        <v>0</v>
      </c>
      <c r="E14" s="809">
        <f>'Haver Pivoted'!GP63</f>
        <v>0</v>
      </c>
      <c r="F14" s="809">
        <f>'Haver Pivoted'!GQ63</f>
        <v>0</v>
      </c>
      <c r="G14" s="809">
        <f>'Haver Pivoted'!GR63</f>
        <v>0</v>
      </c>
      <c r="H14" s="809">
        <f>'Haver Pivoted'!GS63</f>
        <v>0</v>
      </c>
      <c r="I14" s="809">
        <f>'Haver Pivoted'!GT63</f>
        <v>0</v>
      </c>
      <c r="J14" s="809">
        <f>'Haver Pivoted'!GU63</f>
        <v>0.1</v>
      </c>
      <c r="K14" s="809">
        <f>'Haver Pivoted'!GV63</f>
        <v>3.7</v>
      </c>
      <c r="L14" s="809">
        <f>'Haver Pivoted'!GW63</f>
        <v>12.9</v>
      </c>
      <c r="M14" s="809">
        <f>'Haver Pivoted'!GX63</f>
        <v>25</v>
      </c>
      <c r="N14" s="809">
        <f>'Haver Pivoted'!GY63</f>
        <v>5.8</v>
      </c>
      <c r="O14" s="809">
        <f>'Haver Pivoted'!GZ63</f>
        <v>5.7</v>
      </c>
      <c r="P14" s="855">
        <f>'Haver Pivoted'!HA63</f>
        <v>2.4</v>
      </c>
      <c r="Q14" s="358">
        <v>0</v>
      </c>
      <c r="R14" s="358">
        <f t="shared" ref="R14:X14" si="4">R12</f>
        <v>0</v>
      </c>
      <c r="S14" s="358">
        <f t="shared" si="4"/>
        <v>0</v>
      </c>
      <c r="T14" s="358">
        <f t="shared" si="4"/>
        <v>0</v>
      </c>
      <c r="U14" s="358">
        <f t="shared" si="4"/>
        <v>0</v>
      </c>
      <c r="V14" s="358">
        <f t="shared" si="4"/>
        <v>0</v>
      </c>
      <c r="W14" s="358">
        <f t="shared" si="4"/>
        <v>0</v>
      </c>
      <c r="X14" s="358">
        <f t="shared" si="4"/>
        <v>0</v>
      </c>
      <c r="Y14" s="358">
        <f>Y12</f>
        <v>0</v>
      </c>
      <c r="Z14" s="358">
        <f t="shared" ref="Z14:AC14" si="5">Z12</f>
        <v>0</v>
      </c>
      <c r="AA14" s="358">
        <f t="shared" si="5"/>
        <v>0</v>
      </c>
      <c r="AB14" s="358">
        <f t="shared" si="5"/>
        <v>0</v>
      </c>
      <c r="AC14" s="1113">
        <f t="shared" si="5"/>
        <v>0</v>
      </c>
    </row>
    <row r="15" spans="2:30" ht="18" customHeight="1" x14ac:dyDescent="0.3">
      <c r="B15" s="329" t="s">
        <v>361</v>
      </c>
      <c r="C15" s="330" t="s">
        <v>362</v>
      </c>
      <c r="D15" s="911">
        <f>'Haver Pivoted'!GO59</f>
        <v>0</v>
      </c>
      <c r="E15" s="923">
        <f>'Haver Pivoted'!GP59</f>
        <v>0</v>
      </c>
      <c r="F15" s="923">
        <f>'Haver Pivoted'!GQ59</f>
        <v>0</v>
      </c>
      <c r="G15" s="923">
        <f>'Haver Pivoted'!GR59</f>
        <v>0</v>
      </c>
      <c r="H15" s="923">
        <f>'Haver Pivoted'!GS59</f>
        <v>0</v>
      </c>
      <c r="I15" s="923">
        <f>'Haver Pivoted'!GT59</f>
        <v>0</v>
      </c>
      <c r="J15" s="923">
        <f>'Haver Pivoted'!GU59</f>
        <v>6.3</v>
      </c>
      <c r="K15" s="923">
        <f>'Haver Pivoted'!GV59</f>
        <v>26.7</v>
      </c>
      <c r="L15" s="923">
        <f>'Haver Pivoted'!GW59</f>
        <v>82.1</v>
      </c>
      <c r="M15" s="923">
        <f>'Haver Pivoted'!GX59</f>
        <v>97.8</v>
      </c>
      <c r="N15" s="923">
        <f>'Haver Pivoted'!GY59</f>
        <v>104.5</v>
      </c>
      <c r="O15" s="923">
        <f>'Haver Pivoted'!GZ59</f>
        <v>61.5</v>
      </c>
      <c r="P15" s="912">
        <f>'Haver Pivoted'!HA59</f>
        <v>3.3</v>
      </c>
      <c r="Q15" s="358">
        <v>0</v>
      </c>
      <c r="R15" s="358">
        <f t="shared" ref="R15:AC15" si="6">Q15*R$22/Q$22</f>
        <v>0</v>
      </c>
      <c r="S15" s="358">
        <f t="shared" si="6"/>
        <v>0</v>
      </c>
      <c r="T15" s="358">
        <f t="shared" si="6"/>
        <v>0</v>
      </c>
      <c r="U15" s="358">
        <f t="shared" si="6"/>
        <v>0</v>
      </c>
      <c r="V15" s="358">
        <f t="shared" si="6"/>
        <v>0</v>
      </c>
      <c r="W15" s="358">
        <f t="shared" si="6"/>
        <v>0</v>
      </c>
      <c r="X15" s="358">
        <f t="shared" si="6"/>
        <v>0</v>
      </c>
      <c r="Y15" s="358">
        <f t="shared" si="6"/>
        <v>0</v>
      </c>
      <c r="Z15" s="358">
        <f t="shared" si="6"/>
        <v>0</v>
      </c>
      <c r="AA15" s="358">
        <f t="shared" si="6"/>
        <v>0</v>
      </c>
      <c r="AB15" s="358">
        <f t="shared" si="6"/>
        <v>0</v>
      </c>
      <c r="AC15" s="1113">
        <f t="shared" si="6"/>
        <v>0</v>
      </c>
    </row>
    <row r="16" spans="2:30" ht="18" customHeight="1" x14ac:dyDescent="0.3">
      <c r="B16" s="329" t="s">
        <v>363</v>
      </c>
      <c r="C16" s="330" t="s">
        <v>364</v>
      </c>
      <c r="D16" s="911">
        <f>'Haver Pivoted'!GO60</f>
        <v>0</v>
      </c>
      <c r="E16" s="923">
        <f>'Haver Pivoted'!GP60</f>
        <v>0</v>
      </c>
      <c r="F16" s="923">
        <f>'Haver Pivoted'!GQ60</f>
        <v>0</v>
      </c>
      <c r="G16" s="923">
        <f>'Haver Pivoted'!GR60</f>
        <v>0</v>
      </c>
      <c r="H16" s="923">
        <f>'Haver Pivoted'!GS60</f>
        <v>0</v>
      </c>
      <c r="I16" s="923">
        <f>'Haver Pivoted'!GT60</f>
        <v>0</v>
      </c>
      <c r="J16" s="923">
        <f>'Haver Pivoted'!GU60</f>
        <v>74.400000000000006</v>
      </c>
      <c r="K16" s="923">
        <f>'Haver Pivoted'!GV60</f>
        <v>138.30000000000001</v>
      </c>
      <c r="L16" s="923">
        <f>'Haver Pivoted'!GW60</f>
        <v>106.8</v>
      </c>
      <c r="M16" s="923">
        <f>'Haver Pivoted'!GX60</f>
        <v>95.3</v>
      </c>
      <c r="N16" s="923">
        <f>'Haver Pivoted'!GY60</f>
        <v>82.1</v>
      </c>
      <c r="O16" s="923">
        <f>'Haver Pivoted'!GZ60</f>
        <v>50</v>
      </c>
      <c r="P16" s="912">
        <f>'Haver Pivoted'!HA60</f>
        <v>2.4</v>
      </c>
      <c r="Q16" s="358">
        <v>0</v>
      </c>
      <c r="R16" s="358">
        <f t="shared" ref="R16:AC16" si="7">Q16*R$22/Q$22</f>
        <v>0</v>
      </c>
      <c r="S16" s="358">
        <f t="shared" si="7"/>
        <v>0</v>
      </c>
      <c r="T16" s="358">
        <f t="shared" si="7"/>
        <v>0</v>
      </c>
      <c r="U16" s="358">
        <f t="shared" si="7"/>
        <v>0</v>
      </c>
      <c r="V16" s="358">
        <f t="shared" si="7"/>
        <v>0</v>
      </c>
      <c r="W16" s="358">
        <f t="shared" si="7"/>
        <v>0</v>
      </c>
      <c r="X16" s="358">
        <f t="shared" si="7"/>
        <v>0</v>
      </c>
      <c r="Y16" s="358">
        <f t="shared" si="7"/>
        <v>0</v>
      </c>
      <c r="Z16" s="358">
        <f t="shared" si="7"/>
        <v>0</v>
      </c>
      <c r="AA16" s="358">
        <f t="shared" si="7"/>
        <v>0</v>
      </c>
      <c r="AB16" s="358">
        <f t="shared" si="7"/>
        <v>0</v>
      </c>
      <c r="AC16" s="1113">
        <f t="shared" si="7"/>
        <v>0</v>
      </c>
    </row>
    <row r="17" spans="2:30" ht="18" customHeight="1" x14ac:dyDescent="0.3">
      <c r="B17" s="329" t="s">
        <v>365</v>
      </c>
      <c r="C17" s="330" t="s">
        <v>366</v>
      </c>
      <c r="D17" s="911">
        <f>'Haver Pivoted'!GO61</f>
        <v>0</v>
      </c>
      <c r="E17" s="923">
        <f>'Haver Pivoted'!GP61</f>
        <v>0</v>
      </c>
      <c r="F17" s="923">
        <f>'Haver Pivoted'!GQ61</f>
        <v>0</v>
      </c>
      <c r="G17" s="923">
        <f>'Haver Pivoted'!GR61</f>
        <v>0</v>
      </c>
      <c r="H17" s="923">
        <f>'Haver Pivoted'!GS61</f>
        <v>0</v>
      </c>
      <c r="I17" s="923">
        <f>'Haver Pivoted'!GT61</f>
        <v>0</v>
      </c>
      <c r="J17" s="923">
        <f>'Haver Pivoted'!GU61</f>
        <v>698.9</v>
      </c>
      <c r="K17" s="923">
        <f>'Haver Pivoted'!GV61</f>
        <v>413.9</v>
      </c>
      <c r="L17" s="923">
        <f>'Haver Pivoted'!GW61</f>
        <v>14.7</v>
      </c>
      <c r="M17" s="923">
        <f>'Haver Pivoted'!GX61</f>
        <v>286.89999999999998</v>
      </c>
      <c r="N17" s="923">
        <f>'Haver Pivoted'!GY61</f>
        <v>237.2</v>
      </c>
      <c r="O17" s="923">
        <f>'Haver Pivoted'!GZ61</f>
        <v>113.2</v>
      </c>
      <c r="P17" s="912">
        <f>'Haver Pivoted'!HA61</f>
        <v>0</v>
      </c>
      <c r="Q17" s="358">
        <f>P17*Q$22/P$22</f>
        <v>0</v>
      </c>
      <c r="R17" s="358">
        <f t="shared" ref="R17:AC17" si="8">Q17*R$22/Q$22</f>
        <v>0</v>
      </c>
      <c r="S17" s="358">
        <f t="shared" si="8"/>
        <v>0</v>
      </c>
      <c r="T17" s="358">
        <f t="shared" si="8"/>
        <v>0</v>
      </c>
      <c r="U17" s="358">
        <f t="shared" si="8"/>
        <v>0</v>
      </c>
      <c r="V17" s="358">
        <f t="shared" si="8"/>
        <v>0</v>
      </c>
      <c r="W17" s="358">
        <f t="shared" si="8"/>
        <v>0</v>
      </c>
      <c r="X17" s="358">
        <f t="shared" si="8"/>
        <v>0</v>
      </c>
      <c r="Y17" s="358">
        <f t="shared" si="8"/>
        <v>0</v>
      </c>
      <c r="Z17" s="358">
        <f t="shared" si="8"/>
        <v>0</v>
      </c>
      <c r="AA17" s="358">
        <f t="shared" si="8"/>
        <v>0</v>
      </c>
      <c r="AB17" s="358">
        <f t="shared" si="8"/>
        <v>0</v>
      </c>
      <c r="AC17" s="1113">
        <f t="shared" si="8"/>
        <v>0</v>
      </c>
    </row>
    <row r="18" spans="2:30" x14ac:dyDescent="0.3">
      <c r="B18" s="41" t="s">
        <v>172</v>
      </c>
      <c r="C18" s="27" t="s">
        <v>367</v>
      </c>
      <c r="D18" s="909">
        <f>'Haver Pivoted'!GO64</f>
        <v>0</v>
      </c>
      <c r="E18" s="920">
        <f>'Haver Pivoted'!GP64</f>
        <v>0</v>
      </c>
      <c r="F18" s="920">
        <f>'Haver Pivoted'!GQ64</f>
        <v>0</v>
      </c>
      <c r="G18" s="920">
        <f>'Haver Pivoted'!GR64</f>
        <v>0</v>
      </c>
      <c r="H18" s="920">
        <f>'Haver Pivoted'!GS64</f>
        <v>0</v>
      </c>
      <c r="I18" s="920">
        <f>'Haver Pivoted'!GT64</f>
        <v>0</v>
      </c>
      <c r="J18" s="920">
        <f>'Haver Pivoted'!GU64</f>
        <v>0</v>
      </c>
      <c r="K18" s="920">
        <f>'Haver Pivoted'!GV64</f>
        <v>106.2</v>
      </c>
      <c r="L18" s="920">
        <f>'Haver Pivoted'!GW64</f>
        <v>35.9</v>
      </c>
      <c r="M18" s="920">
        <f>'Haver Pivoted'!GX64</f>
        <v>1.6</v>
      </c>
      <c r="N18" s="920">
        <f>'Haver Pivoted'!GY64</f>
        <v>0.6</v>
      </c>
      <c r="O18" s="920">
        <f>'Haver Pivoted'!GZ64</f>
        <v>0.1</v>
      </c>
      <c r="P18" s="908">
        <f>'Haver Pivoted'!HA64</f>
        <v>0</v>
      </c>
      <c r="Q18" s="874"/>
      <c r="R18" s="874"/>
      <c r="S18" s="874"/>
      <c r="T18" s="874"/>
      <c r="U18" s="874"/>
      <c r="V18" s="874"/>
      <c r="W18" s="874"/>
      <c r="X18" s="874"/>
      <c r="Y18" s="874"/>
      <c r="Z18" s="874"/>
      <c r="AA18" s="874"/>
      <c r="AB18" s="874"/>
      <c r="AC18" s="357"/>
    </row>
    <row r="19" spans="2:30" s="132" customFormat="1" ht="14.5" x14ac:dyDescent="0.35">
      <c r="B19" s="42" t="s">
        <v>368</v>
      </c>
      <c r="C19" s="60"/>
      <c r="D19" s="1437">
        <f t="shared" ref="D19:N19" si="9">D11-D20</f>
        <v>0</v>
      </c>
      <c r="E19" s="1438">
        <f t="shared" si="9"/>
        <v>0</v>
      </c>
      <c r="F19" s="1438">
        <f t="shared" si="9"/>
        <v>0</v>
      </c>
      <c r="G19" s="1438">
        <f t="shared" si="9"/>
        <v>0</v>
      </c>
      <c r="H19" s="1438">
        <f t="shared" si="9"/>
        <v>0</v>
      </c>
      <c r="I19" s="1438">
        <f t="shared" si="9"/>
        <v>0</v>
      </c>
      <c r="J19" s="1438">
        <f t="shared" si="9"/>
        <v>779.80000000000007</v>
      </c>
      <c r="K19" s="1438">
        <f t="shared" si="9"/>
        <v>586.29999999999995</v>
      </c>
      <c r="L19" s="1438">
        <f t="shared" si="9"/>
        <v>229.4</v>
      </c>
      <c r="M19" s="1438">
        <f t="shared" si="9"/>
        <v>530</v>
      </c>
      <c r="N19" s="1439">
        <f t="shared" si="9"/>
        <v>435.4</v>
      </c>
      <c r="O19" s="1439">
        <f>O11-O20</f>
        <v>236.1</v>
      </c>
      <c r="P19" s="1440">
        <f t="shared" ref="P19:Y19" si="10">P11-P20</f>
        <v>10.5</v>
      </c>
      <c r="Q19" s="1441">
        <f>Q11-Q20</f>
        <v>0</v>
      </c>
      <c r="R19" s="1441">
        <f t="shared" si="10"/>
        <v>0</v>
      </c>
      <c r="S19" s="1441">
        <f t="shared" si="10"/>
        <v>0</v>
      </c>
      <c r="T19" s="1441">
        <f t="shared" si="10"/>
        <v>0</v>
      </c>
      <c r="U19" s="1441">
        <f t="shared" si="10"/>
        <v>0</v>
      </c>
      <c r="V19" s="1441">
        <f t="shared" si="10"/>
        <v>0</v>
      </c>
      <c r="W19" s="1441">
        <f t="shared" si="10"/>
        <v>0</v>
      </c>
      <c r="X19" s="1441">
        <f t="shared" si="10"/>
        <v>0</v>
      </c>
      <c r="Y19" s="1441">
        <f t="shared" si="10"/>
        <v>0</v>
      </c>
      <c r="Z19" s="1441">
        <f t="shared" ref="Z19:AC19" si="11">Z11-Z20</f>
        <v>0</v>
      </c>
      <c r="AA19" s="1441">
        <f t="shared" si="11"/>
        <v>0</v>
      </c>
      <c r="AB19" s="1441">
        <f t="shared" si="11"/>
        <v>0</v>
      </c>
      <c r="AC19" s="1442">
        <f t="shared" si="11"/>
        <v>0</v>
      </c>
    </row>
    <row r="20" spans="2:30" s="132" customFormat="1" ht="14.5" x14ac:dyDescent="0.35">
      <c r="B20" s="42" t="s">
        <v>369</v>
      </c>
      <c r="C20" s="60"/>
      <c r="D20" s="1437">
        <f t="shared" ref="D20:H20" si="12">D11</f>
        <v>27.1</v>
      </c>
      <c r="E20" s="1438">
        <f t="shared" si="12"/>
        <v>28.4</v>
      </c>
      <c r="F20" s="1438">
        <f t="shared" si="12"/>
        <v>27.8</v>
      </c>
      <c r="G20" s="1438">
        <f t="shared" si="12"/>
        <v>27.4</v>
      </c>
      <c r="H20" s="1438">
        <f t="shared" si="12"/>
        <v>26.8</v>
      </c>
      <c r="I20" s="1438">
        <f>I11</f>
        <v>39.5</v>
      </c>
      <c r="J20" s="1438">
        <f>J11-J13-J12</f>
        <v>259.60000000000002</v>
      </c>
      <c r="K20" s="1438">
        <f>K11-K13-K12</f>
        <v>181.49999999999994</v>
      </c>
      <c r="L20" s="1438">
        <f>L11-L13-L12</f>
        <v>70.499999999999972</v>
      </c>
      <c r="M20" s="1438">
        <f>M11-M13-M12</f>
        <v>35.799999999999955</v>
      </c>
      <c r="N20" s="1443">
        <f>N11-N12-N13</f>
        <v>45</v>
      </c>
      <c r="O20" s="1443">
        <f>O11-O12-O13</f>
        <v>36.200000000000017</v>
      </c>
      <c r="P20" s="1444">
        <f>P11-P12-P13</f>
        <v>27.200000000000003</v>
      </c>
      <c r="Q20" s="1445">
        <f>P20*Q22/P22</f>
        <v>26.36900787401575</v>
      </c>
      <c r="R20" s="1445">
        <f t="shared" ref="R20:AC20" si="13">Q20*R22/Q22</f>
        <v>24.537826771653545</v>
      </c>
      <c r="S20" s="1445">
        <f t="shared" si="13"/>
        <v>23.657574803149608</v>
      </c>
      <c r="T20" s="1445">
        <f t="shared" si="13"/>
        <v>23.36844094488189</v>
      </c>
      <c r="U20" s="1445">
        <f t="shared" si="13"/>
        <v>23.529070866141733</v>
      </c>
      <c r="V20" s="1445">
        <f t="shared" si="13"/>
        <v>23.88888188976378</v>
      </c>
      <c r="W20" s="1445">
        <f t="shared" si="13"/>
        <v>24.255118110236221</v>
      </c>
      <c r="X20" s="1445">
        <f t="shared" si="13"/>
        <v>24.640629921259844</v>
      </c>
      <c r="Y20" s="1445">
        <f t="shared" si="13"/>
        <v>25.122519685039375</v>
      </c>
      <c r="Z20" s="1445">
        <f t="shared" si="13"/>
        <v>25.520881889763785</v>
      </c>
      <c r="AA20" s="1445">
        <f t="shared" si="13"/>
        <v>25.835716535433075</v>
      </c>
      <c r="AB20" s="1445">
        <f t="shared" si="13"/>
        <v>26.227653543307088</v>
      </c>
      <c r="AC20" s="1446">
        <f t="shared" si="13"/>
        <v>26.606740157480321</v>
      </c>
      <c r="AD20" s="132" t="s">
        <v>370</v>
      </c>
    </row>
    <row r="21" spans="2:30" x14ac:dyDescent="0.3">
      <c r="B21" s="41"/>
      <c r="C21" s="331"/>
      <c r="D21" s="805"/>
      <c r="E21" s="809"/>
      <c r="F21" s="809"/>
      <c r="G21" s="809"/>
      <c r="H21" s="924"/>
      <c r="I21" s="924"/>
      <c r="J21" s="924"/>
      <c r="K21" s="924"/>
      <c r="L21" s="924"/>
      <c r="M21" s="924"/>
      <c r="N21" s="921"/>
      <c r="O21" s="921"/>
      <c r="P21" s="914"/>
      <c r="Q21" s="351"/>
      <c r="R21" s="351"/>
      <c r="S21" s="351"/>
      <c r="T21" s="351"/>
      <c r="U21" s="351"/>
      <c r="V21" s="351"/>
      <c r="W21" s="351"/>
      <c r="X21" s="351"/>
      <c r="Y21" s="351"/>
      <c r="Z21" s="351"/>
      <c r="AA21" s="351"/>
      <c r="AB21" s="351"/>
      <c r="AC21" s="352"/>
    </row>
    <row r="22" spans="2:30" x14ac:dyDescent="0.3">
      <c r="B22" s="129" t="s">
        <v>371</v>
      </c>
      <c r="C22" s="35"/>
      <c r="D22" s="915"/>
      <c r="E22" s="916"/>
      <c r="F22" s="916"/>
      <c r="G22" s="916"/>
      <c r="H22" s="917"/>
      <c r="I22" s="918"/>
      <c r="J22" s="918"/>
      <c r="K22" s="918"/>
      <c r="L22" s="918"/>
      <c r="M22" s="918">
        <f>D28</f>
        <v>6.166666666666667</v>
      </c>
      <c r="N22" s="918">
        <f>D31</f>
        <v>5.7666666666666657</v>
      </c>
      <c r="O22" s="918">
        <f>D34</f>
        <v>5.1333333333333337</v>
      </c>
      <c r="P22" s="919">
        <f>D37</f>
        <v>4.2333333333333334</v>
      </c>
      <c r="Q22" s="354">
        <v>4.1040000000000001</v>
      </c>
      <c r="R22" s="354">
        <v>3.819</v>
      </c>
      <c r="S22" s="354">
        <v>3.6819999999999999</v>
      </c>
      <c r="T22" s="354">
        <v>3.637</v>
      </c>
      <c r="U22" s="354">
        <v>3.6619999999999999</v>
      </c>
      <c r="V22" s="354">
        <v>3.718</v>
      </c>
      <c r="W22" s="354">
        <v>3.7749999999999999</v>
      </c>
      <c r="X22" s="354">
        <v>3.835</v>
      </c>
      <c r="Y22" s="354">
        <v>3.91</v>
      </c>
      <c r="Z22" s="354">
        <v>3.972</v>
      </c>
      <c r="AA22" s="354">
        <v>4.0209999999999999</v>
      </c>
      <c r="AB22" s="354">
        <v>4.0819999999999999</v>
      </c>
      <c r="AC22" s="524">
        <v>4.141</v>
      </c>
      <c r="AD22" s="43" t="s">
        <v>372</v>
      </c>
    </row>
    <row r="23" spans="2:30" s="868" customFormat="1" x14ac:dyDescent="0.3">
      <c r="B23" s="827"/>
      <c r="C23" s="827"/>
      <c r="D23" s="920"/>
      <c r="E23" s="920"/>
      <c r="F23" s="920"/>
      <c r="G23" s="920"/>
      <c r="H23" s="921"/>
      <c r="I23" s="1095"/>
      <c r="J23" s="1095"/>
      <c r="K23" s="1095"/>
      <c r="L23" s="1095"/>
      <c r="M23" s="1095"/>
      <c r="N23" s="1095"/>
      <c r="O23" s="1095"/>
      <c r="P23" s="1095"/>
      <c r="Q23" s="1095"/>
      <c r="R23" s="1095"/>
      <c r="S23" s="1095"/>
      <c r="T23" s="1095"/>
      <c r="U23" s="1095"/>
      <c r="V23" s="1095"/>
      <c r="W23" s="1095"/>
      <c r="X23" s="1095"/>
      <c r="Y23" s="1095"/>
      <c r="Z23" s="1095"/>
      <c r="AA23" s="1095"/>
      <c r="AB23" s="1095"/>
      <c r="AC23" s="1095"/>
      <c r="AD23" s="43"/>
    </row>
    <row r="24" spans="2:30" x14ac:dyDescent="0.3">
      <c r="M24" s="835"/>
      <c r="N24" s="835"/>
      <c r="O24" s="835"/>
      <c r="P24" s="1288"/>
      <c r="Q24" s="1288"/>
      <c r="R24" s="1288"/>
      <c r="S24" s="1288"/>
      <c r="T24" s="1288"/>
      <c r="U24" s="1288"/>
      <c r="V24" s="1288"/>
      <c r="W24" s="1288"/>
      <c r="X24" s="1288"/>
      <c r="Y24" s="1288"/>
      <c r="Z24" s="1288"/>
      <c r="AA24" s="1288"/>
      <c r="AB24" s="1288"/>
      <c r="AC24" s="1288"/>
    </row>
    <row r="25" spans="2:30" x14ac:dyDescent="0.3">
      <c r="M25" s="817"/>
      <c r="N25" s="817"/>
      <c r="O25" s="817"/>
      <c r="P25" s="925"/>
      <c r="Q25" s="925"/>
      <c r="R25" s="925"/>
      <c r="S25" s="925"/>
      <c r="T25" s="925"/>
      <c r="U25" s="925"/>
      <c r="V25" s="925"/>
      <c r="W25" s="925"/>
      <c r="X25" s="925"/>
      <c r="Y25" s="925"/>
      <c r="Z25" s="925"/>
      <c r="AA25" s="925"/>
      <c r="AB25" s="925"/>
      <c r="AC25" s="925"/>
    </row>
    <row r="26" spans="2:30" x14ac:dyDescent="0.3">
      <c r="M26" s="817"/>
      <c r="N26" s="817"/>
      <c r="O26" s="817"/>
      <c r="P26" s="922"/>
      <c r="Q26" s="922"/>
      <c r="R26" s="922"/>
      <c r="S26" s="922"/>
      <c r="T26" s="922"/>
      <c r="U26" s="922"/>
      <c r="V26" s="922"/>
      <c r="W26" s="922"/>
      <c r="X26" s="922"/>
      <c r="Y26" s="922"/>
      <c r="Z26" s="922"/>
      <c r="AA26" s="922"/>
      <c r="AB26" s="922"/>
      <c r="AC26" s="922"/>
    </row>
    <row r="27" spans="2:30" ht="30.75" customHeight="1" x14ac:dyDescent="0.3">
      <c r="B27" s="719" t="s">
        <v>373</v>
      </c>
      <c r="C27" s="668" t="s">
        <v>374</v>
      </c>
      <c r="D27" s="720" t="s">
        <v>375</v>
      </c>
      <c r="M27" s="817"/>
      <c r="N27" s="817"/>
      <c r="O27" s="817"/>
      <c r="P27" s="922"/>
      <c r="Q27" s="922"/>
      <c r="R27" s="922"/>
      <c r="S27" s="922"/>
      <c r="T27" s="922"/>
      <c r="U27" s="922"/>
      <c r="V27" s="922"/>
      <c r="W27" s="922"/>
      <c r="X27" s="922"/>
      <c r="Y27" s="922"/>
      <c r="Z27" s="922"/>
      <c r="AA27" s="922"/>
      <c r="AB27" s="922"/>
      <c r="AC27" s="922"/>
    </row>
    <row r="28" spans="2:30" x14ac:dyDescent="0.3">
      <c r="B28" s="890">
        <v>44197</v>
      </c>
      <c r="C28" s="216">
        <v>6.3</v>
      </c>
      <c r="D28" s="891">
        <f>AVERAGE(C28:C30)</f>
        <v>6.166666666666667</v>
      </c>
      <c r="M28" s="817"/>
      <c r="N28" s="817"/>
      <c r="O28" s="817"/>
      <c r="P28" s="925"/>
      <c r="Q28" s="925"/>
      <c r="R28" s="925"/>
      <c r="S28" s="925"/>
      <c r="T28" s="925"/>
      <c r="U28" s="925"/>
      <c r="V28" s="925"/>
      <c r="W28" s="925"/>
      <c r="X28" s="925"/>
      <c r="Y28" s="925"/>
      <c r="Z28" s="925"/>
      <c r="AA28" s="925"/>
      <c r="AB28" s="925"/>
      <c r="AC28" s="925"/>
    </row>
    <row r="29" spans="2:30" x14ac:dyDescent="0.3">
      <c r="B29" s="667">
        <v>44228</v>
      </c>
      <c r="C29" s="827">
        <v>6.2</v>
      </c>
      <c r="D29" s="892"/>
      <c r="M29" s="817"/>
      <c r="N29" s="817"/>
      <c r="O29" s="817"/>
      <c r="P29" s="925"/>
      <c r="Q29" s="925"/>
      <c r="R29" s="925"/>
      <c r="S29" s="925"/>
      <c r="T29" s="925"/>
      <c r="U29" s="925"/>
      <c r="V29" s="925"/>
      <c r="W29" s="925"/>
      <c r="X29" s="925"/>
      <c r="Y29" s="925"/>
      <c r="Z29" s="925"/>
      <c r="AA29" s="925"/>
      <c r="AB29" s="925"/>
      <c r="AC29" s="925"/>
    </row>
    <row r="30" spans="2:30" x14ac:dyDescent="0.3">
      <c r="B30" s="667">
        <v>44256</v>
      </c>
      <c r="C30" s="827">
        <v>6</v>
      </c>
      <c r="D30" s="892"/>
      <c r="M30" s="817"/>
      <c r="N30" s="817"/>
      <c r="O30" s="817"/>
      <c r="P30" s="925"/>
      <c r="Q30" s="925"/>
      <c r="R30" s="925"/>
      <c r="S30" s="925"/>
      <c r="T30" s="925"/>
      <c r="U30" s="925"/>
      <c r="V30" s="925"/>
      <c r="W30" s="925"/>
      <c r="X30" s="925"/>
      <c r="Y30" s="925"/>
      <c r="Z30" s="925"/>
      <c r="AA30" s="925"/>
      <c r="AB30" s="925"/>
      <c r="AC30" s="925"/>
    </row>
    <row r="31" spans="2:30" x14ac:dyDescent="0.3">
      <c r="B31" s="667">
        <v>44287</v>
      </c>
      <c r="C31" s="827">
        <v>6.1</v>
      </c>
      <c r="D31" s="892">
        <f>AVERAGE(C31:C33)</f>
        <v>5.7666666666666657</v>
      </c>
      <c r="M31" s="817"/>
      <c r="N31" s="817"/>
      <c r="O31" s="817"/>
      <c r="P31" s="925"/>
      <c r="Q31" s="925"/>
      <c r="R31" s="925"/>
      <c r="S31" s="925"/>
      <c r="T31" s="925"/>
      <c r="U31" s="925"/>
      <c r="V31" s="925"/>
      <c r="W31" s="925"/>
      <c r="X31" s="925"/>
      <c r="Y31" s="925"/>
      <c r="Z31" s="925"/>
      <c r="AA31" s="925"/>
      <c r="AB31" s="925"/>
      <c r="AC31" s="925"/>
    </row>
    <row r="32" spans="2:30" x14ac:dyDescent="0.3">
      <c r="B32" s="667">
        <v>44317</v>
      </c>
      <c r="C32" s="827">
        <v>5.8</v>
      </c>
      <c r="D32" s="892"/>
      <c r="M32" s="817"/>
      <c r="N32" s="817"/>
      <c r="O32" s="817"/>
      <c r="P32" s="922"/>
      <c r="Q32" s="922"/>
      <c r="R32" s="922"/>
      <c r="S32" s="922"/>
      <c r="T32" s="922"/>
      <c r="U32" s="922"/>
      <c r="V32" s="922"/>
      <c r="W32" s="922"/>
      <c r="X32" s="922"/>
      <c r="Y32" s="922"/>
      <c r="Z32" s="922"/>
      <c r="AA32" s="922"/>
      <c r="AB32" s="922"/>
      <c r="AC32" s="922"/>
    </row>
    <row r="33" spans="2:38" x14ac:dyDescent="0.3">
      <c r="B33" s="667">
        <v>44348</v>
      </c>
      <c r="C33" s="827">
        <v>5.4</v>
      </c>
      <c r="D33" s="892"/>
      <c r="M33" s="817"/>
      <c r="N33" s="817"/>
      <c r="O33" s="817"/>
      <c r="P33" s="925"/>
      <c r="Q33" s="925"/>
      <c r="R33" s="925"/>
      <c r="S33" s="925"/>
      <c r="T33" s="925"/>
      <c r="U33" s="925"/>
      <c r="V33" s="925"/>
      <c r="W33" s="925"/>
      <c r="X33" s="925"/>
      <c r="Y33" s="925"/>
      <c r="Z33" s="925"/>
      <c r="AA33" s="925"/>
      <c r="AB33" s="925"/>
      <c r="AC33" s="925"/>
    </row>
    <row r="34" spans="2:38" x14ac:dyDescent="0.3">
      <c r="B34" s="667">
        <v>44378</v>
      </c>
      <c r="C34" s="827">
        <v>5.4</v>
      </c>
      <c r="D34" s="892">
        <f>AVERAGE(C34:C36)</f>
        <v>5.1333333333333337</v>
      </c>
      <c r="E34" s="27" t="s">
        <v>376</v>
      </c>
      <c r="M34" s="817"/>
      <c r="N34" s="817"/>
      <c r="O34" s="817"/>
      <c r="P34" s="922"/>
      <c r="Q34" s="922"/>
      <c r="R34" s="922"/>
      <c r="S34" s="922"/>
      <c r="T34" s="922"/>
      <c r="U34" s="922"/>
      <c r="V34" s="922"/>
      <c r="W34" s="922"/>
      <c r="X34" s="922"/>
      <c r="Y34" s="922"/>
      <c r="Z34" s="922"/>
      <c r="AA34" s="922"/>
      <c r="AB34" s="922"/>
      <c r="AC34" s="922"/>
    </row>
    <row r="35" spans="2:38" x14ac:dyDescent="0.3">
      <c r="B35" s="667">
        <v>44409</v>
      </c>
      <c r="C35" s="827">
        <v>5.2</v>
      </c>
      <c r="D35" s="892"/>
      <c r="M35" s="817"/>
      <c r="N35" s="817"/>
      <c r="O35" s="817"/>
      <c r="P35" s="921"/>
      <c r="Q35" s="921"/>
      <c r="R35" s="921"/>
      <c r="S35" s="921"/>
      <c r="T35" s="921"/>
      <c r="U35" s="921"/>
      <c r="V35" s="921"/>
      <c r="W35" s="921"/>
      <c r="X35" s="921"/>
      <c r="Y35" s="921"/>
      <c r="Z35" s="921"/>
      <c r="AA35" s="921"/>
      <c r="AB35" s="921"/>
      <c r="AC35" s="921"/>
    </row>
    <row r="36" spans="2:38" x14ac:dyDescent="0.3">
      <c r="B36" s="667">
        <v>44440</v>
      </c>
      <c r="C36" s="827">
        <v>4.8</v>
      </c>
      <c r="D36" s="892"/>
      <c r="M36" s="817"/>
      <c r="N36" s="817"/>
      <c r="O36" s="817"/>
      <c r="P36" s="1095"/>
      <c r="Q36" s="1095"/>
      <c r="R36" s="1095"/>
      <c r="S36" s="1095"/>
      <c r="T36" s="1095"/>
      <c r="U36" s="1095"/>
      <c r="V36" s="1095"/>
      <c r="W36" s="1095"/>
      <c r="X36" s="1095"/>
      <c r="Y36" s="1095"/>
      <c r="Z36" s="1095"/>
      <c r="AA36" s="1095"/>
      <c r="AB36" s="1095"/>
      <c r="AC36" s="1095"/>
    </row>
    <row r="37" spans="2:38" x14ac:dyDescent="0.3">
      <c r="B37" s="667">
        <v>44470</v>
      </c>
      <c r="C37" s="827">
        <v>4.5999999999999996</v>
      </c>
      <c r="D37" s="892">
        <f>AVERAGE(C37:C39)</f>
        <v>4.2333333333333334</v>
      </c>
      <c r="M37" s="817"/>
      <c r="N37" s="817"/>
      <c r="O37" s="817"/>
      <c r="P37" s="817"/>
      <c r="Q37" s="817"/>
      <c r="R37" s="817"/>
      <c r="S37" s="817"/>
      <c r="T37" s="817"/>
      <c r="U37" s="817"/>
      <c r="V37" s="817"/>
      <c r="W37" s="817"/>
      <c r="X37" s="817"/>
      <c r="Y37" s="817"/>
      <c r="Z37" s="817"/>
      <c r="AA37" s="817"/>
      <c r="AB37" s="817"/>
      <c r="AC37" s="817"/>
    </row>
    <row r="38" spans="2:38" x14ac:dyDescent="0.3">
      <c r="B38" s="667">
        <v>44501</v>
      </c>
      <c r="C38" s="827">
        <v>4.2</v>
      </c>
      <c r="D38" s="892"/>
      <c r="M38" s="817"/>
      <c r="N38" s="817"/>
      <c r="O38" s="817"/>
      <c r="P38" s="817"/>
      <c r="Q38" s="1289"/>
      <c r="R38" s="1289"/>
      <c r="S38" s="1289"/>
      <c r="T38" s="1289"/>
      <c r="U38" s="1289"/>
      <c r="V38" s="1289"/>
      <c r="W38" s="1289"/>
      <c r="X38" s="1289"/>
      <c r="Y38" s="1289"/>
      <c r="Z38" s="1289"/>
      <c r="AA38" s="1289"/>
      <c r="AB38" s="1289"/>
      <c r="AC38" s="1289"/>
      <c r="AD38" s="787"/>
      <c r="AE38" s="787"/>
      <c r="AF38" s="787"/>
      <c r="AG38" s="787"/>
      <c r="AH38" s="787"/>
      <c r="AI38" s="787"/>
      <c r="AJ38" s="787"/>
      <c r="AK38" s="787"/>
      <c r="AL38" s="787"/>
    </row>
    <row r="39" spans="2:38" x14ac:dyDescent="0.3">
      <c r="B39" s="667">
        <v>44531</v>
      </c>
      <c r="C39" s="827">
        <v>3.9</v>
      </c>
      <c r="D39" s="892"/>
      <c r="M39" s="817"/>
      <c r="N39" s="817"/>
      <c r="O39" s="817"/>
      <c r="P39" s="817"/>
      <c r="Q39" s="1289"/>
      <c r="R39" s="1289"/>
      <c r="S39" s="1289"/>
      <c r="T39" s="1289"/>
      <c r="U39" s="1289"/>
      <c r="V39" s="1289"/>
      <c r="W39" s="1289"/>
      <c r="X39" s="1289"/>
      <c r="Y39" s="1289"/>
      <c r="Z39" s="1289"/>
      <c r="AA39" s="1289"/>
      <c r="AB39" s="1289"/>
      <c r="AC39" s="1289"/>
      <c r="AD39" s="787"/>
      <c r="AE39" s="787"/>
      <c r="AF39" s="787"/>
      <c r="AG39" s="787"/>
      <c r="AH39" s="787"/>
      <c r="AI39" s="787"/>
      <c r="AJ39" s="787"/>
      <c r="AK39" s="787"/>
      <c r="AL39" s="787"/>
    </row>
    <row r="40" spans="2:38" x14ac:dyDescent="0.3">
      <c r="B40" s="686">
        <v>44562</v>
      </c>
      <c r="C40" s="35">
        <v>4</v>
      </c>
      <c r="D40" s="46"/>
      <c r="M40" s="817"/>
      <c r="N40" s="817"/>
      <c r="O40" s="817"/>
      <c r="P40" s="817"/>
      <c r="Q40" s="1289"/>
      <c r="R40" s="1289"/>
      <c r="S40" s="1289"/>
      <c r="T40" s="1289"/>
      <c r="U40" s="1289"/>
      <c r="V40" s="1289"/>
      <c r="W40" s="1289"/>
      <c r="X40" s="1289"/>
      <c r="Y40" s="1289"/>
      <c r="Z40" s="1289"/>
      <c r="AA40" s="1289"/>
      <c r="AB40" s="1289"/>
      <c r="AC40" s="1289"/>
    </row>
  </sheetData>
  <mergeCells count="13">
    <mergeCell ref="P24:AC24"/>
    <mergeCell ref="Q38:AC40"/>
    <mergeCell ref="B1:AC1"/>
    <mergeCell ref="B2:AC6"/>
    <mergeCell ref="E9:H9"/>
    <mergeCell ref="B8:C10"/>
    <mergeCell ref="I9:L9"/>
    <mergeCell ref="Q9:T9"/>
    <mergeCell ref="U9:X9"/>
    <mergeCell ref="Y9:AB9"/>
    <mergeCell ref="M9:P9"/>
    <mergeCell ref="Q8:AC8"/>
    <mergeCell ref="D8:P8"/>
  </mergeCells>
  <phoneticPr fontId="5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AC73"/>
  <sheetViews>
    <sheetView topLeftCell="G49" zoomScale="61" zoomScaleNormal="143" workbookViewId="0">
      <selection activeCell="T5" sqref="T5"/>
    </sheetView>
  </sheetViews>
  <sheetFormatPr defaultColWidth="8.453125" defaultRowHeight="14" x14ac:dyDescent="0.3"/>
  <cols>
    <col min="1" max="6" width="0" style="27" hidden="1" customWidth="1"/>
    <col min="7" max="7" width="8.453125" style="27"/>
    <col min="8" max="8" width="22.453125" style="27" customWidth="1"/>
    <col min="9" max="9" width="11.453125" style="27" customWidth="1"/>
    <col min="10" max="10" width="13.1796875" style="27" customWidth="1"/>
    <col min="11" max="11" width="11.26953125" style="27" customWidth="1"/>
    <col min="12" max="12" width="10.1796875" style="27" bestFit="1" customWidth="1"/>
    <col min="13" max="13" width="9.453125" style="27" bestFit="1" customWidth="1"/>
    <col min="14" max="15" width="8.7265625" style="27" bestFit="1" customWidth="1"/>
    <col min="16" max="16" width="11.7265625" style="27" customWidth="1"/>
    <col min="17" max="18" width="8.7265625" style="27" bestFit="1" customWidth="1"/>
    <col min="19" max="19" width="9.453125" style="27" bestFit="1" customWidth="1"/>
    <col min="20" max="16384" width="8.453125" style="27"/>
  </cols>
  <sheetData>
    <row r="1" spans="8:22" x14ac:dyDescent="0.3">
      <c r="H1" s="1290" t="s">
        <v>389</v>
      </c>
      <c r="I1" s="1290"/>
      <c r="J1" s="1290"/>
      <c r="K1" s="1290"/>
      <c r="L1" s="1290"/>
      <c r="M1" s="1290"/>
      <c r="N1" s="1290"/>
      <c r="O1" s="1290"/>
      <c r="P1" s="1290"/>
      <c r="Q1" s="1290"/>
      <c r="R1" s="1290"/>
      <c r="S1" s="1290"/>
    </row>
    <row r="2" spans="8:22" x14ac:dyDescent="0.3">
      <c r="H2" s="1311" t="s">
        <v>390</v>
      </c>
      <c r="I2" s="1311"/>
      <c r="J2" s="1311"/>
      <c r="K2" s="1311"/>
      <c r="L2" s="1311"/>
      <c r="M2" s="1311"/>
      <c r="N2" s="1311"/>
      <c r="O2" s="1311"/>
      <c r="P2" s="1311"/>
      <c r="Q2" s="1311"/>
      <c r="R2" s="1311"/>
      <c r="S2" s="1311"/>
    </row>
    <row r="3" spans="8:22" x14ac:dyDescent="0.3">
      <c r="H3" s="1311"/>
      <c r="I3" s="1311"/>
      <c r="J3" s="1311"/>
      <c r="K3" s="1311"/>
      <c r="L3" s="1311"/>
      <c r="M3" s="1311"/>
      <c r="N3" s="1311"/>
      <c r="O3" s="1311"/>
      <c r="P3" s="1311"/>
      <c r="Q3" s="1311"/>
      <c r="R3" s="1311"/>
      <c r="S3" s="1311"/>
    </row>
    <row r="4" spans="8:22" x14ac:dyDescent="0.3">
      <c r="H4" s="1311"/>
      <c r="I4" s="1311"/>
      <c r="J4" s="1311"/>
      <c r="K4" s="1311"/>
      <c r="L4" s="1311"/>
      <c r="M4" s="1311"/>
      <c r="N4" s="1311"/>
      <c r="O4" s="1311"/>
      <c r="P4" s="1311"/>
      <c r="Q4" s="1311"/>
      <c r="R4" s="1311"/>
      <c r="S4" s="1311"/>
    </row>
    <row r="5" spans="8:22" ht="54.75" customHeight="1" x14ac:dyDescent="0.3">
      <c r="H5" s="1311"/>
      <c r="I5" s="1311"/>
      <c r="J5" s="1311"/>
      <c r="K5" s="1311"/>
      <c r="L5" s="1311"/>
      <c r="M5" s="1311"/>
      <c r="N5" s="1311"/>
      <c r="O5" s="1311"/>
      <c r="P5" s="1311"/>
      <c r="Q5" s="1311"/>
      <c r="R5" s="1311"/>
      <c r="S5" s="1311"/>
    </row>
    <row r="6" spans="8:22" x14ac:dyDescent="0.3">
      <c r="H6" s="47"/>
      <c r="I6" s="47"/>
      <c r="J6" s="47"/>
      <c r="K6" s="47"/>
      <c r="L6" s="47"/>
      <c r="M6" s="47"/>
      <c r="N6" s="47"/>
      <c r="O6" s="47"/>
      <c r="P6" s="47"/>
      <c r="Q6" s="47"/>
      <c r="R6" s="47"/>
      <c r="S6" s="47"/>
    </row>
    <row r="7" spans="8:22" x14ac:dyDescent="0.3">
      <c r="H7" s="196" t="s">
        <v>391</v>
      </c>
    </row>
    <row r="8" spans="8:22" ht="16.149999999999999" customHeight="1" x14ac:dyDescent="0.3"/>
    <row r="9" spans="8:22" ht="15.75" customHeight="1" x14ac:dyDescent="0.3">
      <c r="L9" s="1292">
        <v>2020</v>
      </c>
      <c r="M9" s="1293"/>
      <c r="N9" s="1293"/>
      <c r="O9" s="690">
        <v>2021</v>
      </c>
      <c r="P9" s="690"/>
      <c r="Q9" s="690"/>
      <c r="R9" s="685"/>
    </row>
    <row r="10" spans="8:22" s="32" customFormat="1" ht="28" x14ac:dyDescent="0.3">
      <c r="H10" s="722" t="s">
        <v>392</v>
      </c>
      <c r="I10" s="722" t="s">
        <v>393</v>
      </c>
      <c r="J10" s="723" t="s">
        <v>394</v>
      </c>
      <c r="K10" s="80"/>
      <c r="L10" s="477" t="s">
        <v>354</v>
      </c>
      <c r="M10" s="481" t="s">
        <v>253</v>
      </c>
      <c r="N10" s="481" t="s">
        <v>352</v>
      </c>
      <c r="O10" s="481" t="s">
        <v>353</v>
      </c>
      <c r="P10" s="481" t="s">
        <v>354</v>
      </c>
      <c r="Q10" s="481" t="s">
        <v>253</v>
      </c>
      <c r="R10" s="691" t="s">
        <v>352</v>
      </c>
      <c r="S10" s="47" t="s">
        <v>395</v>
      </c>
      <c r="T10" s="80"/>
      <c r="U10" s="80"/>
      <c r="V10" s="80"/>
    </row>
    <row r="11" spans="8:22" x14ac:dyDescent="0.3">
      <c r="H11" s="724">
        <v>43934</v>
      </c>
      <c r="I11" s="36">
        <v>248</v>
      </c>
      <c r="J11" s="250">
        <f>I11</f>
        <v>248</v>
      </c>
      <c r="K11" s="36"/>
      <c r="L11" s="276">
        <f>S11/26*J11</f>
        <v>95.384615384615387</v>
      </c>
      <c r="M11" s="268">
        <f>13/26*J11</f>
        <v>124</v>
      </c>
      <c r="N11" s="268">
        <f>J11-SUM(L11:M11)</f>
        <v>28.615384615384613</v>
      </c>
      <c r="O11" s="268"/>
      <c r="P11" s="268"/>
      <c r="Q11" s="268"/>
      <c r="R11" s="277"/>
      <c r="S11" s="36">
        <v>10</v>
      </c>
      <c r="T11" s="36"/>
      <c r="U11" s="269"/>
      <c r="V11" s="36"/>
    </row>
    <row r="12" spans="8:22" x14ac:dyDescent="0.3">
      <c r="H12" s="270">
        <v>43937</v>
      </c>
      <c r="I12" s="36">
        <v>342</v>
      </c>
      <c r="J12" s="250">
        <f>I12-I11</f>
        <v>94</v>
      </c>
      <c r="K12" s="36"/>
      <c r="L12" s="276">
        <f t="shared" ref="L12:L20" si="0">S12/26*J12</f>
        <v>36.153846153846153</v>
      </c>
      <c r="M12" s="268">
        <f t="shared" ref="M12:M20" si="1">13/26*J12</f>
        <v>47</v>
      </c>
      <c r="N12" s="268">
        <f t="shared" ref="N12:N21" si="2">J12-SUM(L12:M12)</f>
        <v>10.84615384615384</v>
      </c>
      <c r="O12" s="268"/>
      <c r="P12" s="268"/>
      <c r="Q12" s="268"/>
      <c r="R12" s="277"/>
      <c r="S12" s="36">
        <v>10</v>
      </c>
      <c r="T12" s="36"/>
      <c r="U12" s="36"/>
      <c r="V12" s="36"/>
    </row>
    <row r="13" spans="8:22" x14ac:dyDescent="0.3">
      <c r="H13" s="270">
        <v>43952</v>
      </c>
      <c r="I13" s="36">
        <v>518</v>
      </c>
      <c r="J13" s="250">
        <f>I13-I12</f>
        <v>176</v>
      </c>
      <c r="K13" s="36"/>
      <c r="L13" s="276">
        <f t="shared" si="0"/>
        <v>54.15384615384616</v>
      </c>
      <c r="M13" s="268">
        <f t="shared" si="1"/>
        <v>88</v>
      </c>
      <c r="N13" s="268">
        <f t="shared" si="2"/>
        <v>33.84615384615384</v>
      </c>
      <c r="O13" s="268"/>
      <c r="P13" s="268"/>
      <c r="Q13" s="268"/>
      <c r="R13" s="277"/>
      <c r="S13" s="36">
        <v>8</v>
      </c>
      <c r="T13" s="36"/>
      <c r="U13" s="36"/>
      <c r="V13" s="36"/>
    </row>
    <row r="14" spans="8:22" x14ac:dyDescent="0.3">
      <c r="H14" s="270">
        <v>43959</v>
      </c>
      <c r="I14" s="36">
        <v>531</v>
      </c>
      <c r="J14" s="250">
        <f t="shared" ref="J14:J45" si="3">I14-I13</f>
        <v>13</v>
      </c>
      <c r="K14" s="36"/>
      <c r="L14" s="276">
        <f t="shared" si="0"/>
        <v>3.5</v>
      </c>
      <c r="M14" s="268">
        <f t="shared" si="1"/>
        <v>6.5</v>
      </c>
      <c r="N14" s="268">
        <f t="shared" si="2"/>
        <v>3</v>
      </c>
      <c r="O14" s="268"/>
      <c r="P14" s="268"/>
      <c r="Q14" s="268"/>
      <c r="R14" s="277"/>
      <c r="S14" s="36">
        <f t="shared" ref="S14:S20" si="4">S13-1</f>
        <v>7</v>
      </c>
      <c r="T14" s="36"/>
      <c r="U14" s="36"/>
      <c r="V14" s="36"/>
    </row>
    <row r="15" spans="8:22" x14ac:dyDescent="0.3">
      <c r="H15" s="270">
        <v>43967</v>
      </c>
      <c r="I15" s="36">
        <v>513</v>
      </c>
      <c r="J15" s="250">
        <f t="shared" si="3"/>
        <v>-18</v>
      </c>
      <c r="K15" s="36"/>
      <c r="L15" s="276">
        <f t="shared" ref="L15:L17" si="5">S15/26*J15</f>
        <v>-4.1538461538461542</v>
      </c>
      <c r="M15" s="268">
        <f t="shared" ref="M15:M17" si="6">13/26*J15</f>
        <v>-9</v>
      </c>
      <c r="N15" s="268">
        <f t="shared" ref="N15:N17" si="7">J15-SUM(L15:M15)</f>
        <v>-4.8461538461538467</v>
      </c>
      <c r="O15" s="268"/>
      <c r="P15" s="268"/>
      <c r="Q15" s="268"/>
      <c r="R15" s="277"/>
      <c r="S15" s="36">
        <f t="shared" si="4"/>
        <v>6</v>
      </c>
      <c r="T15" s="36"/>
      <c r="U15" s="36"/>
      <c r="V15" s="36"/>
    </row>
    <row r="16" spans="8:22" x14ac:dyDescent="0.3">
      <c r="H16" s="270">
        <v>43974</v>
      </c>
      <c r="I16" s="36">
        <v>511</v>
      </c>
      <c r="J16" s="250">
        <f t="shared" si="3"/>
        <v>-2</v>
      </c>
      <c r="K16" s="36"/>
      <c r="L16" s="276">
        <f t="shared" si="5"/>
        <v>-0.38461538461538464</v>
      </c>
      <c r="M16" s="268">
        <f t="shared" si="6"/>
        <v>-1</v>
      </c>
      <c r="N16" s="268">
        <f t="shared" si="7"/>
        <v>-0.61538461538461542</v>
      </c>
      <c r="O16" s="268"/>
      <c r="P16" s="268"/>
      <c r="Q16" s="268"/>
      <c r="R16" s="277"/>
      <c r="S16" s="36">
        <f t="shared" si="4"/>
        <v>5</v>
      </c>
      <c r="T16" s="36"/>
      <c r="U16" s="36"/>
      <c r="V16" s="36"/>
    </row>
    <row r="17" spans="8:22" x14ac:dyDescent="0.3">
      <c r="H17" s="270">
        <v>43981</v>
      </c>
      <c r="I17" s="36">
        <v>510</v>
      </c>
      <c r="J17" s="250">
        <f t="shared" si="3"/>
        <v>-1</v>
      </c>
      <c r="K17" s="36"/>
      <c r="L17" s="276">
        <f t="shared" si="5"/>
        <v>-0.15384615384615385</v>
      </c>
      <c r="M17" s="268">
        <f t="shared" si="6"/>
        <v>-0.5</v>
      </c>
      <c r="N17" s="268">
        <f t="shared" si="7"/>
        <v>-0.34615384615384615</v>
      </c>
      <c r="O17" s="268"/>
      <c r="P17" s="268"/>
      <c r="Q17" s="268"/>
      <c r="R17" s="277"/>
      <c r="S17" s="36">
        <f t="shared" si="4"/>
        <v>4</v>
      </c>
      <c r="T17" s="36"/>
      <c r="U17" s="36"/>
      <c r="V17" s="36"/>
    </row>
    <row r="18" spans="8:22" x14ac:dyDescent="0.3">
      <c r="H18" s="270">
        <v>43988</v>
      </c>
      <c r="I18" s="36">
        <v>511</v>
      </c>
      <c r="J18" s="250">
        <f t="shared" si="3"/>
        <v>1</v>
      </c>
      <c r="K18" s="36"/>
      <c r="L18" s="276">
        <f t="shared" si="0"/>
        <v>0.11538461538461539</v>
      </c>
      <c r="M18" s="268">
        <f t="shared" si="1"/>
        <v>0.5</v>
      </c>
      <c r="N18" s="268">
        <f t="shared" si="2"/>
        <v>0.38461538461538458</v>
      </c>
      <c r="O18" s="268"/>
      <c r="P18" s="268"/>
      <c r="Q18" s="268"/>
      <c r="R18" s="277"/>
      <c r="S18" s="36">
        <f t="shared" si="4"/>
        <v>3</v>
      </c>
      <c r="T18" s="36"/>
      <c r="U18" s="36"/>
      <c r="V18" s="36"/>
    </row>
    <row r="19" spans="8:22" x14ac:dyDescent="0.3">
      <c r="H19" s="270">
        <v>43994</v>
      </c>
      <c r="I19" s="36">
        <v>512</v>
      </c>
      <c r="J19" s="250">
        <f t="shared" si="3"/>
        <v>1</v>
      </c>
      <c r="K19" s="36"/>
      <c r="L19" s="276">
        <f t="shared" si="0"/>
        <v>7.6923076923076927E-2</v>
      </c>
      <c r="M19" s="268">
        <f t="shared" si="1"/>
        <v>0.5</v>
      </c>
      <c r="N19" s="268">
        <f t="shared" si="2"/>
        <v>0.42307692307692313</v>
      </c>
      <c r="O19" s="268"/>
      <c r="P19" s="268"/>
      <c r="Q19" s="268"/>
      <c r="R19" s="277"/>
      <c r="S19" s="36">
        <f t="shared" si="4"/>
        <v>2</v>
      </c>
      <c r="T19" s="36"/>
      <c r="U19" s="36"/>
      <c r="V19" s="36"/>
    </row>
    <row r="20" spans="8:22" x14ac:dyDescent="0.3">
      <c r="H20" s="270">
        <v>44002</v>
      </c>
      <c r="I20" s="36">
        <v>515</v>
      </c>
      <c r="J20" s="250">
        <f t="shared" si="3"/>
        <v>3</v>
      </c>
      <c r="K20" s="36"/>
      <c r="L20" s="276">
        <f t="shared" si="0"/>
        <v>0.11538461538461539</v>
      </c>
      <c r="M20" s="268">
        <f t="shared" si="1"/>
        <v>1.5</v>
      </c>
      <c r="N20" s="268">
        <f t="shared" si="2"/>
        <v>1.3846153846153846</v>
      </c>
      <c r="O20" s="268"/>
      <c r="P20" s="268"/>
      <c r="Q20" s="268"/>
      <c r="R20" s="277"/>
      <c r="S20" s="36">
        <f t="shared" si="4"/>
        <v>1</v>
      </c>
      <c r="T20" s="36"/>
      <c r="U20" s="36"/>
      <c r="V20" s="36"/>
    </row>
    <row r="21" spans="8:22" x14ac:dyDescent="0.3">
      <c r="H21" s="270">
        <v>44009</v>
      </c>
      <c r="I21" s="36">
        <v>519</v>
      </c>
      <c r="J21" s="250">
        <f t="shared" si="3"/>
        <v>4</v>
      </c>
      <c r="K21" s="36"/>
      <c r="L21" s="276"/>
      <c r="M21" s="268">
        <f>S21/26*J21</f>
        <v>2</v>
      </c>
      <c r="N21" s="268">
        <f t="shared" si="2"/>
        <v>2</v>
      </c>
      <c r="O21" s="268"/>
      <c r="P21" s="268"/>
      <c r="Q21" s="268"/>
      <c r="R21" s="277"/>
      <c r="S21" s="36">
        <v>13</v>
      </c>
      <c r="T21" s="36"/>
      <c r="U21" s="36"/>
      <c r="V21" s="36"/>
    </row>
    <row r="22" spans="8:22" x14ac:dyDescent="0.3">
      <c r="H22" s="270">
        <v>44012</v>
      </c>
      <c r="I22" s="36">
        <v>521</v>
      </c>
      <c r="J22" s="250">
        <f t="shared" si="3"/>
        <v>2</v>
      </c>
      <c r="K22" s="36"/>
      <c r="L22" s="276"/>
      <c r="M22" s="268">
        <f t="shared" ref="M22:M26" si="8">S22/26*J22</f>
        <v>1</v>
      </c>
      <c r="N22" s="268">
        <f>J22-SUM(L22:M22)</f>
        <v>1</v>
      </c>
      <c r="O22" s="268"/>
      <c r="P22" s="268"/>
      <c r="Q22" s="268"/>
      <c r="R22" s="277"/>
      <c r="S22" s="36">
        <v>13</v>
      </c>
      <c r="T22" s="36"/>
      <c r="U22" s="36"/>
      <c r="V22" s="36"/>
    </row>
    <row r="23" spans="8:22" x14ac:dyDescent="0.3">
      <c r="H23" s="270">
        <v>44029</v>
      </c>
      <c r="I23" s="36">
        <v>518</v>
      </c>
      <c r="J23" s="250">
        <f t="shared" si="3"/>
        <v>-3</v>
      </c>
      <c r="K23" s="36"/>
      <c r="L23" s="276"/>
      <c r="M23" s="268">
        <f t="shared" ref="M23" si="9">S23/26*J23</f>
        <v>-1.153846153846154</v>
      </c>
      <c r="N23" s="268">
        <f t="shared" ref="N23" si="10">13/26*J23</f>
        <v>-1.5</v>
      </c>
      <c r="O23" s="268">
        <f t="shared" ref="O23" si="11">J23-N23-M23</f>
        <v>-0.34615384615384603</v>
      </c>
      <c r="P23" s="268"/>
      <c r="Q23" s="268"/>
      <c r="R23" s="277"/>
      <c r="S23" s="36">
        <f>S22-3</f>
        <v>10</v>
      </c>
      <c r="T23" s="36"/>
      <c r="U23" s="36"/>
      <c r="V23" s="36"/>
    </row>
    <row r="24" spans="8:22" x14ac:dyDescent="0.3">
      <c r="H24" s="270">
        <v>44036</v>
      </c>
      <c r="I24" s="36">
        <v>520</v>
      </c>
      <c r="J24" s="250">
        <f t="shared" si="3"/>
        <v>2</v>
      </c>
      <c r="K24" s="36"/>
      <c r="L24" s="276"/>
      <c r="M24" s="268">
        <f t="shared" si="8"/>
        <v>0.69230769230769229</v>
      </c>
      <c r="N24" s="268">
        <f t="shared" ref="N24:N26" si="12">13/26*J24</f>
        <v>1</v>
      </c>
      <c r="O24" s="268">
        <f t="shared" ref="O24:O26" si="13">J24-N24-M24</f>
        <v>0.30769230769230771</v>
      </c>
      <c r="P24" s="268"/>
      <c r="Q24" s="268"/>
      <c r="R24" s="277"/>
      <c r="S24" s="36">
        <f>S23-1</f>
        <v>9</v>
      </c>
      <c r="T24" s="36"/>
      <c r="U24" s="36"/>
      <c r="V24" s="36"/>
    </row>
    <row r="25" spans="8:22" x14ac:dyDescent="0.3">
      <c r="H25" s="270">
        <v>44043</v>
      </c>
      <c r="I25" s="36">
        <v>521</v>
      </c>
      <c r="J25" s="250">
        <f t="shared" si="3"/>
        <v>1</v>
      </c>
      <c r="K25" s="36"/>
      <c r="L25" s="276"/>
      <c r="M25" s="268">
        <f t="shared" si="8"/>
        <v>0.30769230769230771</v>
      </c>
      <c r="N25" s="268">
        <f t="shared" si="12"/>
        <v>0.5</v>
      </c>
      <c r="O25" s="268">
        <f t="shared" si="13"/>
        <v>0.19230769230769229</v>
      </c>
      <c r="P25" s="268"/>
      <c r="Q25" s="268"/>
      <c r="R25" s="277"/>
      <c r="S25" s="36">
        <f>S24-1</f>
        <v>8</v>
      </c>
      <c r="T25" s="36"/>
      <c r="U25" s="36"/>
      <c r="V25" s="36"/>
    </row>
    <row r="26" spans="8:22" x14ac:dyDescent="0.3">
      <c r="H26" s="270">
        <v>44051</v>
      </c>
      <c r="I26" s="36">
        <v>525</v>
      </c>
      <c r="J26" s="250">
        <f t="shared" si="3"/>
        <v>4</v>
      </c>
      <c r="K26" s="36"/>
      <c r="L26" s="276"/>
      <c r="M26" s="268">
        <f t="shared" si="8"/>
        <v>1.0769230769230769</v>
      </c>
      <c r="N26" s="268">
        <f t="shared" si="12"/>
        <v>2</v>
      </c>
      <c r="O26" s="268">
        <f t="shared" si="13"/>
        <v>0.92307692307692313</v>
      </c>
      <c r="P26" s="268"/>
      <c r="Q26" s="268"/>
      <c r="R26" s="277"/>
      <c r="S26" s="36">
        <f>S25-1</f>
        <v>7</v>
      </c>
      <c r="T26" s="36"/>
      <c r="U26" s="36"/>
      <c r="V26" s="36"/>
    </row>
    <row r="27" spans="8:22" x14ac:dyDescent="0.3">
      <c r="H27" s="270">
        <v>44220</v>
      </c>
      <c r="I27" s="36">
        <v>558</v>
      </c>
      <c r="J27" s="250">
        <f t="shared" si="3"/>
        <v>33</v>
      </c>
      <c r="K27" s="36"/>
      <c r="L27" s="276"/>
      <c r="M27" s="268"/>
      <c r="N27" s="268"/>
      <c r="O27" s="268">
        <f>S27/26*J27</f>
        <v>12.692307692307693</v>
      </c>
      <c r="P27" s="268">
        <f>J27/2</f>
        <v>16.5</v>
      </c>
      <c r="Q27" s="268">
        <f>J27-P27-O27</f>
        <v>3.8076923076923066</v>
      </c>
      <c r="R27" s="277"/>
      <c r="S27" s="36">
        <v>10</v>
      </c>
      <c r="T27" s="36">
        <v>10</v>
      </c>
      <c r="U27" s="36"/>
      <c r="V27" s="36"/>
    </row>
    <row r="28" spans="8:22" x14ac:dyDescent="0.3">
      <c r="H28" s="270">
        <v>44227</v>
      </c>
      <c r="I28" s="36">
        <v>596</v>
      </c>
      <c r="J28" s="250">
        <f t="shared" si="3"/>
        <v>38</v>
      </c>
      <c r="K28" s="36"/>
      <c r="L28" s="276"/>
      <c r="M28" s="268"/>
      <c r="N28" s="268"/>
      <c r="O28" s="268">
        <f t="shared" ref="O28:O36" si="14">S28/26*J28</f>
        <v>13.153846153846153</v>
      </c>
      <c r="P28" s="268">
        <f t="shared" ref="P28:P36" si="15">J28/2</f>
        <v>19</v>
      </c>
      <c r="Q28" s="268">
        <f t="shared" ref="Q28:Q36" si="16">J28-P28-O28</f>
        <v>5.8461538461538467</v>
      </c>
      <c r="R28" s="277"/>
      <c r="S28" s="36">
        <f>S27-1</f>
        <v>9</v>
      </c>
      <c r="T28" s="36">
        <f>T27-1</f>
        <v>9</v>
      </c>
      <c r="U28" s="36"/>
      <c r="V28" s="36"/>
    </row>
    <row r="29" spans="8:22" x14ac:dyDescent="0.3">
      <c r="H29" s="270">
        <v>44234</v>
      </c>
      <c r="I29" s="36">
        <v>623</v>
      </c>
      <c r="J29" s="250">
        <f t="shared" si="3"/>
        <v>27</v>
      </c>
      <c r="K29" s="36"/>
      <c r="L29" s="276"/>
      <c r="M29" s="268"/>
      <c r="N29" s="268"/>
      <c r="O29" s="268">
        <f t="shared" si="14"/>
        <v>8.3076923076923084</v>
      </c>
      <c r="P29" s="268">
        <f t="shared" si="15"/>
        <v>13.5</v>
      </c>
      <c r="Q29" s="268">
        <f t="shared" si="16"/>
        <v>5.1923076923076916</v>
      </c>
      <c r="R29" s="277"/>
      <c r="S29" s="36">
        <f t="shared" ref="S29:S36" si="17">S28-1</f>
        <v>8</v>
      </c>
      <c r="T29" s="36">
        <f t="shared" ref="T29:T36" si="18">T28-1</f>
        <v>8</v>
      </c>
      <c r="U29" s="36"/>
      <c r="V29" s="36"/>
    </row>
    <row r="30" spans="8:22" x14ac:dyDescent="0.3">
      <c r="H30" s="270">
        <v>44242</v>
      </c>
      <c r="I30" s="36">
        <v>648</v>
      </c>
      <c r="J30" s="250">
        <f t="shared" si="3"/>
        <v>25</v>
      </c>
      <c r="K30" s="36"/>
      <c r="L30" s="276"/>
      <c r="M30" s="268"/>
      <c r="N30" s="268"/>
      <c r="O30" s="268">
        <f t="shared" si="14"/>
        <v>6.7307692307692308</v>
      </c>
      <c r="P30" s="268">
        <f t="shared" si="15"/>
        <v>12.5</v>
      </c>
      <c r="Q30" s="268">
        <f t="shared" si="16"/>
        <v>5.7692307692307692</v>
      </c>
      <c r="R30" s="277"/>
      <c r="S30" s="36">
        <f t="shared" si="17"/>
        <v>7</v>
      </c>
      <c r="T30" s="36">
        <f t="shared" si="18"/>
        <v>7</v>
      </c>
      <c r="U30" s="36"/>
      <c r="V30" s="36"/>
    </row>
    <row r="31" spans="8:22" x14ac:dyDescent="0.3">
      <c r="H31" s="270">
        <v>44248</v>
      </c>
      <c r="I31" s="36">
        <v>663</v>
      </c>
      <c r="J31" s="250">
        <f t="shared" si="3"/>
        <v>15</v>
      </c>
      <c r="K31" s="36"/>
      <c r="L31" s="276"/>
      <c r="M31" s="268"/>
      <c r="N31" s="268"/>
      <c r="O31" s="268">
        <f t="shared" si="14"/>
        <v>3.4615384615384617</v>
      </c>
      <c r="P31" s="268">
        <f t="shared" si="15"/>
        <v>7.5</v>
      </c>
      <c r="Q31" s="268">
        <f t="shared" si="16"/>
        <v>4.0384615384615383</v>
      </c>
      <c r="R31" s="277"/>
      <c r="S31" s="36">
        <f t="shared" si="17"/>
        <v>6</v>
      </c>
      <c r="T31" s="36">
        <f t="shared" si="18"/>
        <v>6</v>
      </c>
      <c r="U31" s="36"/>
      <c r="V31" s="36"/>
    </row>
    <row r="32" spans="8:22" x14ac:dyDescent="0.3">
      <c r="H32" s="270">
        <v>44255</v>
      </c>
      <c r="I32" s="36">
        <v>679</v>
      </c>
      <c r="J32" s="250">
        <f t="shared" si="3"/>
        <v>16</v>
      </c>
      <c r="K32" s="36"/>
      <c r="L32" s="276"/>
      <c r="M32" s="268"/>
      <c r="N32" s="268"/>
      <c r="O32" s="268">
        <f t="shared" si="14"/>
        <v>3.0769230769230771</v>
      </c>
      <c r="P32" s="268">
        <f t="shared" si="15"/>
        <v>8</v>
      </c>
      <c r="Q32" s="268">
        <f t="shared" si="16"/>
        <v>4.9230769230769234</v>
      </c>
      <c r="R32" s="277"/>
      <c r="S32" s="36">
        <f t="shared" si="17"/>
        <v>5</v>
      </c>
      <c r="T32" s="36">
        <f t="shared" si="18"/>
        <v>5</v>
      </c>
      <c r="U32" s="36"/>
      <c r="V32" s="36"/>
    </row>
    <row r="33" spans="8:22" x14ac:dyDescent="0.3">
      <c r="H33" s="270">
        <v>44262</v>
      </c>
      <c r="I33" s="36">
        <v>687</v>
      </c>
      <c r="J33" s="250">
        <f t="shared" si="3"/>
        <v>8</v>
      </c>
      <c r="K33" s="36"/>
      <c r="L33" s="276"/>
      <c r="M33" s="268"/>
      <c r="N33" s="268"/>
      <c r="O33" s="268">
        <f t="shared" si="14"/>
        <v>1.2307692307692308</v>
      </c>
      <c r="P33" s="268">
        <f t="shared" si="15"/>
        <v>4</v>
      </c>
      <c r="Q33" s="268">
        <f t="shared" si="16"/>
        <v>2.7692307692307692</v>
      </c>
      <c r="R33" s="277"/>
      <c r="S33" s="36">
        <f t="shared" si="17"/>
        <v>4</v>
      </c>
      <c r="T33" s="36">
        <f t="shared" si="18"/>
        <v>4</v>
      </c>
      <c r="U33" s="36"/>
      <c r="V33" s="36"/>
    </row>
    <row r="34" spans="8:22" x14ac:dyDescent="0.3">
      <c r="H34" s="270">
        <v>44269</v>
      </c>
      <c r="I34" s="36">
        <v>704</v>
      </c>
      <c r="J34" s="250">
        <f t="shared" si="3"/>
        <v>17</v>
      </c>
      <c r="K34" s="36"/>
      <c r="L34" s="276"/>
      <c r="M34" s="268"/>
      <c r="N34" s="268"/>
      <c r="O34" s="268">
        <f t="shared" si="14"/>
        <v>1.9615384615384617</v>
      </c>
      <c r="P34" s="268">
        <f t="shared" si="15"/>
        <v>8.5</v>
      </c>
      <c r="Q34" s="268">
        <f t="shared" si="16"/>
        <v>6.5384615384615383</v>
      </c>
      <c r="R34" s="277"/>
      <c r="S34" s="36">
        <f t="shared" si="17"/>
        <v>3</v>
      </c>
      <c r="T34" s="36">
        <f t="shared" si="18"/>
        <v>3</v>
      </c>
      <c r="U34" s="36"/>
      <c r="V34" s="36"/>
    </row>
    <row r="35" spans="8:22" x14ac:dyDescent="0.3">
      <c r="H35" s="270">
        <v>44276</v>
      </c>
      <c r="I35" s="36">
        <v>718</v>
      </c>
      <c r="J35" s="250">
        <f t="shared" si="3"/>
        <v>14</v>
      </c>
      <c r="K35" s="36"/>
      <c r="L35" s="276"/>
      <c r="M35" s="268"/>
      <c r="N35" s="268"/>
      <c r="O35" s="268">
        <f t="shared" si="14"/>
        <v>1.0769230769230771</v>
      </c>
      <c r="P35" s="268">
        <f t="shared" si="15"/>
        <v>7</v>
      </c>
      <c r="Q35" s="268">
        <f t="shared" si="16"/>
        <v>5.9230769230769234</v>
      </c>
      <c r="R35" s="277"/>
      <c r="S35" s="36">
        <f t="shared" si="17"/>
        <v>2</v>
      </c>
      <c r="T35" s="36">
        <f t="shared" si="18"/>
        <v>2</v>
      </c>
      <c r="U35" s="36"/>
      <c r="V35" s="36"/>
    </row>
    <row r="36" spans="8:22" x14ac:dyDescent="0.3">
      <c r="H36" s="270">
        <v>44283</v>
      </c>
      <c r="I36" s="36">
        <v>734</v>
      </c>
      <c r="J36" s="250">
        <f t="shared" si="3"/>
        <v>16</v>
      </c>
      <c r="K36" s="36"/>
      <c r="L36" s="276"/>
      <c r="M36" s="268"/>
      <c r="N36" s="268"/>
      <c r="O36" s="268">
        <f t="shared" si="14"/>
        <v>0.61538461538461542</v>
      </c>
      <c r="P36" s="268">
        <f t="shared" si="15"/>
        <v>8</v>
      </c>
      <c r="Q36" s="268">
        <f t="shared" si="16"/>
        <v>7.384615384615385</v>
      </c>
      <c r="R36" s="277"/>
      <c r="S36" s="36">
        <f t="shared" si="17"/>
        <v>1</v>
      </c>
      <c r="T36" s="36">
        <f t="shared" si="18"/>
        <v>1</v>
      </c>
      <c r="U36" s="36"/>
      <c r="V36" s="36"/>
    </row>
    <row r="37" spans="8:22" x14ac:dyDescent="0.3">
      <c r="H37" s="270">
        <v>44290</v>
      </c>
      <c r="I37" s="36">
        <v>746</v>
      </c>
      <c r="J37" s="250">
        <f t="shared" si="3"/>
        <v>12</v>
      </c>
      <c r="K37" s="36"/>
      <c r="L37" s="276"/>
      <c r="M37" s="268"/>
      <c r="N37" s="268"/>
      <c r="O37" s="268"/>
      <c r="P37" s="268">
        <f>T37/26*J37</f>
        <v>6</v>
      </c>
      <c r="Q37" s="268">
        <f>J37/2</f>
        <v>6</v>
      </c>
      <c r="R37" s="277">
        <f>J37-Q37-P37</f>
        <v>0</v>
      </c>
      <c r="S37" s="36">
        <v>13</v>
      </c>
      <c r="T37" s="36">
        <v>13</v>
      </c>
      <c r="U37" s="36"/>
      <c r="V37" s="36"/>
    </row>
    <row r="38" spans="8:22" x14ac:dyDescent="0.3">
      <c r="H38" s="270">
        <v>44297</v>
      </c>
      <c r="I38" s="36">
        <v>755</v>
      </c>
      <c r="J38" s="250">
        <f t="shared" si="3"/>
        <v>9</v>
      </c>
      <c r="K38" s="36"/>
      <c r="L38" s="276"/>
      <c r="M38" s="268"/>
      <c r="N38" s="268"/>
      <c r="O38" s="268"/>
      <c r="P38" s="268">
        <f t="shared" ref="P38:P45" si="19">T38/26*J38</f>
        <v>4.1538461538461542</v>
      </c>
      <c r="Q38" s="268">
        <f t="shared" ref="Q38:Q45" si="20">J38/2</f>
        <v>4.5</v>
      </c>
      <c r="R38" s="277">
        <f t="shared" ref="R38:R45" si="21">J38-Q38-P38</f>
        <v>0.34615384615384581</v>
      </c>
      <c r="S38" s="36">
        <f>S37-1</f>
        <v>12</v>
      </c>
      <c r="T38" s="36">
        <f>T37-1</f>
        <v>12</v>
      </c>
      <c r="U38" s="36"/>
      <c r="V38" s="36"/>
    </row>
    <row r="39" spans="8:22" x14ac:dyDescent="0.3">
      <c r="H39" s="270">
        <v>44304</v>
      </c>
      <c r="I39" s="36">
        <v>762</v>
      </c>
      <c r="J39" s="250">
        <f t="shared" si="3"/>
        <v>7</v>
      </c>
      <c r="K39" s="36"/>
      <c r="L39" s="276"/>
      <c r="M39" s="268"/>
      <c r="N39" s="268"/>
      <c r="O39" s="268"/>
      <c r="P39" s="268">
        <f t="shared" si="19"/>
        <v>2.9615384615384617</v>
      </c>
      <c r="Q39" s="268">
        <f t="shared" si="20"/>
        <v>3.5</v>
      </c>
      <c r="R39" s="277">
        <f t="shared" si="21"/>
        <v>0.53846153846153832</v>
      </c>
      <c r="S39" s="36">
        <f t="shared" ref="S39:S45" si="22">S38-1</f>
        <v>11</v>
      </c>
      <c r="T39" s="36">
        <f t="shared" ref="T39:T45" si="23">T38-1</f>
        <v>11</v>
      </c>
      <c r="U39" s="36"/>
      <c r="V39" s="36"/>
    </row>
    <row r="40" spans="8:22" x14ac:dyDescent="0.3">
      <c r="H40" s="270">
        <v>44311</v>
      </c>
      <c r="I40" s="36">
        <v>771</v>
      </c>
      <c r="J40" s="250">
        <f t="shared" si="3"/>
        <v>9</v>
      </c>
      <c r="K40" s="36"/>
      <c r="L40" s="276"/>
      <c r="M40" s="268"/>
      <c r="N40" s="268"/>
      <c r="O40" s="268"/>
      <c r="P40" s="268">
        <f t="shared" si="19"/>
        <v>3.4615384615384617</v>
      </c>
      <c r="Q40" s="268">
        <f t="shared" si="20"/>
        <v>4.5</v>
      </c>
      <c r="R40" s="277">
        <f t="shared" si="21"/>
        <v>1.0384615384615383</v>
      </c>
      <c r="S40" s="36">
        <f t="shared" si="22"/>
        <v>10</v>
      </c>
      <c r="T40" s="36">
        <f t="shared" si="23"/>
        <v>10</v>
      </c>
      <c r="U40" s="36"/>
      <c r="V40" s="36"/>
    </row>
    <row r="41" spans="8:22" x14ac:dyDescent="0.3">
      <c r="H41" s="270">
        <v>44318</v>
      </c>
      <c r="I41" s="36">
        <v>780</v>
      </c>
      <c r="J41" s="250">
        <f t="shared" si="3"/>
        <v>9</v>
      </c>
      <c r="K41" s="36"/>
      <c r="L41" s="276"/>
      <c r="M41" s="268"/>
      <c r="N41" s="268"/>
      <c r="O41" s="268"/>
      <c r="P41" s="268">
        <f t="shared" si="19"/>
        <v>3.1153846153846154</v>
      </c>
      <c r="Q41" s="268">
        <f t="shared" si="20"/>
        <v>4.5</v>
      </c>
      <c r="R41" s="277">
        <f t="shared" si="21"/>
        <v>1.3846153846153846</v>
      </c>
      <c r="S41" s="36">
        <f t="shared" si="22"/>
        <v>9</v>
      </c>
      <c r="T41" s="36">
        <f t="shared" si="23"/>
        <v>9</v>
      </c>
      <c r="U41" s="36"/>
      <c r="V41" s="36"/>
    </row>
    <row r="42" spans="8:22" x14ac:dyDescent="0.3">
      <c r="H42" s="270">
        <v>44325</v>
      </c>
      <c r="I42" s="36">
        <v>782</v>
      </c>
      <c r="J42" s="250">
        <f t="shared" si="3"/>
        <v>2</v>
      </c>
      <c r="K42" s="36"/>
      <c r="L42" s="276"/>
      <c r="M42" s="268"/>
      <c r="N42" s="268"/>
      <c r="O42" s="268"/>
      <c r="P42" s="268">
        <f t="shared" si="19"/>
        <v>0.61538461538461542</v>
      </c>
      <c r="Q42" s="268">
        <f t="shared" si="20"/>
        <v>1</v>
      </c>
      <c r="R42" s="277">
        <f t="shared" si="21"/>
        <v>0.38461538461538458</v>
      </c>
      <c r="S42" s="36">
        <f t="shared" si="22"/>
        <v>8</v>
      </c>
      <c r="T42" s="36">
        <f t="shared" si="23"/>
        <v>8</v>
      </c>
      <c r="U42" s="36"/>
      <c r="V42" s="36"/>
    </row>
    <row r="43" spans="8:22" x14ac:dyDescent="0.3">
      <c r="H43" s="270">
        <v>44332</v>
      </c>
      <c r="I43" s="36">
        <v>788</v>
      </c>
      <c r="J43" s="250">
        <f t="shared" si="3"/>
        <v>6</v>
      </c>
      <c r="K43" s="36"/>
      <c r="L43" s="276"/>
      <c r="M43" s="268"/>
      <c r="N43" s="268"/>
      <c r="O43" s="268"/>
      <c r="P43" s="268">
        <f t="shared" si="19"/>
        <v>1.6153846153846154</v>
      </c>
      <c r="Q43" s="268">
        <f t="shared" si="20"/>
        <v>3</v>
      </c>
      <c r="R43" s="277">
        <f t="shared" si="21"/>
        <v>1.3846153846153846</v>
      </c>
      <c r="S43" s="36">
        <f t="shared" si="22"/>
        <v>7</v>
      </c>
      <c r="T43" s="36">
        <f t="shared" si="23"/>
        <v>7</v>
      </c>
      <c r="U43" s="36"/>
      <c r="V43" s="36"/>
    </row>
    <row r="44" spans="8:22" x14ac:dyDescent="0.3">
      <c r="H44" s="270">
        <v>44339</v>
      </c>
      <c r="I44" s="36">
        <v>796</v>
      </c>
      <c r="J44" s="250">
        <f t="shared" si="3"/>
        <v>8</v>
      </c>
      <c r="K44" s="36"/>
      <c r="L44" s="276"/>
      <c r="M44" s="268"/>
      <c r="N44" s="268"/>
      <c r="O44" s="268"/>
      <c r="P44" s="268">
        <f t="shared" si="19"/>
        <v>1.8461538461538463</v>
      </c>
      <c r="Q44" s="268">
        <f t="shared" si="20"/>
        <v>4</v>
      </c>
      <c r="R44" s="277">
        <f t="shared" si="21"/>
        <v>2.1538461538461537</v>
      </c>
      <c r="S44" s="36">
        <f t="shared" si="22"/>
        <v>6</v>
      </c>
      <c r="T44" s="36">
        <f t="shared" si="23"/>
        <v>6</v>
      </c>
      <c r="U44" s="36"/>
      <c r="V44" s="36"/>
    </row>
    <row r="45" spans="8:22" x14ac:dyDescent="0.3">
      <c r="H45" s="271">
        <v>44347</v>
      </c>
      <c r="I45" s="136">
        <v>800</v>
      </c>
      <c r="J45" s="163">
        <f t="shared" si="3"/>
        <v>4</v>
      </c>
      <c r="K45" s="36"/>
      <c r="L45" s="276"/>
      <c r="M45" s="268"/>
      <c r="N45" s="268"/>
      <c r="O45" s="268"/>
      <c r="P45" s="268">
        <f t="shared" si="19"/>
        <v>0.76923076923076927</v>
      </c>
      <c r="Q45" s="268">
        <f t="shared" si="20"/>
        <v>2</v>
      </c>
      <c r="R45" s="277">
        <f t="shared" si="21"/>
        <v>1.2307692307692308</v>
      </c>
      <c r="S45" s="36">
        <f t="shared" si="22"/>
        <v>5</v>
      </c>
      <c r="T45" s="36">
        <f t="shared" si="23"/>
        <v>5</v>
      </c>
      <c r="U45" s="36"/>
      <c r="V45" s="36"/>
    </row>
    <row r="46" spans="8:22" x14ac:dyDescent="0.3">
      <c r="H46" s="36"/>
      <c r="I46" s="36"/>
      <c r="J46" s="36"/>
      <c r="K46" s="36"/>
      <c r="L46" s="276">
        <f>SUM(L11:L45)</f>
        <v>184.80769230769229</v>
      </c>
      <c r="M46" s="268">
        <f t="shared" ref="M46:R46" si="24">SUM(M11:M45)</f>
        <v>261.42307692307696</v>
      </c>
      <c r="N46" s="268">
        <f t="shared" si="24"/>
        <v>77.692307692307693</v>
      </c>
      <c r="O46" s="268">
        <f t="shared" si="24"/>
        <v>53.384615384615394</v>
      </c>
      <c r="P46" s="268">
        <f t="shared" si="24"/>
        <v>129.03846153846155</v>
      </c>
      <c r="Q46" s="268">
        <f t="shared" si="24"/>
        <v>85.192307692307693</v>
      </c>
      <c r="R46" s="277">
        <f t="shared" si="24"/>
        <v>8.4615384615384599</v>
      </c>
      <c r="S46" s="36"/>
      <c r="T46" s="36"/>
      <c r="U46" s="36"/>
      <c r="V46" s="36"/>
    </row>
    <row r="47" spans="8:22" x14ac:dyDescent="0.3">
      <c r="H47" s="36"/>
      <c r="I47" s="36"/>
      <c r="J47" s="36"/>
      <c r="K47" s="36"/>
      <c r="L47" s="278">
        <f>L46*4</f>
        <v>739.23076923076917</v>
      </c>
      <c r="M47" s="279">
        <f t="shared" ref="M47:R47" si="25">M46*4</f>
        <v>1045.6923076923078</v>
      </c>
      <c r="N47" s="279">
        <f t="shared" si="25"/>
        <v>310.76923076923077</v>
      </c>
      <c r="O47" s="279">
        <f t="shared" si="25"/>
        <v>213.53846153846158</v>
      </c>
      <c r="P47" s="279">
        <f t="shared" si="25"/>
        <v>516.15384615384619</v>
      </c>
      <c r="Q47" s="279">
        <f t="shared" si="25"/>
        <v>340.76923076923077</v>
      </c>
      <c r="R47" s="280">
        <f t="shared" si="25"/>
        <v>33.84615384615384</v>
      </c>
      <c r="S47" s="36" t="s">
        <v>396</v>
      </c>
      <c r="T47" s="36"/>
      <c r="U47" s="36"/>
      <c r="V47" s="36"/>
    </row>
    <row r="48" spans="8:22" x14ac:dyDescent="0.3">
      <c r="J48" s="27" t="s">
        <v>397</v>
      </c>
      <c r="L48" s="27">
        <v>634</v>
      </c>
      <c r="M48" s="82">
        <f>K55</f>
        <v>900.7</v>
      </c>
      <c r="N48" s="82">
        <f t="shared" ref="N48:P48" si="26">L55</f>
        <v>270.7</v>
      </c>
      <c r="O48" s="82">
        <f t="shared" si="26"/>
        <v>195.4</v>
      </c>
      <c r="P48" s="82">
        <f t="shared" si="26"/>
        <v>451.9</v>
      </c>
      <c r="Q48" s="82">
        <v>279</v>
      </c>
      <c r="R48" s="82"/>
    </row>
    <row r="50" spans="8:29" x14ac:dyDescent="0.3">
      <c r="H50" s="1312" t="s">
        <v>398</v>
      </c>
      <c r="I50" s="1313"/>
      <c r="J50" s="1307" t="s">
        <v>350</v>
      </c>
      <c r="K50" s="1308"/>
      <c r="L50" s="1308"/>
      <c r="M50" s="1318"/>
      <c r="N50" s="1318"/>
      <c r="O50" s="1318"/>
      <c r="P50" s="1319"/>
      <c r="Q50" s="44"/>
      <c r="R50" s="44"/>
      <c r="S50" s="44"/>
      <c r="T50" s="44"/>
      <c r="U50" s="44"/>
      <c r="V50" s="44"/>
      <c r="W50" s="44"/>
      <c r="X50" s="44"/>
      <c r="Y50" s="44"/>
    </row>
    <row r="51" spans="8:29" x14ac:dyDescent="0.3">
      <c r="H51" s="1314"/>
      <c r="I51" s="1315"/>
      <c r="J51" s="1292">
        <v>2020</v>
      </c>
      <c r="K51" s="1293"/>
      <c r="L51" s="1293"/>
      <c r="M51" s="1302">
        <v>2021</v>
      </c>
      <c r="N51" s="1293"/>
      <c r="O51" s="1293"/>
      <c r="P51" s="1303"/>
      <c r="Q51" s="1310"/>
      <c r="R51" s="1310"/>
      <c r="S51" s="1310"/>
      <c r="T51" s="1310"/>
      <c r="U51" s="1310"/>
      <c r="V51" s="1310"/>
      <c r="W51" s="1310"/>
      <c r="X51" s="1310"/>
    </row>
    <row r="52" spans="8:29" x14ac:dyDescent="0.3">
      <c r="H52" s="1316"/>
      <c r="I52" s="1317"/>
      <c r="J52" s="151" t="s">
        <v>354</v>
      </c>
      <c r="K52" s="140" t="s">
        <v>253</v>
      </c>
      <c r="L52" s="140" t="s">
        <v>352</v>
      </c>
      <c r="M52" s="28" t="s">
        <v>353</v>
      </c>
      <c r="N52" s="29" t="s">
        <v>354</v>
      </c>
      <c r="O52" s="29" t="s">
        <v>253</v>
      </c>
      <c r="P52" s="30" t="s">
        <v>352</v>
      </c>
      <c r="Q52" s="36"/>
      <c r="S52" s="787"/>
      <c r="T52" s="787"/>
      <c r="U52" s="1074"/>
      <c r="V52" s="787"/>
      <c r="W52" s="787"/>
      <c r="X52" s="787"/>
      <c r="Y52" s="787"/>
      <c r="Z52" s="787"/>
      <c r="AA52" s="787"/>
    </row>
    <row r="53" spans="8:29" ht="32.65" customHeight="1" x14ac:dyDescent="0.3">
      <c r="H53" s="48" t="s">
        <v>399</v>
      </c>
      <c r="I53" s="36" t="s">
        <v>400</v>
      </c>
      <c r="J53" s="692">
        <f>'Haver Pivoted'!GU47</f>
        <v>57.2</v>
      </c>
      <c r="K53" s="693">
        <f>'Haver Pivoted'!GV47</f>
        <v>81.2</v>
      </c>
      <c r="L53" s="693">
        <f>'Haver Pivoted'!GW47</f>
        <v>24.4</v>
      </c>
      <c r="M53" s="260">
        <f>'Haver Pivoted'!GX47</f>
        <v>10.8</v>
      </c>
      <c r="N53" s="260">
        <f>'Haver Pivoted'!GY47</f>
        <v>24.7</v>
      </c>
      <c r="O53" s="718">
        <f>'Haver Pivoted'!GZ47</f>
        <v>14</v>
      </c>
      <c r="P53" s="718">
        <f>'Haver Pivoted'!HA47</f>
        <v>2</v>
      </c>
      <c r="Q53" s="260"/>
      <c r="S53" s="787"/>
      <c r="T53" s="787"/>
      <c r="U53" s="787"/>
      <c r="V53" s="787"/>
      <c r="W53" s="787"/>
      <c r="X53" s="787"/>
      <c r="Y53" s="787"/>
      <c r="Z53" s="787"/>
      <c r="AA53" s="787"/>
    </row>
    <row r="54" spans="8:29" ht="33.75" customHeight="1" x14ac:dyDescent="0.3">
      <c r="H54" s="48" t="s">
        <v>401</v>
      </c>
      <c r="I54" s="55" t="s">
        <v>402</v>
      </c>
      <c r="J54" s="261">
        <f>'Haver Pivoted'!GU49</f>
        <v>576.9</v>
      </c>
      <c r="K54" s="260">
        <f>'Haver Pivoted'!GV49</f>
        <v>819.5</v>
      </c>
      <c r="L54" s="260">
        <f>'Haver Pivoted'!GW49</f>
        <v>246.3</v>
      </c>
      <c r="M54" s="260">
        <f>'Haver Pivoted'!GX49</f>
        <v>184.6</v>
      </c>
      <c r="N54" s="260">
        <f>'Haver Pivoted'!GY49</f>
        <v>427.2</v>
      </c>
      <c r="O54" s="718">
        <f>'Haver Pivoted'!GZ49</f>
        <v>265</v>
      </c>
      <c r="P54" s="718">
        <f>'Haver Pivoted'!HA49</f>
        <v>28.6</v>
      </c>
      <c r="Q54" s="260"/>
      <c r="R54" s="260"/>
    </row>
    <row r="55" spans="8:29" x14ac:dyDescent="0.3">
      <c r="H55" s="34" t="s">
        <v>385</v>
      </c>
      <c r="I55" s="36"/>
      <c r="J55" s="261">
        <f>J54+J53</f>
        <v>634.1</v>
      </c>
      <c r="K55" s="260">
        <f t="shared" ref="K55:M55" si="27">K54+K53</f>
        <v>900.7</v>
      </c>
      <c r="L55" s="260">
        <f t="shared" si="27"/>
        <v>270.7</v>
      </c>
      <c r="M55" s="260">
        <f t="shared" si="27"/>
        <v>195.4</v>
      </c>
      <c r="N55" s="260">
        <f t="shared" ref="N55:P55" si="28">N54+N53</f>
        <v>451.9</v>
      </c>
      <c r="O55" s="718">
        <f t="shared" si="28"/>
        <v>279</v>
      </c>
      <c r="P55" s="718">
        <f t="shared" si="28"/>
        <v>30.6</v>
      </c>
      <c r="Q55" s="260"/>
      <c r="R55" s="260"/>
    </row>
    <row r="56" spans="8:29" x14ac:dyDescent="0.3">
      <c r="H56" s="129" t="s">
        <v>403</v>
      </c>
      <c r="I56" s="136"/>
      <c r="J56" s="473">
        <f t="shared" ref="J56:P56" si="29">J53/J55</f>
        <v>9.0206592020186091E-2</v>
      </c>
      <c r="K56" s="474">
        <f t="shared" si="29"/>
        <v>9.015210391917397E-2</v>
      </c>
      <c r="L56" s="474">
        <f t="shared" si="29"/>
        <v>9.0136682674547469E-2</v>
      </c>
      <c r="M56" s="474">
        <f t="shared" si="29"/>
        <v>5.527123848515865E-2</v>
      </c>
      <c r="N56" s="474">
        <f t="shared" si="29"/>
        <v>5.4658110201371984E-2</v>
      </c>
      <c r="O56" s="475">
        <f t="shared" si="29"/>
        <v>5.0179211469534052E-2</v>
      </c>
      <c r="P56" s="475">
        <f t="shared" si="29"/>
        <v>6.535947712418301E-2</v>
      </c>
      <c r="Q56" s="266"/>
      <c r="R56" s="267"/>
    </row>
    <row r="58" spans="8:29" x14ac:dyDescent="0.3">
      <c r="H58" s="27" t="s">
        <v>1193</v>
      </c>
    </row>
    <row r="59" spans="8:29" x14ac:dyDescent="0.3">
      <c r="H59" s="32"/>
      <c r="I59" s="36"/>
      <c r="J59" s="260"/>
      <c r="K59" s="260"/>
      <c r="L59" s="260"/>
      <c r="M59" s="260"/>
      <c r="N59" s="260"/>
      <c r="O59" s="260"/>
      <c r="P59" s="1114"/>
      <c r="Q59" s="922"/>
      <c r="R59" s="922"/>
      <c r="S59" s="922"/>
      <c r="T59" s="817"/>
      <c r="U59" s="817"/>
      <c r="V59" s="817"/>
      <c r="W59" s="817"/>
      <c r="X59" s="817"/>
      <c r="Y59" s="817"/>
      <c r="Z59" s="817"/>
      <c r="AA59" s="817"/>
      <c r="AB59" s="817"/>
      <c r="AC59" s="817"/>
    </row>
    <row r="60" spans="8:29" x14ac:dyDescent="0.3">
      <c r="P60" s="922"/>
      <c r="Q60" s="817"/>
      <c r="R60" s="817"/>
      <c r="S60" s="817"/>
      <c r="T60" s="817"/>
      <c r="U60" s="817"/>
      <c r="V60" s="817"/>
      <c r="W60" s="817"/>
      <c r="X60" s="817"/>
      <c r="Y60" s="817"/>
      <c r="Z60" s="817"/>
      <c r="AA60" s="817"/>
      <c r="AB60" s="817"/>
      <c r="AC60" s="817"/>
    </row>
    <row r="61" spans="8:29" x14ac:dyDescent="0.3">
      <c r="P61" s="922"/>
      <c r="Q61" s="1116"/>
      <c r="R61" s="1116"/>
      <c r="S61" s="1116"/>
      <c r="T61" s="1116"/>
      <c r="U61" s="1116"/>
      <c r="V61" s="1116"/>
      <c r="W61" s="1116"/>
      <c r="X61" s="1116"/>
      <c r="Y61" s="1116"/>
      <c r="Z61" s="1116"/>
      <c r="AA61" s="1116"/>
      <c r="AB61" s="1116"/>
      <c r="AC61" s="817"/>
    </row>
    <row r="62" spans="8:29" x14ac:dyDescent="0.3">
      <c r="P62" s="922"/>
      <c r="Q62" s="1116"/>
      <c r="R62" s="1116"/>
      <c r="S62" s="1116"/>
      <c r="T62" s="1116"/>
      <c r="U62" s="1116"/>
      <c r="V62" s="1116"/>
      <c r="W62" s="1116"/>
      <c r="X62" s="1116"/>
      <c r="Y62" s="1116"/>
      <c r="Z62" s="1116"/>
      <c r="AA62" s="1116"/>
      <c r="AB62" s="1116"/>
      <c r="AC62" s="817"/>
    </row>
    <row r="63" spans="8:29" x14ac:dyDescent="0.3">
      <c r="I63" s="27" t="s">
        <v>353</v>
      </c>
      <c r="J63" s="27" t="s">
        <v>354</v>
      </c>
      <c r="K63" s="27" t="s">
        <v>253</v>
      </c>
      <c r="L63" s="27" t="s">
        <v>352</v>
      </c>
      <c r="P63" s="267"/>
      <c r="Q63" s="1116"/>
      <c r="R63" s="1116"/>
      <c r="S63" s="1116"/>
      <c r="T63" s="1116"/>
      <c r="U63" s="1116"/>
      <c r="V63" s="1116"/>
      <c r="W63" s="1116"/>
      <c r="X63" s="1116"/>
      <c r="Y63" s="1116"/>
      <c r="Z63" s="1116"/>
      <c r="AA63" s="1116"/>
      <c r="AB63" s="1116"/>
      <c r="AC63" s="817"/>
    </row>
    <row r="64" spans="8:29" x14ac:dyDescent="0.3">
      <c r="H64" s="27" t="s">
        <v>1194</v>
      </c>
      <c r="I64" s="27">
        <v>81.599999999999994</v>
      </c>
      <c r="J64" s="27">
        <v>188.9</v>
      </c>
      <c r="K64" s="27">
        <v>117.2</v>
      </c>
      <c r="L64" s="27" t="e">
        <f>#REF!+#REF!</f>
        <v>#REF!</v>
      </c>
      <c r="P64" s="817"/>
      <c r="Q64" s="817"/>
      <c r="R64" s="817"/>
      <c r="S64" s="817"/>
      <c r="T64" s="817"/>
      <c r="U64" s="817"/>
      <c r="V64" s="817"/>
      <c r="W64" s="817"/>
      <c r="X64" s="817"/>
      <c r="Y64" s="817"/>
      <c r="Z64" s="817"/>
      <c r="AA64" s="817"/>
      <c r="AB64" s="817"/>
      <c r="AC64" s="817"/>
    </row>
    <row r="65" spans="7:29" x14ac:dyDescent="0.3">
      <c r="H65" s="27" t="s">
        <v>579</v>
      </c>
      <c r="I65" s="82">
        <f>M53</f>
        <v>10.8</v>
      </c>
      <c r="J65" s="82">
        <f t="shared" ref="J65:K65" si="30">N53</f>
        <v>24.7</v>
      </c>
      <c r="K65" s="82">
        <f t="shared" si="30"/>
        <v>14</v>
      </c>
      <c r="L65" s="27" t="e">
        <f>#REF!</f>
        <v>#REF!</v>
      </c>
      <c r="P65" s="817"/>
      <c r="Q65" s="817"/>
      <c r="R65" s="817"/>
      <c r="S65" s="817"/>
      <c r="T65" s="817"/>
      <c r="U65" s="817"/>
      <c r="V65" s="817"/>
      <c r="W65" s="817"/>
      <c r="X65" s="817"/>
      <c r="Y65" s="817"/>
      <c r="Z65" s="817"/>
      <c r="AA65" s="817"/>
      <c r="AB65" s="817"/>
      <c r="AC65" s="817"/>
    </row>
    <row r="66" spans="7:29" x14ac:dyDescent="0.3">
      <c r="H66" s="27" t="s">
        <v>1195</v>
      </c>
      <c r="I66" s="82">
        <f>I67-SUM(I64:I65)</f>
        <v>103.00000000000001</v>
      </c>
      <c r="J66" s="82">
        <f t="shared" ref="J66:K66" si="31">J67-SUM(J64:J65)</f>
        <v>238.29999999999998</v>
      </c>
      <c r="K66" s="82">
        <f t="shared" si="31"/>
        <v>147.80000000000001</v>
      </c>
      <c r="L66" s="82" t="e">
        <f>1.26*L64</f>
        <v>#REF!</v>
      </c>
      <c r="P66" s="817"/>
      <c r="Q66" s="817"/>
      <c r="R66" s="817"/>
      <c r="S66" s="817"/>
      <c r="T66" s="817"/>
      <c r="U66" s="817"/>
      <c r="V66" s="817"/>
      <c r="W66" s="817"/>
      <c r="X66" s="817"/>
      <c r="Y66" s="817"/>
      <c r="Z66" s="817"/>
      <c r="AA66" s="817"/>
      <c r="AB66" s="817"/>
      <c r="AC66" s="817"/>
    </row>
    <row r="67" spans="7:29" x14ac:dyDescent="0.3">
      <c r="H67" s="27" t="s">
        <v>385</v>
      </c>
      <c r="I67" s="82">
        <f>M55</f>
        <v>195.4</v>
      </c>
      <c r="J67" s="82">
        <f>N55</f>
        <v>451.9</v>
      </c>
      <c r="K67" s="82">
        <f>O55</f>
        <v>279</v>
      </c>
      <c r="L67" s="82" t="e">
        <f>SUM(L64:L66)</f>
        <v>#REF!</v>
      </c>
    </row>
    <row r="68" spans="7:29" x14ac:dyDescent="0.3">
      <c r="G68" s="27" t="s">
        <v>1196</v>
      </c>
    </row>
    <row r="69" spans="7:29" x14ac:dyDescent="0.3">
      <c r="H69" s="868" t="s">
        <v>1194</v>
      </c>
      <c r="I69" s="418">
        <f>I64/I$67</f>
        <v>0.4176049129989764</v>
      </c>
      <c r="J69" s="418">
        <f t="shared" ref="J69:L69" si="32">J64/J$67</f>
        <v>0.41801283469794204</v>
      </c>
      <c r="K69" s="418">
        <f t="shared" si="32"/>
        <v>0.42007168458781363</v>
      </c>
      <c r="L69" s="418" t="e">
        <f t="shared" si="32"/>
        <v>#REF!</v>
      </c>
    </row>
    <row r="70" spans="7:29" x14ac:dyDescent="0.3">
      <c r="H70" s="868" t="s">
        <v>579</v>
      </c>
      <c r="I70" s="418">
        <f t="shared" ref="I70:L71" si="33">I65/I$67</f>
        <v>5.527123848515865E-2</v>
      </c>
      <c r="J70" s="418">
        <f t="shared" si="33"/>
        <v>5.4658110201371984E-2</v>
      </c>
      <c r="K70" s="418">
        <f t="shared" si="33"/>
        <v>5.0179211469534052E-2</v>
      </c>
      <c r="L70" s="418" t="e">
        <f t="shared" si="33"/>
        <v>#REF!</v>
      </c>
    </row>
    <row r="71" spans="7:29" x14ac:dyDescent="0.3">
      <c r="H71" s="868" t="s">
        <v>1195</v>
      </c>
      <c r="I71" s="418">
        <f t="shared" si="33"/>
        <v>0.52712384851586491</v>
      </c>
      <c r="J71" s="418">
        <f t="shared" si="33"/>
        <v>0.52732905510068595</v>
      </c>
      <c r="K71" s="418">
        <f t="shared" si="33"/>
        <v>0.5297491039426524</v>
      </c>
      <c r="L71" s="418" t="e">
        <f t="shared" si="33"/>
        <v>#REF!</v>
      </c>
    </row>
    <row r="73" spans="7:29" x14ac:dyDescent="0.3">
      <c r="H73" s="27" t="s">
        <v>1197</v>
      </c>
      <c r="I73" s="27">
        <f>I66/I64</f>
        <v>1.2622549019607845</v>
      </c>
      <c r="J73" s="868">
        <f t="shared" ref="J73:K73" si="34">J66/J64</f>
        <v>1.2615140285865536</v>
      </c>
      <c r="K73" s="868">
        <f t="shared" si="34"/>
        <v>1.2610921501706485</v>
      </c>
    </row>
  </sheetData>
  <mergeCells count="9">
    <mergeCell ref="U51:X51"/>
    <mergeCell ref="H2:S5"/>
    <mergeCell ref="H1:S1"/>
    <mergeCell ref="L9:N9"/>
    <mergeCell ref="H50:I52"/>
    <mergeCell ref="J51:L51"/>
    <mergeCell ref="Q51:T51"/>
    <mergeCell ref="M51:P51"/>
    <mergeCell ref="J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AD52"/>
  <sheetViews>
    <sheetView topLeftCell="B10" zoomScale="118" zoomScaleNormal="211" workbookViewId="0">
      <selection activeCell="E7" sqref="E7"/>
    </sheetView>
  </sheetViews>
  <sheetFormatPr defaultColWidth="8.7265625" defaultRowHeight="14.5" x14ac:dyDescent="0.35"/>
  <cols>
    <col min="2" max="2" width="38.7265625" customWidth="1"/>
    <col min="3" max="9" width="10.453125" customWidth="1"/>
    <col min="10" max="20" width="7.1796875" customWidth="1"/>
    <col min="21" max="21" width="20.453125" customWidth="1"/>
    <col min="22" max="22" width="11.7265625" customWidth="1"/>
  </cols>
  <sheetData>
    <row r="1" spans="1:22" x14ac:dyDescent="0.35">
      <c r="B1" s="1279" t="s">
        <v>166</v>
      </c>
      <c r="C1" s="1279"/>
      <c r="D1" s="1279"/>
      <c r="E1" s="1279"/>
      <c r="F1" s="1279"/>
      <c r="G1" s="1279"/>
      <c r="H1" s="1279"/>
      <c r="I1" s="1279"/>
      <c r="J1" s="1279"/>
      <c r="K1" s="1279"/>
      <c r="L1" s="1279"/>
      <c r="M1" s="1279"/>
      <c r="N1" s="1279"/>
      <c r="O1" s="1279"/>
      <c r="P1" s="1279"/>
      <c r="Q1" s="1279"/>
      <c r="R1" s="1279"/>
      <c r="S1" s="1279"/>
      <c r="T1" s="1279"/>
    </row>
    <row r="2" spans="1:22" x14ac:dyDescent="0.35">
      <c r="B2" s="1320" t="s">
        <v>1255</v>
      </c>
      <c r="C2" s="1320"/>
      <c r="D2" s="1320"/>
      <c r="E2" s="1320"/>
      <c r="F2" s="1320"/>
      <c r="G2" s="1320"/>
      <c r="H2" s="1320"/>
      <c r="I2" s="1320"/>
      <c r="J2" s="1320"/>
      <c r="K2" s="1320"/>
      <c r="L2" s="1320"/>
      <c r="M2" s="1320"/>
      <c r="N2" s="1320"/>
      <c r="O2" s="1320"/>
      <c r="P2" s="1320"/>
      <c r="Q2" s="1320"/>
      <c r="R2" s="1320"/>
      <c r="S2" s="1320"/>
      <c r="T2" s="1320"/>
    </row>
    <row r="3" spans="1:22" x14ac:dyDescent="0.35">
      <c r="B3" s="1320"/>
      <c r="C3" s="1320"/>
      <c r="D3" s="1320"/>
      <c r="E3" s="1320"/>
      <c r="F3" s="1320"/>
      <c r="G3" s="1320"/>
      <c r="H3" s="1320"/>
      <c r="I3" s="1320"/>
      <c r="J3" s="1320"/>
      <c r="K3" s="1320"/>
      <c r="L3" s="1320"/>
      <c r="M3" s="1320"/>
      <c r="N3" s="1320"/>
      <c r="O3" s="1320"/>
      <c r="P3" s="1320"/>
      <c r="Q3" s="1320"/>
      <c r="R3" s="1320"/>
      <c r="S3" s="1320"/>
      <c r="T3" s="1320"/>
    </row>
    <row r="4" spans="1:22" x14ac:dyDescent="0.35">
      <c r="B4" s="1320"/>
      <c r="C4" s="1320"/>
      <c r="D4" s="1320"/>
      <c r="E4" s="1320"/>
      <c r="F4" s="1320"/>
      <c r="G4" s="1320"/>
      <c r="H4" s="1320"/>
      <c r="I4" s="1320"/>
      <c r="J4" s="1320"/>
      <c r="K4" s="1320"/>
      <c r="L4" s="1320"/>
      <c r="M4" s="1320"/>
      <c r="N4" s="1320"/>
      <c r="O4" s="1320"/>
      <c r="P4" s="1320"/>
      <c r="Q4" s="1320"/>
      <c r="R4" s="1320"/>
      <c r="S4" s="1320"/>
      <c r="T4" s="1320"/>
    </row>
    <row r="5" spans="1:22" x14ac:dyDescent="0.35">
      <c r="B5" s="1320"/>
      <c r="C5" s="1320"/>
      <c r="D5" s="1320"/>
      <c r="E5" s="1320"/>
      <c r="F5" s="1320"/>
      <c r="G5" s="1320"/>
      <c r="H5" s="1320"/>
      <c r="I5" s="1320"/>
      <c r="J5" s="1320"/>
      <c r="K5" s="1320"/>
      <c r="L5" s="1320"/>
      <c r="M5" s="1320"/>
      <c r="N5" s="1320"/>
      <c r="O5" s="1320"/>
      <c r="P5" s="1320"/>
      <c r="Q5" s="1320"/>
      <c r="R5" s="1320"/>
      <c r="S5" s="1320"/>
      <c r="T5" s="1320"/>
    </row>
    <row r="6" spans="1:22" x14ac:dyDescent="0.35">
      <c r="B6" s="1320"/>
      <c r="C6" s="1320"/>
      <c r="D6" s="1320"/>
      <c r="E6" s="1320"/>
      <c r="F6" s="1320"/>
      <c r="G6" s="1320"/>
      <c r="H6" s="1320"/>
      <c r="I6" s="1320"/>
      <c r="J6" s="1320"/>
      <c r="K6" s="1320"/>
      <c r="L6" s="1320"/>
      <c r="M6" s="1320"/>
      <c r="N6" s="1320"/>
      <c r="O6" s="1320"/>
      <c r="P6" s="1320"/>
      <c r="Q6" s="1320"/>
      <c r="R6" s="1320"/>
      <c r="S6" s="1320"/>
      <c r="T6" s="1320"/>
    </row>
    <row r="7" spans="1:22" x14ac:dyDescent="0.35">
      <c r="J7" s="200"/>
      <c r="K7" s="200"/>
      <c r="M7" s="200"/>
    </row>
    <row r="9" spans="1:22" ht="14.65" customHeight="1" x14ac:dyDescent="0.35">
      <c r="A9" s="203"/>
      <c r="B9" s="1321" t="s">
        <v>377</v>
      </c>
      <c r="C9" s="1322"/>
      <c r="D9" s="383">
        <v>2018</v>
      </c>
      <c r="E9" s="1329">
        <v>2019</v>
      </c>
      <c r="F9" s="1330"/>
      <c r="G9" s="1330"/>
      <c r="H9" s="1331"/>
      <c r="I9" s="1327">
        <v>2020</v>
      </c>
      <c r="J9" s="1328"/>
      <c r="K9" s="1328"/>
      <c r="L9" s="1328"/>
      <c r="M9" s="1332">
        <v>2021</v>
      </c>
      <c r="N9" s="1333"/>
      <c r="O9" s="1333"/>
      <c r="P9" s="1334"/>
      <c r="Q9" s="1325">
        <v>2022</v>
      </c>
      <c r="R9" s="1325"/>
      <c r="S9" s="1325"/>
      <c r="T9" s="1326"/>
    </row>
    <row r="10" spans="1:22" x14ac:dyDescent="0.35">
      <c r="B10" s="1323"/>
      <c r="C10" s="1324"/>
      <c r="D10" s="769" t="s">
        <v>352</v>
      </c>
      <c r="E10" s="770" t="s">
        <v>353</v>
      </c>
      <c r="F10" s="771" t="s">
        <v>354</v>
      </c>
      <c r="G10" s="771" t="s">
        <v>253</v>
      </c>
      <c r="H10" s="772" t="s">
        <v>352</v>
      </c>
      <c r="I10" s="770" t="s">
        <v>353</v>
      </c>
      <c r="J10" s="771" t="s">
        <v>354</v>
      </c>
      <c r="K10" s="771" t="s">
        <v>253</v>
      </c>
      <c r="L10" s="771" t="s">
        <v>352</v>
      </c>
      <c r="M10" s="1068" t="s">
        <v>353</v>
      </c>
      <c r="N10" s="1069" t="s">
        <v>354</v>
      </c>
      <c r="O10" s="1069" t="s">
        <v>253</v>
      </c>
      <c r="P10" s="1070" t="s">
        <v>352</v>
      </c>
      <c r="Q10" s="344" t="s">
        <v>353</v>
      </c>
      <c r="R10" s="344" t="s">
        <v>354</v>
      </c>
      <c r="S10" s="344" t="s">
        <v>253</v>
      </c>
      <c r="T10" s="348" t="s">
        <v>352</v>
      </c>
    </row>
    <row r="11" spans="1:22" ht="29" x14ac:dyDescent="0.35">
      <c r="A11" s="347"/>
      <c r="B11" s="342" t="s">
        <v>153</v>
      </c>
      <c r="C11" s="688" t="s">
        <v>378</v>
      </c>
      <c r="D11" s="776"/>
      <c r="E11" s="688"/>
      <c r="F11" s="688"/>
      <c r="G11" s="688"/>
      <c r="H11" s="688"/>
      <c r="I11" s="688"/>
      <c r="J11" s="689">
        <f>'Haver Pivoted'!GU48</f>
        <v>160.9</v>
      </c>
      <c r="K11" s="689">
        <f>'Haver Pivoted'!GV48</f>
        <v>58.4</v>
      </c>
      <c r="L11" s="689">
        <f>'Haver Pivoted'!GW48</f>
        <v>34.5</v>
      </c>
      <c r="M11" s="689">
        <f>'Haver Pivoted'!GX48</f>
        <v>42.8</v>
      </c>
      <c r="N11" s="689">
        <f>'Haver Pivoted'!GY48</f>
        <v>26.6</v>
      </c>
      <c r="O11" s="689">
        <f>'Haver Pivoted'!GZ48</f>
        <v>37.4</v>
      </c>
      <c r="P11" s="1076">
        <f>'Haver Pivoted'!HA48</f>
        <v>64.400000000000006</v>
      </c>
      <c r="Q11" s="684">
        <f t="shared" ref="Q11:S11" si="0">Q$14*Q15</f>
        <v>55.95655546935609</v>
      </c>
      <c r="R11" s="684">
        <f t="shared" si="0"/>
        <v>19.984484096198607</v>
      </c>
      <c r="S11" s="684">
        <f t="shared" si="0"/>
        <v>0</v>
      </c>
      <c r="T11" s="712"/>
    </row>
    <row r="12" spans="1:22" ht="29" x14ac:dyDescent="0.35">
      <c r="A12" s="347"/>
      <c r="B12" s="343" t="s">
        <v>379</v>
      </c>
      <c r="C12" s="766" t="s">
        <v>380</v>
      </c>
      <c r="D12" s="343"/>
      <c r="E12" s="766"/>
      <c r="F12" s="766"/>
      <c r="G12" s="766"/>
      <c r="H12" s="766"/>
      <c r="I12" s="766"/>
      <c r="J12" s="774">
        <f>'Haver Pivoted'!GU58</f>
        <v>64.400000000000006</v>
      </c>
      <c r="K12" s="774">
        <f>'Haver Pivoted'!GV58</f>
        <v>23.4</v>
      </c>
      <c r="L12" s="774">
        <f>'Haver Pivoted'!GW58</f>
        <v>13.8</v>
      </c>
      <c r="M12" s="774">
        <f>'Haver Pivoted'!GX58</f>
        <v>17.100000000000001</v>
      </c>
      <c r="N12" s="774">
        <f>'Haver Pivoted'!GY58</f>
        <v>10.6</v>
      </c>
      <c r="O12" s="774">
        <f>'Haver Pivoted'!GZ58</f>
        <v>15</v>
      </c>
      <c r="P12" s="1075">
        <f>'Haver Pivoted'!HA58</f>
        <v>25.8</v>
      </c>
      <c r="Q12" s="345">
        <f t="shared" ref="Q12:S12" si="1">Q$14*Q16</f>
        <v>22.417377812257563</v>
      </c>
      <c r="R12" s="345">
        <f t="shared" si="1"/>
        <v>8.0062063615205581</v>
      </c>
      <c r="S12" s="345">
        <f t="shared" si="1"/>
        <v>0</v>
      </c>
      <c r="T12" s="348"/>
    </row>
    <row r="13" spans="1:22" ht="42" customHeight="1" x14ac:dyDescent="0.35">
      <c r="A13" s="347"/>
      <c r="B13" s="343" t="s">
        <v>381</v>
      </c>
      <c r="C13" s="766" t="s">
        <v>382</v>
      </c>
      <c r="D13" s="343"/>
      <c r="E13" s="766"/>
      <c r="F13" s="766"/>
      <c r="G13" s="766"/>
      <c r="H13" s="766"/>
      <c r="I13" s="766"/>
      <c r="J13" s="774">
        <f>'Haver Pivoted'!GU54</f>
        <v>96.6</v>
      </c>
      <c r="K13" s="774">
        <f>'Haver Pivoted'!GV54</f>
        <v>35.1</v>
      </c>
      <c r="L13" s="774">
        <f>'Haver Pivoted'!GW54</f>
        <v>20.7</v>
      </c>
      <c r="M13" s="774">
        <f>'Haver Pivoted'!GX54</f>
        <v>25.7</v>
      </c>
      <c r="N13" s="774">
        <f>'Haver Pivoted'!GY54</f>
        <v>16</v>
      </c>
      <c r="O13" s="774">
        <f>'Haver Pivoted'!GZ54</f>
        <v>22.4</v>
      </c>
      <c r="P13" s="1075">
        <f>'Haver Pivoted'!HA54</f>
        <v>38.700000000000003</v>
      </c>
      <c r="Q13" s="345">
        <f>Q$14*Q17</f>
        <v>33.62606671838634</v>
      </c>
      <c r="R13" s="345">
        <f t="shared" ref="R13:S13" si="2">R$14*R17</f>
        <v>12.009309542280837</v>
      </c>
      <c r="S13" s="345">
        <f t="shared" si="2"/>
        <v>0</v>
      </c>
      <c r="T13" s="348"/>
      <c r="U13" s="408" t="s">
        <v>383</v>
      </c>
      <c r="V13" s="407" t="s">
        <v>384</v>
      </c>
    </row>
    <row r="14" spans="1:22" x14ac:dyDescent="0.35">
      <c r="B14" s="406" t="s">
        <v>385</v>
      </c>
      <c r="C14" s="767"/>
      <c r="D14" s="406"/>
      <c r="E14" s="767"/>
      <c r="F14" s="767"/>
      <c r="G14" s="767"/>
      <c r="H14" s="767"/>
      <c r="I14" s="767"/>
      <c r="J14" s="774">
        <f t="shared" ref="J14:P14" si="3">J13+J12+J11</f>
        <v>321.89999999999998</v>
      </c>
      <c r="K14" s="774">
        <f t="shared" si="3"/>
        <v>116.9</v>
      </c>
      <c r="L14" s="774">
        <f t="shared" si="3"/>
        <v>69</v>
      </c>
      <c r="M14" s="774">
        <f t="shared" si="3"/>
        <v>85.6</v>
      </c>
      <c r="N14" s="774">
        <f t="shared" si="3"/>
        <v>53.2</v>
      </c>
      <c r="O14" s="774">
        <f t="shared" si="3"/>
        <v>74.8</v>
      </c>
      <c r="P14" s="721">
        <f t="shared" si="3"/>
        <v>128.9</v>
      </c>
      <c r="Q14" s="344">
        <v>112</v>
      </c>
      <c r="R14" s="344">
        <v>40</v>
      </c>
      <c r="S14" s="344">
        <v>0</v>
      </c>
      <c r="T14" s="348"/>
      <c r="U14" s="779">
        <v>236</v>
      </c>
      <c r="V14" s="780">
        <f>SUM(J14:S14)/4</f>
        <v>250.57499999999999</v>
      </c>
    </row>
    <row r="15" spans="1:22" x14ac:dyDescent="0.35">
      <c r="B15" s="346" t="s">
        <v>386</v>
      </c>
      <c r="C15" s="768"/>
      <c r="D15" s="346"/>
      <c r="E15" s="768"/>
      <c r="F15" s="768"/>
      <c r="G15" s="768"/>
      <c r="H15" s="768"/>
      <c r="I15" s="768"/>
      <c r="J15" s="775">
        <f t="shared" ref="J15:N17" si="4">J11/J$14</f>
        <v>0.49984467225846541</v>
      </c>
      <c r="K15" s="775">
        <f t="shared" si="4"/>
        <v>0.49957228400342168</v>
      </c>
      <c r="L15" s="775">
        <f t="shared" si="4"/>
        <v>0.5</v>
      </c>
      <c r="M15" s="775">
        <f t="shared" si="4"/>
        <v>0.5</v>
      </c>
      <c r="N15" s="775">
        <f t="shared" si="4"/>
        <v>0.5</v>
      </c>
      <c r="O15" s="775">
        <f>O11/O$14</f>
        <v>0.5</v>
      </c>
      <c r="P15" s="777">
        <f t="shared" ref="P15" si="5">P11/P$14</f>
        <v>0.49961210240496512</v>
      </c>
      <c r="Q15" s="361">
        <f t="shared" ref="Q15:Q17" si="6">P15</f>
        <v>0.49961210240496512</v>
      </c>
      <c r="R15" s="361">
        <f t="shared" ref="R15:R17" si="7">Q15</f>
        <v>0.49961210240496512</v>
      </c>
      <c r="S15" s="361">
        <f t="shared" ref="S15:S17" si="8">R15</f>
        <v>0.49961210240496512</v>
      </c>
      <c r="T15" s="348"/>
    </row>
    <row r="16" spans="1:22" x14ac:dyDescent="0.35">
      <c r="B16" s="346" t="s">
        <v>387</v>
      </c>
      <c r="C16" s="768"/>
      <c r="D16" s="346"/>
      <c r="E16" s="768"/>
      <c r="F16" s="768"/>
      <c r="G16" s="768"/>
      <c r="H16" s="768"/>
      <c r="I16" s="768"/>
      <c r="J16" s="775">
        <f t="shared" si="4"/>
        <v>0.20006213109661389</v>
      </c>
      <c r="K16" s="775">
        <f t="shared" si="4"/>
        <v>0.20017108639863129</v>
      </c>
      <c r="L16" s="775">
        <f t="shared" si="4"/>
        <v>0.2</v>
      </c>
      <c r="M16" s="775">
        <f t="shared" si="4"/>
        <v>0.19976635514018695</v>
      </c>
      <c r="N16" s="775">
        <f t="shared" si="4"/>
        <v>0.19924812030075187</v>
      </c>
      <c r="O16" s="775">
        <f t="shared" ref="O16:P16" si="9">O12/O$14</f>
        <v>0.20053475935828877</v>
      </c>
      <c r="P16" s="777">
        <f t="shared" si="9"/>
        <v>0.20015515903801395</v>
      </c>
      <c r="Q16" s="361">
        <f t="shared" si="6"/>
        <v>0.20015515903801395</v>
      </c>
      <c r="R16" s="361">
        <f t="shared" si="7"/>
        <v>0.20015515903801395</v>
      </c>
      <c r="S16" s="361">
        <f t="shared" si="8"/>
        <v>0.20015515903801395</v>
      </c>
      <c r="T16" s="348"/>
    </row>
    <row r="17" spans="2:30" x14ac:dyDescent="0.35">
      <c r="B17" s="362" t="s">
        <v>388</v>
      </c>
      <c r="C17" s="687"/>
      <c r="D17" s="362"/>
      <c r="E17" s="687"/>
      <c r="F17" s="687"/>
      <c r="G17" s="687"/>
      <c r="H17" s="687"/>
      <c r="I17" s="687"/>
      <c r="J17" s="258">
        <f t="shared" si="4"/>
        <v>0.30009319664492079</v>
      </c>
      <c r="K17" s="258">
        <f t="shared" si="4"/>
        <v>0.30025662959794697</v>
      </c>
      <c r="L17" s="258">
        <f t="shared" si="4"/>
        <v>0.3</v>
      </c>
      <c r="M17" s="258">
        <f t="shared" si="4"/>
        <v>0.30023364485981308</v>
      </c>
      <c r="N17" s="258">
        <f t="shared" si="4"/>
        <v>0.3007518796992481</v>
      </c>
      <c r="O17" s="258">
        <f t="shared" ref="O17:P17" si="10">O13/O$14</f>
        <v>0.29946524064171121</v>
      </c>
      <c r="P17" s="778">
        <f t="shared" si="10"/>
        <v>0.30023273855702093</v>
      </c>
      <c r="Q17" s="363">
        <f t="shared" si="6"/>
        <v>0.30023273855702093</v>
      </c>
      <c r="R17" s="363">
        <f t="shared" si="7"/>
        <v>0.30023273855702093</v>
      </c>
      <c r="S17" s="363">
        <f t="shared" si="8"/>
        <v>0.30023273855702093</v>
      </c>
      <c r="T17" s="364"/>
    </row>
    <row r="18" spans="2:30" s="886" customFormat="1" x14ac:dyDescent="0.35">
      <c r="B18" s="768"/>
      <c r="C18" s="768"/>
      <c r="D18" s="768"/>
      <c r="E18" s="768"/>
      <c r="F18" s="768"/>
      <c r="G18" s="768"/>
      <c r="H18" s="768"/>
      <c r="I18" s="768"/>
      <c r="J18" s="775"/>
      <c r="K18" s="775"/>
      <c r="L18" s="775"/>
      <c r="M18" s="775"/>
      <c r="N18" s="775"/>
      <c r="O18" s="775"/>
      <c r="P18" s="775"/>
      <c r="Q18" s="1117"/>
      <c r="R18" s="1117"/>
      <c r="S18" s="1117"/>
      <c r="T18" s="889"/>
      <c r="U18" s="858"/>
    </row>
    <row r="19" spans="2:30" x14ac:dyDescent="0.35">
      <c r="M19" s="1090"/>
      <c r="N19" s="1090"/>
      <c r="O19" s="1090"/>
      <c r="P19" s="1099"/>
      <c r="Q19" s="1099"/>
      <c r="R19" s="1099"/>
      <c r="S19" s="1099"/>
      <c r="T19" s="1099"/>
      <c r="U19" s="1099"/>
      <c r="V19" s="1096"/>
      <c r="W19" s="1096"/>
      <c r="X19" s="1096"/>
      <c r="Y19" s="1096"/>
      <c r="Z19" s="1096"/>
      <c r="AA19" s="1096"/>
      <c r="AB19" s="1096"/>
      <c r="AC19" s="1097"/>
      <c r="AD19" s="858"/>
    </row>
    <row r="20" spans="2:30" x14ac:dyDescent="0.35">
      <c r="M20" s="1090"/>
      <c r="N20" s="1090"/>
      <c r="O20" s="1090"/>
      <c r="P20" s="1118"/>
      <c r="Q20" s="1118"/>
      <c r="R20" s="1118"/>
      <c r="S20" s="1118"/>
      <c r="T20" s="889"/>
      <c r="U20" s="1090"/>
      <c r="V20" s="858"/>
      <c r="W20" s="858"/>
      <c r="X20" s="858"/>
      <c r="Y20" s="858"/>
      <c r="Z20" s="858"/>
      <c r="AA20" s="858"/>
      <c r="AB20" s="858"/>
      <c r="AC20" s="858"/>
      <c r="AD20" s="858"/>
    </row>
    <row r="21" spans="2:30" x14ac:dyDescent="0.35">
      <c r="M21" s="1090"/>
      <c r="N21" s="1090"/>
      <c r="O21" s="1090"/>
      <c r="P21" s="1118"/>
      <c r="Q21" s="1118"/>
      <c r="R21" s="1118"/>
      <c r="S21" s="1118"/>
      <c r="T21" s="889"/>
      <c r="U21" s="1090"/>
      <c r="V21" s="858"/>
      <c r="W21" s="858"/>
      <c r="X21" s="858"/>
      <c r="Y21" s="858"/>
      <c r="Z21" s="858"/>
      <c r="AA21" s="858"/>
      <c r="AB21" s="858"/>
      <c r="AC21" s="858"/>
      <c r="AD21" s="858"/>
    </row>
    <row r="22" spans="2:30" x14ac:dyDescent="0.35">
      <c r="M22" s="1090"/>
      <c r="N22" s="1090"/>
      <c r="O22" s="1090"/>
      <c r="P22" s="1118"/>
      <c r="Q22" s="1118"/>
      <c r="R22" s="1118"/>
      <c r="S22" s="1118"/>
      <c r="T22" s="889"/>
      <c r="U22" s="1090"/>
      <c r="V22" s="858"/>
      <c r="W22" s="858"/>
      <c r="X22" s="858"/>
      <c r="Y22" s="858"/>
      <c r="Z22" s="858"/>
      <c r="AA22" s="858"/>
      <c r="AB22" s="858"/>
      <c r="AC22" s="858"/>
      <c r="AD22" s="858"/>
    </row>
    <row r="23" spans="2:30" x14ac:dyDescent="0.35">
      <c r="M23" s="1090"/>
      <c r="N23" s="1090"/>
      <c r="O23" s="1090"/>
      <c r="P23" s="889"/>
      <c r="Q23" s="889"/>
      <c r="R23" s="889"/>
      <c r="S23" s="889"/>
      <c r="T23" s="889"/>
      <c r="U23" s="1090"/>
    </row>
    <row r="24" spans="2:30" x14ac:dyDescent="0.35">
      <c r="M24" s="1090"/>
      <c r="N24" s="1090"/>
      <c r="O24" s="1090"/>
      <c r="P24" s="1117"/>
      <c r="Q24" s="1117"/>
      <c r="R24" s="1117"/>
      <c r="S24" s="1117"/>
      <c r="T24" s="889"/>
      <c r="U24" s="1090"/>
    </row>
    <row r="25" spans="2:30" x14ac:dyDescent="0.35">
      <c r="M25" s="1090"/>
      <c r="N25" s="1090"/>
      <c r="O25" s="1090"/>
      <c r="P25" s="1117"/>
      <c r="Q25" s="1117"/>
      <c r="R25" s="1117"/>
      <c r="S25" s="1117"/>
      <c r="T25" s="889"/>
      <c r="U25" s="1090"/>
    </row>
    <row r="26" spans="2:30" x14ac:dyDescent="0.35">
      <c r="M26" s="1090"/>
      <c r="N26" s="1090"/>
      <c r="O26" s="1090"/>
      <c r="P26" s="1117"/>
      <c r="Q26" s="1117"/>
      <c r="R26" s="1117"/>
      <c r="S26" s="1117"/>
      <c r="T26" s="889"/>
      <c r="U26" s="1090"/>
    </row>
    <row r="27" spans="2:30" x14ac:dyDescent="0.35">
      <c r="M27" s="1090"/>
      <c r="N27" s="1090"/>
      <c r="O27" s="1090"/>
      <c r="P27" s="1090"/>
      <c r="Q27" s="1090"/>
      <c r="R27" s="1090"/>
      <c r="S27" s="1090"/>
      <c r="T27" s="1090"/>
      <c r="U27" s="1090"/>
    </row>
    <row r="28" spans="2:30" ht="30" customHeight="1" x14ac:dyDescent="0.35">
      <c r="M28" s="1090"/>
      <c r="N28" s="1090"/>
      <c r="O28" s="1090"/>
      <c r="P28" s="1119"/>
      <c r="Q28" s="1119"/>
      <c r="R28" s="1119"/>
      <c r="S28" s="1119"/>
      <c r="T28" s="1119"/>
      <c r="U28" s="1090"/>
    </row>
    <row r="29" spans="2:30" ht="27" customHeight="1" x14ac:dyDescent="0.35">
      <c r="M29" s="1090"/>
      <c r="N29" s="1090"/>
      <c r="O29" s="1090"/>
      <c r="P29" s="1119"/>
      <c r="Q29" s="1119"/>
      <c r="R29" s="1119"/>
      <c r="S29" s="1119"/>
      <c r="T29" s="1119"/>
      <c r="U29" s="1090"/>
    </row>
    <row r="30" spans="2:30" ht="31.5" customHeight="1" x14ac:dyDescent="0.35">
      <c r="M30" s="1090"/>
      <c r="N30" s="1090"/>
      <c r="O30" s="1090"/>
      <c r="P30" s="1119"/>
      <c r="Q30" s="1119"/>
      <c r="R30" s="1119"/>
      <c r="S30" s="1119"/>
      <c r="T30" s="1119"/>
      <c r="U30" s="1090"/>
    </row>
    <row r="31" spans="2:30" ht="24.4" customHeight="1" x14ac:dyDescent="0.35">
      <c r="M31" s="1090"/>
      <c r="N31" s="1090"/>
      <c r="O31" s="1090"/>
      <c r="P31" s="1119"/>
      <c r="Q31" s="1119"/>
      <c r="R31" s="1119"/>
      <c r="S31" s="1119"/>
      <c r="T31" s="1119"/>
      <c r="U31" s="1090"/>
    </row>
    <row r="32" spans="2:30" x14ac:dyDescent="0.35">
      <c r="M32" s="1090"/>
      <c r="N32" s="1090"/>
      <c r="O32" s="1090"/>
      <c r="P32" s="1090"/>
      <c r="Q32" s="1090"/>
      <c r="R32" s="1090"/>
      <c r="S32" s="1090"/>
      <c r="T32" s="1090"/>
      <c r="U32" s="1090"/>
    </row>
    <row r="33" spans="13:21" x14ac:dyDescent="0.35">
      <c r="M33" s="1090"/>
      <c r="N33" s="1090"/>
      <c r="O33" s="1090"/>
      <c r="P33" s="1090"/>
      <c r="Q33" s="1090"/>
      <c r="R33" s="1090"/>
      <c r="S33" s="1090"/>
      <c r="T33" s="1090"/>
      <c r="U33" s="1090"/>
    </row>
    <row r="34" spans="13:21" x14ac:dyDescent="0.35">
      <c r="M34" s="1090"/>
      <c r="N34" s="1090"/>
      <c r="O34" s="1090"/>
      <c r="P34" s="1090"/>
      <c r="Q34" s="1090"/>
      <c r="R34" s="1090"/>
      <c r="S34" s="1090"/>
      <c r="T34" s="1090"/>
      <c r="U34" s="1090"/>
    </row>
    <row r="35" spans="13:21" x14ac:dyDescent="0.35">
      <c r="M35" s="1090"/>
      <c r="N35" s="1090"/>
      <c r="O35" s="1090"/>
      <c r="P35" s="1090"/>
      <c r="Q35" s="1090"/>
      <c r="R35" s="1090"/>
      <c r="S35" s="1090"/>
      <c r="T35" s="1090"/>
      <c r="U35" s="1090"/>
    </row>
    <row r="36" spans="13:21" x14ac:dyDescent="0.35">
      <c r="M36" s="1090"/>
      <c r="N36" s="1090"/>
      <c r="O36" s="1090"/>
      <c r="P36" s="1090"/>
      <c r="Q36" s="1090"/>
      <c r="R36" s="1090"/>
      <c r="S36" s="1090"/>
      <c r="T36" s="1090"/>
      <c r="U36" s="1090"/>
    </row>
    <row r="37" spans="13:21" x14ac:dyDescent="0.35">
      <c r="M37" s="1090"/>
      <c r="N37" s="1090"/>
      <c r="O37" s="1090"/>
      <c r="P37" s="1090"/>
      <c r="Q37" s="1090"/>
      <c r="R37" s="1090"/>
      <c r="S37" s="1090"/>
      <c r="T37" s="1090"/>
      <c r="U37" s="1090"/>
    </row>
    <row r="38" spans="13:21" x14ac:dyDescent="0.35">
      <c r="M38" s="1090"/>
      <c r="N38" s="1090"/>
      <c r="O38" s="1090"/>
      <c r="P38" s="1090"/>
      <c r="Q38" s="1090"/>
      <c r="R38" s="1090"/>
      <c r="S38" s="1090"/>
      <c r="T38" s="1090"/>
      <c r="U38" s="1090"/>
    </row>
    <row r="39" spans="13:21" x14ac:dyDescent="0.35">
      <c r="M39" s="1090"/>
      <c r="N39" s="1090"/>
      <c r="O39" s="1090"/>
      <c r="P39" s="1090"/>
      <c r="Q39" s="1090"/>
      <c r="R39" s="1090"/>
      <c r="S39" s="1090"/>
      <c r="T39" s="1090"/>
      <c r="U39" s="1090"/>
    </row>
    <row r="40" spans="13:21" x14ac:dyDescent="0.35">
      <c r="M40" s="1090"/>
      <c r="N40" s="1090"/>
      <c r="O40" s="1090"/>
      <c r="P40" s="1090"/>
      <c r="Q40" s="1090"/>
      <c r="R40" s="1090"/>
      <c r="S40" s="1090"/>
      <c r="T40" s="1090"/>
      <c r="U40" s="1090"/>
    </row>
    <row r="41" spans="13:21" x14ac:dyDescent="0.35">
      <c r="M41" s="1090"/>
      <c r="N41" s="1090"/>
      <c r="O41" s="1090"/>
      <c r="P41" s="1090"/>
      <c r="Q41" s="1090"/>
      <c r="R41" s="1090"/>
      <c r="S41" s="1090"/>
      <c r="T41" s="1090"/>
      <c r="U41" s="1090"/>
    </row>
    <row r="42" spans="13:21" x14ac:dyDescent="0.35">
      <c r="M42" s="1090"/>
      <c r="N42" s="1090"/>
      <c r="O42" s="1090"/>
      <c r="P42" s="1090"/>
      <c r="Q42" s="1090"/>
      <c r="R42" s="1090"/>
      <c r="S42" s="1090"/>
      <c r="T42" s="1090"/>
      <c r="U42" s="1090"/>
    </row>
    <row r="43" spans="13:21" x14ac:dyDescent="0.35">
      <c r="M43" s="1090"/>
      <c r="N43" s="1090"/>
      <c r="O43" s="1090"/>
      <c r="P43" s="1090"/>
      <c r="Q43" s="1090"/>
      <c r="R43" s="1090"/>
      <c r="S43" s="1090"/>
      <c r="T43" s="1090"/>
      <c r="U43" s="1090"/>
    </row>
    <row r="44" spans="13:21" x14ac:dyDescent="0.35">
      <c r="M44" s="1090"/>
      <c r="N44" s="1090"/>
      <c r="O44" s="1090"/>
      <c r="P44" s="1090"/>
      <c r="Q44" s="1090"/>
      <c r="R44" s="1090"/>
      <c r="S44" s="1090"/>
      <c r="T44" s="1090"/>
      <c r="U44" s="1090"/>
    </row>
    <row r="45" spans="13:21" x14ac:dyDescent="0.35">
      <c r="M45" s="1090"/>
      <c r="N45" s="1090"/>
      <c r="O45" s="1090"/>
      <c r="P45" s="1090"/>
      <c r="Q45" s="1090"/>
      <c r="R45" s="1090"/>
      <c r="S45" s="1090"/>
      <c r="T45" s="1090"/>
      <c r="U45" s="1090"/>
    </row>
    <row r="46" spans="13:21" x14ac:dyDescent="0.35">
      <c r="M46" s="1090"/>
      <c r="N46" s="1090"/>
      <c r="O46" s="1090"/>
      <c r="P46" s="1090"/>
      <c r="Q46" s="1090"/>
      <c r="R46" s="1090"/>
      <c r="S46" s="1090"/>
      <c r="T46" s="1090"/>
      <c r="U46" s="1090"/>
    </row>
    <row r="47" spans="13:21" x14ac:dyDescent="0.35">
      <c r="M47" s="1090"/>
      <c r="N47" s="1090"/>
      <c r="O47" s="1090"/>
      <c r="P47" s="1090"/>
      <c r="Q47" s="1090"/>
      <c r="R47" s="1090"/>
      <c r="S47" s="1090"/>
      <c r="T47" s="1090"/>
      <c r="U47" s="1090"/>
    </row>
    <row r="48" spans="13:21" x14ac:dyDescent="0.35">
      <c r="M48" s="1090"/>
      <c r="N48" s="1090"/>
      <c r="O48" s="1090"/>
      <c r="P48" s="1090"/>
      <c r="Q48" s="1090"/>
      <c r="R48" s="1090"/>
      <c r="S48" s="1090"/>
      <c r="T48" s="1090"/>
      <c r="U48" s="1090"/>
    </row>
    <row r="49" spans="13:21" x14ac:dyDescent="0.35">
      <c r="M49" s="1090"/>
      <c r="N49" s="1090"/>
      <c r="O49" s="1090"/>
      <c r="P49" s="1090"/>
      <c r="Q49" s="1090"/>
      <c r="R49" s="1090"/>
      <c r="S49" s="1090"/>
      <c r="T49" s="1090"/>
      <c r="U49" s="1090"/>
    </row>
    <row r="50" spans="13:21" x14ac:dyDescent="0.35">
      <c r="M50" s="1090"/>
      <c r="N50" s="1090"/>
      <c r="O50" s="1090"/>
      <c r="P50" s="1090"/>
      <c r="Q50" s="1090"/>
      <c r="R50" s="1090"/>
      <c r="S50" s="1090"/>
      <c r="T50" s="1090"/>
      <c r="U50" s="1090"/>
    </row>
    <row r="51" spans="13:21" x14ac:dyDescent="0.35">
      <c r="M51" s="1090"/>
      <c r="N51" s="1090"/>
      <c r="O51" s="1090"/>
      <c r="P51" s="1090"/>
      <c r="Q51" s="1090"/>
      <c r="R51" s="1090"/>
      <c r="S51" s="1090"/>
      <c r="T51" s="1090"/>
      <c r="U51" s="1090"/>
    </row>
    <row r="52" spans="13:21" x14ac:dyDescent="0.35">
      <c r="M52" s="1090"/>
      <c r="N52" s="1090"/>
      <c r="O52" s="1090"/>
      <c r="P52" s="1090"/>
      <c r="Q52" s="1090"/>
      <c r="R52" s="1090"/>
      <c r="S52" s="1090"/>
      <c r="T52" s="1090"/>
      <c r="U52" s="1090"/>
    </row>
  </sheetData>
  <mergeCells count="7">
    <mergeCell ref="B2:T6"/>
    <mergeCell ref="B1:T1"/>
    <mergeCell ref="B9:C10"/>
    <mergeCell ref="Q9:T9"/>
    <mergeCell ref="I9:L9"/>
    <mergeCell ref="E9:H9"/>
    <mergeCell ref="M9:P9"/>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111"/>
  <sheetViews>
    <sheetView zoomScale="71" zoomScaleNormal="71" workbookViewId="0">
      <selection activeCell="B103" sqref="B103:AC103"/>
    </sheetView>
  </sheetViews>
  <sheetFormatPr defaultColWidth="8.453125" defaultRowHeight="14" x14ac:dyDescent="0.3"/>
  <cols>
    <col min="1" max="1" width="8.453125" style="27" customWidth="1"/>
    <col min="2" max="2" width="40.453125" style="27" customWidth="1"/>
    <col min="3" max="3" width="7.1796875" style="27" customWidth="1"/>
    <col min="4" max="4" width="11.1796875" style="27" customWidth="1"/>
    <col min="5" max="5" width="12.453125" style="27" customWidth="1"/>
    <col min="6" max="7" width="7.1796875" style="27" customWidth="1"/>
    <col min="8" max="8" width="10.453125" style="27" customWidth="1"/>
    <col min="9" max="9" width="11.453125" style="27" customWidth="1"/>
    <col min="10" max="13" width="7.453125" style="27" customWidth="1"/>
    <col min="14" max="29" width="8.1796875" style="27" customWidth="1"/>
    <col min="30" max="30" width="29.453125" style="27" customWidth="1"/>
    <col min="31" max="31" width="31.1796875" style="27" customWidth="1"/>
    <col min="32" max="32" width="114.7265625" style="27" customWidth="1"/>
    <col min="33" max="16384" width="8.453125" style="27"/>
  </cols>
  <sheetData>
    <row r="1" spans="2:34" x14ac:dyDescent="0.3">
      <c r="B1" s="1290" t="s">
        <v>206</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454"/>
      <c r="AA1" s="454"/>
      <c r="AB1" s="454"/>
      <c r="AC1" s="454"/>
      <c r="AD1" s="168"/>
      <c r="AE1" s="168"/>
    </row>
    <row r="2" spans="2:34" ht="14.25" customHeight="1" x14ac:dyDescent="0.3">
      <c r="B2" s="1291" t="s">
        <v>405</v>
      </c>
      <c r="C2" s="1291"/>
      <c r="D2" s="1291"/>
      <c r="E2" s="1291"/>
      <c r="F2" s="1291"/>
      <c r="G2" s="1291"/>
      <c r="H2" s="1291"/>
      <c r="I2" s="1291"/>
      <c r="J2" s="1291"/>
      <c r="K2" s="1291"/>
      <c r="L2" s="1291"/>
      <c r="M2" s="1291"/>
      <c r="N2" s="1291"/>
      <c r="O2" s="1291"/>
      <c r="P2" s="1291"/>
      <c r="Q2" s="1291"/>
      <c r="R2" s="1291"/>
      <c r="S2" s="1291"/>
      <c r="T2" s="1291"/>
      <c r="U2" s="1291"/>
      <c r="V2" s="1291"/>
      <c r="W2" s="1291"/>
      <c r="X2" s="1291"/>
      <c r="Y2" s="1291"/>
      <c r="Z2" s="1291"/>
      <c r="AA2" s="1291"/>
      <c r="AB2" s="1291"/>
      <c r="AC2" s="1291"/>
      <c r="AD2" s="202"/>
      <c r="AE2" s="202"/>
    </row>
    <row r="3" spans="2:34" ht="50.65" customHeight="1" x14ac:dyDescent="0.3">
      <c r="B3" s="1291"/>
      <c r="C3" s="1291"/>
      <c r="D3" s="1291"/>
      <c r="E3" s="1291"/>
      <c r="F3" s="1291"/>
      <c r="G3" s="1291"/>
      <c r="H3" s="1291"/>
      <c r="I3" s="1291"/>
      <c r="J3" s="1291"/>
      <c r="K3" s="1291"/>
      <c r="L3" s="1291"/>
      <c r="M3" s="1291"/>
      <c r="N3" s="1291"/>
      <c r="O3" s="1291"/>
      <c r="P3" s="1291"/>
      <c r="Q3" s="1291"/>
      <c r="R3" s="1291"/>
      <c r="S3" s="1291"/>
      <c r="T3" s="1291"/>
      <c r="U3" s="1291"/>
      <c r="V3" s="1291"/>
      <c r="W3" s="1291"/>
      <c r="X3" s="1291"/>
      <c r="Y3" s="1291"/>
      <c r="Z3" s="1291"/>
      <c r="AA3" s="1291"/>
      <c r="AB3" s="1291"/>
      <c r="AC3" s="1291"/>
      <c r="AD3" s="202"/>
      <c r="AE3" s="202"/>
    </row>
    <row r="4" spans="2:34" ht="5.25" customHeight="1" x14ac:dyDescent="0.3">
      <c r="B4" s="1291"/>
      <c r="C4" s="1291"/>
      <c r="D4" s="1291"/>
      <c r="E4" s="1291"/>
      <c r="F4" s="1291"/>
      <c r="G4" s="1291"/>
      <c r="H4" s="1291"/>
      <c r="I4" s="1291"/>
      <c r="J4" s="1291"/>
      <c r="K4" s="1291"/>
      <c r="L4" s="1291"/>
      <c r="M4" s="1291"/>
      <c r="N4" s="1291"/>
      <c r="O4" s="1291"/>
      <c r="P4" s="1291"/>
      <c r="Q4" s="1291"/>
      <c r="R4" s="1291"/>
      <c r="S4" s="1291"/>
      <c r="T4" s="1291"/>
      <c r="U4" s="1291"/>
      <c r="V4" s="1291"/>
      <c r="W4" s="1291"/>
      <c r="X4" s="1291"/>
      <c r="Y4" s="1291"/>
      <c r="Z4" s="1291"/>
      <c r="AA4" s="1291"/>
      <c r="AB4" s="1291"/>
      <c r="AC4" s="1291"/>
      <c r="AD4" s="202"/>
      <c r="AE4" s="202"/>
    </row>
    <row r="5" spans="2:34" x14ac:dyDescent="0.3">
      <c r="B5" s="125" t="s">
        <v>406</v>
      </c>
    </row>
    <row r="6" spans="2:34" ht="14.65" customHeight="1" x14ac:dyDescent="0.3">
      <c r="B6" s="1295" t="s">
        <v>407</v>
      </c>
      <c r="C6" s="1296"/>
      <c r="D6" s="1307" t="s">
        <v>350</v>
      </c>
      <c r="E6" s="1308"/>
      <c r="F6" s="1308"/>
      <c r="G6" s="1308"/>
      <c r="H6" s="1308"/>
      <c r="I6" s="1308"/>
      <c r="J6" s="1308"/>
      <c r="K6" s="1308"/>
      <c r="L6" s="1308"/>
      <c r="M6" s="1308"/>
      <c r="N6" s="1308"/>
      <c r="O6" s="1308"/>
      <c r="P6" s="1309"/>
      <c r="Q6" s="1304" t="s">
        <v>351</v>
      </c>
      <c r="R6" s="1305"/>
      <c r="S6" s="1305"/>
      <c r="T6" s="1305"/>
      <c r="U6" s="1305"/>
      <c r="V6" s="1305"/>
      <c r="W6" s="1305"/>
      <c r="X6" s="1305"/>
      <c r="Y6" s="1305"/>
      <c r="Z6" s="1305"/>
      <c r="AA6" s="1305"/>
      <c r="AB6" s="1305"/>
      <c r="AC6" s="1306"/>
      <c r="AD6" s="1340" t="s">
        <v>408</v>
      </c>
      <c r="AE6" s="1343" t="s">
        <v>409</v>
      </c>
    </row>
    <row r="7" spans="2:34" ht="24" customHeight="1" x14ac:dyDescent="0.3">
      <c r="B7" s="1297"/>
      <c r="C7" s="1298"/>
      <c r="D7" s="455">
        <v>2018</v>
      </c>
      <c r="E7" s="1292">
        <v>2019</v>
      </c>
      <c r="F7" s="1293"/>
      <c r="G7" s="1293"/>
      <c r="H7" s="1294"/>
      <c r="I7" s="1292">
        <v>2020</v>
      </c>
      <c r="J7" s="1293"/>
      <c r="K7" s="1293"/>
      <c r="L7" s="1293"/>
      <c r="M7" s="1302">
        <v>2021</v>
      </c>
      <c r="N7" s="1293"/>
      <c r="O7" s="1293"/>
      <c r="P7" s="1303"/>
      <c r="Q7" s="1300">
        <v>2022</v>
      </c>
      <c r="R7" s="1300"/>
      <c r="S7" s="1300"/>
      <c r="T7" s="1301"/>
      <c r="U7" s="1299">
        <v>2023</v>
      </c>
      <c r="V7" s="1300"/>
      <c r="W7" s="1300"/>
      <c r="X7" s="1300"/>
      <c r="Y7" s="1299">
        <v>2024</v>
      </c>
      <c r="Z7" s="1300"/>
      <c r="AA7" s="1300"/>
      <c r="AB7" s="1301"/>
      <c r="AC7" s="306">
        <v>2025</v>
      </c>
      <c r="AD7" s="1341"/>
      <c r="AE7" s="1344"/>
    </row>
    <row r="8" spans="2:34" ht="14.25" customHeight="1" x14ac:dyDescent="0.3">
      <c r="B8" s="1335"/>
      <c r="C8" s="1336"/>
      <c r="D8" s="156" t="s">
        <v>352</v>
      </c>
      <c r="E8" s="156" t="s">
        <v>353</v>
      </c>
      <c r="F8" s="139" t="s">
        <v>354</v>
      </c>
      <c r="G8" s="139" t="s">
        <v>253</v>
      </c>
      <c r="H8" s="146" t="s">
        <v>352</v>
      </c>
      <c r="I8" s="140" t="s">
        <v>353</v>
      </c>
      <c r="J8" s="140" t="s">
        <v>354</v>
      </c>
      <c r="K8" s="140" t="s">
        <v>253</v>
      </c>
      <c r="L8" s="140" t="s">
        <v>352</v>
      </c>
      <c r="M8" s="151" t="s">
        <v>353</v>
      </c>
      <c r="N8" s="773" t="s">
        <v>354</v>
      </c>
      <c r="O8" s="773" t="s">
        <v>253</v>
      </c>
      <c r="P8" s="146" t="s">
        <v>352</v>
      </c>
      <c r="Q8" s="826" t="s">
        <v>353</v>
      </c>
      <c r="R8" s="380" t="s">
        <v>354</v>
      </c>
      <c r="S8" s="380" t="s">
        <v>253</v>
      </c>
      <c r="T8" s="380" t="s">
        <v>352</v>
      </c>
      <c r="U8" s="379" t="s">
        <v>353</v>
      </c>
      <c r="V8" s="380" t="s">
        <v>354</v>
      </c>
      <c r="W8" s="380" t="s">
        <v>253</v>
      </c>
      <c r="X8" s="380" t="s">
        <v>352</v>
      </c>
      <c r="Y8" s="379" t="s">
        <v>353</v>
      </c>
      <c r="Z8" s="356" t="s">
        <v>354</v>
      </c>
      <c r="AA8" s="380" t="s">
        <v>253</v>
      </c>
      <c r="AB8" s="381" t="s">
        <v>352</v>
      </c>
      <c r="AC8" s="63" t="s">
        <v>353</v>
      </c>
      <c r="AD8" s="1342"/>
      <c r="AE8" s="1345"/>
    </row>
    <row r="9" spans="2:34" ht="23.65" customHeight="1" x14ac:dyDescent="0.3">
      <c r="B9" s="234" t="s">
        <v>410</v>
      </c>
      <c r="C9" s="696" t="s">
        <v>411</v>
      </c>
      <c r="D9" s="1123">
        <f>'Haver Pivoted'!GO32</f>
        <v>588.9</v>
      </c>
      <c r="E9" s="1124">
        <f>'Haver Pivoted'!GP32</f>
        <v>593.79999999999995</v>
      </c>
      <c r="F9" s="1124">
        <f>'Haver Pivoted'!GQ32</f>
        <v>610.5</v>
      </c>
      <c r="G9" s="1124">
        <f>'Haver Pivoted'!GR32</f>
        <v>610.4</v>
      </c>
      <c r="H9" s="1124">
        <f>'Haver Pivoted'!GS32</f>
        <v>622.4</v>
      </c>
      <c r="I9" s="1124">
        <f>'Haver Pivoted'!GT32</f>
        <v>640.6</v>
      </c>
      <c r="J9" s="1124">
        <f>'Haver Pivoted'!GU32</f>
        <v>1400</v>
      </c>
      <c r="K9" s="1124">
        <f>'Haver Pivoted'!GV32</f>
        <v>738.5</v>
      </c>
      <c r="L9" s="1124">
        <f>'Haver Pivoted'!GW32</f>
        <v>743</v>
      </c>
      <c r="M9" s="1124">
        <f>'Haver Pivoted'!GX32</f>
        <v>781.5</v>
      </c>
      <c r="N9" s="1124">
        <f>'Haver Pivoted'!GY32</f>
        <v>1632.2</v>
      </c>
      <c r="O9" s="1124">
        <f>'Haver Pivoted'!GZ32</f>
        <v>1057.0999999999999</v>
      </c>
      <c r="P9" s="1031">
        <f>'Haver Pivoted'!HA32</f>
        <v>904.2</v>
      </c>
      <c r="Q9" s="731">
        <f t="shared" ref="Q9:AC9" si="0">Q10+Q11</f>
        <v>1355.4876304587806</v>
      </c>
      <c r="R9" s="731">
        <f t="shared" si="0"/>
        <v>885.9257404035958</v>
      </c>
      <c r="S9" s="731">
        <f t="shared" si="0"/>
        <v>871.58286116410613</v>
      </c>
      <c r="T9" s="731">
        <f t="shared" si="0"/>
        <v>895.77390228296065</v>
      </c>
      <c r="U9" s="731">
        <f t="shared" si="0"/>
        <v>890.9486325910558</v>
      </c>
      <c r="V9" s="731">
        <f t="shared" si="0"/>
        <v>886.24252350297093</v>
      </c>
      <c r="W9" s="731">
        <f t="shared" si="0"/>
        <v>881.65454339730138</v>
      </c>
      <c r="X9" s="731">
        <f t="shared" si="0"/>
        <v>866.08268595997197</v>
      </c>
      <c r="Y9" s="731">
        <f t="shared" si="0"/>
        <v>850.89250646734752</v>
      </c>
      <c r="Z9" s="731">
        <f t="shared" si="0"/>
        <v>841.82761224652438</v>
      </c>
      <c r="AA9" s="731">
        <f t="shared" si="0"/>
        <v>851.88963181244526</v>
      </c>
      <c r="AB9" s="731">
        <f t="shared" si="0"/>
        <v>848.20421515031876</v>
      </c>
      <c r="AC9" s="1088">
        <f t="shared" si="0"/>
        <v>858.52503400183343</v>
      </c>
      <c r="AD9" s="1129"/>
      <c r="AE9" s="726"/>
    </row>
    <row r="10" spans="2:34" s="72" customFormat="1" ht="28" x14ac:dyDescent="0.3">
      <c r="B10" s="86" t="s">
        <v>147</v>
      </c>
      <c r="C10" s="80" t="s">
        <v>412</v>
      </c>
      <c r="D10" s="1125">
        <f>'Haver Pivoted'!GO40</f>
        <v>390.86599999999999</v>
      </c>
      <c r="E10" s="970">
        <f>'Haver Pivoted'!GP40</f>
        <v>408.75599999999997</v>
      </c>
      <c r="F10" s="970">
        <f>'Haver Pivoted'!GQ40</f>
        <v>413.34399999999999</v>
      </c>
      <c r="G10" s="970">
        <f>'Haver Pivoted'!GR40</f>
        <v>418.529</v>
      </c>
      <c r="H10" s="970">
        <f>'Haver Pivoted'!GS40</f>
        <v>413.80599999999998</v>
      </c>
      <c r="I10" s="970">
        <f>'Haver Pivoted'!GT40</f>
        <v>428.11799999999999</v>
      </c>
      <c r="J10" s="970">
        <f>'Haver Pivoted'!GU40</f>
        <v>502.49</v>
      </c>
      <c r="K10" s="970">
        <f>'Haver Pivoted'!GV40</f>
        <v>481.71699999999998</v>
      </c>
      <c r="L10" s="970">
        <f>'Haver Pivoted'!GW40</f>
        <v>507.83699999999999</v>
      </c>
      <c r="M10" s="970">
        <f>'Haver Pivoted'!GX40</f>
        <v>511.34500000000003</v>
      </c>
      <c r="N10" s="970">
        <f>'Haver Pivoted'!GY40</f>
        <v>520.72900000000004</v>
      </c>
      <c r="O10" s="970">
        <f>'Haver Pivoted'!GZ40</f>
        <v>530.82100000000003</v>
      </c>
      <c r="P10" s="935">
        <f>'Haver Pivoted'!HA40</f>
        <v>541.83299999999997</v>
      </c>
      <c r="Q10" s="1130">
        <f>Medicaid!Q27</f>
        <v>556.27590382878202</v>
      </c>
      <c r="R10" s="1130">
        <f>Medicaid!R27</f>
        <v>563.99846733866354</v>
      </c>
      <c r="S10" s="1130">
        <f>Medicaid!S27</f>
        <v>555.31215047777141</v>
      </c>
      <c r="T10" s="1130">
        <f>Medicaid!T27</f>
        <v>545.77939561629398</v>
      </c>
      <c r="U10" s="1130">
        <f>Medicaid!U27</f>
        <v>538.55794982060513</v>
      </c>
      <c r="V10" s="1130">
        <f>Medicaid!V27</f>
        <v>531.43205413142277</v>
      </c>
      <c r="W10" s="1130">
        <f>Medicaid!W27</f>
        <v>524.40044428351337</v>
      </c>
      <c r="X10" s="1130">
        <f>Medicaid!X27</f>
        <v>531.61887902663864</v>
      </c>
      <c r="Y10" s="1130">
        <f>Medicaid!Y27</f>
        <v>538.93667638607883</v>
      </c>
      <c r="Z10" s="1130">
        <f>Medicaid!Z27</f>
        <v>546.35520410011429</v>
      </c>
      <c r="AA10" s="1130">
        <f>Medicaid!AA27</f>
        <v>553.87584873410572</v>
      </c>
      <c r="AB10" s="1130">
        <f>Medicaid!AB27</f>
        <v>561.50001593965203</v>
      </c>
      <c r="AC10" s="69">
        <f>Medicaid!AC27</f>
        <v>569.22913071731398</v>
      </c>
      <c r="AD10" s="508"/>
      <c r="AE10" s="393"/>
    </row>
    <row r="11" spans="2:34" s="72" customFormat="1" ht="17.25" customHeight="1" x14ac:dyDescent="0.3">
      <c r="B11" s="41" t="s">
        <v>413</v>
      </c>
      <c r="C11" s="80"/>
      <c r="D11" s="1125">
        <f t="shared" ref="D11:G11" si="1">D9-D10</f>
        <v>198.03399999999999</v>
      </c>
      <c r="E11" s="970">
        <f t="shared" si="1"/>
        <v>185.04399999999998</v>
      </c>
      <c r="F11" s="970">
        <f t="shared" si="1"/>
        <v>197.15600000000001</v>
      </c>
      <c r="G11" s="970">
        <f t="shared" si="1"/>
        <v>191.87099999999998</v>
      </c>
      <c r="H11" s="970">
        <f>H9-H10</f>
        <v>208.59399999999999</v>
      </c>
      <c r="I11" s="970">
        <f t="shared" ref="I11:N11" si="2">I9-I10</f>
        <v>212.48200000000003</v>
      </c>
      <c r="J11" s="970">
        <f t="shared" si="2"/>
        <v>897.51</v>
      </c>
      <c r="K11" s="970">
        <f t="shared" si="2"/>
        <v>256.78300000000002</v>
      </c>
      <c r="L11" s="970">
        <f t="shared" si="2"/>
        <v>235.16300000000001</v>
      </c>
      <c r="M11" s="970">
        <f t="shared" si="2"/>
        <v>270.15499999999997</v>
      </c>
      <c r="N11" s="970">
        <f t="shared" si="2"/>
        <v>1111.471</v>
      </c>
      <c r="O11" s="970">
        <f>O9-O10</f>
        <v>526.27899999999988</v>
      </c>
      <c r="P11" s="935">
        <f>P9-P10</f>
        <v>362.36700000000008</v>
      </c>
      <c r="Q11" s="1130">
        <f t="shared" ref="Q11:AC11" si="3">SUM(Q12:Q20)</f>
        <v>799.21172662999845</v>
      </c>
      <c r="R11" s="1130">
        <f t="shared" si="3"/>
        <v>321.92727306493225</v>
      </c>
      <c r="S11" s="1130">
        <f t="shared" si="3"/>
        <v>316.27071068633467</v>
      </c>
      <c r="T11" s="1130">
        <f t="shared" si="3"/>
        <v>349.99450666666667</v>
      </c>
      <c r="U11" s="1130">
        <f t="shared" si="3"/>
        <v>352.39068277045067</v>
      </c>
      <c r="V11" s="1130">
        <f t="shared" si="3"/>
        <v>354.81046937154815</v>
      </c>
      <c r="W11" s="1130">
        <f t="shared" si="3"/>
        <v>357.25409911378802</v>
      </c>
      <c r="X11" s="1130">
        <f t="shared" si="3"/>
        <v>334.46380693333333</v>
      </c>
      <c r="Y11" s="1130">
        <f t="shared" si="3"/>
        <v>311.95583008126869</v>
      </c>
      <c r="Z11" s="1130">
        <f t="shared" si="3"/>
        <v>295.47240814641009</v>
      </c>
      <c r="AA11" s="1130">
        <f t="shared" si="3"/>
        <v>298.01378307833954</v>
      </c>
      <c r="AB11" s="1130">
        <f t="shared" si="3"/>
        <v>286.70419921066667</v>
      </c>
      <c r="AC11" s="69">
        <f t="shared" si="3"/>
        <v>289.29590328451945</v>
      </c>
      <c r="AD11" s="508"/>
      <c r="AE11" s="393"/>
    </row>
    <row r="12" spans="2:34" s="72" customFormat="1" ht="16.149999999999999" customHeight="1" x14ac:dyDescent="0.3">
      <c r="B12" s="73" t="s">
        <v>163</v>
      </c>
      <c r="C12" s="240" t="s">
        <v>414</v>
      </c>
      <c r="D12" s="1126"/>
      <c r="E12" s="1127"/>
      <c r="F12" s="1127"/>
      <c r="G12" s="1127"/>
      <c r="H12" s="974"/>
      <c r="I12" s="974"/>
      <c r="J12" s="974">
        <f>'Haver Pivoted'!GU56</f>
        <v>597.9</v>
      </c>
      <c r="K12" s="974"/>
      <c r="L12" s="974"/>
      <c r="M12" s="974"/>
      <c r="N12" s="974"/>
      <c r="O12" s="1115">
        <v>0</v>
      </c>
      <c r="P12" s="783">
        <v>0</v>
      </c>
      <c r="Q12" s="1130">
        <v>0</v>
      </c>
      <c r="R12" s="1130">
        <v>0</v>
      </c>
      <c r="S12" s="1130">
        <v>0</v>
      </c>
      <c r="T12" s="1130">
        <v>0</v>
      </c>
      <c r="U12" s="1130">
        <v>0</v>
      </c>
      <c r="V12" s="1130">
        <v>0</v>
      </c>
      <c r="W12" s="1130">
        <v>0</v>
      </c>
      <c r="X12" s="1130">
        <v>0</v>
      </c>
      <c r="Y12" s="1130">
        <v>0</v>
      </c>
      <c r="Z12" s="1130">
        <v>0</v>
      </c>
      <c r="AA12" s="1130">
        <v>0</v>
      </c>
      <c r="AB12" s="1130">
        <v>0</v>
      </c>
      <c r="AC12" s="69">
        <v>0</v>
      </c>
      <c r="AD12" s="508">
        <f>SUM(I12:Y12)/4</f>
        <v>149.47499999999999</v>
      </c>
      <c r="AE12" s="393">
        <f>AD40</f>
        <v>150</v>
      </c>
    </row>
    <row r="13" spans="2:34" s="72" customFormat="1" x14ac:dyDescent="0.3">
      <c r="B13" s="73" t="s">
        <v>164</v>
      </c>
      <c r="C13" s="240" t="s">
        <v>415</v>
      </c>
      <c r="D13" s="1126"/>
      <c r="E13" s="1127"/>
      <c r="F13" s="1127"/>
      <c r="G13" s="1127"/>
      <c r="H13" s="974"/>
      <c r="I13" s="974"/>
      <c r="J13" s="974">
        <f>'Haver Pivoted'!GU57</f>
        <v>28.4</v>
      </c>
      <c r="K13" s="974">
        <f>'Haver Pivoted'!GV57</f>
        <v>15.8</v>
      </c>
      <c r="L13" s="974">
        <f>'Haver Pivoted'!GW57</f>
        <v>15.2</v>
      </c>
      <c r="M13" s="974">
        <f>'Haver Pivoted'!GX57</f>
        <v>28.9</v>
      </c>
      <c r="N13" s="974">
        <f>'Haver Pivoted'!GY57</f>
        <v>67.599999999999994</v>
      </c>
      <c r="O13" s="974">
        <f>'Haver Pivoted'!GZ57</f>
        <v>80.7</v>
      </c>
      <c r="P13" s="934">
        <f>'Haver Pivoted'!HA57</f>
        <v>87.2</v>
      </c>
      <c r="Q13" s="1130">
        <f>Q41+Q45+Q51</f>
        <v>69.123333333333306</v>
      </c>
      <c r="R13" s="1130">
        <f t="shared" ref="R13:AC13" si="4">R41+R45+R51</f>
        <v>69.123333333333306</v>
      </c>
      <c r="S13" s="1130">
        <f t="shared" si="4"/>
        <v>69.123333333333306</v>
      </c>
      <c r="T13" s="1130">
        <f t="shared" si="4"/>
        <v>60.929333333333297</v>
      </c>
      <c r="U13" s="1130">
        <f t="shared" si="4"/>
        <v>60.929333333333297</v>
      </c>
      <c r="V13" s="1130">
        <f t="shared" si="4"/>
        <v>60.929333333333297</v>
      </c>
      <c r="W13" s="1130">
        <f t="shared" si="4"/>
        <v>60.929333333333297</v>
      </c>
      <c r="X13" s="1130">
        <f t="shared" si="4"/>
        <v>54.244333333333302</v>
      </c>
      <c r="Y13" s="1130">
        <f t="shared" si="4"/>
        <v>50.911000000000001</v>
      </c>
      <c r="Z13" s="1130">
        <f t="shared" si="4"/>
        <v>31.911000000000001</v>
      </c>
      <c r="AA13" s="1130">
        <f t="shared" si="4"/>
        <v>31.911000000000001</v>
      </c>
      <c r="AB13" s="1130">
        <f t="shared" si="4"/>
        <v>23.099</v>
      </c>
      <c r="AC13" s="69">
        <f t="shared" si="4"/>
        <v>23.099</v>
      </c>
      <c r="AD13" s="508">
        <f t="shared" ref="AD13:AD19" si="5">SUM(I13:Y13)/4</f>
        <v>220.01066666666657</v>
      </c>
      <c r="AE13" s="393">
        <f>AD41+AD45+AD51</f>
        <v>218.26349999999994</v>
      </c>
    </row>
    <row r="14" spans="2:34" s="72" customFormat="1" x14ac:dyDescent="0.3">
      <c r="B14" s="73" t="s">
        <v>166</v>
      </c>
      <c r="C14" s="88" t="s">
        <v>380</v>
      </c>
      <c r="D14" s="1128"/>
      <c r="E14" s="1082"/>
      <c r="F14" s="1082"/>
      <c r="G14" s="1082"/>
      <c r="H14" s="974"/>
      <c r="I14" s="974"/>
      <c r="J14" s="974">
        <f>'Haver Pivoted'!GU58</f>
        <v>64.400000000000006</v>
      </c>
      <c r="K14" s="974">
        <f>'Haver Pivoted'!GV58</f>
        <v>23.4</v>
      </c>
      <c r="L14" s="974">
        <f>'Haver Pivoted'!GW58</f>
        <v>13.8</v>
      </c>
      <c r="M14" s="974">
        <f>'Haver Pivoted'!GX58</f>
        <v>17.100000000000001</v>
      </c>
      <c r="N14" s="974">
        <f>'Haver Pivoted'!GY58</f>
        <v>10.6</v>
      </c>
      <c r="O14" s="974">
        <f>'Haver Pivoted'!GZ58</f>
        <v>15</v>
      </c>
      <c r="P14" s="934">
        <f>'Haver Pivoted'!HA58</f>
        <v>25.8</v>
      </c>
      <c r="Q14" s="1130">
        <f>'Provider Relief'!Q12</f>
        <v>22.417377812257563</v>
      </c>
      <c r="R14" s="1130">
        <f>'Provider Relief'!R12</f>
        <v>8.0062063615205581</v>
      </c>
      <c r="S14" s="1130">
        <f>'Provider Relief'!S12</f>
        <v>0</v>
      </c>
      <c r="T14" s="1130">
        <f>'Provider Relief'!T12</f>
        <v>0</v>
      </c>
      <c r="U14" s="1130">
        <f>'Provider Relief'!U12</f>
        <v>0</v>
      </c>
      <c r="V14" s="1130">
        <f>'Provider Relief'!V12</f>
        <v>0</v>
      </c>
      <c r="W14" s="1130">
        <f>'Provider Relief'!W12</f>
        <v>0</v>
      </c>
      <c r="X14" s="1130">
        <f>'Provider Relief'!X12</f>
        <v>0</v>
      </c>
      <c r="Y14" s="1130">
        <f>'Provider Relief'!Y12</f>
        <v>0</v>
      </c>
      <c r="Z14" s="1130">
        <f>'Provider Relief'!Z12</f>
        <v>0</v>
      </c>
      <c r="AA14" s="1130">
        <f>'Provider Relief'!AA12</f>
        <v>0</v>
      </c>
      <c r="AB14" s="1130">
        <f>'Provider Relief'!AB12</f>
        <v>0</v>
      </c>
      <c r="AC14" s="69">
        <f>'Provider Relief'!AC12</f>
        <v>0</v>
      </c>
      <c r="AD14" s="508">
        <f>SUM(I14:Y14)/4</f>
        <v>50.130896043444537</v>
      </c>
      <c r="AE14" s="393">
        <f>AD42+AD46+AD52</f>
        <v>34.125000000000007</v>
      </c>
    </row>
    <row r="15" spans="2:34" s="72" customFormat="1" ht="15.75" customHeight="1" x14ac:dyDescent="0.3">
      <c r="B15" s="73" t="s">
        <v>416</v>
      </c>
      <c r="C15" s="88"/>
      <c r="D15" s="1128"/>
      <c r="E15" s="1082"/>
      <c r="F15" s="1082"/>
      <c r="G15" s="1082"/>
      <c r="H15" s="974"/>
      <c r="I15" s="974"/>
      <c r="J15" s="974"/>
      <c r="K15" s="974"/>
      <c r="L15" s="974"/>
      <c r="M15" s="974">
        <f>M44</f>
        <v>9.6666666666666661</v>
      </c>
      <c r="N15" s="1115">
        <f t="shared" ref="N15:AC15" si="6">N44</f>
        <v>9.6666666666666661</v>
      </c>
      <c r="O15" s="1115">
        <f t="shared" si="6"/>
        <v>9.6666666666666661</v>
      </c>
      <c r="P15" s="783">
        <f>P44</f>
        <v>9.6666666666666661</v>
      </c>
      <c r="Q15" s="1130">
        <f t="shared" si="6"/>
        <v>9.6666666666666661</v>
      </c>
      <c r="R15" s="1130">
        <f t="shared" si="6"/>
        <v>9.6666666666666661</v>
      </c>
      <c r="S15" s="1130">
        <f t="shared" si="6"/>
        <v>9.6666666666666661</v>
      </c>
      <c r="T15" s="1130">
        <f t="shared" si="6"/>
        <v>9.6666666666666661</v>
      </c>
      <c r="U15" s="1130">
        <f t="shared" si="6"/>
        <v>9.6666666666666661</v>
      </c>
      <c r="V15" s="1130">
        <f t="shared" si="6"/>
        <v>9.6666666666666661</v>
      </c>
      <c r="W15" s="1130">
        <f t="shared" si="6"/>
        <v>9.6666666666666661</v>
      </c>
      <c r="X15" s="1130">
        <f t="shared" si="6"/>
        <v>9.6666666666666661</v>
      </c>
      <c r="Y15" s="1130">
        <f t="shared" si="6"/>
        <v>0</v>
      </c>
      <c r="Z15" s="1130">
        <f t="shared" si="6"/>
        <v>0</v>
      </c>
      <c r="AA15" s="1130">
        <f t="shared" si="6"/>
        <v>0</v>
      </c>
      <c r="AB15" s="1130">
        <f t="shared" si="6"/>
        <v>0</v>
      </c>
      <c r="AC15" s="69">
        <f t="shared" si="6"/>
        <v>0</v>
      </c>
      <c r="AD15" s="508">
        <f>SUM(I15:Y15)/4</f>
        <v>29.000000000000004</v>
      </c>
      <c r="AE15" s="394">
        <f>AD44</f>
        <v>29.000000000000004</v>
      </c>
      <c r="AF15" s="100" t="s">
        <v>417</v>
      </c>
      <c r="AG15" s="100"/>
      <c r="AH15" s="100"/>
    </row>
    <row r="16" spans="2:34" s="72" customFormat="1" ht="31.15" customHeight="1" x14ac:dyDescent="0.3">
      <c r="B16" s="73" t="s">
        <v>418</v>
      </c>
      <c r="C16" s="88"/>
      <c r="D16" s="1128"/>
      <c r="E16" s="1082"/>
      <c r="F16" s="1082"/>
      <c r="G16" s="1082"/>
      <c r="H16" s="974"/>
      <c r="I16" s="974"/>
      <c r="J16" s="974"/>
      <c r="K16" s="974"/>
      <c r="L16" s="974"/>
      <c r="M16" s="974">
        <f>M48+M47</f>
        <v>12</v>
      </c>
      <c r="N16" s="1115">
        <f>N48+N47</f>
        <v>12</v>
      </c>
      <c r="O16" s="1115">
        <f>O48+O47</f>
        <v>12</v>
      </c>
      <c r="P16" s="783">
        <f t="shared" ref="P16:AC16" si="7">P48+P47</f>
        <v>12</v>
      </c>
      <c r="Q16" s="1130">
        <f t="shared" si="7"/>
        <v>12</v>
      </c>
      <c r="R16" s="1130">
        <f t="shared" si="7"/>
        <v>12</v>
      </c>
      <c r="S16" s="1130">
        <f t="shared" si="7"/>
        <v>12</v>
      </c>
      <c r="T16" s="1130">
        <f t="shared" si="7"/>
        <v>12</v>
      </c>
      <c r="U16" s="1130">
        <f t="shared" si="7"/>
        <v>12</v>
      </c>
      <c r="V16" s="1130">
        <f t="shared" si="7"/>
        <v>12</v>
      </c>
      <c r="W16" s="1130">
        <f t="shared" si="7"/>
        <v>12</v>
      </c>
      <c r="X16" s="1130">
        <f t="shared" si="7"/>
        <v>12</v>
      </c>
      <c r="Y16" s="1130">
        <f t="shared" si="7"/>
        <v>0</v>
      </c>
      <c r="Z16" s="1130">
        <f t="shared" si="7"/>
        <v>0</v>
      </c>
      <c r="AA16" s="1130">
        <f t="shared" si="7"/>
        <v>0</v>
      </c>
      <c r="AB16" s="1130">
        <f t="shared" si="7"/>
        <v>0</v>
      </c>
      <c r="AC16" s="69">
        <f t="shared" si="7"/>
        <v>0</v>
      </c>
      <c r="AD16" s="508">
        <f>SUM(I16:Y16)/4</f>
        <v>36</v>
      </c>
      <c r="AE16" s="393">
        <f>SUM(AD47:AD48)+AD53</f>
        <v>130.3365</v>
      </c>
      <c r="AF16" s="100" t="s">
        <v>419</v>
      </c>
      <c r="AG16" s="100"/>
      <c r="AH16" s="100"/>
    </row>
    <row r="17" spans="1:34" s="72" customFormat="1" x14ac:dyDescent="0.3">
      <c r="B17" s="73" t="s">
        <v>420</v>
      </c>
      <c r="C17" s="88"/>
      <c r="D17" s="1128"/>
      <c r="E17" s="1082"/>
      <c r="F17" s="1082"/>
      <c r="G17" s="1082"/>
      <c r="H17" s="974"/>
      <c r="I17" s="974"/>
      <c r="J17" s="974"/>
      <c r="K17" s="974"/>
      <c r="L17" s="974"/>
      <c r="M17" s="974"/>
      <c r="N17" s="1115">
        <f>N53</f>
        <v>59.256</v>
      </c>
      <c r="O17" s="1115">
        <f>O53</f>
        <v>59.256</v>
      </c>
      <c r="P17" s="783">
        <f>P53</f>
        <v>35.671000000000006</v>
      </c>
      <c r="Q17" s="1130">
        <f t="shared" ref="Q17:AC17" si="8">Q53</f>
        <v>35.671000000000006</v>
      </c>
      <c r="R17" s="1130">
        <f t="shared" si="8"/>
        <v>35.671000000000006</v>
      </c>
      <c r="S17" s="1130">
        <f t="shared" si="8"/>
        <v>35.671000000000006</v>
      </c>
      <c r="T17" s="1130">
        <f t="shared" si="8"/>
        <v>24.216000000000001</v>
      </c>
      <c r="U17" s="1130">
        <f t="shared" si="8"/>
        <v>24.216000000000001</v>
      </c>
      <c r="V17" s="1130">
        <f t="shared" si="8"/>
        <v>24.216000000000001</v>
      </c>
      <c r="W17" s="1130">
        <f t="shared" si="8"/>
        <v>24.216000000000001</v>
      </c>
      <c r="X17" s="1130">
        <f t="shared" si="8"/>
        <v>9.6430000000000007</v>
      </c>
      <c r="Y17" s="1130">
        <f t="shared" si="8"/>
        <v>9.6430000000000007</v>
      </c>
      <c r="Z17" s="1130">
        <f t="shared" si="8"/>
        <v>9.6430000000000007</v>
      </c>
      <c r="AA17" s="1130">
        <f t="shared" si="8"/>
        <v>9.6430000000000007</v>
      </c>
      <c r="AB17" s="1130">
        <f t="shared" si="8"/>
        <v>4.5789999999999997</v>
      </c>
      <c r="AC17" s="69">
        <f t="shared" si="8"/>
        <v>4.5789999999999997</v>
      </c>
      <c r="AD17" s="508">
        <f>SUM(I17:Y17)/4</f>
        <v>94.336500000000001</v>
      </c>
      <c r="AE17" s="393"/>
      <c r="AF17" s="100"/>
      <c r="AG17" s="100"/>
      <c r="AH17" s="100"/>
    </row>
    <row r="18" spans="1:34" s="72" customFormat="1" ht="42" x14ac:dyDescent="0.3">
      <c r="B18" s="525" t="s">
        <v>1143</v>
      </c>
      <c r="C18" s="88"/>
      <c r="D18" s="1128"/>
      <c r="E18" s="1082"/>
      <c r="F18" s="1082"/>
      <c r="G18" s="1082"/>
      <c r="H18" s="974"/>
      <c r="I18" s="974"/>
      <c r="J18" s="974"/>
      <c r="K18" s="974"/>
      <c r="L18" s="974"/>
      <c r="M18" s="974"/>
      <c r="N18" s="1115">
        <v>-40</v>
      </c>
      <c r="O18" s="1115">
        <v>-40</v>
      </c>
      <c r="P18" s="783">
        <f>-51</f>
        <v>-51</v>
      </c>
      <c r="Q18" s="1130">
        <f>-51</f>
        <v>-51</v>
      </c>
      <c r="R18" s="1130">
        <f>-51</f>
        <v>-51</v>
      </c>
      <c r="S18" s="1130">
        <f>-51</f>
        <v>-51</v>
      </c>
      <c r="T18" s="1130">
        <v>0</v>
      </c>
      <c r="U18" s="1130">
        <v>0</v>
      </c>
      <c r="V18" s="1130">
        <v>0</v>
      </c>
      <c r="W18" s="1130">
        <v>0</v>
      </c>
      <c r="X18" s="1130">
        <v>-4</v>
      </c>
      <c r="Y18" s="1130">
        <v>-4</v>
      </c>
      <c r="Z18" s="1130">
        <v>-4</v>
      </c>
      <c r="AA18" s="1130">
        <v>-4</v>
      </c>
      <c r="AB18" s="1130">
        <v>-4</v>
      </c>
      <c r="AC18" s="69">
        <v>-4</v>
      </c>
      <c r="AD18" s="508"/>
      <c r="AE18" s="393"/>
      <c r="AF18" s="100"/>
      <c r="AG18" s="100"/>
      <c r="AH18" s="100"/>
    </row>
    <row r="19" spans="1:34" s="72" customFormat="1" ht="15.75" customHeight="1" x14ac:dyDescent="0.3">
      <c r="B19" s="73" t="s">
        <v>421</v>
      </c>
      <c r="C19" s="240" t="s">
        <v>422</v>
      </c>
      <c r="D19" s="1128"/>
      <c r="E19" s="1082"/>
      <c r="F19" s="1082"/>
      <c r="G19" s="1082"/>
      <c r="H19" s="974"/>
      <c r="I19" s="974"/>
      <c r="J19" s="974"/>
      <c r="K19" s="974">
        <f>'Haver Pivoted'!GV56</f>
        <v>0</v>
      </c>
      <c r="L19" s="974">
        <f>'Haver Pivoted'!GW56</f>
        <v>0</v>
      </c>
      <c r="M19" s="974">
        <f>'Haver Pivoted'!GX56</f>
        <v>0</v>
      </c>
      <c r="N19" s="974">
        <f>'Haver Pivoted'!GY56</f>
        <v>785.9</v>
      </c>
      <c r="O19" s="974">
        <f>'Haver Pivoted'!GZ56</f>
        <v>187.9</v>
      </c>
      <c r="P19" s="934">
        <f>'Haver Pivoted'!HA56</f>
        <v>9.1999999999999993</v>
      </c>
      <c r="Q19" s="1131">
        <f>4*AE19-SUM(N19:P19)</f>
        <v>465.19999999999982</v>
      </c>
      <c r="R19" s="1131">
        <f t="shared" ref="R19:AC19" si="9">R50</f>
        <v>0</v>
      </c>
      <c r="S19" s="1131">
        <f t="shared" si="9"/>
        <v>0</v>
      </c>
      <c r="T19" s="1131">
        <f t="shared" si="9"/>
        <v>0</v>
      </c>
      <c r="U19" s="1131">
        <f t="shared" si="9"/>
        <v>0</v>
      </c>
      <c r="V19" s="1131">
        <f t="shared" si="9"/>
        <v>0</v>
      </c>
      <c r="W19" s="1131">
        <f t="shared" si="9"/>
        <v>0</v>
      </c>
      <c r="X19" s="1131">
        <f t="shared" si="9"/>
        <v>0</v>
      </c>
      <c r="Y19" s="1131">
        <f t="shared" si="9"/>
        <v>0</v>
      </c>
      <c r="Z19" s="1131">
        <f t="shared" si="9"/>
        <v>0</v>
      </c>
      <c r="AA19" s="1131">
        <f t="shared" si="9"/>
        <v>0</v>
      </c>
      <c r="AB19" s="1131">
        <f t="shared" si="9"/>
        <v>0</v>
      </c>
      <c r="AC19" s="67">
        <f t="shared" si="9"/>
        <v>0</v>
      </c>
      <c r="AD19" s="508">
        <f t="shared" si="5"/>
        <v>362.04999999999995</v>
      </c>
      <c r="AE19" s="393">
        <f>AD50</f>
        <v>362.04999999999995</v>
      </c>
      <c r="AF19" s="120"/>
      <c r="AH19" s="100"/>
    </row>
    <row r="20" spans="1:34" s="72" customFormat="1" ht="15.75" customHeight="1" x14ac:dyDescent="0.3">
      <c r="A20" s="104"/>
      <c r="B20" s="101" t="s">
        <v>423</v>
      </c>
      <c r="C20" s="243"/>
      <c r="D20" s="1132">
        <f t="shared" ref="D20:G20" si="10">D11-SUM(D12:D19)</f>
        <v>198.03399999999999</v>
      </c>
      <c r="E20" s="1133">
        <f>E11-SUM(E12:E19)</f>
        <v>185.04399999999998</v>
      </c>
      <c r="F20" s="1133">
        <f t="shared" si="10"/>
        <v>197.15600000000001</v>
      </c>
      <c r="G20" s="1133">
        <f t="shared" si="10"/>
        <v>191.87099999999998</v>
      </c>
      <c r="H20" s="1133">
        <f>H11-SUM(H12:H19)</f>
        <v>208.59399999999999</v>
      </c>
      <c r="I20" s="1133">
        <f>I11-SUM(I12:I19)</f>
        <v>212.48200000000003</v>
      </c>
      <c r="J20" s="1133">
        <f t="shared" ref="J20:L20" si="11">J11-SUM(J12:J19)</f>
        <v>206.81000000000006</v>
      </c>
      <c r="K20" s="1133">
        <f t="shared" si="11"/>
        <v>217.58300000000003</v>
      </c>
      <c r="L20" s="1133">
        <f t="shared" si="11"/>
        <v>206.16300000000001</v>
      </c>
      <c r="M20" s="1133">
        <f>M11-SUM(M12:M19)</f>
        <v>202.48833333333332</v>
      </c>
      <c r="N20" s="1133">
        <f>N11-SUM(N12:N19)</f>
        <v>206.44833333333338</v>
      </c>
      <c r="O20" s="1133">
        <f>O11-SUM(O12:O19)</f>
        <v>201.7563333333332</v>
      </c>
      <c r="P20" s="1134">
        <f>P11-SUM(P12:P19)</f>
        <v>233.82933333333341</v>
      </c>
      <c r="Q20" s="402">
        <f t="shared" ref="Q20:AC20" si="12">P20*(1.04)^0.25</f>
        <v>236.13334881774108</v>
      </c>
      <c r="R20" s="402">
        <f t="shared" si="12"/>
        <v>238.46006670341174</v>
      </c>
      <c r="S20" s="402">
        <f t="shared" si="12"/>
        <v>240.80971068633468</v>
      </c>
      <c r="T20" s="402">
        <f t="shared" si="12"/>
        <v>243.18250666666671</v>
      </c>
      <c r="U20" s="402">
        <f t="shared" si="12"/>
        <v>245.57868277045071</v>
      </c>
      <c r="V20" s="402">
        <f t="shared" si="12"/>
        <v>247.9984693715482</v>
      </c>
      <c r="W20" s="402">
        <f t="shared" si="12"/>
        <v>250.44209911378806</v>
      </c>
      <c r="X20" s="402">
        <f t="shared" si="12"/>
        <v>252.90980693333336</v>
      </c>
      <c r="Y20" s="402">
        <f t="shared" si="12"/>
        <v>255.40183008126871</v>
      </c>
      <c r="Z20" s="402">
        <f t="shared" si="12"/>
        <v>257.91840814641012</v>
      </c>
      <c r="AA20" s="402">
        <f t="shared" si="12"/>
        <v>260.45978307833957</v>
      </c>
      <c r="AB20" s="402">
        <f t="shared" si="12"/>
        <v>263.02619921066668</v>
      </c>
      <c r="AC20" s="402">
        <f t="shared" si="12"/>
        <v>265.61790328451946</v>
      </c>
      <c r="AD20" s="509"/>
      <c r="AE20" s="395"/>
      <c r="AF20" s="100" t="s">
        <v>424</v>
      </c>
      <c r="AG20" s="100"/>
      <c r="AH20" s="100"/>
    </row>
    <row r="21" spans="1:34" s="72" customFormat="1" ht="15.75" customHeight="1" x14ac:dyDescent="0.3">
      <c r="A21" s="1077"/>
      <c r="B21" s="1078"/>
      <c r="C21" s="943"/>
      <c r="D21" s="1083"/>
      <c r="E21" s="1083"/>
      <c r="F21" s="1083"/>
      <c r="G21" s="1083"/>
      <c r="H21" s="1083"/>
      <c r="I21" s="1083"/>
      <c r="J21" s="1083"/>
      <c r="K21" s="1083"/>
      <c r="L21" s="1083"/>
      <c r="M21" s="1083"/>
      <c r="N21" s="1083"/>
      <c r="O21" s="1120"/>
      <c r="P21" s="1083"/>
      <c r="Q21" s="922"/>
      <c r="R21" s="922"/>
      <c r="S21" s="922"/>
      <c r="T21" s="922"/>
      <c r="U21" s="922"/>
      <c r="V21" s="922"/>
      <c r="W21" s="922"/>
      <c r="X21" s="922"/>
      <c r="Y21" s="922"/>
      <c r="Z21" s="922"/>
      <c r="AA21" s="922"/>
      <c r="AB21" s="922"/>
      <c r="AC21" s="922"/>
      <c r="AD21" s="922"/>
      <c r="AE21" s="1079"/>
      <c r="AF21" s="100"/>
      <c r="AG21" s="100"/>
      <c r="AH21" s="100"/>
    </row>
    <row r="22" spans="1:34" s="72" customFormat="1" ht="15.75" customHeight="1" x14ac:dyDescent="0.35">
      <c r="A22" s="1080"/>
      <c r="B22" s="1081"/>
      <c r="C22" s="1082"/>
      <c r="D22" s="1083"/>
      <c r="E22" s="1083"/>
      <c r="F22" s="1083"/>
      <c r="G22" s="1083"/>
      <c r="H22" s="1083"/>
      <c r="I22" s="1083"/>
      <c r="J22" s="1083"/>
      <c r="K22" s="1083"/>
      <c r="L22" s="1083"/>
      <c r="M22" s="1083"/>
      <c r="N22" s="1083"/>
      <c r="O22"/>
      <c r="P22"/>
      <c r="Q22"/>
      <c r="R22"/>
      <c r="S22"/>
      <c r="T22"/>
      <c r="U22"/>
      <c r="V22"/>
      <c r="W22"/>
      <c r="X22"/>
      <c r="Y22"/>
      <c r="Z22"/>
      <c r="AA22"/>
      <c r="AB22"/>
      <c r="AC22"/>
      <c r="AD22" s="922"/>
      <c r="AE22" s="1079"/>
      <c r="AF22" s="100"/>
      <c r="AG22" s="100"/>
      <c r="AH22" s="100"/>
    </row>
    <row r="23" spans="1:34" s="72" customFormat="1" ht="14.5" x14ac:dyDescent="0.35">
      <c r="A23" s="1084"/>
      <c r="B23" s="1084"/>
      <c r="C23" s="1085"/>
      <c r="D23" s="1082"/>
      <c r="E23" s="1121"/>
      <c r="F23" s="1082"/>
      <c r="G23" s="1082"/>
      <c r="H23" s="1083"/>
      <c r="I23" s="1083"/>
      <c r="J23" s="1083"/>
      <c r="K23" s="1083"/>
      <c r="L23" s="1083"/>
      <c r="M23" s="1083"/>
      <c r="N23" s="1083"/>
      <c r="O23"/>
      <c r="P23"/>
      <c r="Q23"/>
      <c r="R23"/>
      <c r="S23"/>
      <c r="T23"/>
      <c r="U23"/>
      <c r="V23"/>
      <c r="W23"/>
      <c r="X23"/>
      <c r="Y23"/>
      <c r="Z23"/>
      <c r="AA23"/>
      <c r="AB23"/>
      <c r="AC23"/>
      <c r="AD23" s="1083"/>
      <c r="AE23" s="96"/>
    </row>
    <row r="24" spans="1:34" s="72" customFormat="1" ht="15.75" customHeight="1" x14ac:dyDescent="0.35">
      <c r="A24" s="1080"/>
      <c r="B24" s="1081"/>
      <c r="C24" s="1082"/>
      <c r="D24" s="1083"/>
      <c r="E24" s="1122"/>
      <c r="F24" s="1122"/>
      <c r="G24" s="1122"/>
      <c r="H24" s="1122"/>
      <c r="I24" s="1122"/>
      <c r="J24" s="1122"/>
      <c r="K24" s="1122"/>
      <c r="L24" s="1122"/>
      <c r="M24" s="1122"/>
      <c r="N24" s="1122"/>
      <c r="O24"/>
      <c r="P24"/>
      <c r="Q24"/>
      <c r="R24"/>
      <c r="S24"/>
      <c r="T24"/>
      <c r="U24"/>
      <c r="V24"/>
      <c r="W24"/>
      <c r="X24"/>
      <c r="Y24"/>
      <c r="Z24"/>
      <c r="AA24"/>
      <c r="AB24"/>
      <c r="AC24"/>
      <c r="AD24" s="922"/>
      <c r="AE24" s="1079"/>
      <c r="AF24" s="100"/>
      <c r="AG24" s="100"/>
      <c r="AH24" s="100"/>
    </row>
    <row r="25" spans="1:34" s="72" customFormat="1" ht="15.75" customHeight="1" x14ac:dyDescent="0.35">
      <c r="A25" s="1080"/>
      <c r="B25" s="1081"/>
      <c r="C25" s="1082"/>
      <c r="D25" s="1083"/>
      <c r="E25" s="1122"/>
      <c r="F25" s="1122"/>
      <c r="G25" s="1122"/>
      <c r="H25" s="1122"/>
      <c r="I25" s="1122"/>
      <c r="J25" s="1122"/>
      <c r="K25" s="1122"/>
      <c r="L25" s="1122"/>
      <c r="M25" s="1122"/>
      <c r="N25" s="1122"/>
      <c r="O25"/>
      <c r="P25"/>
      <c r="Q25"/>
      <c r="R25"/>
      <c r="S25"/>
      <c r="T25"/>
      <c r="U25"/>
      <c r="V25"/>
      <c r="W25"/>
      <c r="X25"/>
      <c r="Y25"/>
      <c r="Z25"/>
      <c r="AA25"/>
      <c r="AB25"/>
      <c r="AC25"/>
      <c r="AD25" s="922"/>
      <c r="AE25" s="1079"/>
      <c r="AF25" s="100"/>
      <c r="AG25" s="100"/>
      <c r="AH25" s="100"/>
    </row>
    <row r="26" spans="1:34" s="72" customFormat="1" ht="14.5" x14ac:dyDescent="0.35">
      <c r="A26" s="1084"/>
      <c r="B26" s="1084"/>
      <c r="C26" s="1085"/>
      <c r="D26" s="1082"/>
      <c r="E26" s="1122"/>
      <c r="F26" s="1122"/>
      <c r="G26" s="1122"/>
      <c r="H26" s="1122"/>
      <c r="I26" s="1122"/>
      <c r="J26" s="1122"/>
      <c r="K26" s="1122"/>
      <c r="L26" s="1122"/>
      <c r="M26" s="1122"/>
      <c r="N26" s="1122"/>
      <c r="O26"/>
      <c r="P26"/>
      <c r="Q26"/>
      <c r="R26"/>
      <c r="S26"/>
      <c r="T26"/>
      <c r="U26"/>
      <c r="V26"/>
      <c r="W26"/>
      <c r="X26"/>
      <c r="Y26"/>
      <c r="Z26"/>
      <c r="AA26"/>
      <c r="AB26"/>
      <c r="AC26"/>
      <c r="AD26" s="1083"/>
      <c r="AE26" s="96"/>
    </row>
    <row r="27" spans="1:34" s="72" customFormat="1" ht="15.75" customHeight="1" x14ac:dyDescent="0.35">
      <c r="A27" s="1080"/>
      <c r="B27" s="1081"/>
      <c r="C27" s="1082"/>
      <c r="D27" s="1083"/>
      <c r="E27" s="1122"/>
      <c r="F27" s="1122"/>
      <c r="G27" s="1122"/>
      <c r="H27" s="1122"/>
      <c r="I27" s="1122"/>
      <c r="J27" s="1122"/>
      <c r="K27" s="1122"/>
      <c r="L27" s="1122"/>
      <c r="M27" s="1122"/>
      <c r="N27" s="1122"/>
      <c r="O27"/>
      <c r="P27"/>
      <c r="Q27"/>
      <c r="R27"/>
      <c r="S27"/>
      <c r="T27"/>
      <c r="U27"/>
      <c r="V27"/>
      <c r="W27"/>
      <c r="X27"/>
      <c r="Y27"/>
      <c r="Z27"/>
      <c r="AA27"/>
      <c r="AB27"/>
      <c r="AC27"/>
      <c r="AD27" s="922"/>
      <c r="AE27" s="1079"/>
      <c r="AF27" s="100"/>
      <c r="AG27" s="100"/>
      <c r="AH27" s="100"/>
    </row>
    <row r="28" spans="1:34" s="72" customFormat="1" ht="15.75" customHeight="1" x14ac:dyDescent="0.35">
      <c r="A28" s="1080"/>
      <c r="B28" s="1081"/>
      <c r="C28" s="1082"/>
      <c r="D28" s="1083"/>
      <c r="E28" s="1122"/>
      <c r="F28" s="1122"/>
      <c r="G28" s="1122"/>
      <c r="H28" s="1122"/>
      <c r="I28" s="1122"/>
      <c r="J28" s="1122"/>
      <c r="K28" s="1122"/>
      <c r="L28" s="1122"/>
      <c r="M28" s="1122"/>
      <c r="N28" s="1122"/>
      <c r="O28"/>
      <c r="P28"/>
      <c r="Q28"/>
      <c r="R28"/>
      <c r="S28"/>
      <c r="T28"/>
      <c r="U28"/>
      <c r="V28"/>
      <c r="W28"/>
      <c r="X28"/>
      <c r="Y28"/>
      <c r="Z28"/>
      <c r="AA28"/>
      <c r="AB28"/>
      <c r="AC28"/>
      <c r="AD28" s="922"/>
      <c r="AE28" s="1079"/>
      <c r="AF28" s="100"/>
      <c r="AG28" s="100"/>
      <c r="AH28" s="100"/>
    </row>
    <row r="29" spans="1:34" s="72" customFormat="1" ht="14.5" x14ac:dyDescent="0.35">
      <c r="A29" s="1084"/>
      <c r="B29" s="1084"/>
      <c r="C29" s="1085"/>
      <c r="D29" s="1082"/>
      <c r="E29" s="1122"/>
      <c r="F29" s="1122"/>
      <c r="G29" s="1122"/>
      <c r="H29" s="1122"/>
      <c r="I29" s="1122"/>
      <c r="J29" s="1122"/>
      <c r="K29" s="1122"/>
      <c r="L29" s="1122"/>
      <c r="M29" s="1122"/>
      <c r="N29" s="1122"/>
      <c r="O29"/>
      <c r="P29"/>
      <c r="Q29"/>
      <c r="R29"/>
      <c r="S29"/>
      <c r="T29"/>
      <c r="U29"/>
      <c r="V29"/>
      <c r="W29"/>
      <c r="X29"/>
      <c r="Y29"/>
      <c r="Z29"/>
      <c r="AA29"/>
      <c r="AB29"/>
      <c r="AC29"/>
      <c r="AD29" s="1083"/>
      <c r="AE29" s="96"/>
    </row>
    <row r="30" spans="1:34" s="72" customFormat="1" ht="15.75" customHeight="1" x14ac:dyDescent="0.35">
      <c r="A30" s="1080"/>
      <c r="B30" s="1081"/>
      <c r="C30" s="1082"/>
      <c r="D30" s="1083"/>
      <c r="E30" s="1122"/>
      <c r="F30" s="1122"/>
      <c r="G30" s="1122"/>
      <c r="H30" s="1122"/>
      <c r="I30" s="1122"/>
      <c r="J30" s="1122"/>
      <c r="K30" s="1122"/>
      <c r="L30" s="1122"/>
      <c r="M30" s="1122"/>
      <c r="N30" s="1122"/>
      <c r="O30"/>
      <c r="P30"/>
      <c r="Q30"/>
      <c r="R30"/>
      <c r="S30"/>
      <c r="T30"/>
      <c r="U30"/>
      <c r="V30"/>
      <c r="W30"/>
      <c r="X30"/>
      <c r="Y30"/>
      <c r="Z30"/>
      <c r="AA30"/>
      <c r="AB30"/>
      <c r="AC30"/>
      <c r="AD30" s="922"/>
      <c r="AE30" s="1079"/>
      <c r="AF30" s="100"/>
      <c r="AG30" s="100"/>
      <c r="AH30" s="100"/>
    </row>
    <row r="31" spans="1:34" s="72" customFormat="1" ht="15.75" customHeight="1" x14ac:dyDescent="0.35">
      <c r="A31" s="1080"/>
      <c r="B31" s="1081"/>
      <c r="C31" s="1082"/>
      <c r="D31" s="1083"/>
      <c r="E31" s="1122"/>
      <c r="F31" s="1122"/>
      <c r="G31" s="1122"/>
      <c r="H31" s="1122"/>
      <c r="I31" s="1122"/>
      <c r="J31" s="1122"/>
      <c r="K31" s="1122"/>
      <c r="L31" s="1122"/>
      <c r="M31" s="1122"/>
      <c r="N31" s="1122"/>
      <c r="O31"/>
      <c r="P31"/>
      <c r="Q31"/>
      <c r="R31"/>
      <c r="S31"/>
      <c r="T31"/>
      <c r="U31"/>
      <c r="V31"/>
      <c r="W31"/>
      <c r="X31"/>
      <c r="Y31"/>
      <c r="Z31"/>
      <c r="AA31"/>
      <c r="AB31"/>
      <c r="AC31"/>
      <c r="AD31" s="922"/>
      <c r="AE31" s="1079"/>
      <c r="AF31" s="100"/>
      <c r="AG31" s="100"/>
      <c r="AH31" s="100"/>
    </row>
    <row r="32" spans="1:34" s="72" customFormat="1" ht="14.5" x14ac:dyDescent="0.35">
      <c r="A32" s="1084"/>
      <c r="B32" s="1084"/>
      <c r="C32" s="1085"/>
      <c r="D32" s="1082"/>
      <c r="E32" s="1122"/>
      <c r="F32" s="1122"/>
      <c r="G32" s="1122"/>
      <c r="H32" s="1122"/>
      <c r="I32" s="1122"/>
      <c r="J32" s="1122"/>
      <c r="K32" s="1122"/>
      <c r="L32" s="1122"/>
      <c r="M32" s="1122"/>
      <c r="N32" s="1122"/>
      <c r="O32"/>
      <c r="P32"/>
      <c r="Q32"/>
      <c r="R32"/>
      <c r="S32"/>
      <c r="T32"/>
      <c r="U32"/>
      <c r="V32"/>
      <c r="W32"/>
      <c r="X32"/>
      <c r="Y32"/>
      <c r="Z32"/>
      <c r="AA32"/>
      <c r="AB32"/>
      <c r="AC32"/>
      <c r="AD32" s="1083"/>
      <c r="AE32" s="96"/>
    </row>
    <row r="33" spans="1:34" s="72" customFormat="1" ht="15.75" customHeight="1" x14ac:dyDescent="0.35">
      <c r="A33" s="1080"/>
      <c r="B33" s="1081"/>
      <c r="C33" s="1082"/>
      <c r="D33" s="1083"/>
      <c r="E33" s="1122"/>
      <c r="F33" s="1122"/>
      <c r="G33" s="1122"/>
      <c r="H33" s="1122"/>
      <c r="I33" s="1122"/>
      <c r="J33" s="1122"/>
      <c r="K33" s="1122"/>
      <c r="L33" s="1122"/>
      <c r="M33" s="1122"/>
      <c r="N33" s="1122"/>
      <c r="O33"/>
      <c r="P33"/>
      <c r="Q33"/>
      <c r="R33"/>
      <c r="S33"/>
      <c r="T33"/>
      <c r="U33"/>
      <c r="V33"/>
      <c r="W33"/>
      <c r="X33"/>
      <c r="Y33"/>
      <c r="Z33"/>
      <c r="AA33"/>
      <c r="AB33"/>
      <c r="AC33"/>
      <c r="AD33" s="922"/>
      <c r="AE33" s="1079"/>
      <c r="AF33" s="100"/>
      <c r="AG33" s="100"/>
      <c r="AH33" s="100"/>
    </row>
    <row r="34" spans="1:34" s="72" customFormat="1" ht="15.75" customHeight="1" x14ac:dyDescent="0.3">
      <c r="A34" s="1080"/>
      <c r="B34" s="1081"/>
      <c r="C34" s="1082"/>
      <c r="D34" s="1083"/>
      <c r="E34" s="1122"/>
      <c r="F34" s="1122"/>
      <c r="G34" s="1122"/>
      <c r="H34" s="1122"/>
      <c r="I34" s="1122"/>
      <c r="J34" s="1122"/>
      <c r="K34" s="1122"/>
      <c r="L34" s="1122"/>
      <c r="M34" s="1122"/>
      <c r="N34" s="1122"/>
      <c r="O34" s="1120"/>
      <c r="P34" s="922"/>
      <c r="Q34" s="922"/>
      <c r="R34" s="922"/>
      <c r="S34" s="922"/>
      <c r="T34" s="922"/>
      <c r="U34" s="922"/>
      <c r="V34" s="922"/>
      <c r="W34" s="922"/>
      <c r="X34" s="922"/>
      <c r="Y34" s="922"/>
      <c r="Z34" s="922"/>
      <c r="AA34" s="922"/>
      <c r="AB34" s="922"/>
      <c r="AC34" s="922"/>
      <c r="AD34" s="922"/>
      <c r="AE34" s="1079"/>
      <c r="AF34" s="100"/>
      <c r="AG34" s="100"/>
      <c r="AH34" s="100"/>
    </row>
    <row r="35" spans="1:34" s="72" customFormat="1" x14ac:dyDescent="0.35">
      <c r="A35" s="1084"/>
      <c r="B35" s="1084"/>
      <c r="C35" s="1085"/>
      <c r="D35" s="1085"/>
      <c r="E35" s="1086"/>
      <c r="F35" s="1085"/>
      <c r="G35" s="1085"/>
      <c r="H35" s="938"/>
      <c r="I35" s="938"/>
      <c r="J35" s="938"/>
      <c r="K35" s="938"/>
      <c r="L35" s="938"/>
      <c r="M35" s="938"/>
      <c r="N35" s="938"/>
      <c r="O35" s="1084"/>
      <c r="P35" s="938"/>
      <c r="Q35" s="938"/>
      <c r="R35" s="938"/>
      <c r="S35" s="938"/>
      <c r="T35" s="938"/>
      <c r="U35" s="938"/>
      <c r="V35" s="938"/>
      <c r="W35" s="938"/>
      <c r="X35" s="938"/>
      <c r="Y35" s="938"/>
      <c r="Z35" s="938"/>
      <c r="AA35" s="938"/>
      <c r="AB35" s="938"/>
      <c r="AC35" s="938"/>
      <c r="AD35" s="938"/>
      <c r="AE35" s="96"/>
    </row>
    <row r="36" spans="1:34" s="72" customFormat="1" x14ac:dyDescent="0.35">
      <c r="C36" s="88"/>
      <c r="D36" s="88"/>
      <c r="E36" s="785"/>
      <c r="F36" s="88"/>
      <c r="G36" s="88"/>
      <c r="H36" s="938"/>
      <c r="I36" s="938"/>
      <c r="J36" s="938"/>
      <c r="K36" s="938"/>
      <c r="L36" s="938"/>
      <c r="M36" s="938"/>
      <c r="N36" s="938"/>
      <c r="P36" s="938"/>
      <c r="Q36" s="938"/>
      <c r="R36" s="938"/>
      <c r="S36" s="938"/>
      <c r="T36" s="938"/>
      <c r="U36" s="938"/>
      <c r="V36" s="938"/>
      <c r="W36" s="938"/>
      <c r="X36" s="96"/>
      <c r="Y36" s="96"/>
      <c r="Z36" s="96"/>
      <c r="AA36" s="96"/>
      <c r="AB36" s="96"/>
      <c r="AC36" s="96"/>
      <c r="AD36" s="96"/>
      <c r="AE36" s="96"/>
    </row>
    <row r="37" spans="1:34" s="72" customFormat="1" x14ac:dyDescent="0.35">
      <c r="B37" s="235" t="s">
        <v>425</v>
      </c>
      <c r="C37" s="88"/>
      <c r="D37" s="88"/>
      <c r="E37" s="88"/>
      <c r="F37" s="88"/>
      <c r="G37" s="88"/>
      <c r="H37" s="96"/>
      <c r="I37" s="96"/>
      <c r="J37" s="96"/>
      <c r="K37" s="96"/>
      <c r="L37" s="96"/>
      <c r="M37" s="96"/>
      <c r="N37" s="96"/>
      <c r="O37" s="96"/>
      <c r="P37" s="96"/>
      <c r="Q37" s="96"/>
      <c r="R37" s="96"/>
      <c r="S37" s="96"/>
      <c r="T37" s="96"/>
      <c r="U37" s="96"/>
      <c r="V37" s="96"/>
      <c r="W37" s="96"/>
      <c r="X37" s="96"/>
      <c r="Y37" s="96"/>
      <c r="Z37" s="96"/>
      <c r="AA37" s="96"/>
      <c r="AB37" s="96"/>
      <c r="AC37" s="96"/>
      <c r="AD37" s="96"/>
      <c r="AE37" s="96"/>
    </row>
    <row r="38" spans="1:34" s="72" customFormat="1" ht="27" customHeight="1" x14ac:dyDescent="0.35">
      <c r="B38" s="1346" t="s">
        <v>426</v>
      </c>
      <c r="C38" s="1347"/>
      <c r="D38" s="1348"/>
      <c r="E38" s="1348"/>
      <c r="F38" s="1348"/>
      <c r="G38" s="1348"/>
      <c r="H38" s="1348"/>
      <c r="I38" s="1348"/>
      <c r="J38" s="1348"/>
      <c r="K38" s="1348"/>
      <c r="L38" s="1348"/>
      <c r="M38" s="1348"/>
      <c r="N38" s="1348"/>
      <c r="O38" s="1348"/>
      <c r="P38" s="1348"/>
      <c r="Q38" s="1348"/>
      <c r="R38" s="1348"/>
      <c r="S38" s="1348"/>
      <c r="T38" s="1348"/>
      <c r="U38" s="1348"/>
      <c r="V38" s="1348"/>
      <c r="W38" s="1348"/>
      <c r="X38" s="1348"/>
      <c r="Y38" s="1348"/>
      <c r="Z38" s="1348"/>
      <c r="AA38" s="1348"/>
      <c r="AB38" s="1348"/>
      <c r="AC38" s="1349"/>
      <c r="AD38" s="397" t="s">
        <v>408</v>
      </c>
      <c r="AE38" s="396"/>
    </row>
    <row r="39" spans="1:34" s="72" customFormat="1" ht="17.649999999999999" customHeight="1" x14ac:dyDescent="0.3">
      <c r="B39" s="65" t="s">
        <v>427</v>
      </c>
      <c r="C39" s="88"/>
      <c r="D39" s="947"/>
      <c r="E39" s="694"/>
      <c r="F39" s="694"/>
      <c r="G39" s="694"/>
      <c r="H39" s="527"/>
      <c r="I39" s="527"/>
      <c r="J39" s="695">
        <f>SUM(J40:J42)</f>
        <v>692.8</v>
      </c>
      <c r="K39" s="695">
        <f t="shared" ref="K39:P39" si="13">SUM(K40:K42)</f>
        <v>39.200000000000003</v>
      </c>
      <c r="L39" s="695">
        <f t="shared" si="13"/>
        <v>29</v>
      </c>
      <c r="M39" s="695">
        <f t="shared" si="13"/>
        <v>27</v>
      </c>
      <c r="N39" s="695">
        <f t="shared" si="13"/>
        <v>18</v>
      </c>
      <c r="O39" s="695">
        <f t="shared" si="13"/>
        <v>0</v>
      </c>
      <c r="P39" s="948">
        <f t="shared" si="13"/>
        <v>0</v>
      </c>
      <c r="Q39" s="515"/>
      <c r="R39" s="515"/>
      <c r="S39" s="515"/>
      <c r="T39" s="515"/>
      <c r="U39" s="515"/>
      <c r="V39" s="515"/>
      <c r="W39" s="515"/>
      <c r="X39" s="515"/>
      <c r="Y39" s="515"/>
      <c r="Z39" s="515"/>
      <c r="AA39" s="515"/>
      <c r="AB39" s="515"/>
      <c r="AC39" s="127"/>
      <c r="AD39" s="508">
        <f t="shared" ref="AD39:AD53" si="14">SUM(I39:Y39)/4</f>
        <v>201.5</v>
      </c>
      <c r="AE39" s="1339" t="s">
        <v>428</v>
      </c>
      <c r="AF39" s="1311"/>
    </row>
    <row r="40" spans="1:34" s="72" customFormat="1" x14ac:dyDescent="0.3">
      <c r="B40" s="105" t="s">
        <v>163</v>
      </c>
      <c r="C40" s="88"/>
      <c r="D40" s="478"/>
      <c r="E40" s="943"/>
      <c r="F40" s="943"/>
      <c r="G40" s="943"/>
      <c r="H40" s="942"/>
      <c r="I40" s="942"/>
      <c r="J40" s="944">
        <f>C60*4</f>
        <v>600</v>
      </c>
      <c r="K40" s="944"/>
      <c r="L40" s="944"/>
      <c r="M40" s="944"/>
      <c r="N40" s="944"/>
      <c r="O40" s="944"/>
      <c r="P40" s="932"/>
      <c r="Q40" s="66"/>
      <c r="R40" s="66"/>
      <c r="S40" s="66"/>
      <c r="T40" s="66"/>
      <c r="U40" s="66"/>
      <c r="V40" s="66"/>
      <c r="W40" s="66"/>
      <c r="X40" s="66"/>
      <c r="Y40" s="66"/>
      <c r="Z40" s="66"/>
      <c r="AA40" s="66"/>
      <c r="AB40" s="66"/>
      <c r="AC40" s="67"/>
      <c r="AD40" s="508">
        <f t="shared" si="14"/>
        <v>150</v>
      </c>
      <c r="AE40" s="124"/>
    </row>
    <row r="41" spans="1:34" s="72" customFormat="1" ht="15" customHeight="1" x14ac:dyDescent="0.3">
      <c r="B41" s="105" t="s">
        <v>164</v>
      </c>
      <c r="C41" s="88"/>
      <c r="D41" s="478"/>
      <c r="E41" s="943"/>
      <c r="F41" s="943"/>
      <c r="G41" s="943"/>
      <c r="H41" s="942"/>
      <c r="I41" s="942"/>
      <c r="J41" s="944">
        <v>28.4</v>
      </c>
      <c r="K41" s="944">
        <v>15.8</v>
      </c>
      <c r="L41" s="944">
        <v>15.2</v>
      </c>
      <c r="M41" s="944">
        <v>10.9</v>
      </c>
      <c r="N41" s="944">
        <v>18</v>
      </c>
      <c r="O41" s="944"/>
      <c r="P41" s="932"/>
      <c r="Q41" s="66"/>
      <c r="R41" s="66"/>
      <c r="S41" s="66"/>
      <c r="T41" s="66"/>
      <c r="U41" s="66"/>
      <c r="V41" s="66"/>
      <c r="W41" s="66"/>
      <c r="X41" s="66"/>
      <c r="Y41" s="66"/>
      <c r="Z41" s="66"/>
      <c r="AA41" s="66"/>
      <c r="AB41" s="66"/>
      <c r="AC41" s="67"/>
      <c r="AD41" s="508">
        <f t="shared" si="14"/>
        <v>22.075000000000003</v>
      </c>
      <c r="AE41" s="124"/>
    </row>
    <row r="42" spans="1:34" s="72" customFormat="1" x14ac:dyDescent="0.3">
      <c r="B42" s="105" t="s">
        <v>166</v>
      </c>
      <c r="C42" s="88"/>
      <c r="D42" s="478"/>
      <c r="E42" s="943"/>
      <c r="F42" s="943"/>
      <c r="G42" s="943"/>
      <c r="H42" s="942"/>
      <c r="I42" s="942"/>
      <c r="J42" s="945">
        <v>64.400000000000006</v>
      </c>
      <c r="K42" s="945">
        <v>23.4</v>
      </c>
      <c r="L42" s="945">
        <v>13.8</v>
      </c>
      <c r="M42" s="945">
        <v>16.100000000000001</v>
      </c>
      <c r="N42" s="944"/>
      <c r="O42" s="944"/>
      <c r="P42" s="932"/>
      <c r="Q42" s="66"/>
      <c r="R42" s="66"/>
      <c r="S42" s="66"/>
      <c r="T42" s="66"/>
      <c r="U42" s="66"/>
      <c r="V42" s="66"/>
      <c r="W42" s="66"/>
      <c r="X42" s="66"/>
      <c r="Y42" s="66"/>
      <c r="Z42" s="66"/>
      <c r="AA42" s="66"/>
      <c r="AB42" s="66"/>
      <c r="AC42" s="67"/>
      <c r="AD42" s="508">
        <f t="shared" si="14"/>
        <v>29.425000000000004</v>
      </c>
      <c r="AE42" s="124"/>
    </row>
    <row r="43" spans="1:34" s="72" customFormat="1" ht="16.5" customHeight="1" x14ac:dyDescent="0.3">
      <c r="B43" s="65" t="s">
        <v>429</v>
      </c>
      <c r="C43" s="88"/>
      <c r="D43" s="478"/>
      <c r="E43" s="943"/>
      <c r="F43" s="943"/>
      <c r="G43" s="943"/>
      <c r="H43" s="942"/>
      <c r="I43" s="942"/>
      <c r="J43" s="942"/>
      <c r="K43" s="942"/>
      <c r="L43" s="942"/>
      <c r="M43" s="944">
        <f>SUM(M44:M48)</f>
        <v>43</v>
      </c>
      <c r="N43" s="944">
        <f t="shared" ref="N43:AC43" si="15">SUM(N44:N48)</f>
        <v>70</v>
      </c>
      <c r="O43" s="944">
        <f t="shared" si="15"/>
        <v>59.999999999999964</v>
      </c>
      <c r="P43" s="932">
        <f t="shared" si="15"/>
        <v>50</v>
      </c>
      <c r="Q43" s="66">
        <f t="shared" si="15"/>
        <v>44.999999999999964</v>
      </c>
      <c r="R43" s="66">
        <f t="shared" si="15"/>
        <v>44.999999999999964</v>
      </c>
      <c r="S43" s="66">
        <f t="shared" si="15"/>
        <v>44.999999999999964</v>
      </c>
      <c r="T43" s="66">
        <f t="shared" si="15"/>
        <v>44.999999999999964</v>
      </c>
      <c r="U43" s="66">
        <f t="shared" si="15"/>
        <v>44.999999999999964</v>
      </c>
      <c r="V43" s="66">
        <f t="shared" si="15"/>
        <v>44.999999999999964</v>
      </c>
      <c r="W43" s="66">
        <f t="shared" si="15"/>
        <v>44.999999999999964</v>
      </c>
      <c r="X43" s="66">
        <f t="shared" si="15"/>
        <v>44.999999999999964</v>
      </c>
      <c r="Y43" s="66">
        <f t="shared" si="15"/>
        <v>19</v>
      </c>
      <c r="Z43" s="66">
        <f t="shared" si="15"/>
        <v>0</v>
      </c>
      <c r="AA43" s="66">
        <f t="shared" si="15"/>
        <v>0</v>
      </c>
      <c r="AB43" s="66">
        <f t="shared" si="15"/>
        <v>0</v>
      </c>
      <c r="AC43" s="67">
        <f t="shared" si="15"/>
        <v>0</v>
      </c>
      <c r="AD43" s="508">
        <f t="shared" si="14"/>
        <v>150.49999999999991</v>
      </c>
      <c r="AE43" s="1339" t="s">
        <v>430</v>
      </c>
      <c r="AF43" s="1311"/>
    </row>
    <row r="44" spans="1:34" s="72" customFormat="1" x14ac:dyDescent="0.3">
      <c r="B44" s="105" t="s">
        <v>416</v>
      </c>
      <c r="C44" s="88"/>
      <c r="D44" s="478"/>
      <c r="E44" s="943"/>
      <c r="F44" s="943"/>
      <c r="G44" s="943"/>
      <c r="H44" s="942"/>
      <c r="I44" s="942"/>
      <c r="J44" s="942"/>
      <c r="K44" s="942"/>
      <c r="L44" s="942"/>
      <c r="M44" s="944">
        <f>C63/12*4</f>
        <v>9.6666666666666661</v>
      </c>
      <c r="N44" s="944">
        <f>M44</f>
        <v>9.6666666666666661</v>
      </c>
      <c r="O44" s="944">
        <f t="shared" ref="O44:X44" si="16">N44</f>
        <v>9.6666666666666661</v>
      </c>
      <c r="P44" s="932">
        <f t="shared" si="16"/>
        <v>9.6666666666666661</v>
      </c>
      <c r="Q44" s="66">
        <f t="shared" si="16"/>
        <v>9.6666666666666661</v>
      </c>
      <c r="R44" s="66">
        <f t="shared" si="16"/>
        <v>9.6666666666666661</v>
      </c>
      <c r="S44" s="66">
        <f t="shared" si="16"/>
        <v>9.6666666666666661</v>
      </c>
      <c r="T44" s="66">
        <f t="shared" si="16"/>
        <v>9.6666666666666661</v>
      </c>
      <c r="U44" s="66">
        <f t="shared" si="16"/>
        <v>9.6666666666666661</v>
      </c>
      <c r="V44" s="66">
        <f t="shared" si="16"/>
        <v>9.6666666666666661</v>
      </c>
      <c r="W44" s="66">
        <f t="shared" si="16"/>
        <v>9.6666666666666661</v>
      </c>
      <c r="X44" s="66">
        <f t="shared" si="16"/>
        <v>9.6666666666666661</v>
      </c>
      <c r="Y44" s="353"/>
      <c r="Z44" s="353"/>
      <c r="AA44" s="353"/>
      <c r="AB44" s="353"/>
      <c r="AC44" s="69"/>
      <c r="AD44" s="508">
        <f t="shared" si="14"/>
        <v>29.000000000000004</v>
      </c>
      <c r="AE44" s="1339"/>
      <c r="AF44" s="1311"/>
    </row>
    <row r="45" spans="1:34" s="72" customFormat="1" ht="42" x14ac:dyDescent="0.3">
      <c r="B45" s="105" t="s">
        <v>164</v>
      </c>
      <c r="C45" s="88"/>
      <c r="D45" s="478"/>
      <c r="E45" s="943"/>
      <c r="F45" s="943"/>
      <c r="G45" s="943"/>
      <c r="H45" s="942"/>
      <c r="I45" s="942"/>
      <c r="J45" s="942"/>
      <c r="K45" s="942"/>
      <c r="L45" s="942"/>
      <c r="M45" s="946">
        <f>C74/12*4 - 7</f>
        <v>20.333333333333332</v>
      </c>
      <c r="N45" s="946">
        <f>C74/12*4 + 20</f>
        <v>47.333333333333329</v>
      </c>
      <c r="O45" s="946">
        <v>37.3333333333333</v>
      </c>
      <c r="P45" s="949">
        <v>27.333333333333332</v>
      </c>
      <c r="Q45" s="70">
        <v>22.3333333333333</v>
      </c>
      <c r="R45" s="70">
        <v>22.3333333333333</v>
      </c>
      <c r="S45" s="70">
        <v>22.3333333333333</v>
      </c>
      <c r="T45" s="70">
        <v>22.3333333333333</v>
      </c>
      <c r="U45" s="70">
        <v>22.3333333333333</v>
      </c>
      <c r="V45" s="70">
        <v>22.3333333333333</v>
      </c>
      <c r="W45" s="70">
        <v>22.3333333333333</v>
      </c>
      <c r="X45" s="70">
        <v>22.3333333333333</v>
      </c>
      <c r="Y45" s="70">
        <v>19</v>
      </c>
      <c r="Z45" s="70"/>
      <c r="AA45" s="70"/>
      <c r="AB45" s="70"/>
      <c r="AC45" s="71"/>
      <c r="AD45" s="508">
        <f>SUM(I45:Y45)/4</f>
        <v>82.499999999999943</v>
      </c>
      <c r="AE45" s="81" t="s">
        <v>431</v>
      </c>
    </row>
    <row r="46" spans="1:34" s="72" customFormat="1" x14ac:dyDescent="0.3">
      <c r="B46" s="105" t="s">
        <v>166</v>
      </c>
      <c r="C46" s="88"/>
      <c r="D46" s="478"/>
      <c r="E46" s="943"/>
      <c r="F46" s="943"/>
      <c r="G46" s="943"/>
      <c r="H46" s="942"/>
      <c r="I46" s="942"/>
      <c r="J46" s="942"/>
      <c r="K46" s="942"/>
      <c r="L46" s="942"/>
      <c r="M46" s="944">
        <f>C75/12*4</f>
        <v>1</v>
      </c>
      <c r="N46" s="944">
        <f>C75/12*4</f>
        <v>1</v>
      </c>
      <c r="O46" s="944">
        <f t="shared" ref="O46:X46" si="17">$C$75/12*4</f>
        <v>1</v>
      </c>
      <c r="P46" s="932">
        <f t="shared" si="17"/>
        <v>1</v>
      </c>
      <c r="Q46" s="66">
        <f t="shared" si="17"/>
        <v>1</v>
      </c>
      <c r="R46" s="66">
        <f t="shared" si="17"/>
        <v>1</v>
      </c>
      <c r="S46" s="66">
        <f t="shared" si="17"/>
        <v>1</v>
      </c>
      <c r="T46" s="66">
        <f t="shared" si="17"/>
        <v>1</v>
      </c>
      <c r="U46" s="66">
        <f t="shared" si="17"/>
        <v>1</v>
      </c>
      <c r="V46" s="66">
        <f t="shared" si="17"/>
        <v>1</v>
      </c>
      <c r="W46" s="66">
        <f t="shared" si="17"/>
        <v>1</v>
      </c>
      <c r="X46" s="66">
        <f t="shared" si="17"/>
        <v>1</v>
      </c>
      <c r="Y46" s="353"/>
      <c r="Z46" s="353"/>
      <c r="AA46" s="353"/>
      <c r="AB46" s="353"/>
      <c r="AC46" s="69"/>
      <c r="AD46" s="508">
        <f t="shared" si="14"/>
        <v>3</v>
      </c>
      <c r="AE46" s="99"/>
    </row>
    <row r="47" spans="1:34" s="72" customFormat="1" ht="13.15" customHeight="1" x14ac:dyDescent="0.3">
      <c r="B47" s="105" t="s">
        <v>432</v>
      </c>
      <c r="C47" s="88"/>
      <c r="D47" s="478"/>
      <c r="E47" s="943"/>
      <c r="F47" s="943"/>
      <c r="G47" s="943"/>
      <c r="H47" s="942"/>
      <c r="I47" s="942"/>
      <c r="J47" s="942"/>
      <c r="K47" s="942"/>
      <c r="L47" s="942"/>
      <c r="M47" s="944">
        <f t="shared" ref="M47:X47" si="18">$C$76/12*4</f>
        <v>11.333333333333334</v>
      </c>
      <c r="N47" s="944">
        <f t="shared" si="18"/>
        <v>11.333333333333334</v>
      </c>
      <c r="O47" s="944">
        <f t="shared" si="18"/>
        <v>11.333333333333334</v>
      </c>
      <c r="P47" s="932">
        <f t="shared" si="18"/>
        <v>11.333333333333334</v>
      </c>
      <c r="Q47" s="66">
        <f t="shared" si="18"/>
        <v>11.333333333333334</v>
      </c>
      <c r="R47" s="66">
        <f t="shared" si="18"/>
        <v>11.333333333333334</v>
      </c>
      <c r="S47" s="66">
        <f t="shared" si="18"/>
        <v>11.333333333333334</v>
      </c>
      <c r="T47" s="66">
        <f t="shared" si="18"/>
        <v>11.333333333333334</v>
      </c>
      <c r="U47" s="66">
        <f t="shared" si="18"/>
        <v>11.333333333333334</v>
      </c>
      <c r="V47" s="66">
        <f t="shared" si="18"/>
        <v>11.333333333333334</v>
      </c>
      <c r="W47" s="66">
        <f t="shared" si="18"/>
        <v>11.333333333333334</v>
      </c>
      <c r="X47" s="66">
        <f t="shared" si="18"/>
        <v>11.333333333333334</v>
      </c>
      <c r="Y47" s="353"/>
      <c r="Z47" s="353"/>
      <c r="AA47" s="353"/>
      <c r="AB47" s="353"/>
      <c r="AC47" s="69"/>
      <c r="AD47" s="508">
        <f t="shared" si="14"/>
        <v>33.999999999999993</v>
      </c>
      <c r="AE47" s="99"/>
    </row>
    <row r="48" spans="1:34" s="72" customFormat="1" x14ac:dyDescent="0.3">
      <c r="B48" s="105" t="s">
        <v>433</v>
      </c>
      <c r="C48" s="88"/>
      <c r="D48" s="478"/>
      <c r="E48" s="943"/>
      <c r="F48" s="943"/>
      <c r="G48" s="943"/>
      <c r="H48" s="942"/>
      <c r="I48" s="942"/>
      <c r="J48" s="942"/>
      <c r="K48" s="942"/>
      <c r="L48" s="942"/>
      <c r="M48" s="944">
        <f t="shared" ref="M48:X48" si="19">$C$77/12*4</f>
        <v>0.66666666666666663</v>
      </c>
      <c r="N48" s="944">
        <f t="shared" si="19"/>
        <v>0.66666666666666663</v>
      </c>
      <c r="O48" s="944">
        <f t="shared" si="19"/>
        <v>0.66666666666666663</v>
      </c>
      <c r="P48" s="932">
        <f t="shared" si="19"/>
        <v>0.66666666666666663</v>
      </c>
      <c r="Q48" s="66">
        <f t="shared" si="19"/>
        <v>0.66666666666666663</v>
      </c>
      <c r="R48" s="66">
        <f t="shared" si="19"/>
        <v>0.66666666666666663</v>
      </c>
      <c r="S48" s="66">
        <f t="shared" si="19"/>
        <v>0.66666666666666663</v>
      </c>
      <c r="T48" s="66">
        <f t="shared" si="19"/>
        <v>0.66666666666666663</v>
      </c>
      <c r="U48" s="66">
        <f t="shared" si="19"/>
        <v>0.66666666666666663</v>
      </c>
      <c r="V48" s="66">
        <f t="shared" si="19"/>
        <v>0.66666666666666663</v>
      </c>
      <c r="W48" s="66">
        <f t="shared" si="19"/>
        <v>0.66666666666666663</v>
      </c>
      <c r="X48" s="66">
        <f t="shared" si="19"/>
        <v>0.66666666666666663</v>
      </c>
      <c r="Y48" s="353"/>
      <c r="Z48" s="353"/>
      <c r="AA48" s="353"/>
      <c r="AB48" s="353"/>
      <c r="AC48" s="69"/>
      <c r="AD48" s="508">
        <f t="shared" si="14"/>
        <v>2</v>
      </c>
      <c r="AE48" s="99"/>
    </row>
    <row r="49" spans="1:88" s="72" customFormat="1" ht="44.25" customHeight="1" x14ac:dyDescent="0.3">
      <c r="B49" s="65" t="s">
        <v>434</v>
      </c>
      <c r="C49" s="88"/>
      <c r="D49" s="478"/>
      <c r="E49" s="943"/>
      <c r="F49" s="943"/>
      <c r="G49" s="943"/>
      <c r="H49" s="942"/>
      <c r="I49" s="942"/>
      <c r="J49" s="942"/>
      <c r="K49" s="942"/>
      <c r="L49" s="942"/>
      <c r="M49" s="944"/>
      <c r="N49" s="944">
        <f t="shared" ref="N49:AC49" si="20">SUM(N50:N54)</f>
        <v>954.03959999999972</v>
      </c>
      <c r="O49" s="944">
        <f t="shared" si="20"/>
        <v>85.500399999999999</v>
      </c>
      <c r="P49" s="932">
        <f t="shared" si="20"/>
        <v>83.481000000000009</v>
      </c>
      <c r="Q49" s="66">
        <f t="shared" si="20"/>
        <v>662.76099999999997</v>
      </c>
      <c r="R49" s="66">
        <f t="shared" si="20"/>
        <v>83.481000000000009</v>
      </c>
      <c r="S49" s="66">
        <f t="shared" si="20"/>
        <v>83.481000000000009</v>
      </c>
      <c r="T49" s="66">
        <f t="shared" si="20"/>
        <v>62.811999999999998</v>
      </c>
      <c r="U49" s="66">
        <f t="shared" si="20"/>
        <v>62.811999999999998</v>
      </c>
      <c r="V49" s="66">
        <f t="shared" si="20"/>
        <v>62.811999999999998</v>
      </c>
      <c r="W49" s="66">
        <f t="shared" si="20"/>
        <v>62.811999999999998</v>
      </c>
      <c r="X49" s="66">
        <f t="shared" si="20"/>
        <v>41.554000000000002</v>
      </c>
      <c r="Y49" s="66">
        <f t="shared" si="20"/>
        <v>41.554000000000002</v>
      </c>
      <c r="Z49" s="66">
        <f t="shared" si="20"/>
        <v>41.554000000000002</v>
      </c>
      <c r="AA49" s="66">
        <f t="shared" si="20"/>
        <v>41.554000000000002</v>
      </c>
      <c r="AB49" s="66">
        <f t="shared" si="20"/>
        <v>27.678000000000001</v>
      </c>
      <c r="AC49" s="67">
        <f t="shared" si="20"/>
        <v>27.678000000000001</v>
      </c>
      <c r="AD49" s="508">
        <f t="shared" si="14"/>
        <v>571.77499999999986</v>
      </c>
      <c r="AE49" s="1339" t="s">
        <v>435</v>
      </c>
      <c r="AF49" s="1311"/>
    </row>
    <row r="50" spans="1:88" s="72" customFormat="1" ht="17.649999999999999" customHeight="1" x14ac:dyDescent="0.3">
      <c r="B50" s="105" t="s">
        <v>421</v>
      </c>
      <c r="C50" s="88"/>
      <c r="D50" s="478"/>
      <c r="E50" s="943"/>
      <c r="F50" s="943"/>
      <c r="G50" s="943"/>
      <c r="H50" s="942"/>
      <c r="I50" s="942"/>
      <c r="J50" s="942"/>
      <c r="K50" s="942"/>
      <c r="L50" s="942"/>
      <c r="M50" s="944"/>
      <c r="N50" s="944">
        <f>0.6*C79*4</f>
        <v>868.91999999999985</v>
      </c>
      <c r="O50" s="944"/>
      <c r="P50" s="932"/>
      <c r="Q50" s="66">
        <f>0.4*C79*4</f>
        <v>579.28</v>
      </c>
      <c r="R50" s="66"/>
      <c r="S50" s="66"/>
      <c r="T50" s="66"/>
      <c r="U50" s="66"/>
      <c r="V50" s="66"/>
      <c r="W50" s="66"/>
      <c r="X50" s="66"/>
      <c r="Y50" s="66"/>
      <c r="Z50" s="66"/>
      <c r="AA50" s="66"/>
      <c r="AB50" s="66"/>
      <c r="AC50" s="67"/>
      <c r="AD50" s="508">
        <f t="shared" si="14"/>
        <v>362.04999999999995</v>
      </c>
      <c r="AE50" s="120" t="s">
        <v>436</v>
      </c>
      <c r="AF50" s="120"/>
    </row>
    <row r="51" spans="1:88" s="72" customFormat="1" x14ac:dyDescent="0.3">
      <c r="B51" s="105" t="s">
        <v>164</v>
      </c>
      <c r="C51" s="88"/>
      <c r="D51" s="478"/>
      <c r="E51" s="943"/>
      <c r="F51" s="943"/>
      <c r="G51" s="943"/>
      <c r="H51" s="942"/>
      <c r="I51" s="942"/>
      <c r="J51" s="942"/>
      <c r="K51" s="942"/>
      <c r="L51" s="942"/>
      <c r="M51" s="944"/>
      <c r="N51" s="944">
        <f>'ARP Quarterly'!D9</f>
        <v>24.693999999999999</v>
      </c>
      <c r="O51" s="944">
        <f>'ARP Quarterly'!E9</f>
        <v>24.693999999999999</v>
      </c>
      <c r="P51" s="932">
        <f>'ARP Quarterly'!F9</f>
        <v>46.79</v>
      </c>
      <c r="Q51" s="66">
        <f>'ARP Quarterly'!G9</f>
        <v>46.79</v>
      </c>
      <c r="R51" s="66">
        <f>'ARP Quarterly'!H9</f>
        <v>46.79</v>
      </c>
      <c r="S51" s="66">
        <f>'ARP Quarterly'!I9</f>
        <v>46.79</v>
      </c>
      <c r="T51" s="66">
        <f>'ARP Quarterly'!J9</f>
        <v>38.595999999999997</v>
      </c>
      <c r="U51" s="66">
        <f>'ARP Quarterly'!K9</f>
        <v>38.595999999999997</v>
      </c>
      <c r="V51" s="66">
        <f>'ARP Quarterly'!L9</f>
        <v>38.595999999999997</v>
      </c>
      <c r="W51" s="66">
        <f>'ARP Quarterly'!M9</f>
        <v>38.595999999999997</v>
      </c>
      <c r="X51" s="66">
        <f>'ARP Quarterly'!N9</f>
        <v>31.911000000000001</v>
      </c>
      <c r="Y51" s="66">
        <f>'ARP Quarterly'!O9</f>
        <v>31.911000000000001</v>
      </c>
      <c r="Z51" s="66">
        <f>'ARP Quarterly'!P9</f>
        <v>31.911000000000001</v>
      </c>
      <c r="AA51" s="66">
        <f>'ARP Quarterly'!Q9</f>
        <v>31.911000000000001</v>
      </c>
      <c r="AB51" s="66">
        <f>'ARP Quarterly'!R9</f>
        <v>23.099</v>
      </c>
      <c r="AC51" s="67">
        <f>'ARP Quarterly'!S9</f>
        <v>23.099</v>
      </c>
      <c r="AD51" s="508">
        <f t="shared" si="14"/>
        <v>113.68849999999999</v>
      </c>
      <c r="AE51" s="124"/>
    </row>
    <row r="52" spans="1:88" s="72" customFormat="1" x14ac:dyDescent="0.3">
      <c r="B52" s="105" t="s">
        <v>166</v>
      </c>
      <c r="C52" s="88"/>
      <c r="D52" s="478"/>
      <c r="E52" s="943"/>
      <c r="F52" s="943"/>
      <c r="G52" s="943"/>
      <c r="H52" s="942"/>
      <c r="I52" s="942"/>
      <c r="J52" s="942"/>
      <c r="K52" s="942"/>
      <c r="L52" s="942"/>
      <c r="M52" s="944"/>
      <c r="N52" s="944">
        <f>'ARP Quarterly'!D14</f>
        <v>1.1696</v>
      </c>
      <c r="O52" s="944">
        <f>'ARP Quarterly'!E14</f>
        <v>1.5503999999999998</v>
      </c>
      <c r="P52" s="932">
        <f>'ARP Quarterly'!F14</f>
        <v>1.02</v>
      </c>
      <c r="Q52" s="66">
        <f>'ARP Quarterly'!G14</f>
        <v>1.02</v>
      </c>
      <c r="R52" s="66">
        <f>'ARP Quarterly'!H14</f>
        <v>1.02</v>
      </c>
      <c r="S52" s="66">
        <f>'ARP Quarterly'!I14</f>
        <v>1.02</v>
      </c>
      <c r="T52" s="66">
        <f>'ARP Quarterly'!J14</f>
        <v>0</v>
      </c>
      <c r="U52" s="66">
        <f>'ARP Quarterly'!K14</f>
        <v>0</v>
      </c>
      <c r="V52" s="66">
        <f>'ARP Quarterly'!L14</f>
        <v>0</v>
      </c>
      <c r="W52" s="66">
        <f>'ARP Quarterly'!M14</f>
        <v>0</v>
      </c>
      <c r="X52" s="66">
        <f>'ARP Quarterly'!N14</f>
        <v>0</v>
      </c>
      <c r="Y52" s="66">
        <f>'ARP Quarterly'!O14</f>
        <v>0</v>
      </c>
      <c r="Z52" s="66">
        <f>'ARP Quarterly'!P14</f>
        <v>0</v>
      </c>
      <c r="AA52" s="66">
        <f>'ARP Quarterly'!Q14</f>
        <v>0</v>
      </c>
      <c r="AB52" s="66">
        <f>'ARP Quarterly'!R14</f>
        <v>0</v>
      </c>
      <c r="AC52" s="67">
        <f>'ARP Quarterly'!S14</f>
        <v>0</v>
      </c>
      <c r="AD52" s="508">
        <f t="shared" si="14"/>
        <v>1.6999999999999997</v>
      </c>
      <c r="AE52" s="124"/>
    </row>
    <row r="53" spans="1:88" s="72" customFormat="1" x14ac:dyDescent="0.3">
      <c r="B53" s="105" t="s">
        <v>437</v>
      </c>
      <c r="C53" s="88"/>
      <c r="D53" s="478"/>
      <c r="E53" s="943"/>
      <c r="F53" s="943"/>
      <c r="G53" s="943"/>
      <c r="H53" s="942"/>
      <c r="I53" s="942"/>
      <c r="J53" s="942"/>
      <c r="K53" s="942"/>
      <c r="L53" s="942"/>
      <c r="M53" s="944"/>
      <c r="N53" s="944">
        <f>'ARP Quarterly'!D10</f>
        <v>59.256</v>
      </c>
      <c r="O53" s="944">
        <f>'ARP Quarterly'!E10</f>
        <v>59.256</v>
      </c>
      <c r="P53" s="932">
        <f>'ARP Quarterly'!F10</f>
        <v>35.671000000000006</v>
      </c>
      <c r="Q53" s="66">
        <f>'ARP Quarterly'!G10</f>
        <v>35.671000000000006</v>
      </c>
      <c r="R53" s="66">
        <f>'ARP Quarterly'!H10</f>
        <v>35.671000000000006</v>
      </c>
      <c r="S53" s="66">
        <f>'ARP Quarterly'!I10</f>
        <v>35.671000000000006</v>
      </c>
      <c r="T53" s="66">
        <f>'ARP Quarterly'!J10</f>
        <v>24.216000000000001</v>
      </c>
      <c r="U53" s="66">
        <f>'ARP Quarterly'!K10</f>
        <v>24.216000000000001</v>
      </c>
      <c r="V53" s="66">
        <f>'ARP Quarterly'!L10</f>
        <v>24.216000000000001</v>
      </c>
      <c r="W53" s="66">
        <f>'ARP Quarterly'!M10</f>
        <v>24.216000000000001</v>
      </c>
      <c r="X53" s="66">
        <f>'ARP Quarterly'!N10</f>
        <v>9.6430000000000007</v>
      </c>
      <c r="Y53" s="66">
        <f>'ARP Quarterly'!O10</f>
        <v>9.6430000000000007</v>
      </c>
      <c r="Z53" s="66">
        <f>'ARP Quarterly'!P10</f>
        <v>9.6430000000000007</v>
      </c>
      <c r="AA53" s="66">
        <f>'ARP Quarterly'!Q10</f>
        <v>9.6430000000000007</v>
      </c>
      <c r="AB53" s="66">
        <f>'ARP Quarterly'!R10</f>
        <v>4.5789999999999997</v>
      </c>
      <c r="AC53" s="67">
        <f>'ARP Quarterly'!S10</f>
        <v>4.5789999999999997</v>
      </c>
      <c r="AD53" s="508">
        <f t="shared" si="14"/>
        <v>94.336500000000001</v>
      </c>
      <c r="AE53" s="124"/>
    </row>
    <row r="54" spans="1:88" s="102" customFormat="1" x14ac:dyDescent="0.3">
      <c r="A54" s="72"/>
      <c r="B54" s="114"/>
      <c r="C54" s="243"/>
      <c r="D54" s="480"/>
      <c r="E54" s="243"/>
      <c r="F54" s="243"/>
      <c r="G54" s="243"/>
      <c r="H54" s="505"/>
      <c r="I54" s="505"/>
      <c r="J54" s="505"/>
      <c r="K54" s="505"/>
      <c r="L54" s="505"/>
      <c r="M54" s="507"/>
      <c r="N54" s="507"/>
      <c r="O54" s="507"/>
      <c r="P54" s="950"/>
      <c r="Q54" s="122"/>
      <c r="R54" s="122"/>
      <c r="S54" s="122"/>
      <c r="T54" s="122"/>
      <c r="U54" s="122"/>
      <c r="V54" s="122"/>
      <c r="W54" s="122"/>
      <c r="X54" s="122"/>
      <c r="Y54" s="122"/>
      <c r="Z54" s="122"/>
      <c r="AA54" s="122"/>
      <c r="AB54" s="122"/>
      <c r="AC54" s="123"/>
      <c r="AD54" s="506"/>
      <c r="AE54" s="124"/>
      <c r="AF54" s="72"/>
      <c r="AG54" s="72"/>
      <c r="AH54" s="72"/>
      <c r="AI54" s="72"/>
      <c r="AJ54" s="72"/>
      <c r="AK54" s="72"/>
      <c r="AL54" s="72"/>
      <c r="AM54" s="72"/>
      <c r="AN54" s="72"/>
      <c r="AO54" s="72"/>
      <c r="AP54" s="72"/>
      <c r="AQ54" s="72"/>
      <c r="AR54" s="72"/>
      <c r="AS54" s="72"/>
      <c r="AT54" s="72"/>
      <c r="AU54" s="72"/>
      <c r="AV54" s="72"/>
      <c r="AW54" s="72"/>
      <c r="AX54" s="72"/>
      <c r="AY54" s="72"/>
      <c r="AZ54" s="72"/>
      <c r="BA54" s="72"/>
      <c r="BB54" s="72"/>
      <c r="BC54" s="72"/>
      <c r="BD54" s="72"/>
      <c r="BE54" s="72"/>
      <c r="BF54" s="72"/>
      <c r="BG54" s="72"/>
      <c r="BH54" s="72"/>
      <c r="BI54" s="72"/>
      <c r="BJ54" s="72"/>
      <c r="BK54" s="72"/>
      <c r="BL54" s="72"/>
      <c r="BM54" s="72"/>
      <c r="BN54" s="72"/>
      <c r="BO54" s="72"/>
      <c r="BP54" s="72"/>
      <c r="BQ54" s="72"/>
      <c r="BR54" s="72"/>
      <c r="BS54" s="72"/>
      <c r="BT54" s="72"/>
      <c r="BU54" s="72"/>
      <c r="BV54" s="72"/>
      <c r="BW54" s="72"/>
      <c r="BX54" s="72"/>
      <c r="BY54" s="72"/>
      <c r="BZ54" s="72"/>
      <c r="CA54" s="72"/>
      <c r="CB54" s="72"/>
      <c r="CC54" s="72"/>
      <c r="CD54" s="72"/>
      <c r="CE54" s="72"/>
      <c r="CF54" s="72"/>
      <c r="CG54" s="72"/>
      <c r="CH54" s="72"/>
      <c r="CI54" s="72"/>
      <c r="CJ54" s="72"/>
    </row>
    <row r="55" spans="1:88" s="72" customFormat="1" x14ac:dyDescent="0.35">
      <c r="B55" s="103"/>
      <c r="C55" s="88"/>
      <c r="D55" s="88"/>
      <c r="E55" s="88"/>
      <c r="F55" s="88"/>
      <c r="G55" s="88"/>
      <c r="H55" s="96"/>
      <c r="I55" s="96"/>
      <c r="J55" s="96"/>
      <c r="K55" s="96"/>
      <c r="L55" s="96"/>
      <c r="M55" s="96"/>
      <c r="N55" s="96"/>
      <c r="O55" s="96"/>
      <c r="P55" s="96"/>
      <c r="Q55" s="96"/>
      <c r="R55" s="96"/>
      <c r="S55" s="96"/>
      <c r="T55" s="96"/>
      <c r="U55" s="96"/>
      <c r="V55" s="96"/>
      <c r="W55" s="96"/>
      <c r="X55" s="96"/>
      <c r="Y55" s="96"/>
      <c r="Z55" s="96"/>
      <c r="AA55" s="96"/>
      <c r="AB55" s="96"/>
      <c r="AC55" s="96"/>
      <c r="AD55" s="96"/>
      <c r="AE55" s="96"/>
    </row>
    <row r="56" spans="1:88" s="72" customFormat="1" x14ac:dyDescent="0.35">
      <c r="B56" s="103"/>
      <c r="C56" s="88"/>
      <c r="D56" s="88"/>
      <c r="E56" s="88"/>
      <c r="F56" s="88"/>
      <c r="G56" s="88"/>
      <c r="H56" s="96"/>
      <c r="I56" s="96"/>
      <c r="J56" s="96"/>
      <c r="K56" s="96"/>
      <c r="L56" s="96"/>
      <c r="M56" s="96"/>
      <c r="N56" s="96"/>
      <c r="O56" s="96"/>
      <c r="P56" s="96"/>
      <c r="Q56" s="96"/>
      <c r="R56" s="96"/>
      <c r="S56" s="96"/>
      <c r="T56" s="96"/>
      <c r="U56" s="96"/>
      <c r="V56" s="96"/>
      <c r="W56" s="96"/>
      <c r="X56" s="96"/>
      <c r="Y56" s="96"/>
      <c r="Z56" s="96"/>
      <c r="AA56" s="96"/>
      <c r="AB56" s="96"/>
      <c r="AC56" s="96"/>
      <c r="AD56" s="96"/>
      <c r="AE56" s="96"/>
    </row>
    <row r="57" spans="1:88" s="32" customFormat="1" ht="17.649999999999999" customHeight="1" x14ac:dyDescent="0.3">
      <c r="B57" s="125" t="s">
        <v>438</v>
      </c>
      <c r="H57" s="68"/>
      <c r="I57" s="68"/>
      <c r="J57" s="68"/>
      <c r="K57" s="68"/>
      <c r="L57" s="68"/>
      <c r="M57" s="68"/>
      <c r="N57" s="99"/>
      <c r="O57" s="99"/>
      <c r="P57" s="99"/>
      <c r="Q57" s="99"/>
      <c r="R57" s="99"/>
      <c r="S57" s="99"/>
      <c r="T57" s="99"/>
      <c r="U57" s="99"/>
      <c r="V57" s="99"/>
      <c r="W57" s="99"/>
      <c r="X57" s="99"/>
      <c r="Y57" s="99"/>
      <c r="Z57" s="99"/>
      <c r="AA57" s="99"/>
      <c r="AB57" s="99"/>
      <c r="AC57" s="99"/>
      <c r="AD57" s="99"/>
      <c r="AE57" s="99"/>
    </row>
    <row r="58" spans="1:88" s="32" customFormat="1" ht="29.65" customHeight="1" x14ac:dyDescent="0.3">
      <c r="B58" s="728" t="s">
        <v>439</v>
      </c>
      <c r="C58" s="729" t="s">
        <v>440</v>
      </c>
      <c r="D58" s="730" t="s">
        <v>441</v>
      </c>
      <c r="E58" s="384" t="s">
        <v>442</v>
      </c>
      <c r="F58" s="68"/>
      <c r="G58" s="68"/>
      <c r="H58" s="68"/>
      <c r="I58" s="68"/>
      <c r="J58" s="99"/>
      <c r="K58" s="99"/>
      <c r="L58" s="99"/>
      <c r="M58" s="99"/>
      <c r="N58" s="99"/>
      <c r="O58" s="99"/>
      <c r="P58" s="99"/>
      <c r="Q58" s="99"/>
      <c r="R58" s="99"/>
      <c r="S58" s="99"/>
      <c r="T58" s="99"/>
      <c r="U58" s="99"/>
      <c r="V58" s="99"/>
      <c r="W58" s="99"/>
    </row>
    <row r="59" spans="1:88" s="32" customFormat="1" ht="18.75" customHeight="1" x14ac:dyDescent="0.3">
      <c r="B59" s="89" t="s">
        <v>443</v>
      </c>
      <c r="C59" s="118">
        <f>SUM(C60:C65)</f>
        <v>898.11599999999999</v>
      </c>
      <c r="D59" s="68">
        <f>SUM(D60:D64)</f>
        <v>203.64166666666668</v>
      </c>
      <c r="E59" s="40">
        <f>SUM(E60:E64)</f>
        <v>649.07733333333329</v>
      </c>
      <c r="F59" s="68"/>
      <c r="G59" s="68"/>
      <c r="H59" s="68"/>
      <c r="I59" s="68"/>
      <c r="J59" s="99"/>
      <c r="K59" s="99"/>
      <c r="L59" s="99"/>
      <c r="M59" s="99"/>
      <c r="N59" s="99"/>
      <c r="O59" s="99"/>
      <c r="P59" s="99"/>
      <c r="Q59" s="99"/>
      <c r="R59" s="99"/>
      <c r="S59" s="99"/>
      <c r="T59" s="99"/>
      <c r="U59" s="99"/>
      <c r="V59" s="99"/>
      <c r="W59" s="99"/>
    </row>
    <row r="60" spans="1:88" s="32" customFormat="1" x14ac:dyDescent="0.3">
      <c r="B60" s="86" t="s">
        <v>163</v>
      </c>
      <c r="C60" s="118">
        <f>C69</f>
        <v>150</v>
      </c>
      <c r="D60" s="68">
        <f>SUM(H12:M12)/4</f>
        <v>149.47499999999999</v>
      </c>
      <c r="E60" s="107">
        <f>C60-D60</f>
        <v>0.52500000000000568</v>
      </c>
      <c r="F60" s="68"/>
      <c r="G60" s="68"/>
      <c r="H60" s="68"/>
      <c r="I60" s="128"/>
      <c r="J60" s="128"/>
      <c r="K60" s="128"/>
      <c r="L60" s="128"/>
      <c r="M60" s="128"/>
      <c r="N60" s="128"/>
      <c r="O60" s="128"/>
      <c r="P60" s="128"/>
      <c r="Q60" s="99"/>
      <c r="R60" s="99"/>
      <c r="S60" s="99"/>
      <c r="T60" s="99"/>
      <c r="U60" s="99"/>
      <c r="V60" s="99"/>
      <c r="W60" s="99"/>
    </row>
    <row r="61" spans="1:88" s="32" customFormat="1" x14ac:dyDescent="0.3">
      <c r="B61" s="86" t="s">
        <v>164</v>
      </c>
      <c r="C61" s="98">
        <f>C70+C74+C80</f>
        <v>273.16899999999998</v>
      </c>
      <c r="D61" s="68">
        <f>SUM(H13:M13)/4</f>
        <v>22.075000000000003</v>
      </c>
      <c r="E61" s="107">
        <f>C61-D61</f>
        <v>251.09399999999999</v>
      </c>
      <c r="F61" s="68"/>
      <c r="G61" s="68"/>
      <c r="H61" s="68"/>
      <c r="I61" s="128"/>
      <c r="J61" s="128"/>
      <c r="K61" s="128"/>
      <c r="L61" s="128"/>
      <c r="M61" s="128"/>
      <c r="N61" s="128"/>
      <c r="O61" s="128"/>
      <c r="P61" s="128"/>
      <c r="Q61" s="99"/>
      <c r="R61" s="99"/>
      <c r="S61" s="99"/>
      <c r="T61" s="99"/>
      <c r="U61" s="99"/>
      <c r="V61" s="99"/>
      <c r="W61" s="99"/>
    </row>
    <row r="62" spans="1:88" s="32" customFormat="1" x14ac:dyDescent="0.3">
      <c r="B62" s="86" t="s">
        <v>166</v>
      </c>
      <c r="C62" s="116">
        <f>C71+C81+C75</f>
        <v>38.5</v>
      </c>
      <c r="D62" s="68">
        <f>SUM(H14:M14)/4</f>
        <v>29.675000000000004</v>
      </c>
      <c r="E62" s="107">
        <f>C62-D62</f>
        <v>8.8249999999999957</v>
      </c>
      <c r="F62" s="68"/>
      <c r="G62" s="68"/>
      <c r="H62" s="68"/>
      <c r="I62" s="128"/>
      <c r="J62" s="128"/>
      <c r="K62" s="128"/>
      <c r="L62" s="128"/>
      <c r="M62" s="128"/>
      <c r="N62" s="128"/>
      <c r="O62" s="128"/>
      <c r="P62" s="128"/>
      <c r="Q62" s="1338"/>
      <c r="R62" s="1338"/>
      <c r="S62" s="1338"/>
      <c r="T62" s="1338"/>
      <c r="U62" s="1338"/>
      <c r="V62" s="1338"/>
      <c r="W62" s="1338"/>
      <c r="X62" s="1338"/>
      <c r="Y62" s="1338"/>
      <c r="Z62" s="1338"/>
      <c r="AA62" s="1338"/>
      <c r="AB62" s="1338"/>
      <c r="AC62" s="1338"/>
      <c r="AD62" s="1338"/>
      <c r="AE62" s="1338"/>
      <c r="AF62" s="1338"/>
      <c r="AG62" s="1338"/>
      <c r="AH62" s="1338"/>
    </row>
    <row r="63" spans="1:88" s="32" customFormat="1" ht="17.25" customHeight="1" x14ac:dyDescent="0.3">
      <c r="B63" s="86" t="s">
        <v>444</v>
      </c>
      <c r="C63" s="116">
        <f>C73</f>
        <v>29</v>
      </c>
      <c r="D63" s="68">
        <f>SUM(H15:M15)/4</f>
        <v>2.4166666666666665</v>
      </c>
      <c r="E63" s="107">
        <f>C63-D63</f>
        <v>26.583333333333332</v>
      </c>
      <c r="F63" s="68"/>
      <c r="G63" s="68"/>
      <c r="H63" s="68"/>
      <c r="I63" s="128"/>
      <c r="J63" s="128"/>
      <c r="K63" s="128"/>
      <c r="L63" s="128"/>
      <c r="M63" s="128"/>
      <c r="N63" s="128"/>
      <c r="O63" s="128"/>
      <c r="P63" s="128"/>
      <c r="Q63" s="1310"/>
      <c r="R63" s="1310"/>
      <c r="S63" s="1310"/>
      <c r="T63" s="1310"/>
      <c r="U63" s="1310"/>
      <c r="V63" s="1310"/>
      <c r="W63" s="1310"/>
      <c r="X63" s="1310"/>
      <c r="Y63" s="1310"/>
      <c r="Z63" s="36"/>
      <c r="AA63" s="36"/>
      <c r="AB63" s="36"/>
      <c r="AC63" s="36"/>
      <c r="AD63" s="1310"/>
      <c r="AE63" s="1310"/>
      <c r="AF63" s="1310"/>
      <c r="AG63" s="1310"/>
      <c r="AH63" s="36"/>
    </row>
    <row r="64" spans="1:88" s="32" customFormat="1" ht="15.75" customHeight="1" x14ac:dyDescent="0.3">
      <c r="B64" s="86" t="s">
        <v>421</v>
      </c>
      <c r="C64" s="116">
        <f>C79</f>
        <v>362.04999999999995</v>
      </c>
      <c r="D64" s="68">
        <v>0</v>
      </c>
      <c r="E64" s="107">
        <f>C64-D64</f>
        <v>362.04999999999995</v>
      </c>
      <c r="F64" s="68"/>
      <c r="G64" s="68"/>
      <c r="H64" s="68"/>
      <c r="I64" s="128"/>
      <c r="J64" s="128"/>
      <c r="K64" s="128"/>
      <c r="L64" s="128"/>
      <c r="M64" s="128"/>
      <c r="N64" s="128"/>
      <c r="O64" s="128"/>
      <c r="P64" s="128"/>
      <c r="Q64" s="36"/>
      <c r="R64" s="36"/>
      <c r="S64" s="36"/>
      <c r="T64" s="36"/>
      <c r="U64" s="36"/>
      <c r="V64" s="36"/>
      <c r="W64" s="36"/>
      <c r="X64" s="36"/>
      <c r="Y64" s="36"/>
      <c r="Z64" s="36"/>
      <c r="AA64" s="36"/>
      <c r="AB64" s="36"/>
      <c r="AC64" s="36"/>
      <c r="AD64" s="36"/>
      <c r="AE64" s="36"/>
      <c r="AF64" s="36"/>
      <c r="AG64" s="36"/>
      <c r="AH64" s="36"/>
    </row>
    <row r="65" spans="1:23" s="32" customFormat="1" ht="15" customHeight="1" x14ac:dyDescent="0.3">
      <c r="B65" s="83" t="s">
        <v>445</v>
      </c>
      <c r="C65" s="118">
        <f>C82+C83+C76+C77</f>
        <v>45.396999999999998</v>
      </c>
      <c r="D65" s="68"/>
      <c r="E65" s="107"/>
      <c r="F65" s="68"/>
      <c r="G65" s="68"/>
      <c r="H65" s="68"/>
      <c r="I65" s="128"/>
      <c r="J65" s="128"/>
      <c r="K65" s="128"/>
      <c r="L65" s="128"/>
      <c r="M65" s="128"/>
      <c r="N65" s="128"/>
      <c r="O65" s="128"/>
      <c r="P65" s="128"/>
      <c r="Q65" s="99"/>
      <c r="R65" s="99"/>
      <c r="S65" s="99"/>
      <c r="T65" s="99"/>
      <c r="U65" s="99"/>
      <c r="V65" s="99"/>
      <c r="W65" s="99"/>
    </row>
    <row r="66" spans="1:23" s="32" customFormat="1" ht="5.25" customHeight="1" x14ac:dyDescent="0.3">
      <c r="B66" s="83"/>
      <c r="C66" s="118"/>
      <c r="D66" s="68"/>
      <c r="E66" s="107"/>
      <c r="F66" s="68"/>
      <c r="G66" s="68"/>
      <c r="H66" s="68"/>
      <c r="I66" s="128"/>
      <c r="J66" s="128"/>
      <c r="K66" s="128"/>
      <c r="L66" s="128"/>
      <c r="M66" s="128"/>
      <c r="N66" s="128"/>
      <c r="O66" s="128"/>
      <c r="P66" s="128"/>
      <c r="Q66" s="99"/>
      <c r="R66" s="99"/>
      <c r="S66" s="99"/>
      <c r="T66" s="99"/>
      <c r="U66" s="99"/>
      <c r="V66" s="99"/>
      <c r="W66" s="99"/>
    </row>
    <row r="67" spans="1:23" s="32" customFormat="1" ht="18.75" customHeight="1" x14ac:dyDescent="0.3">
      <c r="B67" s="89" t="s">
        <v>446</v>
      </c>
      <c r="C67" s="116">
        <f>C68+C72+C78</f>
        <v>898.11599999999999</v>
      </c>
      <c r="D67" s="68"/>
      <c r="E67" s="107"/>
      <c r="F67" s="68"/>
      <c r="G67" s="68"/>
      <c r="H67" s="68"/>
      <c r="I67" s="128"/>
      <c r="J67" s="128"/>
      <c r="K67" s="128"/>
      <c r="L67" s="128"/>
      <c r="M67" s="128"/>
      <c r="N67" s="128"/>
      <c r="O67" s="128"/>
      <c r="P67" s="128"/>
      <c r="Q67" s="99"/>
      <c r="R67" s="99"/>
      <c r="S67" s="99"/>
      <c r="T67" s="99"/>
      <c r="U67" s="99"/>
      <c r="V67" s="99"/>
      <c r="W67" s="99"/>
    </row>
    <row r="68" spans="1:23" s="32" customFormat="1" ht="16.149999999999999" customHeight="1" x14ac:dyDescent="0.3">
      <c r="B68" s="65" t="s">
        <v>427</v>
      </c>
      <c r="C68" s="116">
        <f>SUM(C69:C71)</f>
        <v>199</v>
      </c>
      <c r="D68" s="68"/>
      <c r="E68" s="107"/>
      <c r="F68" s="68"/>
      <c r="G68" s="68"/>
      <c r="H68" s="68"/>
      <c r="I68" s="128"/>
      <c r="J68" s="128"/>
      <c r="K68" s="128"/>
      <c r="L68" s="128"/>
      <c r="M68" s="128"/>
      <c r="N68" s="128"/>
      <c r="O68" s="128"/>
      <c r="P68" s="128"/>
      <c r="Q68" s="99"/>
      <c r="R68" s="99"/>
      <c r="S68" s="99"/>
      <c r="T68" s="99"/>
      <c r="U68" s="99"/>
      <c r="V68" s="99"/>
      <c r="W68" s="99"/>
    </row>
    <row r="69" spans="1:23" s="32" customFormat="1" ht="20.65" customHeight="1" x14ac:dyDescent="0.3">
      <c r="B69" s="105" t="s">
        <v>163</v>
      </c>
      <c r="C69" s="116">
        <v>150</v>
      </c>
      <c r="D69" s="68"/>
      <c r="E69" s="107"/>
      <c r="F69" s="68"/>
      <c r="G69" s="68"/>
      <c r="H69" s="68"/>
      <c r="I69" s="128"/>
      <c r="J69" s="128"/>
      <c r="K69" s="128"/>
      <c r="L69" s="128"/>
      <c r="M69" s="128"/>
      <c r="N69" s="128"/>
      <c r="O69" s="128"/>
      <c r="P69" s="128"/>
      <c r="Q69" s="99"/>
      <c r="R69" s="99"/>
      <c r="S69" s="99"/>
      <c r="T69" s="99"/>
      <c r="U69" s="99"/>
      <c r="V69" s="99"/>
      <c r="W69" s="99"/>
    </row>
    <row r="70" spans="1:23" s="32" customFormat="1" ht="16.5" customHeight="1" x14ac:dyDescent="0.3">
      <c r="B70" s="105" t="s">
        <v>164</v>
      </c>
      <c r="C70" s="97">
        <v>22</v>
      </c>
      <c r="D70" s="80"/>
      <c r="E70" s="107"/>
      <c r="F70" s="68"/>
      <c r="G70" s="68"/>
      <c r="H70" s="68"/>
      <c r="I70" s="128"/>
      <c r="J70" s="128"/>
      <c r="K70" s="128"/>
      <c r="L70" s="128"/>
      <c r="M70" s="128"/>
      <c r="N70" s="128"/>
      <c r="O70" s="128"/>
      <c r="P70" s="128"/>
      <c r="Q70" s="99"/>
      <c r="R70" s="99"/>
      <c r="S70" s="99"/>
      <c r="T70" s="99"/>
      <c r="U70" s="99"/>
      <c r="V70" s="99"/>
      <c r="W70" s="99"/>
    </row>
    <row r="71" spans="1:23" s="32" customFormat="1" x14ac:dyDescent="0.3">
      <c r="B71" s="105" t="s">
        <v>166</v>
      </c>
      <c r="C71" s="116">
        <v>27</v>
      </c>
      <c r="D71" s="68"/>
      <c r="E71" s="107"/>
      <c r="F71" s="88"/>
      <c r="G71" s="68"/>
      <c r="H71" s="68"/>
      <c r="I71" s="128"/>
      <c r="J71" s="128"/>
      <c r="K71" s="128"/>
      <c r="L71" s="128"/>
      <c r="M71" s="128"/>
      <c r="N71" s="128"/>
      <c r="P71" s="128"/>
      <c r="Q71" s="99"/>
      <c r="R71" s="99"/>
      <c r="S71" s="99"/>
      <c r="T71" s="99"/>
      <c r="U71" s="99"/>
      <c r="V71" s="99"/>
      <c r="W71" s="99"/>
    </row>
    <row r="72" spans="1:23" s="32" customFormat="1" ht="15" customHeight="1" x14ac:dyDescent="0.3">
      <c r="B72" s="65" t="s">
        <v>429</v>
      </c>
      <c r="C72" s="116">
        <f>SUM(C73:C77)</f>
        <v>150</v>
      </c>
      <c r="D72" s="68"/>
      <c r="E72" s="107"/>
      <c r="F72" s="68"/>
      <c r="G72" s="68"/>
      <c r="H72" s="68"/>
      <c r="I72" s="68"/>
      <c r="J72" s="99"/>
      <c r="K72" s="99"/>
      <c r="L72" s="99"/>
      <c r="M72" s="99"/>
      <c r="N72" s="99"/>
      <c r="P72" s="99"/>
      <c r="Q72" s="99"/>
      <c r="R72" s="99"/>
      <c r="S72" s="99"/>
      <c r="T72" s="99"/>
      <c r="U72" s="99"/>
      <c r="V72" s="99"/>
      <c r="W72" s="99"/>
    </row>
    <row r="73" spans="1:23" s="32" customFormat="1" ht="17.25" customHeight="1" x14ac:dyDescent="0.3">
      <c r="B73" s="105" t="s">
        <v>416</v>
      </c>
      <c r="C73" s="116">
        <f>'Response and Relief Act Score'!F7</f>
        <v>29</v>
      </c>
      <c r="D73" s="68"/>
      <c r="E73" s="107"/>
      <c r="F73" s="68"/>
      <c r="G73" s="68"/>
      <c r="H73" s="68"/>
      <c r="I73" s="68"/>
    </row>
    <row r="74" spans="1:23" s="32" customFormat="1" x14ac:dyDescent="0.3">
      <c r="B74" s="105" t="s">
        <v>164</v>
      </c>
      <c r="C74" s="116">
        <f>'Response and Relief Act Score'!F5</f>
        <v>82</v>
      </c>
      <c r="D74" s="68"/>
      <c r="E74" s="107"/>
      <c r="F74" s="68"/>
      <c r="G74" s="68"/>
      <c r="H74" s="68"/>
      <c r="I74" s="68"/>
      <c r="J74" s="99"/>
      <c r="K74" s="99"/>
      <c r="L74" s="99"/>
      <c r="M74" s="99"/>
      <c r="N74" s="99"/>
      <c r="P74" s="99"/>
      <c r="Q74" s="99"/>
      <c r="R74" s="99"/>
      <c r="S74" s="99"/>
      <c r="T74" s="99"/>
      <c r="U74" s="99"/>
      <c r="V74" s="99"/>
      <c r="W74" s="99"/>
    </row>
    <row r="75" spans="1:23" s="32" customFormat="1" x14ac:dyDescent="0.3">
      <c r="B75" s="105" t="s">
        <v>166</v>
      </c>
      <c r="C75" s="116">
        <f>'Response and Relief Act Score'!F6</f>
        <v>3</v>
      </c>
      <c r="D75" s="68"/>
      <c r="E75" s="107"/>
      <c r="F75" s="68"/>
      <c r="G75" s="68"/>
      <c r="H75" s="68"/>
      <c r="I75" s="68"/>
      <c r="J75" s="99"/>
      <c r="K75" s="99"/>
      <c r="L75" s="99"/>
      <c r="M75" s="99"/>
      <c r="N75" s="99"/>
      <c r="P75" s="99"/>
      <c r="Q75" s="99"/>
      <c r="R75" s="99"/>
      <c r="S75" s="99"/>
      <c r="T75" s="99"/>
      <c r="U75" s="99"/>
      <c r="V75" s="99"/>
      <c r="W75" s="99"/>
    </row>
    <row r="76" spans="1:23" s="32" customFormat="1" x14ac:dyDescent="0.3">
      <c r="B76" s="105" t="s">
        <v>432</v>
      </c>
      <c r="C76" s="116">
        <f>'Response and Relief Act Score'!F9</f>
        <v>34</v>
      </c>
      <c r="D76" s="68"/>
      <c r="E76" s="107"/>
      <c r="F76" s="68"/>
      <c r="G76" s="68"/>
      <c r="H76" s="68"/>
      <c r="I76" s="126"/>
      <c r="J76" s="99"/>
      <c r="K76" s="99"/>
      <c r="L76" s="99"/>
      <c r="M76" s="99"/>
      <c r="N76" s="99"/>
      <c r="O76" s="128"/>
      <c r="P76" s="99"/>
      <c r="Q76" s="99"/>
      <c r="R76" s="99"/>
      <c r="S76" s="99"/>
      <c r="T76" s="99"/>
      <c r="U76" s="99"/>
      <c r="V76" s="99"/>
      <c r="W76" s="99"/>
    </row>
    <row r="77" spans="1:23" s="32" customFormat="1" ht="12.75" customHeight="1" x14ac:dyDescent="0.3">
      <c r="B77" s="105" t="s">
        <v>433</v>
      </c>
      <c r="C77" s="116">
        <f>'Response and Relief Act Score'!F8</f>
        <v>2</v>
      </c>
      <c r="D77" s="68"/>
      <c r="E77" s="107"/>
      <c r="F77" s="68"/>
      <c r="G77" s="68"/>
      <c r="H77" s="68"/>
      <c r="I77" s="68"/>
      <c r="J77" s="99"/>
      <c r="K77" s="99"/>
      <c r="L77" s="99"/>
      <c r="M77" s="99"/>
      <c r="N77" s="99"/>
      <c r="O77" s="99"/>
      <c r="P77" s="99"/>
      <c r="Q77" s="99"/>
      <c r="R77" s="99"/>
      <c r="S77" s="99"/>
      <c r="T77" s="99"/>
      <c r="U77" s="99"/>
      <c r="V77" s="99"/>
      <c r="W77" s="99"/>
    </row>
    <row r="78" spans="1:23" s="32" customFormat="1" x14ac:dyDescent="0.3">
      <c r="A78" s="113"/>
      <c r="B78" s="111" t="s">
        <v>434</v>
      </c>
      <c r="C78" s="118">
        <f>SUM(C79:C83)</f>
        <v>549.11599999999999</v>
      </c>
      <c r="D78" s="68"/>
      <c r="E78" s="107"/>
      <c r="F78" s="68"/>
      <c r="G78" s="68"/>
      <c r="H78" s="68"/>
      <c r="I78" s="68"/>
      <c r="J78" s="99"/>
      <c r="K78" s="99"/>
      <c r="L78" s="99"/>
      <c r="M78" s="99"/>
      <c r="N78" s="99"/>
      <c r="P78" s="99"/>
      <c r="Q78" s="99"/>
      <c r="R78" s="99"/>
      <c r="S78" s="99"/>
      <c r="T78" s="99"/>
      <c r="U78" s="99"/>
      <c r="V78" s="99"/>
      <c r="W78" s="99"/>
    </row>
    <row r="79" spans="1:23" s="32" customFormat="1" ht="16.149999999999999" customHeight="1" x14ac:dyDescent="0.3">
      <c r="A79" s="113"/>
      <c r="B79" s="112" t="s">
        <v>421</v>
      </c>
      <c r="C79" s="118">
        <f>'ARP Score'!AJ16</f>
        <v>362.04999999999995</v>
      </c>
      <c r="D79" s="68"/>
      <c r="E79" s="107"/>
      <c r="F79" s="68"/>
      <c r="G79" s="68"/>
      <c r="H79" s="68"/>
      <c r="I79" s="68"/>
      <c r="J79" s="99"/>
      <c r="K79" s="99"/>
      <c r="L79" s="99"/>
      <c r="M79" s="99"/>
      <c r="N79" s="99"/>
      <c r="O79" s="99"/>
      <c r="P79" s="99"/>
      <c r="Q79" s="99"/>
      <c r="R79" s="99"/>
      <c r="S79" s="99"/>
      <c r="T79" s="99"/>
      <c r="U79" s="99"/>
      <c r="V79" s="99"/>
      <c r="W79" s="99"/>
    </row>
    <row r="80" spans="1:23" s="32" customFormat="1" ht="15" customHeight="1" x14ac:dyDescent="0.3">
      <c r="A80" s="1337"/>
      <c r="B80" s="112" t="s">
        <v>164</v>
      </c>
      <c r="C80" s="118">
        <f>'ARP Score'!AL16</f>
        <v>169.16899999999998</v>
      </c>
      <c r="D80" s="68"/>
      <c r="E80" s="107"/>
      <c r="F80" s="68"/>
      <c r="G80" s="68"/>
      <c r="H80" s="68"/>
      <c r="I80" s="68"/>
      <c r="J80" s="99"/>
      <c r="K80" s="99"/>
      <c r="L80" s="99"/>
      <c r="M80" s="99"/>
      <c r="N80" s="99"/>
      <c r="O80" s="99"/>
      <c r="P80" s="99"/>
      <c r="Q80" s="1166"/>
      <c r="R80" s="99"/>
      <c r="S80" s="99"/>
      <c r="T80" s="99"/>
      <c r="U80" s="99"/>
      <c r="V80" s="99"/>
      <c r="W80" s="99"/>
    </row>
    <row r="81" spans="1:31" s="32" customFormat="1" x14ac:dyDescent="0.3">
      <c r="A81" s="1337"/>
      <c r="B81" s="112" t="s">
        <v>166</v>
      </c>
      <c r="C81" s="118">
        <f>'ARP Score'!AK16</f>
        <v>8.5</v>
      </c>
      <c r="D81" s="68"/>
      <c r="E81" s="107"/>
      <c r="F81" s="68"/>
      <c r="G81" s="68"/>
      <c r="H81" s="68"/>
      <c r="I81" s="68"/>
      <c r="J81" s="99"/>
      <c r="K81" s="99"/>
      <c r="L81" s="99"/>
      <c r="M81" s="99"/>
      <c r="N81" s="99"/>
      <c r="O81" s="99"/>
      <c r="P81" s="99"/>
      <c r="Q81" s="99"/>
      <c r="R81" s="99"/>
      <c r="S81" s="99"/>
      <c r="T81" s="99"/>
      <c r="U81" s="99"/>
      <c r="V81" s="99"/>
      <c r="W81" s="99"/>
    </row>
    <row r="82" spans="1:31" s="32" customFormat="1" ht="17.25" customHeight="1" x14ac:dyDescent="0.3">
      <c r="A82" s="113"/>
      <c r="B82" s="112" t="s">
        <v>437</v>
      </c>
      <c r="C82" s="118">
        <f>'ARP Score'!AM16</f>
        <v>0.79700000000000004</v>
      </c>
      <c r="D82" s="68"/>
      <c r="E82" s="107"/>
      <c r="F82" s="68"/>
      <c r="G82" s="68"/>
      <c r="H82" s="68"/>
      <c r="I82" s="68"/>
      <c r="J82" s="99"/>
      <c r="K82" s="99"/>
      <c r="L82" s="99"/>
      <c r="M82" s="99"/>
      <c r="N82" s="99"/>
      <c r="O82" s="99"/>
      <c r="P82" s="99"/>
      <c r="Q82" s="99"/>
      <c r="R82" s="99"/>
      <c r="S82" s="99"/>
      <c r="T82" s="99"/>
      <c r="U82" s="99"/>
      <c r="V82" s="99"/>
      <c r="W82" s="99"/>
    </row>
    <row r="83" spans="1:31" s="32" customFormat="1" ht="17.25" customHeight="1" x14ac:dyDescent="0.3">
      <c r="A83" s="113"/>
      <c r="B83" s="114" t="s">
        <v>447</v>
      </c>
      <c r="C83" s="119">
        <f>'ARP Score'!AN16</f>
        <v>8.6</v>
      </c>
      <c r="D83" s="115"/>
      <c r="E83" s="108"/>
      <c r="F83" s="68"/>
      <c r="G83" s="68"/>
      <c r="H83" s="68"/>
      <c r="I83" s="68"/>
      <c r="J83" s="99"/>
      <c r="K83" s="99"/>
      <c r="L83" s="99"/>
      <c r="M83" s="99"/>
      <c r="N83" s="99"/>
      <c r="O83" s="99"/>
      <c r="P83" s="99"/>
      <c r="Q83" s="99"/>
      <c r="R83" s="99"/>
      <c r="S83" s="99"/>
      <c r="T83" s="99"/>
      <c r="U83" s="99"/>
      <c r="V83" s="99"/>
      <c r="W83" s="99"/>
    </row>
    <row r="84" spans="1:31" s="32" customFormat="1" ht="17.25" customHeight="1" x14ac:dyDescent="0.3">
      <c r="B84" s="112"/>
      <c r="C84" s="87"/>
      <c r="D84" s="87"/>
      <c r="E84" s="87"/>
      <c r="F84" s="87"/>
      <c r="G84" s="87"/>
      <c r="H84" s="68"/>
      <c r="I84" s="68"/>
      <c r="J84" s="68"/>
      <c r="K84" s="68"/>
      <c r="L84" s="68"/>
      <c r="M84" s="68"/>
      <c r="N84" s="99"/>
      <c r="O84" s="99"/>
      <c r="P84" s="99"/>
      <c r="Q84" s="99"/>
      <c r="R84" s="99"/>
      <c r="S84" s="99"/>
      <c r="T84" s="99"/>
      <c r="U84" s="99"/>
      <c r="V84" s="99"/>
      <c r="W84" s="99"/>
      <c r="X84" s="99"/>
      <c r="Y84" s="99"/>
      <c r="Z84" s="99"/>
      <c r="AA84" s="99"/>
      <c r="AB84" s="99"/>
      <c r="AC84" s="99"/>
      <c r="AD84" s="99"/>
      <c r="AE84" s="99"/>
    </row>
    <row r="85" spans="1:31" s="32" customFormat="1" ht="17.25" customHeight="1" x14ac:dyDescent="0.3">
      <c r="B85" s="106" t="s">
        <v>448</v>
      </c>
      <c r="C85" s="87"/>
      <c r="D85" s="87"/>
      <c r="E85" s="87"/>
      <c r="F85" s="87"/>
      <c r="G85" s="87"/>
      <c r="H85" s="68"/>
      <c r="I85" s="68"/>
      <c r="J85" s="68"/>
      <c r="K85" s="68"/>
      <c r="L85" s="68"/>
      <c r="M85" s="68"/>
      <c r="N85" s="99"/>
      <c r="O85" s="99"/>
      <c r="P85" s="99"/>
      <c r="Q85" s="99"/>
      <c r="R85" s="99"/>
      <c r="S85" s="99"/>
      <c r="T85" s="99"/>
      <c r="U85" s="99"/>
      <c r="V85" s="99"/>
      <c r="W85" s="99"/>
      <c r="X85" s="99"/>
      <c r="Y85" s="99"/>
      <c r="Z85" s="99"/>
      <c r="AA85" s="99"/>
      <c r="AB85" s="99"/>
      <c r="AC85" s="99"/>
      <c r="AD85" s="99"/>
      <c r="AE85" s="99"/>
    </row>
    <row r="86" spans="1:31" s="32" customFormat="1" ht="14.65" customHeight="1" x14ac:dyDescent="0.3">
      <c r="B86" s="1295" t="s">
        <v>449</v>
      </c>
      <c r="C86" s="1296"/>
      <c r="D86" s="1307" t="s">
        <v>350</v>
      </c>
      <c r="E86" s="1308"/>
      <c r="F86" s="1308"/>
      <c r="G86" s="1308"/>
      <c r="H86" s="1308"/>
      <c r="I86" s="1308"/>
      <c r="J86" s="1308"/>
      <c r="K86" s="1308"/>
      <c r="L86" s="1308"/>
      <c r="M86" s="1308"/>
      <c r="N86" s="1308"/>
      <c r="O86" s="1308"/>
      <c r="P86" s="1309"/>
      <c r="Q86" s="1304" t="s">
        <v>351</v>
      </c>
      <c r="R86" s="1305"/>
      <c r="S86" s="1305"/>
      <c r="T86" s="1305"/>
      <c r="U86" s="1305"/>
      <c r="V86" s="1305"/>
      <c r="W86" s="1305"/>
      <c r="X86" s="1305"/>
      <c r="Y86" s="1305"/>
      <c r="Z86" s="1305"/>
      <c r="AA86" s="1305"/>
      <c r="AB86" s="1305"/>
      <c r="AC86" s="1306"/>
      <c r="AD86" s="168"/>
      <c r="AE86" s="168"/>
    </row>
    <row r="87" spans="1:31" s="32" customFormat="1" x14ac:dyDescent="0.3">
      <c r="B87" s="1297"/>
      <c r="C87" s="1298"/>
      <c r="D87" s="455">
        <v>2018</v>
      </c>
      <c r="E87" s="1292">
        <v>2019</v>
      </c>
      <c r="F87" s="1293"/>
      <c r="G87" s="1293"/>
      <c r="H87" s="1294"/>
      <c r="I87" s="1292">
        <v>2020</v>
      </c>
      <c r="J87" s="1293"/>
      <c r="K87" s="1293"/>
      <c r="L87" s="1293"/>
      <c r="M87" s="1302">
        <v>2021</v>
      </c>
      <c r="N87" s="1293"/>
      <c r="O87" s="1293"/>
      <c r="P87" s="1303"/>
      <c r="Q87" s="1300">
        <v>2022</v>
      </c>
      <c r="R87" s="1300"/>
      <c r="S87" s="1300"/>
      <c r="T87" s="1301"/>
      <c r="U87" s="1299">
        <v>2023</v>
      </c>
      <c r="V87" s="1300"/>
      <c r="W87" s="1300"/>
      <c r="X87" s="1300"/>
      <c r="Y87" s="1299">
        <v>2024</v>
      </c>
      <c r="Z87" s="1300"/>
      <c r="AA87" s="1300"/>
      <c r="AB87" s="1301"/>
      <c r="AC87" s="306">
        <v>2025</v>
      </c>
      <c r="AD87" s="36"/>
      <c r="AE87" s="36"/>
    </row>
    <row r="88" spans="1:31" s="32" customFormat="1" x14ac:dyDescent="0.3">
      <c r="B88" s="1335"/>
      <c r="C88" s="1336"/>
      <c r="D88" s="156" t="s">
        <v>352</v>
      </c>
      <c r="E88" s="156" t="s">
        <v>353</v>
      </c>
      <c r="F88" s="139" t="s">
        <v>354</v>
      </c>
      <c r="G88" s="139" t="s">
        <v>253</v>
      </c>
      <c r="H88" s="146" t="s">
        <v>352</v>
      </c>
      <c r="I88" s="140" t="s">
        <v>353</v>
      </c>
      <c r="J88" s="140" t="s">
        <v>354</v>
      </c>
      <c r="K88" s="140" t="s">
        <v>253</v>
      </c>
      <c r="L88" s="140" t="s">
        <v>352</v>
      </c>
      <c r="M88" s="151" t="s">
        <v>353</v>
      </c>
      <c r="N88" s="773" t="s">
        <v>354</v>
      </c>
      <c r="O88" s="773" t="s">
        <v>253</v>
      </c>
      <c r="P88" s="146" t="s">
        <v>352</v>
      </c>
      <c r="Q88" s="826" t="s">
        <v>353</v>
      </c>
      <c r="R88" s="898" t="s">
        <v>354</v>
      </c>
      <c r="S88" s="898" t="s">
        <v>253</v>
      </c>
      <c r="T88" s="898" t="s">
        <v>352</v>
      </c>
      <c r="U88" s="897" t="s">
        <v>353</v>
      </c>
      <c r="V88" s="898" t="s">
        <v>354</v>
      </c>
      <c r="W88" s="898" t="s">
        <v>253</v>
      </c>
      <c r="X88" s="898" t="s">
        <v>352</v>
      </c>
      <c r="Y88" s="897" t="s">
        <v>353</v>
      </c>
      <c r="Z88" s="874" t="s">
        <v>354</v>
      </c>
      <c r="AA88" s="898" t="s">
        <v>253</v>
      </c>
      <c r="AB88" s="381" t="s">
        <v>352</v>
      </c>
      <c r="AC88" s="63" t="s">
        <v>353</v>
      </c>
      <c r="AD88" s="36"/>
      <c r="AE88" s="36"/>
    </row>
    <row r="89" spans="1:31" s="32" customFormat="1" ht="29.25" customHeight="1" x14ac:dyDescent="0.35">
      <c r="B89" s="392" t="s">
        <v>450</v>
      </c>
      <c r="C89" s="698"/>
      <c r="D89" s="954"/>
      <c r="E89" s="698"/>
      <c r="F89" s="698"/>
      <c r="G89" s="698"/>
      <c r="H89" s="699">
        <f t="shared" ref="H89:O89" si="21">SUM(H91:H98)</f>
        <v>208.59399999999999</v>
      </c>
      <c r="I89" s="699">
        <f t="shared" si="21"/>
        <v>212.48200000000003</v>
      </c>
      <c r="J89" s="699">
        <f t="shared" si="21"/>
        <v>334.61</v>
      </c>
      <c r="K89" s="699">
        <f t="shared" si="21"/>
        <v>301.78300000000002</v>
      </c>
      <c r="L89" s="699">
        <f t="shared" si="21"/>
        <v>280.16300000000001</v>
      </c>
      <c r="M89" s="699">
        <f t="shared" si="21"/>
        <v>310.15499999999997</v>
      </c>
      <c r="N89" s="699">
        <f t="shared" si="21"/>
        <v>346.31500000000005</v>
      </c>
      <c r="O89" s="699">
        <f t="shared" si="21"/>
        <v>384.12299999999988</v>
      </c>
      <c r="P89" s="955">
        <f>SUM(P91:P99)</f>
        <v>418.11685200000005</v>
      </c>
      <c r="Q89" s="1106">
        <f>SUM(Q91:Q99)</f>
        <v>423.31864142999859</v>
      </c>
      <c r="R89" s="1106">
        <f t="shared" ref="R89:AC89" si="22">SUM(R91:R99)</f>
        <v>423.6285340649323</v>
      </c>
      <c r="S89" s="1106">
        <f t="shared" si="22"/>
        <v>426.95839668633465</v>
      </c>
      <c r="T89" s="1106">
        <f t="shared" si="22"/>
        <v>440.23941166666668</v>
      </c>
      <c r="U89" s="1106">
        <f t="shared" si="22"/>
        <v>452.8843619704507</v>
      </c>
      <c r="V89" s="1106">
        <f t="shared" si="22"/>
        <v>437.17611337154818</v>
      </c>
      <c r="W89" s="1106">
        <f t="shared" si="22"/>
        <v>435.99475511378807</v>
      </c>
      <c r="X89" s="1106">
        <f t="shared" si="22"/>
        <v>440.05219093333335</v>
      </c>
      <c r="Y89" s="1106">
        <f t="shared" si="22"/>
        <v>431.63394208126874</v>
      </c>
      <c r="Z89" s="1106">
        <f t="shared" si="22"/>
        <v>413.76351714641009</v>
      </c>
      <c r="AA89" s="1106">
        <f t="shared" si="22"/>
        <v>418.21511307833958</v>
      </c>
      <c r="AB89" s="1106">
        <f t="shared" si="22"/>
        <v>421.88752491066668</v>
      </c>
      <c r="AC89" s="1107">
        <f t="shared" si="22"/>
        <v>405.04790028451941</v>
      </c>
      <c r="AD89" s="238"/>
      <c r="AE89" s="238"/>
    </row>
    <row r="90" spans="1:31" s="32" customFormat="1" ht="19.149999999999999" customHeight="1" x14ac:dyDescent="0.35">
      <c r="B90" s="89" t="s">
        <v>451</v>
      </c>
      <c r="C90" s="167"/>
      <c r="D90" s="697"/>
      <c r="E90" s="951"/>
      <c r="F90" s="951"/>
      <c r="G90" s="951"/>
      <c r="H90" s="952"/>
      <c r="I90" s="952"/>
      <c r="J90" s="952"/>
      <c r="K90" s="952"/>
      <c r="L90" s="952"/>
      <c r="M90" s="952"/>
      <c r="N90" s="952"/>
      <c r="O90" s="952"/>
      <c r="P90" s="956"/>
      <c r="Q90" s="236"/>
      <c r="R90" s="236"/>
      <c r="S90" s="236"/>
      <c r="T90" s="236"/>
      <c r="U90" s="236"/>
      <c r="V90" s="236"/>
      <c r="W90" s="236"/>
      <c r="X90" s="236"/>
      <c r="Y90" s="236"/>
      <c r="Z90" s="236"/>
      <c r="AA90" s="236"/>
      <c r="AB90" s="236"/>
      <c r="AC90" s="237"/>
      <c r="AD90" s="238"/>
      <c r="AE90" s="238"/>
    </row>
    <row r="91" spans="1:31" s="32" customFormat="1" x14ac:dyDescent="0.3">
      <c r="B91" s="73" t="s">
        <v>166</v>
      </c>
      <c r="C91" s="88"/>
      <c r="D91" s="478"/>
      <c r="E91" s="943"/>
      <c r="F91" s="943"/>
      <c r="G91" s="943"/>
      <c r="H91" s="944"/>
      <c r="I91" s="944"/>
      <c r="J91" s="944">
        <f t="shared" ref="J91:AC91" si="23">J14</f>
        <v>64.400000000000006</v>
      </c>
      <c r="K91" s="944">
        <f t="shared" si="23"/>
        <v>23.4</v>
      </c>
      <c r="L91" s="944">
        <f t="shared" si="23"/>
        <v>13.8</v>
      </c>
      <c r="M91" s="944">
        <f t="shared" si="23"/>
        <v>17.100000000000001</v>
      </c>
      <c r="N91" s="944">
        <f t="shared" si="23"/>
        <v>10.6</v>
      </c>
      <c r="O91" s="944">
        <f t="shared" si="23"/>
        <v>15</v>
      </c>
      <c r="P91" s="932">
        <f t="shared" si="23"/>
        <v>25.8</v>
      </c>
      <c r="Q91" s="359">
        <f>Q14</f>
        <v>22.417377812257563</v>
      </c>
      <c r="R91" s="359">
        <f t="shared" si="23"/>
        <v>8.0062063615205581</v>
      </c>
      <c r="S91" s="359">
        <f t="shared" si="23"/>
        <v>0</v>
      </c>
      <c r="T91" s="359">
        <f t="shared" si="23"/>
        <v>0</v>
      </c>
      <c r="U91" s="359">
        <f t="shared" si="23"/>
        <v>0</v>
      </c>
      <c r="V91" s="359">
        <f t="shared" si="23"/>
        <v>0</v>
      </c>
      <c r="W91" s="359">
        <f t="shared" si="23"/>
        <v>0</v>
      </c>
      <c r="X91" s="359">
        <f t="shared" si="23"/>
        <v>0</v>
      </c>
      <c r="Y91" s="359">
        <f t="shared" si="23"/>
        <v>0</v>
      </c>
      <c r="Z91" s="359">
        <f t="shared" si="23"/>
        <v>0</v>
      </c>
      <c r="AA91" s="359">
        <f t="shared" si="23"/>
        <v>0</v>
      </c>
      <c r="AB91" s="359">
        <f t="shared" si="23"/>
        <v>0</v>
      </c>
      <c r="AC91" s="360">
        <f t="shared" si="23"/>
        <v>0</v>
      </c>
      <c r="AD91" s="124"/>
      <c r="AE91" s="124"/>
    </row>
    <row r="92" spans="1:31" s="32" customFormat="1" x14ac:dyDescent="0.3">
      <c r="B92" s="73" t="s">
        <v>416</v>
      </c>
      <c r="C92" s="88"/>
      <c r="D92" s="478"/>
      <c r="E92" s="943"/>
      <c r="F92" s="943"/>
      <c r="G92" s="943"/>
      <c r="H92" s="944"/>
      <c r="I92" s="944"/>
      <c r="J92" s="944"/>
      <c r="K92" s="944"/>
      <c r="L92" s="944"/>
      <c r="M92" s="944">
        <f>M44</f>
        <v>9.6666666666666661</v>
      </c>
      <c r="N92" s="944">
        <f t="shared" ref="N92:AC92" si="24">N44</f>
        <v>9.6666666666666661</v>
      </c>
      <c r="O92" s="944">
        <f t="shared" si="24"/>
        <v>9.6666666666666661</v>
      </c>
      <c r="P92" s="932">
        <f t="shared" si="24"/>
        <v>9.6666666666666661</v>
      </c>
      <c r="Q92" s="359">
        <f>Q44</f>
        <v>9.6666666666666661</v>
      </c>
      <c r="R92" s="359">
        <f t="shared" si="24"/>
        <v>9.6666666666666661</v>
      </c>
      <c r="S92" s="359">
        <f t="shared" si="24"/>
        <v>9.6666666666666661</v>
      </c>
      <c r="T92" s="359">
        <f t="shared" si="24"/>
        <v>9.6666666666666661</v>
      </c>
      <c r="U92" s="359">
        <f t="shared" si="24"/>
        <v>9.6666666666666661</v>
      </c>
      <c r="V92" s="359">
        <f t="shared" si="24"/>
        <v>9.6666666666666661</v>
      </c>
      <c r="W92" s="359">
        <f t="shared" si="24"/>
        <v>9.6666666666666661</v>
      </c>
      <c r="X92" s="359">
        <f t="shared" si="24"/>
        <v>9.6666666666666661</v>
      </c>
      <c r="Y92" s="359">
        <f t="shared" si="24"/>
        <v>0</v>
      </c>
      <c r="Z92" s="359">
        <f t="shared" si="24"/>
        <v>0</v>
      </c>
      <c r="AA92" s="359">
        <f t="shared" si="24"/>
        <v>0</v>
      </c>
      <c r="AB92" s="359">
        <f t="shared" si="24"/>
        <v>0</v>
      </c>
      <c r="AC92" s="360">
        <f t="shared" si="24"/>
        <v>0</v>
      </c>
      <c r="AD92" s="124"/>
      <c r="AE92" s="124"/>
    </row>
    <row r="93" spans="1:31" s="32" customFormat="1" x14ac:dyDescent="0.3">
      <c r="B93" s="73" t="s">
        <v>452</v>
      </c>
      <c r="C93" s="88"/>
      <c r="D93" s="478"/>
      <c r="E93" s="943"/>
      <c r="F93" s="943"/>
      <c r="G93" s="943"/>
      <c r="H93" s="944"/>
      <c r="I93" s="944"/>
      <c r="J93" s="944"/>
      <c r="K93" s="944"/>
      <c r="L93" s="944"/>
      <c r="M93" s="944">
        <f t="shared" ref="M93:AC93" si="25">M16</f>
        <v>12</v>
      </c>
      <c r="N93" s="944">
        <f t="shared" si="25"/>
        <v>12</v>
      </c>
      <c r="O93" s="944">
        <f t="shared" si="25"/>
        <v>12</v>
      </c>
      <c r="P93" s="932">
        <f t="shared" si="25"/>
        <v>12</v>
      </c>
      <c r="Q93" s="359">
        <f>Q16</f>
        <v>12</v>
      </c>
      <c r="R93" s="359">
        <f t="shared" si="25"/>
        <v>12</v>
      </c>
      <c r="S93" s="359">
        <f t="shared" si="25"/>
        <v>12</v>
      </c>
      <c r="T93" s="359">
        <f t="shared" si="25"/>
        <v>12</v>
      </c>
      <c r="U93" s="359">
        <f t="shared" si="25"/>
        <v>12</v>
      </c>
      <c r="V93" s="359">
        <f t="shared" si="25"/>
        <v>12</v>
      </c>
      <c r="W93" s="359">
        <f t="shared" si="25"/>
        <v>12</v>
      </c>
      <c r="X93" s="359">
        <f t="shared" si="25"/>
        <v>12</v>
      </c>
      <c r="Y93" s="359">
        <f t="shared" si="25"/>
        <v>0</v>
      </c>
      <c r="Z93" s="359">
        <f t="shared" si="25"/>
        <v>0</v>
      </c>
      <c r="AA93" s="359">
        <f t="shared" si="25"/>
        <v>0</v>
      </c>
      <c r="AB93" s="359">
        <f t="shared" si="25"/>
        <v>0</v>
      </c>
      <c r="AC93" s="360">
        <f t="shared" si="25"/>
        <v>0</v>
      </c>
      <c r="AD93" s="124"/>
      <c r="AE93" s="124"/>
    </row>
    <row r="94" spans="1:31" s="32" customFormat="1" x14ac:dyDescent="0.3">
      <c r="B94" s="73" t="s">
        <v>453</v>
      </c>
      <c r="C94" s="88"/>
      <c r="D94" s="478"/>
      <c r="E94" s="943"/>
      <c r="F94" s="943"/>
      <c r="G94" s="943"/>
      <c r="H94" s="953">
        <f t="shared" ref="H94:AC94" si="26">H20</f>
        <v>208.59399999999999</v>
      </c>
      <c r="I94" s="953">
        <f>I20</f>
        <v>212.48200000000003</v>
      </c>
      <c r="J94" s="953">
        <f t="shared" si="26"/>
        <v>206.81000000000006</v>
      </c>
      <c r="K94" s="953">
        <f t="shared" si="26"/>
        <v>217.58300000000003</v>
      </c>
      <c r="L94" s="953">
        <f t="shared" si="26"/>
        <v>206.16300000000001</v>
      </c>
      <c r="M94" s="953">
        <f t="shared" si="26"/>
        <v>202.48833333333332</v>
      </c>
      <c r="N94" s="953">
        <f t="shared" si="26"/>
        <v>206.44833333333338</v>
      </c>
      <c r="O94" s="953">
        <f>O20</f>
        <v>201.7563333333332</v>
      </c>
      <c r="P94" s="957">
        <f>P20</f>
        <v>233.82933333333341</v>
      </c>
      <c r="Q94" s="241">
        <f>Q20</f>
        <v>236.13334881774108</v>
      </c>
      <c r="R94" s="241">
        <f t="shared" si="26"/>
        <v>238.46006670341174</v>
      </c>
      <c r="S94" s="241">
        <f t="shared" si="26"/>
        <v>240.80971068633468</v>
      </c>
      <c r="T94" s="241">
        <f t="shared" si="26"/>
        <v>243.18250666666671</v>
      </c>
      <c r="U94" s="241">
        <f t="shared" si="26"/>
        <v>245.57868277045071</v>
      </c>
      <c r="V94" s="241">
        <f t="shared" si="26"/>
        <v>247.9984693715482</v>
      </c>
      <c r="W94" s="241">
        <f t="shared" si="26"/>
        <v>250.44209911378806</v>
      </c>
      <c r="X94" s="241">
        <f t="shared" si="26"/>
        <v>252.90980693333336</v>
      </c>
      <c r="Y94" s="241">
        <f t="shared" si="26"/>
        <v>255.40183008126871</v>
      </c>
      <c r="Z94" s="241">
        <f t="shared" si="26"/>
        <v>257.91840814641012</v>
      </c>
      <c r="AA94" s="241">
        <f t="shared" si="26"/>
        <v>260.45978307833957</v>
      </c>
      <c r="AB94" s="241">
        <f t="shared" si="26"/>
        <v>263.02619921066668</v>
      </c>
      <c r="AC94" s="242">
        <f t="shared" si="26"/>
        <v>265.61790328451946</v>
      </c>
      <c r="AD94" s="239"/>
      <c r="AE94" s="239"/>
    </row>
    <row r="95" spans="1:31" s="32" customFormat="1" ht="14.65" customHeight="1" x14ac:dyDescent="0.3">
      <c r="B95" s="252" t="s">
        <v>454</v>
      </c>
      <c r="C95" s="88"/>
      <c r="D95" s="478"/>
      <c r="E95" s="943"/>
      <c r="F95" s="943"/>
      <c r="G95" s="943"/>
      <c r="H95" s="944"/>
      <c r="I95" s="944"/>
      <c r="J95" s="944"/>
      <c r="K95" s="944"/>
      <c r="L95" s="944"/>
      <c r="M95" s="944"/>
      <c r="N95" s="944"/>
      <c r="O95" s="944"/>
      <c r="P95" s="932"/>
      <c r="Q95" s="359"/>
      <c r="R95" s="359"/>
      <c r="S95" s="359"/>
      <c r="T95" s="359"/>
      <c r="U95" s="359"/>
      <c r="V95" s="359"/>
      <c r="W95" s="359"/>
      <c r="X95" s="359"/>
      <c r="Y95" s="359"/>
      <c r="Z95" s="359"/>
      <c r="AA95" s="359"/>
      <c r="AB95" s="359"/>
      <c r="AC95" s="360"/>
      <c r="AD95" s="124"/>
      <c r="AE95" s="124"/>
    </row>
    <row r="96" spans="1:31" s="32" customFormat="1" ht="14.65" customHeight="1" x14ac:dyDescent="0.3">
      <c r="B96" s="73" t="s">
        <v>164</v>
      </c>
      <c r="C96" s="88"/>
      <c r="D96" s="478"/>
      <c r="E96" s="943"/>
      <c r="F96" s="943"/>
      <c r="G96" s="943"/>
      <c r="H96" s="944"/>
      <c r="I96" s="944"/>
      <c r="J96" s="944">
        <f>J13</f>
        <v>28.4</v>
      </c>
      <c r="K96" s="944">
        <f t="shared" ref="K96:P96" si="27">K13</f>
        <v>15.8</v>
      </c>
      <c r="L96" s="944">
        <f t="shared" si="27"/>
        <v>15.2</v>
      </c>
      <c r="M96" s="944">
        <f t="shared" si="27"/>
        <v>28.9</v>
      </c>
      <c r="N96" s="944">
        <f t="shared" si="27"/>
        <v>67.599999999999994</v>
      </c>
      <c r="O96" s="944">
        <f t="shared" si="27"/>
        <v>80.7</v>
      </c>
      <c r="P96" s="932">
        <f t="shared" si="27"/>
        <v>87.2</v>
      </c>
      <c r="Q96" s="1102">
        <f>Q41+Q45+'ARP Quarterly'!G28</f>
        <v>42.104973333333305</v>
      </c>
      <c r="R96" s="359">
        <f>R41+R45+'ARP Quarterly'!H28</f>
        <v>46.145562333333302</v>
      </c>
      <c r="S96" s="359">
        <f>S41+S45+'ARP Quarterly'!I28</f>
        <v>50.186151333333306</v>
      </c>
      <c r="T96" s="359">
        <f>T41+T45+'ARP Quarterly'!J28</f>
        <v>52.851310333333302</v>
      </c>
      <c r="U96" s="359">
        <f>U41+U45+'ARP Quarterly'!K28</f>
        <v>55.516469333333305</v>
      </c>
      <c r="V96" s="359">
        <f>V41+V45+'ARP Quarterly'!L28</f>
        <v>58.594257333333303</v>
      </c>
      <c r="W96" s="359">
        <f>W41+W45+'ARP Quarterly'!M28</f>
        <v>61.672045333333294</v>
      </c>
      <c r="X96" s="359">
        <f>X41+X45+'ARP Quarterly'!N28</f>
        <v>63.261773333333295</v>
      </c>
      <c r="Y96" s="359">
        <f>Y41+Y45+'ARP Quarterly'!O28</f>
        <v>61.518167999999996</v>
      </c>
      <c r="Z96" s="359">
        <f>Z41+Z45+'ARP Quarterly'!P28</f>
        <v>44.428388999999996</v>
      </c>
      <c r="AA96" s="359">
        <f>AA41+AA45+'ARP Quarterly'!Q28</f>
        <v>46.338610000000003</v>
      </c>
      <c r="AB96" s="359">
        <f>AB41+AB45+'ARP Quarterly'!R28</f>
        <v>47.279744500000007</v>
      </c>
      <c r="AC96" s="360">
        <f>AC41+AC45+'ARP Quarterly'!S28</f>
        <v>46.283419000000009</v>
      </c>
      <c r="AD96" s="124"/>
      <c r="AE96" s="124"/>
    </row>
    <row r="97" spans="2:31" s="32" customFormat="1" x14ac:dyDescent="0.3">
      <c r="B97" s="73" t="s">
        <v>163</v>
      </c>
      <c r="C97" s="240"/>
      <c r="D97" s="479"/>
      <c r="E97" s="940"/>
      <c r="F97" s="940"/>
      <c r="G97" s="940"/>
      <c r="H97" s="944"/>
      <c r="I97" s="944"/>
      <c r="J97" s="944">
        <v>35</v>
      </c>
      <c r="K97" s="944">
        <v>45</v>
      </c>
      <c r="L97" s="944">
        <v>45</v>
      </c>
      <c r="M97" s="944">
        <v>40</v>
      </c>
      <c r="N97" s="944">
        <v>40</v>
      </c>
      <c r="O97" s="944">
        <v>65</v>
      </c>
      <c r="P97" s="932">
        <v>65</v>
      </c>
      <c r="Q97" s="359">
        <v>55</v>
      </c>
      <c r="R97" s="359">
        <v>50</v>
      </c>
      <c r="S97" s="359">
        <v>50</v>
      </c>
      <c r="T97" s="359">
        <v>50</v>
      </c>
      <c r="U97" s="359">
        <v>50</v>
      </c>
      <c r="V97" s="359">
        <v>10</v>
      </c>
      <c r="W97" s="359"/>
      <c r="X97" s="359"/>
      <c r="Y97" s="359"/>
      <c r="Z97" s="359"/>
      <c r="AA97" s="359"/>
      <c r="AB97" s="359"/>
      <c r="AC97" s="360"/>
    </row>
    <row r="98" spans="2:31" s="32" customFormat="1" ht="28.5" customHeight="1" x14ac:dyDescent="0.3">
      <c r="B98" s="101" t="s">
        <v>455</v>
      </c>
      <c r="C98" s="243"/>
      <c r="D98" s="480"/>
      <c r="E98" s="243"/>
      <c r="F98" s="243"/>
      <c r="G98" s="243"/>
      <c r="H98" s="507"/>
      <c r="I98" s="507"/>
      <c r="J98" s="507"/>
      <c r="K98" s="507"/>
      <c r="L98" s="507"/>
      <c r="M98" s="507"/>
      <c r="N98" s="507">
        <f>'ARP Quarterly'!D47</f>
        <v>0</v>
      </c>
      <c r="O98" s="507">
        <f>'ARP Quarterly'!E47</f>
        <v>0</v>
      </c>
      <c r="P98" s="950">
        <f>'ARP Quarterly'!F47</f>
        <v>34.620851999999999</v>
      </c>
      <c r="Q98" s="552">
        <f>'ARP Quarterly'!G47</f>
        <v>45.996274799999995</v>
      </c>
      <c r="R98" s="552">
        <f>'ARP Quarterly'!H47</f>
        <v>59.350031999999992</v>
      </c>
      <c r="S98" s="552">
        <f>'ARP Quarterly'!I47</f>
        <v>64.295867999999999</v>
      </c>
      <c r="T98" s="552">
        <f>'ARP Quarterly'!J47</f>
        <v>72.538927999999999</v>
      </c>
      <c r="U98" s="552">
        <f>'ARP Quarterly'!K47</f>
        <v>80.122543199999996</v>
      </c>
      <c r="V98" s="552">
        <f>'ARP Quarterly'!L47</f>
        <v>98.916719999999998</v>
      </c>
      <c r="W98" s="552">
        <f>'ARP Quarterly'!M47</f>
        <v>102.213944</v>
      </c>
      <c r="X98" s="552">
        <f>'ARP Quarterly'!N47</f>
        <v>102.213944</v>
      </c>
      <c r="Y98" s="552">
        <f>'ARP Quarterly'!O47</f>
        <v>102.213944</v>
      </c>
      <c r="Z98" s="552">
        <f>'ARP Quarterly'!P47</f>
        <v>98.916719999999998</v>
      </c>
      <c r="AA98" s="552">
        <f>'ARP Quarterly'!Q47</f>
        <v>98.916719999999998</v>
      </c>
      <c r="AB98" s="552">
        <f>'ARP Quarterly'!R47</f>
        <v>99.081581199999988</v>
      </c>
      <c r="AC98" s="553">
        <f>'ARP Quarterly'!S47</f>
        <v>93.146578000000005</v>
      </c>
    </row>
    <row r="99" spans="2:31" ht="56" x14ac:dyDescent="0.3">
      <c r="B99" s="1108" t="s">
        <v>1208</v>
      </c>
      <c r="C99" s="1109"/>
      <c r="D99" s="1109"/>
      <c r="E99" s="1109"/>
      <c r="F99" s="1109"/>
      <c r="G99" s="1109"/>
      <c r="H99" s="1109"/>
      <c r="I99" s="1109"/>
      <c r="J99" s="1109"/>
      <c r="K99" s="1109"/>
      <c r="L99" s="1109"/>
      <c r="M99" s="1109"/>
      <c r="N99" s="1109"/>
      <c r="O99" s="1109"/>
      <c r="P99" s="1109">
        <v>-50</v>
      </c>
      <c r="Q99" s="1109"/>
      <c r="R99" s="1109"/>
      <c r="S99" s="1109"/>
      <c r="T99" s="1109"/>
      <c r="U99" s="1109"/>
      <c r="V99" s="1109"/>
      <c r="W99" s="1109"/>
      <c r="X99" s="1109"/>
      <c r="Y99" s="1109">
        <v>12.5</v>
      </c>
      <c r="Z99" s="1109">
        <v>12.5</v>
      </c>
      <c r="AA99" s="1109">
        <v>12.5</v>
      </c>
      <c r="AB99" s="1109">
        <v>12.5</v>
      </c>
      <c r="AC99" s="1110"/>
    </row>
    <row r="100" spans="2:31" ht="12.75" customHeight="1" x14ac:dyDescent="0.3">
      <c r="I100" s="550"/>
      <c r="J100" s="550"/>
      <c r="K100" s="550"/>
      <c r="L100" s="550"/>
      <c r="M100" s="550"/>
      <c r="N100" s="550"/>
      <c r="O100" s="550"/>
      <c r="P100" s="550"/>
      <c r="Q100" s="550"/>
      <c r="R100" s="550"/>
      <c r="S100" s="550"/>
      <c r="T100" s="550"/>
      <c r="U100" s="550"/>
      <c r="V100" s="550"/>
      <c r="W100" s="550"/>
      <c r="X100" s="550"/>
      <c r="Y100" s="550"/>
      <c r="Z100" s="550"/>
      <c r="AA100" s="550"/>
      <c r="AB100" s="550"/>
      <c r="AC100" s="550"/>
      <c r="AD100" s="58"/>
      <c r="AE100" s="58"/>
    </row>
    <row r="102" spans="2:31" x14ac:dyDescent="0.3">
      <c r="B102" s="1290" t="s">
        <v>148</v>
      </c>
      <c r="C102" s="1290"/>
      <c r="D102" s="1290"/>
      <c r="E102" s="1290"/>
      <c r="F102" s="1290"/>
      <c r="G102" s="1290"/>
      <c r="H102" s="1290"/>
      <c r="I102" s="1290"/>
      <c r="J102" s="1290"/>
      <c r="K102" s="1290"/>
      <c r="L102" s="1290"/>
      <c r="M102" s="1290"/>
      <c r="N102" s="1290"/>
      <c r="O102" s="1290"/>
      <c r="P102" s="1290"/>
      <c r="Q102" s="1290"/>
      <c r="R102" s="1290"/>
      <c r="S102" s="1290"/>
      <c r="T102" s="1290"/>
      <c r="U102" s="1290"/>
      <c r="V102" s="1290"/>
      <c r="W102" s="1290"/>
      <c r="X102" s="1290"/>
      <c r="Y102" s="1290"/>
      <c r="Z102" s="454"/>
      <c r="AA102" s="454"/>
      <c r="AB102" s="454"/>
      <c r="AC102" s="454"/>
      <c r="AD102" s="168"/>
      <c r="AE102" s="168"/>
    </row>
    <row r="103" spans="2:31" ht="19.149999999999999" customHeight="1" x14ac:dyDescent="0.3">
      <c r="B103" s="1291" t="s">
        <v>456</v>
      </c>
      <c r="C103" s="1291"/>
      <c r="D103" s="1291"/>
      <c r="E103" s="1291"/>
      <c r="F103" s="1291"/>
      <c r="G103" s="1291"/>
      <c r="H103" s="1291"/>
      <c r="I103" s="1291"/>
      <c r="J103" s="1291"/>
      <c r="K103" s="1291"/>
      <c r="L103" s="1291"/>
      <c r="M103" s="1291"/>
      <c r="N103" s="1291"/>
      <c r="O103" s="1291"/>
      <c r="P103" s="1291"/>
      <c r="Q103" s="1291"/>
      <c r="R103" s="1291"/>
      <c r="S103" s="1291"/>
      <c r="T103" s="1291"/>
      <c r="U103" s="1291"/>
      <c r="V103" s="1291"/>
      <c r="W103" s="1291"/>
      <c r="X103" s="1291"/>
      <c r="Y103" s="1291"/>
      <c r="Z103" s="1291"/>
      <c r="AA103" s="1291"/>
      <c r="AB103" s="1291"/>
      <c r="AC103" s="1291"/>
      <c r="AD103" s="202"/>
      <c r="AE103" s="202"/>
    </row>
    <row r="104" spans="2:31" ht="11.65" customHeight="1" x14ac:dyDescent="0.3">
      <c r="B104" s="58"/>
      <c r="C104" s="58"/>
      <c r="D104" s="58"/>
      <c r="E104" s="58"/>
      <c r="F104" s="58"/>
      <c r="G104" s="58"/>
      <c r="H104" s="58"/>
      <c r="I104" s="58"/>
      <c r="J104" s="58"/>
      <c r="K104" s="58"/>
      <c r="L104" s="58"/>
      <c r="M104" s="58"/>
      <c r="V104" s="36"/>
      <c r="W104" s="36"/>
      <c r="X104" s="36"/>
      <c r="Y104" s="36"/>
      <c r="Z104" s="36"/>
      <c r="AA104" s="36"/>
      <c r="AB104" s="36"/>
      <c r="AC104" s="36"/>
      <c r="AD104" s="36"/>
      <c r="AE104" s="36"/>
    </row>
    <row r="105" spans="2:31" ht="14.65" customHeight="1" x14ac:dyDescent="0.3">
      <c r="B105" s="1295" t="s">
        <v>349</v>
      </c>
      <c r="C105" s="1296"/>
      <c r="D105" s="1307" t="s">
        <v>350</v>
      </c>
      <c r="E105" s="1308"/>
      <c r="F105" s="1308"/>
      <c r="G105" s="1308"/>
      <c r="H105" s="1308"/>
      <c r="I105" s="1308"/>
      <c r="J105" s="1308"/>
      <c r="K105" s="1308"/>
      <c r="L105" s="1308"/>
      <c r="M105" s="1308"/>
      <c r="N105" s="1308"/>
      <c r="O105" s="1308"/>
      <c r="P105" s="1309"/>
      <c r="Q105" s="1304" t="s">
        <v>351</v>
      </c>
      <c r="R105" s="1305"/>
      <c r="S105" s="1305"/>
      <c r="T105" s="1305"/>
      <c r="U105" s="1305"/>
      <c r="V105" s="1305"/>
      <c r="W105" s="1305"/>
      <c r="X105" s="1305"/>
      <c r="Y105" s="1305"/>
      <c r="Z105" s="1305"/>
      <c r="AA105" s="1305"/>
      <c r="AB105" s="1305"/>
      <c r="AC105" s="1306"/>
      <c r="AD105" s="168"/>
      <c r="AE105" s="168"/>
    </row>
    <row r="106" spans="2:31" x14ac:dyDescent="0.3">
      <c r="B106" s="1297"/>
      <c r="C106" s="1298"/>
      <c r="D106" s="455">
        <v>2018</v>
      </c>
      <c r="E106" s="1292">
        <v>2019</v>
      </c>
      <c r="F106" s="1293"/>
      <c r="G106" s="1293"/>
      <c r="H106" s="1294"/>
      <c r="I106" s="1292">
        <v>2020</v>
      </c>
      <c r="J106" s="1293"/>
      <c r="K106" s="1293"/>
      <c r="L106" s="1293"/>
      <c r="M106" s="1302">
        <v>2021</v>
      </c>
      <c r="N106" s="1293"/>
      <c r="O106" s="1293"/>
      <c r="P106" s="1303"/>
      <c r="Q106" s="1300">
        <v>2022</v>
      </c>
      <c r="R106" s="1300"/>
      <c r="S106" s="1300"/>
      <c r="T106" s="1301"/>
      <c r="U106" s="1299">
        <v>2023</v>
      </c>
      <c r="V106" s="1300"/>
      <c r="W106" s="1300"/>
      <c r="X106" s="1300"/>
      <c r="Y106" s="1299">
        <v>2024</v>
      </c>
      <c r="Z106" s="1300"/>
      <c r="AA106" s="1300"/>
      <c r="AB106" s="1301"/>
      <c r="AC106" s="306">
        <v>2025</v>
      </c>
      <c r="AD106" s="36"/>
      <c r="AE106" s="36"/>
    </row>
    <row r="107" spans="2:31" x14ac:dyDescent="0.3">
      <c r="B107" s="1335"/>
      <c r="C107" s="1336"/>
      <c r="D107" s="156" t="s">
        <v>352</v>
      </c>
      <c r="E107" s="156" t="s">
        <v>353</v>
      </c>
      <c r="F107" s="139" t="s">
        <v>354</v>
      </c>
      <c r="G107" s="139" t="s">
        <v>253</v>
      </c>
      <c r="H107" s="146" t="s">
        <v>352</v>
      </c>
      <c r="I107" s="140" t="s">
        <v>353</v>
      </c>
      <c r="J107" s="140" t="s">
        <v>354</v>
      </c>
      <c r="K107" s="140" t="s">
        <v>253</v>
      </c>
      <c r="L107" s="140" t="s">
        <v>352</v>
      </c>
      <c r="M107" s="151" t="s">
        <v>353</v>
      </c>
      <c r="N107" s="773" t="s">
        <v>354</v>
      </c>
      <c r="O107" s="773" t="s">
        <v>253</v>
      </c>
      <c r="P107" s="146" t="s">
        <v>352</v>
      </c>
      <c r="Q107" s="826" t="s">
        <v>353</v>
      </c>
      <c r="R107" s="898" t="s">
        <v>354</v>
      </c>
      <c r="S107" s="898" t="s">
        <v>253</v>
      </c>
      <c r="T107" s="898" t="s">
        <v>352</v>
      </c>
      <c r="U107" s="897" t="s">
        <v>353</v>
      </c>
      <c r="V107" s="898" t="s">
        <v>354</v>
      </c>
      <c r="W107" s="898" t="s">
        <v>253</v>
      </c>
      <c r="X107" s="898" t="s">
        <v>352</v>
      </c>
      <c r="Y107" s="897" t="s">
        <v>353</v>
      </c>
      <c r="Z107" s="874" t="s">
        <v>354</v>
      </c>
      <c r="AA107" s="898" t="s">
        <v>253</v>
      </c>
      <c r="AB107" s="381" t="s">
        <v>352</v>
      </c>
      <c r="AC107" s="63" t="s">
        <v>353</v>
      </c>
      <c r="AD107" s="36"/>
      <c r="AE107" s="36"/>
    </row>
    <row r="108" spans="2:31" s="132" customFormat="1" ht="14.5" x14ac:dyDescent="0.35">
      <c r="B108" s="391" t="s">
        <v>457</v>
      </c>
      <c r="C108" s="1447" t="s">
        <v>458</v>
      </c>
      <c r="D108" s="1448"/>
      <c r="E108" s="1447"/>
      <c r="F108" s="1447"/>
      <c r="G108" s="1447"/>
      <c r="H108" s="1449">
        <f>'Haver Pivoted'!GS41</f>
        <v>70.894000000000005</v>
      </c>
      <c r="I108" s="1449">
        <f>'Haver Pivoted'!GT41</f>
        <v>72.774000000000001</v>
      </c>
      <c r="J108" s="1449">
        <f>'Haver Pivoted'!GU41</f>
        <v>75.275000000000006</v>
      </c>
      <c r="K108" s="1449">
        <f>'Haver Pivoted'!GV41</f>
        <v>78.766999999999996</v>
      </c>
      <c r="L108" s="1449">
        <f>'Haver Pivoted'!GW41</f>
        <v>76.995000000000005</v>
      </c>
      <c r="M108" s="1449">
        <f>'Haver Pivoted'!GX41</f>
        <v>75.03</v>
      </c>
      <c r="N108" s="1449">
        <f>'Haver Pivoted'!GY41</f>
        <v>77.703999999999994</v>
      </c>
      <c r="O108" s="1449">
        <f>'Haver Pivoted'!GZ41</f>
        <v>72.766999999999996</v>
      </c>
      <c r="P108" s="1450">
        <f>'Haver Pivoted'!HA41</f>
        <v>74.768000000000001</v>
      </c>
      <c r="Q108" s="1451">
        <f t="shared" ref="Q108:AC108" si="28">AVERAGE($H$108:$N$108)</f>
        <v>75.34842857142857</v>
      </c>
      <c r="R108" s="1451">
        <f t="shared" si="28"/>
        <v>75.34842857142857</v>
      </c>
      <c r="S108" s="1451">
        <f t="shared" si="28"/>
        <v>75.34842857142857</v>
      </c>
      <c r="T108" s="1451">
        <f t="shared" si="28"/>
        <v>75.34842857142857</v>
      </c>
      <c r="U108" s="1451">
        <f t="shared" si="28"/>
        <v>75.34842857142857</v>
      </c>
      <c r="V108" s="1451">
        <f t="shared" si="28"/>
        <v>75.34842857142857</v>
      </c>
      <c r="W108" s="1451">
        <f t="shared" si="28"/>
        <v>75.34842857142857</v>
      </c>
      <c r="X108" s="1451">
        <f t="shared" si="28"/>
        <v>75.34842857142857</v>
      </c>
      <c r="Y108" s="1451">
        <f t="shared" si="28"/>
        <v>75.34842857142857</v>
      </c>
      <c r="Z108" s="1451">
        <f t="shared" si="28"/>
        <v>75.34842857142857</v>
      </c>
      <c r="AA108" s="1451">
        <f t="shared" si="28"/>
        <v>75.34842857142857</v>
      </c>
      <c r="AB108" s="1451">
        <f t="shared" si="28"/>
        <v>75.34842857142857</v>
      </c>
      <c r="AC108" s="1452">
        <f t="shared" si="28"/>
        <v>75.34842857142857</v>
      </c>
      <c r="AD108" s="1453"/>
      <c r="AE108" s="1453"/>
    </row>
    <row r="110" spans="2:31" ht="11.25" customHeight="1" x14ac:dyDescent="0.3"/>
    <row r="111" spans="2:31" hidden="1" x14ac:dyDescent="0.3"/>
  </sheetData>
  <mergeCells count="42">
    <mergeCell ref="AE39:AF39"/>
    <mergeCell ref="AE43:AF44"/>
    <mergeCell ref="AE49:AF49"/>
    <mergeCell ref="B1:Y1"/>
    <mergeCell ref="B6:C8"/>
    <mergeCell ref="I7:L7"/>
    <mergeCell ref="Q7:T7"/>
    <mergeCell ref="AD6:AD8"/>
    <mergeCell ref="AE6:AE8"/>
    <mergeCell ref="U7:X7"/>
    <mergeCell ref="E7:H7"/>
    <mergeCell ref="B38:AC38"/>
    <mergeCell ref="Y7:AB7"/>
    <mergeCell ref="A80:A81"/>
    <mergeCell ref="Q62:AH62"/>
    <mergeCell ref="Q63:S63"/>
    <mergeCell ref="T63:Y63"/>
    <mergeCell ref="AD63:AG63"/>
    <mergeCell ref="B105:C107"/>
    <mergeCell ref="I106:L106"/>
    <mergeCell ref="Q106:T106"/>
    <mergeCell ref="B2:AC4"/>
    <mergeCell ref="B103:AC103"/>
    <mergeCell ref="Y87:AB87"/>
    <mergeCell ref="B86:C88"/>
    <mergeCell ref="I87:L87"/>
    <mergeCell ref="Q87:T87"/>
    <mergeCell ref="U87:X87"/>
    <mergeCell ref="B102:Y102"/>
    <mergeCell ref="U106:X106"/>
    <mergeCell ref="E106:H106"/>
    <mergeCell ref="Y106:AB106"/>
    <mergeCell ref="E87:H87"/>
    <mergeCell ref="D105:P105"/>
    <mergeCell ref="M106:P106"/>
    <mergeCell ref="M7:P7"/>
    <mergeCell ref="D6:P6"/>
    <mergeCell ref="Q6:AC6"/>
    <mergeCell ref="D86:P86"/>
    <mergeCell ref="Q86:AC86"/>
    <mergeCell ref="Q105:AC105"/>
    <mergeCell ref="M87:P87"/>
  </mergeCells>
  <phoneticPr fontId="53" type="noConversion"/>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76"/>
  <sheetViews>
    <sheetView zoomScale="53" zoomScaleNormal="57" workbookViewId="0">
      <selection activeCell="J19" sqref="J19"/>
    </sheetView>
  </sheetViews>
  <sheetFormatPr defaultColWidth="8.453125" defaultRowHeight="14" x14ac:dyDescent="0.3"/>
  <cols>
    <col min="1" max="1" width="8.453125" style="27"/>
    <col min="2" max="2" width="44.453125" style="27" customWidth="1"/>
    <col min="3" max="3" width="13.453125" style="27" customWidth="1"/>
    <col min="4" max="7" width="10" style="27" customWidth="1"/>
    <col min="8" max="8" width="14.1796875" style="27" customWidth="1"/>
    <col min="9" max="9" width="10.26953125" style="27" customWidth="1"/>
    <col min="10" max="10" width="11.7265625" style="27" customWidth="1"/>
    <col min="11" max="11" width="13.453125" style="27" customWidth="1"/>
    <col min="12" max="13" width="8.453125" style="27"/>
    <col min="14" max="16" width="9" style="27" bestFit="1" customWidth="1"/>
    <col min="17" max="17" width="12.1796875" style="27" bestFit="1" customWidth="1"/>
    <col min="18" max="19" width="9" style="27" bestFit="1" customWidth="1"/>
    <col min="20" max="21" width="8.7265625" style="27" bestFit="1" customWidth="1"/>
    <col min="22" max="26" width="8.7265625" style="27" customWidth="1"/>
    <col min="27" max="38" width="8.453125" style="27"/>
    <col min="39" max="39" width="31.7265625" style="27" customWidth="1"/>
    <col min="40" max="40" width="8.453125" style="27"/>
    <col min="41" max="41" width="10.1796875" style="27" bestFit="1" customWidth="1"/>
    <col min="42" max="16384" width="8.453125" style="27"/>
  </cols>
  <sheetData>
    <row r="1" spans="2:39" ht="20.25" customHeight="1" x14ac:dyDescent="0.3">
      <c r="B1" s="1290" t="s">
        <v>459</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39" ht="14.25" customHeight="1" x14ac:dyDescent="0.3">
      <c r="B2" s="1311" t="s">
        <v>460</v>
      </c>
      <c r="C2" s="1311"/>
      <c r="D2" s="1311"/>
      <c r="E2" s="1311"/>
      <c r="F2" s="1311"/>
      <c r="G2" s="1311"/>
      <c r="H2" s="1311"/>
      <c r="I2" s="1311"/>
      <c r="J2" s="1311"/>
      <c r="K2" s="1311"/>
      <c r="L2" s="1311"/>
      <c r="M2" s="1311"/>
      <c r="N2" s="1311"/>
      <c r="O2" s="1311"/>
      <c r="P2" s="1311"/>
      <c r="Q2" s="1311"/>
      <c r="R2" s="1311"/>
      <c r="S2" s="1311"/>
      <c r="T2" s="1311"/>
      <c r="U2" s="1311"/>
      <c r="V2" s="1311"/>
      <c r="W2" s="1311"/>
      <c r="X2" s="1311"/>
      <c r="Y2" s="1311"/>
      <c r="Z2" s="1311"/>
      <c r="AA2" s="1311"/>
      <c r="AB2" s="1311"/>
      <c r="AC2" s="1311"/>
    </row>
    <row r="3" spans="2:39" ht="9" customHeight="1" x14ac:dyDescent="0.3">
      <c r="B3" s="1311"/>
      <c r="C3" s="1311"/>
      <c r="D3" s="1311"/>
      <c r="E3" s="1311"/>
      <c r="F3" s="1311"/>
      <c r="G3" s="1311"/>
      <c r="H3" s="1311"/>
      <c r="I3" s="1311"/>
      <c r="J3" s="1311"/>
      <c r="K3" s="1311"/>
      <c r="L3" s="1311"/>
      <c r="M3" s="1311"/>
      <c r="N3" s="1311"/>
      <c r="O3" s="1311"/>
      <c r="P3" s="1311"/>
      <c r="Q3" s="1311"/>
      <c r="R3" s="1311"/>
      <c r="S3" s="1311"/>
      <c r="T3" s="1311"/>
      <c r="U3" s="1311"/>
      <c r="V3" s="1311"/>
      <c r="W3" s="1311"/>
      <c r="X3" s="1311"/>
      <c r="Y3" s="1311"/>
      <c r="Z3" s="1311"/>
      <c r="AA3" s="1311"/>
      <c r="AB3" s="1311"/>
      <c r="AC3" s="1311"/>
    </row>
    <row r="4" spans="2:39" ht="27" customHeight="1" x14ac:dyDescent="0.3">
      <c r="B4" s="1311"/>
      <c r="C4" s="1311"/>
      <c r="D4" s="1311"/>
      <c r="E4" s="1311"/>
      <c r="F4" s="1311"/>
      <c r="G4" s="1311"/>
      <c r="H4" s="1311"/>
      <c r="I4" s="1311"/>
      <c r="J4" s="1311"/>
      <c r="K4" s="1311"/>
      <c r="L4" s="1311"/>
      <c r="M4" s="1311"/>
      <c r="N4" s="1311"/>
      <c r="O4" s="1311"/>
      <c r="P4" s="1311"/>
      <c r="Q4" s="1311"/>
      <c r="R4" s="1311"/>
      <c r="S4" s="1311"/>
      <c r="T4" s="1311"/>
      <c r="U4" s="1311"/>
      <c r="V4" s="1311"/>
      <c r="W4" s="1311"/>
      <c r="X4" s="1311"/>
      <c r="Y4" s="1311"/>
      <c r="Z4" s="1311"/>
      <c r="AA4" s="1311"/>
      <c r="AB4" s="1311"/>
      <c r="AC4" s="1311"/>
      <c r="AE4" s="31"/>
      <c r="AF4" s="31"/>
      <c r="AG4" s="31"/>
      <c r="AH4" s="31"/>
      <c r="AI4" s="31"/>
      <c r="AJ4" s="31"/>
      <c r="AK4" s="31"/>
      <c r="AL4" s="31"/>
      <c r="AM4" s="31"/>
    </row>
    <row r="5" spans="2:39" x14ac:dyDescent="0.3">
      <c r="B5" s="32"/>
      <c r="AC5" s="43"/>
      <c r="AD5" s="43"/>
      <c r="AE5" s="43"/>
      <c r="AF5" s="43"/>
    </row>
    <row r="6" spans="2:39" ht="14.65" customHeight="1" x14ac:dyDescent="0.3">
      <c r="B6" s="1295" t="s">
        <v>349</v>
      </c>
      <c r="C6" s="1296"/>
      <c r="D6" s="1307" t="s">
        <v>350</v>
      </c>
      <c r="E6" s="1308"/>
      <c r="F6" s="1308"/>
      <c r="G6" s="1308"/>
      <c r="H6" s="1308"/>
      <c r="I6" s="1308"/>
      <c r="J6" s="1308"/>
      <c r="K6" s="1308"/>
      <c r="L6" s="1308"/>
      <c r="M6" s="1308"/>
      <c r="N6" s="1308"/>
      <c r="O6" s="1308"/>
      <c r="P6" s="1309"/>
      <c r="Q6" s="1304" t="s">
        <v>351</v>
      </c>
      <c r="R6" s="1305"/>
      <c r="S6" s="1305"/>
      <c r="T6" s="1305"/>
      <c r="U6" s="1305"/>
      <c r="V6" s="1305"/>
      <c r="W6" s="1305"/>
      <c r="X6" s="1305"/>
      <c r="Y6" s="1305"/>
      <c r="Z6" s="1305"/>
      <c r="AA6" s="1305"/>
      <c r="AB6" s="1305"/>
      <c r="AC6" s="1306"/>
    </row>
    <row r="7" spans="2:39" ht="14.65" customHeight="1" x14ac:dyDescent="0.3">
      <c r="B7" s="1297"/>
      <c r="C7" s="1298"/>
      <c r="D7" s="455">
        <v>2018</v>
      </c>
      <c r="E7" s="1292">
        <v>2019</v>
      </c>
      <c r="F7" s="1293"/>
      <c r="G7" s="1293"/>
      <c r="H7" s="1294"/>
      <c r="I7" s="1292">
        <v>2020</v>
      </c>
      <c r="J7" s="1293"/>
      <c r="K7" s="1293"/>
      <c r="L7" s="1293"/>
      <c r="M7" s="1302">
        <v>2021</v>
      </c>
      <c r="N7" s="1293"/>
      <c r="O7" s="1293"/>
      <c r="P7" s="1303"/>
      <c r="Q7" s="1300">
        <v>2022</v>
      </c>
      <c r="R7" s="1300"/>
      <c r="S7" s="1300"/>
      <c r="T7" s="1301"/>
      <c r="U7" s="1299">
        <v>2023</v>
      </c>
      <c r="V7" s="1300"/>
      <c r="W7" s="1300"/>
      <c r="X7" s="1300"/>
      <c r="Y7" s="1299">
        <v>2024</v>
      </c>
      <c r="Z7" s="1300"/>
      <c r="AA7" s="1300"/>
      <c r="AB7" s="1301"/>
      <c r="AC7" s="306">
        <v>2025</v>
      </c>
    </row>
    <row r="8" spans="2:39" x14ac:dyDescent="0.3">
      <c r="B8" s="1335"/>
      <c r="C8" s="1336"/>
      <c r="D8" s="156" t="s">
        <v>352</v>
      </c>
      <c r="E8" s="156" t="s">
        <v>353</v>
      </c>
      <c r="F8" s="139" t="s">
        <v>354</v>
      </c>
      <c r="G8" s="139" t="s">
        <v>253</v>
      </c>
      <c r="H8" s="146" t="s">
        <v>352</v>
      </c>
      <c r="I8" s="140" t="s">
        <v>353</v>
      </c>
      <c r="J8" s="140" t="s">
        <v>354</v>
      </c>
      <c r="K8" s="140" t="s">
        <v>253</v>
      </c>
      <c r="L8" s="140" t="s">
        <v>352</v>
      </c>
      <c r="M8" s="151" t="s">
        <v>353</v>
      </c>
      <c r="N8" s="773" t="s">
        <v>354</v>
      </c>
      <c r="O8" s="773" t="s">
        <v>253</v>
      </c>
      <c r="P8" s="146" t="s">
        <v>352</v>
      </c>
      <c r="Q8" s="826" t="s">
        <v>353</v>
      </c>
      <c r="R8" s="898" t="s">
        <v>354</v>
      </c>
      <c r="S8" s="898" t="s">
        <v>253</v>
      </c>
      <c r="T8" s="898" t="s">
        <v>352</v>
      </c>
      <c r="U8" s="897" t="s">
        <v>353</v>
      </c>
      <c r="V8" s="898" t="s">
        <v>354</v>
      </c>
      <c r="W8" s="898" t="s">
        <v>253</v>
      </c>
      <c r="X8" s="898" t="s">
        <v>352</v>
      </c>
      <c r="Y8" s="897" t="s">
        <v>353</v>
      </c>
      <c r="Z8" s="874" t="s">
        <v>354</v>
      </c>
      <c r="AA8" s="898" t="s">
        <v>253</v>
      </c>
      <c r="AB8" s="381" t="s">
        <v>352</v>
      </c>
      <c r="AC8" s="63" t="s">
        <v>353</v>
      </c>
    </row>
    <row r="9" spans="2:39" ht="29.25" customHeight="1" x14ac:dyDescent="0.3">
      <c r="B9" s="48" t="s">
        <v>461</v>
      </c>
      <c r="C9" s="47" t="s">
        <v>462</v>
      </c>
      <c r="D9" s="1461"/>
      <c r="E9" s="701"/>
      <c r="F9" s="701"/>
      <c r="G9" s="701"/>
      <c r="H9" s="701">
        <f>'Haver Pivoted'!GS23</f>
        <v>1441.7</v>
      </c>
      <c r="I9" s="701">
        <f>'Haver Pivoted'!GT23</f>
        <v>1454.7</v>
      </c>
      <c r="J9" s="701">
        <f>'Haver Pivoted'!GU23</f>
        <v>1525</v>
      </c>
      <c r="K9" s="701">
        <f>'Haver Pivoted'!GV23</f>
        <v>1515.1</v>
      </c>
      <c r="L9" s="701">
        <f>'Haver Pivoted'!GW23</f>
        <v>1512.3</v>
      </c>
      <c r="M9" s="701">
        <f>'Haver Pivoted'!GX23</f>
        <v>1568.6</v>
      </c>
      <c r="N9" s="701">
        <f>'Haver Pivoted'!GY23</f>
        <v>1563.3</v>
      </c>
      <c r="O9" s="701">
        <f>'Haver Pivoted'!GZ23</f>
        <v>1562</v>
      </c>
      <c r="P9" s="1089">
        <f>'Haver Pivoted'!HA23</f>
        <v>1566.2</v>
      </c>
      <c r="Q9" s="731">
        <f>P9*((100 + Q11)/100)^(0.25)</f>
        <v>1578.1496920590798</v>
      </c>
      <c r="R9" s="731">
        <f t="shared" ref="R9:Y9" si="0">Q9*((100 + R11)/100)^(0.25)</f>
        <v>1580.114760478823</v>
      </c>
      <c r="S9" s="731">
        <f t="shared" si="0"/>
        <v>1579.4625594519052</v>
      </c>
      <c r="T9" s="731">
        <f t="shared" si="0"/>
        <v>1579.6283769066833</v>
      </c>
      <c r="U9" s="731">
        <f t="shared" si="0"/>
        <v>1583.8527034879748</v>
      </c>
      <c r="V9" s="731">
        <f t="shared" si="0"/>
        <v>1589.7551154070156</v>
      </c>
      <c r="W9" s="731">
        <f t="shared" si="0"/>
        <v>1597.3120144987333</v>
      </c>
      <c r="X9" s="731">
        <f t="shared" si="0"/>
        <v>1606.1945734646229</v>
      </c>
      <c r="Y9" s="731">
        <f t="shared" si="0"/>
        <v>1614.956683929988</v>
      </c>
      <c r="Z9" s="731">
        <f t="shared" ref="Z9" si="1">Y9*((100 + Z11)/100)^(0.25)</f>
        <v>1623.7665934485162</v>
      </c>
      <c r="AA9" s="731">
        <f t="shared" ref="AA9" si="2">Z9*((100 + AA11)/100)^(0.25)</f>
        <v>1633.0237863179284</v>
      </c>
      <c r="AB9" s="731">
        <f t="shared" ref="AB9" si="3">AA9*((100 + AB11)/100)^(0.25)</f>
        <v>1641.9322554689741</v>
      </c>
      <c r="AC9" s="1088">
        <f t="shared" ref="AC9" si="4">AB9*((100 + AC11)/100)^(0.25)</f>
        <v>1652.0995044448453</v>
      </c>
    </row>
    <row r="10" spans="2:39" ht="18" customHeight="1" x14ac:dyDescent="0.3">
      <c r="B10" s="48" t="s">
        <v>463</v>
      </c>
      <c r="C10" s="47"/>
      <c r="D10" s="700"/>
      <c r="E10" s="958"/>
      <c r="F10" s="958"/>
      <c r="G10" s="958"/>
      <c r="H10" s="958">
        <v>1447.9</v>
      </c>
      <c r="I10" s="958">
        <v>1452.6</v>
      </c>
      <c r="J10" s="958">
        <v>1504.8</v>
      </c>
      <c r="K10" s="958">
        <v>1487</v>
      </c>
      <c r="L10" s="958">
        <v>1493.4</v>
      </c>
      <c r="M10" s="958">
        <v>1557</v>
      </c>
      <c r="N10" s="958">
        <v>1546</v>
      </c>
      <c r="O10" s="958">
        <v>1557</v>
      </c>
      <c r="P10" s="913">
        <v>1568.8</v>
      </c>
      <c r="Q10" s="1458">
        <v>1580.8</v>
      </c>
      <c r="R10" s="1458">
        <v>1582.8</v>
      </c>
      <c r="S10" s="1458">
        <v>1582.1</v>
      </c>
      <c r="T10" s="1458">
        <v>1582.3</v>
      </c>
      <c r="U10" s="1462">
        <v>1586.5</v>
      </c>
      <c r="V10" s="1462">
        <v>1592.4</v>
      </c>
      <c r="W10" s="1462">
        <v>1600</v>
      </c>
      <c r="X10" s="1462">
        <v>1608.9</v>
      </c>
      <c r="Y10" s="1462">
        <v>1618</v>
      </c>
      <c r="Z10" s="1462">
        <v>1627</v>
      </c>
      <c r="AA10" s="826">
        <v>1636</v>
      </c>
      <c r="AB10" s="826">
        <v>1645</v>
      </c>
      <c r="AC10" s="381">
        <v>1655</v>
      </c>
    </row>
    <row r="11" spans="2:39" ht="14.65" customHeight="1" x14ac:dyDescent="0.3">
      <c r="B11" s="48" t="s">
        <v>464</v>
      </c>
      <c r="C11" s="331"/>
      <c r="D11" s="1205"/>
      <c r="E11" s="959"/>
      <c r="F11" s="959"/>
      <c r="G11" s="959"/>
      <c r="H11" s="960">
        <v>5.3259999999999996</v>
      </c>
      <c r="I11" s="960">
        <v>1.278</v>
      </c>
      <c r="J11" s="960">
        <v>15.177</v>
      </c>
      <c r="K11" s="961">
        <v>-4.6340000000000003</v>
      </c>
      <c r="L11" s="961">
        <v>1.732</v>
      </c>
      <c r="M11" s="961">
        <v>18.143999999999998</v>
      </c>
      <c r="N11" s="961">
        <v>-2.7970000000000002</v>
      </c>
      <c r="O11" s="961">
        <v>2.8889999999999998</v>
      </c>
      <c r="P11" s="914">
        <v>3.0630000000000002</v>
      </c>
      <c r="Q11" s="1463">
        <v>3.0870000000000002</v>
      </c>
      <c r="R11" s="1463">
        <v>0.499</v>
      </c>
      <c r="S11" s="1463">
        <v>-0.16500000000000001</v>
      </c>
      <c r="T11" s="1463">
        <v>4.2000000000000003E-2</v>
      </c>
      <c r="U11" s="1464">
        <v>1.0740000000000001</v>
      </c>
      <c r="V11" s="1464">
        <v>1.4990000000000001</v>
      </c>
      <c r="W11" s="1464">
        <v>1.915</v>
      </c>
      <c r="X11" s="1464">
        <v>2.2429999999999999</v>
      </c>
      <c r="Y11" s="1464">
        <v>2.2000000000000002</v>
      </c>
      <c r="Z11" s="1464">
        <v>2.2000000000000002</v>
      </c>
      <c r="AA11" s="826">
        <v>2.2999999999999998</v>
      </c>
      <c r="AB11" s="826">
        <v>2.2000000000000002</v>
      </c>
      <c r="AC11" s="381">
        <v>2.5</v>
      </c>
    </row>
    <row r="12" spans="2:39" x14ac:dyDescent="0.3">
      <c r="B12" s="34" t="s">
        <v>465</v>
      </c>
      <c r="D12" s="869"/>
      <c r="E12" s="827"/>
      <c r="F12" s="827"/>
      <c r="G12" s="827"/>
      <c r="H12" s="961"/>
      <c r="I12" s="961"/>
      <c r="J12" s="961"/>
      <c r="K12" s="961"/>
      <c r="L12" s="961"/>
      <c r="M12" s="961"/>
      <c r="N12" s="961"/>
      <c r="O12" s="961"/>
      <c r="P12" s="914"/>
      <c r="Q12" s="1463"/>
      <c r="R12" s="1463"/>
      <c r="S12" s="1463"/>
      <c r="T12" s="1463"/>
      <c r="U12" s="1463"/>
      <c r="V12" s="1463"/>
      <c r="W12" s="1463"/>
      <c r="X12" s="1463"/>
      <c r="Y12" s="1463"/>
      <c r="Z12" s="1463"/>
      <c r="AA12" s="1463"/>
      <c r="AB12" s="1463"/>
      <c r="AC12" s="873"/>
      <c r="AD12" s="27" t="s">
        <v>466</v>
      </c>
    </row>
    <row r="13" spans="2:39" s="868" customFormat="1" x14ac:dyDescent="0.3">
      <c r="B13" s="875" t="s">
        <v>1184</v>
      </c>
      <c r="D13" s="869"/>
      <c r="E13" s="827"/>
      <c r="F13" s="827"/>
      <c r="G13" s="827"/>
      <c r="H13" s="961"/>
      <c r="I13" s="961"/>
      <c r="J13" s="961"/>
      <c r="K13" s="961"/>
      <c r="L13" s="961"/>
      <c r="M13" s="961"/>
      <c r="N13" s="961"/>
      <c r="O13" s="961"/>
      <c r="P13" s="914"/>
      <c r="Q13" s="1463">
        <v>3.5110000000000001</v>
      </c>
      <c r="R13" s="1463">
        <v>3.5110000000000001</v>
      </c>
      <c r="S13" s="1463">
        <v>3.5110000000000001</v>
      </c>
      <c r="T13" s="1463">
        <v>8.5</v>
      </c>
      <c r="U13" s="1463">
        <v>8.5</v>
      </c>
      <c r="V13" s="1463">
        <v>8.5</v>
      </c>
      <c r="W13" s="1463">
        <v>8.5</v>
      </c>
      <c r="X13" s="1463">
        <v>12.3</v>
      </c>
      <c r="Y13" s="1463">
        <v>12.3</v>
      </c>
      <c r="Z13" s="1463">
        <v>12.3</v>
      </c>
      <c r="AA13" s="1463">
        <v>12.3</v>
      </c>
      <c r="AB13" s="1463">
        <v>15.3</v>
      </c>
      <c r="AC13" s="873">
        <v>15.3</v>
      </c>
    </row>
    <row r="14" spans="2:39" s="132" customFormat="1" ht="29" x14ac:dyDescent="0.35">
      <c r="B14" s="42" t="s">
        <v>467</v>
      </c>
      <c r="C14" s="60"/>
      <c r="D14" s="42"/>
      <c r="E14" s="1454"/>
      <c r="F14" s="1454"/>
      <c r="G14" s="1454"/>
      <c r="H14" s="1455">
        <f t="shared" ref="H14:P14" si="5">H9</f>
        <v>1441.7</v>
      </c>
      <c r="I14" s="1455">
        <f t="shared" si="5"/>
        <v>1454.7</v>
      </c>
      <c r="J14" s="1455">
        <f t="shared" si="5"/>
        <v>1525</v>
      </c>
      <c r="K14" s="1455">
        <f t="shared" si="5"/>
        <v>1515.1</v>
      </c>
      <c r="L14" s="1455">
        <f t="shared" si="5"/>
        <v>1512.3</v>
      </c>
      <c r="M14" s="1455">
        <f t="shared" si="5"/>
        <v>1568.6</v>
      </c>
      <c r="N14" s="1455">
        <f t="shared" si="5"/>
        <v>1563.3</v>
      </c>
      <c r="O14" s="1455">
        <f t="shared" si="5"/>
        <v>1562</v>
      </c>
      <c r="P14" s="1456">
        <f t="shared" si="5"/>
        <v>1566.2</v>
      </c>
      <c r="Q14" s="1465">
        <f>Q9 +Q12+Q13</f>
        <v>1581.6606920590798</v>
      </c>
      <c r="R14" s="1465">
        <f t="shared" ref="R14:AC14" si="6">R9 +R12+R13</f>
        <v>1583.6257604788229</v>
      </c>
      <c r="S14" s="1465">
        <f t="shared" si="6"/>
        <v>1582.9735594519052</v>
      </c>
      <c r="T14" s="1465">
        <f t="shared" si="6"/>
        <v>1588.1283769066833</v>
      </c>
      <c r="U14" s="1465">
        <f t="shared" si="6"/>
        <v>1592.3527034879748</v>
      </c>
      <c r="V14" s="1465">
        <f t="shared" si="6"/>
        <v>1598.2551154070156</v>
      </c>
      <c r="W14" s="1465">
        <f t="shared" si="6"/>
        <v>1605.8120144987333</v>
      </c>
      <c r="X14" s="1465">
        <f t="shared" si="6"/>
        <v>1618.4945734646228</v>
      </c>
      <c r="Y14" s="1465">
        <f t="shared" si="6"/>
        <v>1627.256683929988</v>
      </c>
      <c r="Z14" s="1465">
        <f t="shared" si="6"/>
        <v>1636.0665934485162</v>
      </c>
      <c r="AA14" s="1465">
        <f t="shared" si="6"/>
        <v>1645.3237863179284</v>
      </c>
      <c r="AB14" s="1465">
        <f t="shared" si="6"/>
        <v>1657.232255468974</v>
      </c>
      <c r="AC14" s="1446">
        <f t="shared" si="6"/>
        <v>1667.3995044448452</v>
      </c>
      <c r="AD14" s="132" t="s">
        <v>468</v>
      </c>
    </row>
    <row r="15" spans="2:39" x14ac:dyDescent="0.3">
      <c r="B15" s="78" t="s">
        <v>469</v>
      </c>
      <c r="C15" s="456"/>
      <c r="D15" s="1203"/>
      <c r="E15" s="1204"/>
      <c r="F15" s="1204"/>
      <c r="G15" s="1204"/>
      <c r="H15" s="246">
        <f t="shared" ref="H15:AC15" si="7">H14+H62</f>
        <v>1721.1880000000001</v>
      </c>
      <c r="I15" s="246">
        <f t="shared" si="7"/>
        <v>1739.9560000000001</v>
      </c>
      <c r="J15" s="246">
        <f t="shared" si="7"/>
        <v>1934.885</v>
      </c>
      <c r="K15" s="246">
        <f t="shared" si="7"/>
        <v>1895.6499999999999</v>
      </c>
      <c r="L15" s="246">
        <f t="shared" si="7"/>
        <v>1869.4580000000001</v>
      </c>
      <c r="M15" s="246">
        <f t="shared" si="7"/>
        <v>1953.7849999999999</v>
      </c>
      <c r="N15" s="246">
        <f t="shared" si="7"/>
        <v>1987.319</v>
      </c>
      <c r="O15" s="246">
        <f t="shared" si="7"/>
        <v>2018.8899999999999</v>
      </c>
      <c r="P15" s="404">
        <f t="shared" si="7"/>
        <v>2059.084852</v>
      </c>
      <c r="Q15" s="244">
        <f t="shared" si="7"/>
        <v>2080.3277620605068</v>
      </c>
      <c r="R15" s="244">
        <f t="shared" si="7"/>
        <v>2082.6027231151838</v>
      </c>
      <c r="S15" s="244">
        <f t="shared" si="7"/>
        <v>2085.2803847096684</v>
      </c>
      <c r="T15" s="244">
        <f t="shared" si="7"/>
        <v>2103.7162171447785</v>
      </c>
      <c r="U15" s="244">
        <f t="shared" si="7"/>
        <v>2120.5854940298541</v>
      </c>
      <c r="V15" s="244">
        <f t="shared" si="7"/>
        <v>2110.7796573499922</v>
      </c>
      <c r="W15" s="244">
        <f t="shared" si="7"/>
        <v>2117.1551981839502</v>
      </c>
      <c r="X15" s="244">
        <f t="shared" si="7"/>
        <v>2133.8951929693849</v>
      </c>
      <c r="Y15" s="244">
        <f t="shared" si="7"/>
        <v>2134.2390545826852</v>
      </c>
      <c r="Z15" s="244">
        <f t="shared" si="7"/>
        <v>2125.1785391663548</v>
      </c>
      <c r="AA15" s="244">
        <f t="shared" si="7"/>
        <v>2138.8873279676964</v>
      </c>
      <c r="AB15" s="244">
        <f t="shared" si="7"/>
        <v>2154.4682089510693</v>
      </c>
      <c r="AC15" s="245">
        <f t="shared" si="7"/>
        <v>2147.7958333007932</v>
      </c>
      <c r="AD15" s="27" t="s">
        <v>470</v>
      </c>
    </row>
    <row r="16" spans="2:39" s="868" customFormat="1" x14ac:dyDescent="0.3">
      <c r="B16" s="1087"/>
      <c r="C16" s="1087"/>
      <c r="D16" s="1087"/>
      <c r="E16" s="1087"/>
      <c r="F16" s="1087"/>
      <c r="G16" s="1087"/>
      <c r="H16" s="925"/>
      <c r="I16" s="925"/>
      <c r="J16" s="925"/>
      <c r="K16" s="925"/>
      <c r="L16" s="925"/>
      <c r="M16" s="925"/>
      <c r="N16" s="925"/>
      <c r="O16" s="925"/>
      <c r="P16" s="1288"/>
      <c r="Q16" s="1288"/>
      <c r="R16" s="1288"/>
      <c r="S16" s="1288"/>
      <c r="T16" s="1288"/>
      <c r="U16" s="1288"/>
      <c r="V16" s="1288"/>
      <c r="W16" s="1288"/>
      <c r="X16" s="1288"/>
      <c r="Y16" s="1288"/>
      <c r="Z16" s="1288"/>
      <c r="AA16" s="1288"/>
      <c r="AB16" s="1288"/>
      <c r="AC16" s="1288"/>
    </row>
    <row r="17" spans="2:29" x14ac:dyDescent="0.3">
      <c r="B17" s="787"/>
      <c r="C17" s="787"/>
      <c r="D17" s="787"/>
      <c r="E17" s="787"/>
      <c r="F17" s="787"/>
      <c r="G17" s="787"/>
      <c r="H17" s="787"/>
      <c r="I17" s="817"/>
      <c r="J17" s="817"/>
      <c r="K17" s="817"/>
      <c r="L17" s="817"/>
      <c r="M17" s="817"/>
      <c r="N17" s="817"/>
      <c r="O17" s="817"/>
      <c r="P17" s="922"/>
      <c r="Q17" s="922"/>
      <c r="R17" s="922"/>
      <c r="S17" s="922"/>
      <c r="T17" s="922"/>
      <c r="U17" s="922"/>
      <c r="V17" s="922"/>
      <c r="W17" s="922"/>
      <c r="X17" s="922"/>
      <c r="Y17" s="922"/>
      <c r="Z17" s="922"/>
      <c r="AA17" s="922"/>
      <c r="AB17" s="922"/>
      <c r="AC17" s="922"/>
    </row>
    <row r="18" spans="2:29" s="868" customFormat="1" ht="57.4" customHeight="1" x14ac:dyDescent="0.3">
      <c r="B18" s="1087"/>
      <c r="C18" s="1087"/>
      <c r="D18" s="1087"/>
      <c r="E18" s="1087"/>
      <c r="F18" s="1087"/>
      <c r="G18" s="1087"/>
      <c r="H18" s="925"/>
      <c r="I18" s="925"/>
      <c r="J18" s="1457"/>
      <c r="K18" s="1457"/>
      <c r="L18" s="1457"/>
      <c r="M18" s="1457"/>
      <c r="N18" s="1457"/>
      <c r="O18" s="1457"/>
      <c r="P18" s="925"/>
      <c r="Q18" s="925"/>
      <c r="R18" s="925"/>
      <c r="S18" s="925"/>
      <c r="T18" s="925"/>
      <c r="U18" s="1459"/>
      <c r="V18" s="1459"/>
      <c r="W18" s="1459"/>
      <c r="X18" s="1459"/>
      <c r="Y18" s="1459"/>
      <c r="Z18" s="1459"/>
      <c r="AA18" s="920"/>
      <c r="AB18" s="920"/>
      <c r="AC18" s="920"/>
    </row>
    <row r="19" spans="2:29" s="868" customFormat="1" x14ac:dyDescent="0.3">
      <c r="B19" s="787"/>
      <c r="C19" s="787"/>
      <c r="D19" s="787"/>
      <c r="E19" s="787"/>
      <c r="F19" s="787"/>
      <c r="G19" s="787"/>
      <c r="H19" s="787"/>
      <c r="I19" s="817"/>
      <c r="J19" s="817"/>
      <c r="K19" s="817"/>
      <c r="L19" s="817"/>
      <c r="M19" s="817"/>
      <c r="N19" s="817"/>
      <c r="O19" s="817"/>
      <c r="P19" s="921"/>
      <c r="Q19" s="921"/>
      <c r="R19" s="921"/>
      <c r="S19" s="921"/>
      <c r="T19" s="921"/>
      <c r="U19" s="1460"/>
      <c r="V19" s="1460"/>
      <c r="W19" s="1460"/>
      <c r="X19" s="1460"/>
      <c r="Y19" s="1460"/>
      <c r="Z19" s="1460"/>
      <c r="AA19" s="920"/>
      <c r="AB19" s="920"/>
      <c r="AC19" s="920"/>
    </row>
    <row r="20" spans="2:29" s="868" customFormat="1" x14ac:dyDescent="0.3">
      <c r="B20" s="1087"/>
      <c r="C20" s="1087"/>
      <c r="D20" s="1087"/>
      <c r="E20" s="1087"/>
      <c r="F20" s="1087"/>
      <c r="G20" s="1087"/>
      <c r="H20" s="925"/>
      <c r="I20" s="925"/>
      <c r="J20" s="925"/>
      <c r="K20" s="925"/>
      <c r="L20" s="925"/>
      <c r="M20" s="925"/>
      <c r="N20" s="925"/>
      <c r="O20" s="925"/>
      <c r="P20" s="921"/>
      <c r="Q20" s="921"/>
      <c r="R20" s="921"/>
      <c r="S20" s="921"/>
      <c r="T20" s="921"/>
      <c r="U20" s="921"/>
      <c r="V20" s="921"/>
      <c r="W20" s="921"/>
      <c r="X20" s="921"/>
      <c r="Y20" s="921"/>
      <c r="Z20" s="921"/>
      <c r="AA20" s="921"/>
      <c r="AB20" s="921"/>
      <c r="AC20" s="921"/>
    </row>
    <row r="21" spans="2:29" s="868" customFormat="1" x14ac:dyDescent="0.3">
      <c r="B21" s="787"/>
      <c r="C21" s="787"/>
      <c r="D21" s="787"/>
      <c r="E21" s="787"/>
      <c r="F21" s="787"/>
      <c r="G21" s="787"/>
      <c r="H21" s="787"/>
      <c r="I21" s="817"/>
      <c r="J21" s="817"/>
      <c r="K21" s="817"/>
      <c r="L21" s="817"/>
      <c r="M21" s="817"/>
      <c r="N21" s="817"/>
      <c r="O21" s="817"/>
      <c r="P21" s="921"/>
      <c r="Q21" s="921"/>
      <c r="R21" s="921"/>
      <c r="S21" s="921"/>
      <c r="T21" s="921"/>
      <c r="U21" s="921"/>
      <c r="V21" s="921"/>
      <c r="W21" s="921"/>
      <c r="X21" s="921"/>
      <c r="Y21" s="921"/>
      <c r="Z21" s="921"/>
      <c r="AA21" s="921"/>
      <c r="AB21" s="921"/>
      <c r="AC21" s="921"/>
    </row>
    <row r="22" spans="2:29" s="868" customFormat="1" x14ac:dyDescent="0.3">
      <c r="B22" s="1087"/>
      <c r="C22" s="1087"/>
      <c r="D22" s="1087"/>
      <c r="E22" s="1087"/>
      <c r="F22" s="1087"/>
      <c r="G22" s="1087"/>
      <c r="H22" s="925"/>
      <c r="I22" s="925"/>
      <c r="J22" s="925"/>
      <c r="K22" s="925"/>
      <c r="L22" s="925"/>
      <c r="M22" s="925"/>
      <c r="N22" s="925"/>
      <c r="O22" s="925"/>
      <c r="P22" s="922"/>
      <c r="Q22" s="922"/>
      <c r="R22" s="922"/>
      <c r="S22" s="922"/>
      <c r="T22" s="922"/>
      <c r="U22" s="922"/>
      <c r="V22" s="922"/>
      <c r="W22" s="922"/>
      <c r="X22" s="922"/>
      <c r="Y22" s="922"/>
      <c r="Z22" s="922"/>
      <c r="AA22" s="922"/>
      <c r="AB22" s="922"/>
      <c r="AC22" s="922"/>
    </row>
    <row r="23" spans="2:29" s="868" customFormat="1" x14ac:dyDescent="0.3">
      <c r="B23" s="787"/>
      <c r="C23" s="787"/>
      <c r="D23" s="787"/>
      <c r="E23" s="787"/>
      <c r="F23" s="787"/>
      <c r="G23" s="787"/>
      <c r="H23" s="787"/>
      <c r="I23" s="817"/>
      <c r="J23" s="817"/>
      <c r="K23" s="817"/>
      <c r="L23" s="817"/>
      <c r="M23" s="817"/>
      <c r="N23" s="817"/>
      <c r="O23" s="817"/>
      <c r="P23" s="925"/>
      <c r="Q23" s="925"/>
      <c r="R23" s="925"/>
      <c r="S23" s="925"/>
      <c r="T23" s="925"/>
      <c r="U23" s="925"/>
      <c r="V23" s="925"/>
      <c r="W23" s="925"/>
      <c r="X23" s="925"/>
      <c r="Y23" s="925"/>
      <c r="Z23" s="925"/>
      <c r="AA23" s="925"/>
      <c r="AB23" s="925"/>
      <c r="AC23" s="925"/>
    </row>
    <row r="25" spans="2:29" ht="21.75" customHeight="1" x14ac:dyDescent="0.3">
      <c r="B25" s="1290" t="s">
        <v>179</v>
      </c>
      <c r="C25" s="1290"/>
      <c r="D25" s="1290"/>
      <c r="E25" s="1290"/>
      <c r="F25" s="1290"/>
      <c r="G25" s="1290"/>
      <c r="H25" s="1290"/>
      <c r="I25" s="1290"/>
      <c r="J25" s="1290"/>
      <c r="K25" s="1290"/>
      <c r="L25" s="1290"/>
      <c r="M25" s="1290"/>
      <c r="N25" s="1290"/>
      <c r="O25" s="1290"/>
      <c r="P25" s="1290"/>
      <c r="Q25" s="1290"/>
      <c r="R25" s="1290"/>
      <c r="S25" s="1290"/>
      <c r="T25" s="1290"/>
      <c r="U25" s="1290"/>
      <c r="V25" s="1290"/>
      <c r="W25" s="1290"/>
      <c r="X25" s="1290"/>
      <c r="Y25" s="1290"/>
      <c r="Z25" s="1290"/>
      <c r="AA25" s="1290"/>
      <c r="AB25" s="1290"/>
      <c r="AC25" s="1290"/>
    </row>
    <row r="26" spans="2:29" ht="14.25" customHeight="1" x14ac:dyDescent="0.3">
      <c r="B26" s="1291" t="s">
        <v>471</v>
      </c>
      <c r="C26" s="1291"/>
      <c r="D26" s="1291"/>
      <c r="E26" s="1291"/>
      <c r="F26" s="1291"/>
      <c r="G26" s="1291"/>
      <c r="H26" s="1291"/>
      <c r="I26" s="1291"/>
      <c r="J26" s="1291"/>
      <c r="K26" s="1291"/>
      <c r="L26" s="1291"/>
      <c r="M26" s="1291"/>
      <c r="N26" s="1291"/>
      <c r="O26" s="1291"/>
      <c r="P26" s="1291"/>
      <c r="Q26" s="1291"/>
      <c r="R26" s="1291"/>
      <c r="S26" s="1291"/>
      <c r="T26" s="1291"/>
      <c r="U26" s="1291"/>
      <c r="V26" s="1291"/>
      <c r="W26" s="1291"/>
      <c r="X26" s="1291"/>
      <c r="Y26" s="1291"/>
      <c r="Z26" s="1291"/>
      <c r="AA26" s="1291"/>
      <c r="AB26" s="1291"/>
      <c r="AC26" s="1291"/>
    </row>
    <row r="27" spans="2:29" x14ac:dyDescent="0.3">
      <c r="B27" s="1291"/>
      <c r="C27" s="1291"/>
      <c r="D27" s="1291"/>
      <c r="E27" s="1291"/>
      <c r="F27" s="1291"/>
      <c r="G27" s="1291"/>
      <c r="H27" s="1291"/>
      <c r="I27" s="1291"/>
      <c r="J27" s="1291"/>
      <c r="K27" s="1291"/>
      <c r="L27" s="1291"/>
      <c r="M27" s="1291"/>
      <c r="N27" s="1291"/>
      <c r="O27" s="1291"/>
      <c r="P27" s="1291"/>
      <c r="Q27" s="1291"/>
      <c r="R27" s="1291"/>
      <c r="S27" s="1291"/>
      <c r="T27" s="1291"/>
      <c r="U27" s="1291"/>
      <c r="V27" s="1291"/>
      <c r="W27" s="1291"/>
      <c r="X27" s="1291"/>
      <c r="Y27" s="1291"/>
      <c r="Z27" s="1291"/>
      <c r="AA27" s="1291"/>
      <c r="AB27" s="1291"/>
      <c r="AC27" s="1291"/>
    </row>
    <row r="28" spans="2:29" x14ac:dyDescent="0.3">
      <c r="B28" s="1291"/>
      <c r="C28" s="1291"/>
      <c r="D28" s="1291"/>
      <c r="E28" s="1291"/>
      <c r="F28" s="1291"/>
      <c r="G28" s="1291"/>
      <c r="H28" s="1291"/>
      <c r="I28" s="1291"/>
      <c r="J28" s="1291"/>
      <c r="K28" s="1291"/>
      <c r="L28" s="1291"/>
      <c r="M28" s="1291"/>
      <c r="N28" s="1291"/>
      <c r="O28" s="1291"/>
      <c r="P28" s="1291"/>
      <c r="Q28" s="1291"/>
      <c r="R28" s="1291"/>
      <c r="S28" s="1291"/>
      <c r="T28" s="1291"/>
      <c r="U28" s="1291"/>
      <c r="V28" s="1291"/>
      <c r="W28" s="1291"/>
      <c r="X28" s="1291"/>
      <c r="Y28" s="1291"/>
      <c r="Z28" s="1291"/>
      <c r="AA28" s="1291"/>
      <c r="AB28" s="1291"/>
      <c r="AC28" s="1291"/>
    </row>
    <row r="30" spans="2:29" x14ac:dyDescent="0.3">
      <c r="B30" s="1295" t="s">
        <v>349</v>
      </c>
      <c r="C30" s="1296"/>
      <c r="D30" s="1307" t="s">
        <v>350</v>
      </c>
      <c r="E30" s="1308"/>
      <c r="F30" s="1308"/>
      <c r="G30" s="1308"/>
      <c r="H30" s="1308"/>
      <c r="I30" s="1308"/>
      <c r="J30" s="1308"/>
      <c r="K30" s="1308"/>
      <c r="L30" s="1308"/>
      <c r="M30" s="1308"/>
      <c r="N30" s="1308"/>
      <c r="O30" s="1308"/>
      <c r="P30" s="1309"/>
      <c r="Q30" s="1304" t="s">
        <v>351</v>
      </c>
      <c r="R30" s="1305"/>
      <c r="S30" s="1305"/>
      <c r="T30" s="1305"/>
      <c r="U30" s="1305"/>
      <c r="V30" s="1305"/>
      <c r="W30" s="1305"/>
      <c r="X30" s="1305"/>
      <c r="Y30" s="1305"/>
      <c r="Z30" s="1305"/>
      <c r="AA30" s="1305"/>
      <c r="AB30" s="1305"/>
      <c r="AC30" s="1306"/>
    </row>
    <row r="31" spans="2:29" x14ac:dyDescent="0.3">
      <c r="B31" s="1297"/>
      <c r="C31" s="1298"/>
      <c r="D31" s="455">
        <v>2018</v>
      </c>
      <c r="E31" s="1292">
        <v>2019</v>
      </c>
      <c r="F31" s="1293"/>
      <c r="G31" s="1293"/>
      <c r="H31" s="1294"/>
      <c r="I31" s="1292">
        <v>2020</v>
      </c>
      <c r="J31" s="1293"/>
      <c r="K31" s="1293"/>
      <c r="L31" s="1293"/>
      <c r="M31" s="1302">
        <v>2021</v>
      </c>
      <c r="N31" s="1293"/>
      <c r="O31" s="1293"/>
      <c r="P31" s="1303"/>
      <c r="Q31" s="1300">
        <v>2022</v>
      </c>
      <c r="R31" s="1300"/>
      <c r="S31" s="1300"/>
      <c r="T31" s="1301"/>
      <c r="U31" s="1299">
        <v>2023</v>
      </c>
      <c r="V31" s="1300"/>
      <c r="W31" s="1300"/>
      <c r="X31" s="1300"/>
      <c r="Y31" s="1299">
        <v>2024</v>
      </c>
      <c r="Z31" s="1300"/>
      <c r="AA31" s="1300"/>
      <c r="AB31" s="1301"/>
      <c r="AC31" s="306">
        <v>2025</v>
      </c>
    </row>
    <row r="32" spans="2:29" x14ac:dyDescent="0.3">
      <c r="B32" s="1335"/>
      <c r="C32" s="1336"/>
      <c r="D32" s="156" t="s">
        <v>352</v>
      </c>
      <c r="E32" s="156" t="s">
        <v>353</v>
      </c>
      <c r="F32" s="139" t="s">
        <v>354</v>
      </c>
      <c r="G32" s="139" t="s">
        <v>253</v>
      </c>
      <c r="H32" s="146" t="s">
        <v>352</v>
      </c>
      <c r="I32" s="140" t="s">
        <v>353</v>
      </c>
      <c r="J32" s="140" t="s">
        <v>354</v>
      </c>
      <c r="K32" s="140" t="s">
        <v>253</v>
      </c>
      <c r="L32" s="140" t="s">
        <v>352</v>
      </c>
      <c r="M32" s="151" t="s">
        <v>353</v>
      </c>
      <c r="N32" s="773" t="s">
        <v>354</v>
      </c>
      <c r="O32" s="773" t="s">
        <v>253</v>
      </c>
      <c r="P32" s="146" t="s">
        <v>352</v>
      </c>
      <c r="Q32" s="826" t="s">
        <v>353</v>
      </c>
      <c r="R32" s="898" t="s">
        <v>354</v>
      </c>
      <c r="S32" s="898" t="s">
        <v>253</v>
      </c>
      <c r="T32" s="898" t="s">
        <v>352</v>
      </c>
      <c r="U32" s="897" t="s">
        <v>353</v>
      </c>
      <c r="V32" s="898" t="s">
        <v>354</v>
      </c>
      <c r="W32" s="898" t="s">
        <v>253</v>
      </c>
      <c r="X32" s="898" t="s">
        <v>352</v>
      </c>
      <c r="Y32" s="897" t="s">
        <v>353</v>
      </c>
      <c r="Z32" s="874" t="s">
        <v>354</v>
      </c>
      <c r="AA32" s="898" t="s">
        <v>253</v>
      </c>
      <c r="AB32" s="381" t="s">
        <v>352</v>
      </c>
      <c r="AC32" s="63" t="s">
        <v>353</v>
      </c>
    </row>
    <row r="33" spans="2:33" x14ac:dyDescent="0.3">
      <c r="B33" s="57" t="s">
        <v>125</v>
      </c>
      <c r="C33" s="702" t="s">
        <v>472</v>
      </c>
      <c r="D33" s="964"/>
      <c r="E33" s="702"/>
      <c r="F33" s="702"/>
      <c r="G33" s="702"/>
      <c r="H33" s="701">
        <f>'Haver Pivoted'!GS24</f>
        <v>2329.1999999999998</v>
      </c>
      <c r="I33" s="701">
        <f>'Haver Pivoted'!GT24</f>
        <v>2376.9</v>
      </c>
      <c r="J33" s="701">
        <f>'Haver Pivoted'!GU24</f>
        <v>2334.6</v>
      </c>
      <c r="K33" s="701">
        <f>'Haver Pivoted'!GV24</f>
        <v>2346.5</v>
      </c>
      <c r="L33" s="701">
        <f>'Haver Pivoted'!GW24</f>
        <v>2373</v>
      </c>
      <c r="M33" s="701">
        <f>'Haver Pivoted'!GX24</f>
        <v>2408.6999999999998</v>
      </c>
      <c r="N33" s="701">
        <f>'Haver Pivoted'!GY24</f>
        <v>2452.6</v>
      </c>
      <c r="O33" s="701">
        <f>'Haver Pivoted'!GZ24</f>
        <v>2522.9</v>
      </c>
      <c r="P33" s="962">
        <f>'Haver Pivoted'!HA24</f>
        <v>2566.6999999999998</v>
      </c>
      <c r="Q33" s="390"/>
      <c r="R33" s="390"/>
      <c r="S33" s="390"/>
      <c r="T33" s="390"/>
      <c r="U33" s="390"/>
      <c r="V33" s="390"/>
      <c r="W33" s="390"/>
      <c r="X33" s="390"/>
      <c r="Y33" s="390"/>
      <c r="Z33" s="390"/>
      <c r="AA33" s="390"/>
      <c r="AB33" s="390"/>
      <c r="AC33" s="75"/>
    </row>
    <row r="34" spans="2:33" ht="21" customHeight="1" x14ac:dyDescent="0.3">
      <c r="B34" s="48" t="s">
        <v>473</v>
      </c>
      <c r="C34" s="331"/>
      <c r="D34" s="901"/>
      <c r="E34" s="959"/>
      <c r="F34" s="959"/>
      <c r="G34" s="959"/>
      <c r="H34" s="960"/>
      <c r="I34" s="960"/>
      <c r="J34" s="960"/>
      <c r="K34" s="961"/>
      <c r="L34" s="961"/>
      <c r="M34" s="961">
        <v>9.5846503665249383</v>
      </c>
      <c r="N34" s="961">
        <v>9</v>
      </c>
      <c r="O34" s="961">
        <v>10</v>
      </c>
      <c r="P34" s="914">
        <v>10</v>
      </c>
      <c r="Q34" s="351">
        <v>6</v>
      </c>
      <c r="R34" s="351">
        <v>8</v>
      </c>
      <c r="S34" s="351">
        <v>7</v>
      </c>
      <c r="T34" s="351">
        <v>5.5</v>
      </c>
      <c r="U34" s="351">
        <v>5</v>
      </c>
      <c r="V34" s="351">
        <v>5</v>
      </c>
      <c r="W34" s="351">
        <v>5</v>
      </c>
      <c r="X34" s="351">
        <v>5</v>
      </c>
      <c r="Y34" s="351">
        <v>5</v>
      </c>
      <c r="Z34" s="351"/>
      <c r="AA34" s="351"/>
      <c r="AB34" s="351"/>
      <c r="AC34" s="352"/>
      <c r="AD34" s="31" t="s">
        <v>474</v>
      </c>
    </row>
    <row r="35" spans="2:33" s="132" customFormat="1" ht="17.649999999999999" customHeight="1" x14ac:dyDescent="0.35">
      <c r="B35" s="79" t="s">
        <v>475</v>
      </c>
      <c r="C35" s="60"/>
      <c r="D35" s="42"/>
      <c r="E35" s="1454"/>
      <c r="F35" s="1454"/>
      <c r="G35" s="1454"/>
      <c r="H35" s="1455">
        <f>H33</f>
        <v>2329.1999999999998</v>
      </c>
      <c r="I35" s="1455">
        <f t="shared" ref="I35:P35" si="8">I33</f>
        <v>2376.9</v>
      </c>
      <c r="J35" s="1455">
        <f t="shared" si="8"/>
        <v>2334.6</v>
      </c>
      <c r="K35" s="1455">
        <f t="shared" si="8"/>
        <v>2346.5</v>
      </c>
      <c r="L35" s="1455">
        <f t="shared" si="8"/>
        <v>2373</v>
      </c>
      <c r="M35" s="1455">
        <f t="shared" si="8"/>
        <v>2408.6999999999998</v>
      </c>
      <c r="N35" s="1455">
        <f t="shared" si="8"/>
        <v>2452.6</v>
      </c>
      <c r="O35" s="1455">
        <f t="shared" si="8"/>
        <v>2522.9</v>
      </c>
      <c r="P35" s="1456">
        <f t="shared" si="8"/>
        <v>2566.6999999999998</v>
      </c>
      <c r="Q35" s="1445">
        <f>P35*((100+Q34)/100)^0.25</f>
        <v>2604.3633609610974</v>
      </c>
      <c r="R35" s="1445">
        <f t="shared" ref="R35:U35" si="9">Q35*((100+R34)/100)^0.25</f>
        <v>2654.9571479589972</v>
      </c>
      <c r="S35" s="1445">
        <f t="shared" si="9"/>
        <v>2700.2468008461938</v>
      </c>
      <c r="T35" s="1445">
        <f t="shared" si="9"/>
        <v>2736.633097522003</v>
      </c>
      <c r="U35" s="1445">
        <f t="shared" si="9"/>
        <v>2770.217700441061</v>
      </c>
      <c r="V35" s="1445">
        <f t="shared" ref="V35" si="10">U35*((100+V34)/100)^0.25</f>
        <v>2804.2144614803478</v>
      </c>
      <c r="W35" s="1445">
        <f t="shared" ref="W35" si="11">V35*((100+W34)/100)^0.25</f>
        <v>2838.6284387409369</v>
      </c>
      <c r="X35" s="1445">
        <f t="shared" ref="X35" si="12">W35*((100+X34)/100)^0.25</f>
        <v>2873.4647523981034</v>
      </c>
      <c r="Y35" s="1445">
        <f t="shared" ref="Y35" si="13">X35*((100+Y34)/100)^0.25</f>
        <v>2908.7285854631145</v>
      </c>
      <c r="Z35" s="1445">
        <f t="shared" ref="Z35" si="14">Y35*((100+Z34)/100)^0.25</f>
        <v>2908.7285854631145</v>
      </c>
      <c r="AA35" s="1445">
        <f t="shared" ref="AA35" si="15">Z35*((100+AA34)/100)^0.25</f>
        <v>2908.7285854631145</v>
      </c>
      <c r="AB35" s="1445">
        <f t="shared" ref="AB35" si="16">AA35*((100+AB34)/100)^0.25</f>
        <v>2908.7285854631145</v>
      </c>
      <c r="AC35" s="1446">
        <f t="shared" ref="AC35" si="17">AB35*((100+AC34)/100)^0.25</f>
        <v>2908.7285854631145</v>
      </c>
    </row>
    <row r="36" spans="2:33" x14ac:dyDescent="0.3">
      <c r="B36" s="78" t="s">
        <v>476</v>
      </c>
      <c r="C36" s="456"/>
      <c r="D36" s="899"/>
      <c r="E36" s="900"/>
      <c r="F36" s="900"/>
      <c r="G36" s="900"/>
      <c r="H36" s="246">
        <f t="shared" ref="H36:P36" si="18">H33-H62</f>
        <v>2049.712</v>
      </c>
      <c r="I36" s="246">
        <f t="shared" si="18"/>
        <v>2091.6440000000002</v>
      </c>
      <c r="J36" s="246">
        <f t="shared" si="18"/>
        <v>1924.7149999999999</v>
      </c>
      <c r="K36" s="246">
        <f t="shared" si="18"/>
        <v>1965.95</v>
      </c>
      <c r="L36" s="246">
        <f t="shared" si="18"/>
        <v>2015.8420000000001</v>
      </c>
      <c r="M36" s="246">
        <f t="shared" si="18"/>
        <v>2023.5149999999999</v>
      </c>
      <c r="N36" s="246">
        <f t="shared" si="18"/>
        <v>2028.5809999999999</v>
      </c>
      <c r="O36" s="246">
        <f t="shared" si="18"/>
        <v>2066.0100000000002</v>
      </c>
      <c r="P36" s="404">
        <f t="shared" si="18"/>
        <v>2073.8151479999997</v>
      </c>
      <c r="Q36" s="244">
        <f t="shared" ref="Q36:AC36" si="19">Q35-Q62</f>
        <v>2105.6962909596705</v>
      </c>
      <c r="R36" s="244">
        <f t="shared" si="19"/>
        <v>2155.9801853226363</v>
      </c>
      <c r="S36" s="244">
        <f t="shared" si="19"/>
        <v>2197.9399755884306</v>
      </c>
      <c r="T36" s="244">
        <f t="shared" si="19"/>
        <v>2221.0452572839076</v>
      </c>
      <c r="U36" s="244">
        <f t="shared" si="19"/>
        <v>2241.9849098991817</v>
      </c>
      <c r="V36" s="244">
        <f t="shared" si="19"/>
        <v>2291.6899195373712</v>
      </c>
      <c r="W36" s="244">
        <f t="shared" si="19"/>
        <v>2327.28525505572</v>
      </c>
      <c r="X36" s="244">
        <f t="shared" si="19"/>
        <v>2358.0641328933416</v>
      </c>
      <c r="Y36" s="244">
        <f t="shared" si="19"/>
        <v>2401.7462148104173</v>
      </c>
      <c r="Z36" s="244">
        <f t="shared" si="19"/>
        <v>2419.6166397452757</v>
      </c>
      <c r="AA36" s="244">
        <f t="shared" si="19"/>
        <v>2415.1650438133465</v>
      </c>
      <c r="AB36" s="244">
        <f t="shared" si="19"/>
        <v>2411.4926319810193</v>
      </c>
      <c r="AC36" s="245">
        <f t="shared" si="19"/>
        <v>2428.3322566071665</v>
      </c>
      <c r="AD36" s="27" t="s">
        <v>477</v>
      </c>
    </row>
    <row r="37" spans="2:33" x14ac:dyDescent="0.3">
      <c r="B37" s="331"/>
      <c r="C37" s="331"/>
      <c r="D37" s="331"/>
      <c r="E37" s="331"/>
      <c r="F37" s="331"/>
      <c r="G37" s="331"/>
      <c r="H37" s="549" t="e">
        <f t="shared" ref="H37:L37" si="20">(H36/G36)^4-1</f>
        <v>#DIV/0!</v>
      </c>
      <c r="I37" s="549">
        <f t="shared" si="20"/>
        <v>8.4375512359762039E-2</v>
      </c>
      <c r="J37" s="549">
        <f t="shared" si="20"/>
        <v>-0.28300744302674896</v>
      </c>
      <c r="K37" s="549">
        <f t="shared" si="20"/>
        <v>8.848926220761677E-2</v>
      </c>
      <c r="L37" s="549">
        <f t="shared" si="20"/>
        <v>0.10544231537179294</v>
      </c>
      <c r="M37" s="549">
        <f>(M36/L36)^4-1</f>
        <v>1.5312550207230657E-2</v>
      </c>
      <c r="N37" s="549">
        <f>(N36/M36)^4-1</f>
        <v>1.0051927182471054E-2</v>
      </c>
      <c r="O37" s="549">
        <f>(O36/N36)^4-1</f>
        <v>7.5871153148176385E-2</v>
      </c>
      <c r="P37" s="549">
        <f t="shared" ref="P37:R37" si="21">(P36/O36)^4-1</f>
        <v>1.5197390002519517E-2</v>
      </c>
      <c r="Q37" s="549">
        <f t="shared" si="21"/>
        <v>6.2925335680699801E-2</v>
      </c>
      <c r="R37" s="549">
        <f t="shared" si="21"/>
        <v>9.8996050974165639E-2</v>
      </c>
      <c r="S37" s="549">
        <f t="shared" ref="S37" si="22">(S36/R36)^4-1</f>
        <v>8.0150450813562646E-2</v>
      </c>
      <c r="T37" s="549">
        <f t="shared" ref="T37" si="23">(T36/S36)^4-1</f>
        <v>4.2716679276772807E-2</v>
      </c>
      <c r="U37" s="549">
        <f t="shared" ref="U37" si="24">(U36/T36)^4-1</f>
        <v>3.8248012428863998E-2</v>
      </c>
      <c r="V37" s="549">
        <f t="shared" ref="V37" si="25">(V36/U36)^4-1</f>
        <v>9.1673271055221939E-2</v>
      </c>
      <c r="W37" s="549">
        <f t="shared" ref="W37" si="26">(W36/V36)^4-1</f>
        <v>6.3591980773259893E-2</v>
      </c>
      <c r="X37" s="549">
        <f t="shared" ref="X37" si="27">(X36/W36)^4-1</f>
        <v>5.3959634744521923E-2</v>
      </c>
      <c r="Y37" s="549">
        <f t="shared" ref="Y37" si="28">(Y36/X36)^4-1</f>
        <v>7.6182707868137411E-2</v>
      </c>
      <c r="Z37" s="549">
        <f t="shared" ref="Z37" si="29">(Z36/Y36)^4-1</f>
        <v>3.0096212416958812E-2</v>
      </c>
    </row>
    <row r="38" spans="2:33" s="868" customFormat="1" x14ac:dyDescent="0.3">
      <c r="B38" s="1087"/>
      <c r="C38" s="1087"/>
      <c r="D38" s="1087"/>
      <c r="E38" s="1087"/>
      <c r="F38" s="1087"/>
      <c r="G38" s="1087"/>
      <c r="H38" s="925"/>
      <c r="I38" s="925"/>
      <c r="J38" s="925"/>
      <c r="K38" s="925"/>
      <c r="L38" s="925"/>
      <c r="M38" s="925"/>
      <c r="N38" s="925"/>
      <c r="O38" s="925"/>
      <c r="P38" s="1099"/>
      <c r="Q38" s="1099"/>
      <c r="R38" s="1099"/>
      <c r="S38" s="1099"/>
      <c r="T38" s="1099"/>
      <c r="U38" s="1099"/>
      <c r="V38" s="1099"/>
      <c r="W38" s="1099"/>
      <c r="X38" s="1099"/>
      <c r="Y38" s="1099"/>
      <c r="Z38" s="1099"/>
      <c r="AA38" s="1099"/>
      <c r="AB38" s="1099"/>
      <c r="AC38" s="1099"/>
    </row>
    <row r="39" spans="2:33" s="868" customFormat="1" x14ac:dyDescent="0.3">
      <c r="B39" s="787"/>
      <c r="C39" s="787"/>
      <c r="D39" s="787"/>
      <c r="E39" s="787"/>
      <c r="F39" s="787"/>
      <c r="G39" s="787"/>
      <c r="H39" s="817"/>
      <c r="I39" s="817"/>
      <c r="J39" s="1135"/>
      <c r="K39" s="1135"/>
      <c r="L39" s="1135"/>
      <c r="M39" s="1135"/>
      <c r="N39" s="1135"/>
      <c r="O39" s="817"/>
      <c r="P39" s="924"/>
      <c r="Q39" s="924"/>
      <c r="R39" s="924"/>
      <c r="S39" s="924"/>
      <c r="T39" s="924"/>
      <c r="U39" s="924"/>
      <c r="V39" s="924"/>
      <c r="W39" s="924"/>
      <c r="X39" s="924"/>
      <c r="Y39" s="924"/>
      <c r="Z39" s="924"/>
      <c r="AA39" s="924"/>
      <c r="AB39" s="924"/>
      <c r="AC39" s="924"/>
    </row>
    <row r="40" spans="2:33" s="868" customFormat="1" x14ac:dyDescent="0.3">
      <c r="B40" s="1087"/>
      <c r="C40" s="1087"/>
      <c r="D40" s="1087"/>
      <c r="E40" s="1087"/>
      <c r="F40" s="1087"/>
      <c r="G40" s="1087"/>
      <c r="H40" s="925"/>
      <c r="I40" s="925"/>
      <c r="J40" s="1135"/>
      <c r="K40" s="1135"/>
      <c r="L40" s="1135"/>
      <c r="M40" s="1135"/>
      <c r="N40" s="1135"/>
      <c r="O40" s="925"/>
      <c r="P40" s="921"/>
      <c r="Q40" s="921"/>
      <c r="R40" s="921"/>
      <c r="S40" s="921"/>
      <c r="T40" s="921"/>
      <c r="U40" s="921"/>
      <c r="V40" s="921"/>
      <c r="W40" s="921"/>
      <c r="X40" s="921"/>
      <c r="Y40" s="921"/>
      <c r="Z40" s="921"/>
      <c r="AA40" s="921"/>
      <c r="AB40" s="921"/>
      <c r="AC40" s="921"/>
    </row>
    <row r="41" spans="2:33" s="868" customFormat="1" x14ac:dyDescent="0.3">
      <c r="B41" s="787"/>
      <c r="C41" s="787"/>
      <c r="D41" s="787"/>
      <c r="E41" s="787"/>
      <c r="F41" s="787"/>
      <c r="G41" s="787"/>
      <c r="H41" s="817"/>
      <c r="I41" s="817"/>
      <c r="J41" s="1135"/>
      <c r="K41" s="1135"/>
      <c r="L41" s="1135"/>
      <c r="M41" s="1135"/>
      <c r="N41" s="1135"/>
      <c r="O41" s="817"/>
      <c r="P41" s="922"/>
      <c r="Q41" s="922"/>
      <c r="R41" s="922"/>
      <c r="S41" s="922"/>
      <c r="T41" s="922"/>
      <c r="U41" s="922"/>
      <c r="V41" s="922"/>
      <c r="W41" s="922"/>
      <c r="X41" s="922"/>
      <c r="Y41" s="922"/>
      <c r="Z41" s="922"/>
      <c r="AA41" s="922"/>
      <c r="AB41" s="922"/>
      <c r="AC41" s="922"/>
    </row>
    <row r="42" spans="2:33" s="868" customFormat="1" x14ac:dyDescent="0.3">
      <c r="B42" s="1087"/>
      <c r="C42" s="1087"/>
      <c r="D42" s="1087"/>
      <c r="E42" s="1087"/>
      <c r="F42" s="1087"/>
      <c r="G42" s="1087"/>
      <c r="H42" s="925"/>
      <c r="I42" s="925"/>
      <c r="J42" s="925"/>
      <c r="K42" s="925"/>
      <c r="L42" s="925"/>
      <c r="M42" s="817"/>
      <c r="N42" s="925"/>
      <c r="O42" s="925"/>
      <c r="P42" s="925"/>
      <c r="Q42" s="925"/>
      <c r="R42" s="925"/>
      <c r="S42" s="925"/>
      <c r="T42" s="925"/>
      <c r="U42" s="925"/>
      <c r="V42" s="925"/>
      <c r="W42" s="925"/>
      <c r="X42" s="925"/>
      <c r="Y42" s="925"/>
      <c r="Z42" s="925"/>
      <c r="AA42" s="925"/>
      <c r="AB42" s="925"/>
      <c r="AC42" s="925"/>
    </row>
    <row r="43" spans="2:33" s="868" customFormat="1" x14ac:dyDescent="0.3">
      <c r="H43" s="817"/>
      <c r="I43" s="817"/>
      <c r="J43" s="817"/>
      <c r="K43" s="817"/>
      <c r="L43" s="817"/>
      <c r="M43" s="817"/>
      <c r="N43" s="817"/>
      <c r="O43" s="817"/>
      <c r="P43" s="817"/>
      <c r="Q43" s="817"/>
      <c r="R43" s="817"/>
      <c r="S43" s="817"/>
      <c r="T43" s="817"/>
      <c r="U43" s="817"/>
      <c r="V43" s="817"/>
      <c r="W43" s="817"/>
      <c r="X43" s="817"/>
      <c r="Y43" s="817"/>
      <c r="Z43" s="817"/>
      <c r="AA43" s="817"/>
      <c r="AB43" s="817"/>
      <c r="AC43" s="817"/>
    </row>
    <row r="44" spans="2:33" x14ac:dyDescent="0.3">
      <c r="B44" s="331"/>
      <c r="C44" s="331"/>
      <c r="D44" s="331"/>
      <c r="E44" s="331"/>
      <c r="F44" s="331"/>
      <c r="G44" s="331"/>
      <c r="H44" s="49"/>
      <c r="I44" s="49"/>
      <c r="J44" s="49"/>
      <c r="K44" s="49"/>
      <c r="L44" s="49"/>
      <c r="M44" s="49"/>
      <c r="N44" s="49"/>
      <c r="O44" s="49"/>
      <c r="P44" s="49"/>
      <c r="Q44" s="1103"/>
      <c r="R44" s="49"/>
      <c r="S44" s="49"/>
      <c r="T44" s="49"/>
      <c r="U44" s="49"/>
      <c r="V44" s="49"/>
      <c r="W44" s="49"/>
      <c r="X44" s="49"/>
      <c r="Y44" s="49"/>
      <c r="Z44" s="49"/>
    </row>
    <row r="45" spans="2:33" ht="39" customHeight="1" x14ac:dyDescent="0.3">
      <c r="B45" s="427" t="s">
        <v>478</v>
      </c>
      <c r="C45" s="732" t="s">
        <v>479</v>
      </c>
      <c r="D45" s="703">
        <v>44197</v>
      </c>
      <c r="E45" s="704">
        <v>44228</v>
      </c>
      <c r="F45" s="704">
        <v>44256</v>
      </c>
      <c r="G45" s="704">
        <v>44287</v>
      </c>
      <c r="H45" s="704">
        <v>44317</v>
      </c>
      <c r="I45" s="704">
        <v>44348</v>
      </c>
      <c r="J45" s="704">
        <v>44378</v>
      </c>
      <c r="K45" s="704">
        <v>44409</v>
      </c>
      <c r="L45" s="704">
        <v>44440</v>
      </c>
      <c r="M45" s="704">
        <v>44470</v>
      </c>
      <c r="N45" s="704">
        <v>44501</v>
      </c>
      <c r="O45" s="704">
        <v>44531</v>
      </c>
      <c r="P45" s="705">
        <v>44562</v>
      </c>
      <c r="Q45" s="895"/>
      <c r="R45" s="49"/>
      <c r="S45" s="49"/>
      <c r="T45" s="49"/>
      <c r="U45" s="49"/>
      <c r="V45" s="49"/>
      <c r="W45" s="49"/>
      <c r="X45" s="49"/>
      <c r="Y45" s="49"/>
      <c r="Z45" s="49"/>
    </row>
    <row r="46" spans="2:33" ht="19.5" customHeight="1" thickBot="1" x14ac:dyDescent="0.35">
      <c r="B46" s="234" t="s">
        <v>480</v>
      </c>
      <c r="C46" s="216" t="s">
        <v>481</v>
      </c>
      <c r="D46" s="869">
        <v>5154</v>
      </c>
      <c r="E46" s="827">
        <v>5157</v>
      </c>
      <c r="F46" s="827">
        <v>5170</v>
      </c>
      <c r="G46" s="827">
        <v>5173</v>
      </c>
      <c r="H46" s="827">
        <v>5231</v>
      </c>
      <c r="I46" s="827">
        <v>5251</v>
      </c>
      <c r="J46" s="827">
        <v>5241</v>
      </c>
      <c r="K46" s="827">
        <v>5226</v>
      </c>
      <c r="L46" s="827">
        <v>5224</v>
      </c>
      <c r="M46" s="827">
        <v>5224</v>
      </c>
      <c r="N46" s="827">
        <v>5220</v>
      </c>
      <c r="O46" s="827">
        <v>5218</v>
      </c>
      <c r="P46" s="33">
        <v>5209</v>
      </c>
      <c r="Q46" s="896"/>
      <c r="R46" s="49"/>
      <c r="S46" s="49"/>
      <c r="T46" s="49"/>
      <c r="U46" s="49"/>
      <c r="V46" s="49"/>
      <c r="W46" s="49"/>
      <c r="X46" s="49"/>
      <c r="Y46" s="49"/>
      <c r="Z46" s="49"/>
    </row>
    <row r="47" spans="2:33" ht="18" customHeight="1" x14ac:dyDescent="0.3">
      <c r="B47" s="41" t="s">
        <v>482</v>
      </c>
      <c r="C47" s="27" t="s">
        <v>483</v>
      </c>
      <c r="D47" s="869">
        <v>13748</v>
      </c>
      <c r="E47" s="827">
        <v>13760</v>
      </c>
      <c r="F47" s="827">
        <v>13801</v>
      </c>
      <c r="G47" s="827">
        <v>13842</v>
      </c>
      <c r="H47" s="827">
        <v>13856</v>
      </c>
      <c r="I47" s="827">
        <v>13889</v>
      </c>
      <c r="J47" s="827">
        <v>13948</v>
      </c>
      <c r="K47" s="827">
        <v>13984</v>
      </c>
      <c r="L47" s="827">
        <v>14002</v>
      </c>
      <c r="M47" s="827">
        <v>13990</v>
      </c>
      <c r="N47" s="827">
        <v>14010</v>
      </c>
      <c r="O47" s="827">
        <v>14028</v>
      </c>
      <c r="P47" s="33">
        <v>14061</v>
      </c>
      <c r="Q47" s="895"/>
      <c r="R47" s="49"/>
      <c r="S47" s="49"/>
      <c r="T47" s="49"/>
      <c r="U47" s="49"/>
      <c r="V47" s="49"/>
      <c r="W47" s="49"/>
      <c r="X47" s="49"/>
      <c r="Y47" s="49"/>
      <c r="Z47" s="49"/>
      <c r="AG47" s="868"/>
    </row>
    <row r="48" spans="2:33" ht="19.5" customHeight="1" thickBot="1" x14ac:dyDescent="0.4">
      <c r="B48" s="78" t="s">
        <v>484</v>
      </c>
      <c r="C48" s="35" t="s">
        <v>485</v>
      </c>
      <c r="D48" s="129">
        <v>328517</v>
      </c>
      <c r="E48" s="35">
        <v>320118</v>
      </c>
      <c r="F48" s="35">
        <v>319991</v>
      </c>
      <c r="G48" s="35">
        <v>321220</v>
      </c>
      <c r="H48" s="35">
        <v>319056</v>
      </c>
      <c r="I48" s="35">
        <v>315198</v>
      </c>
      <c r="J48" s="35">
        <v>318559</v>
      </c>
      <c r="K48" s="35">
        <v>323086</v>
      </c>
      <c r="L48" s="35">
        <v>324024</v>
      </c>
      <c r="M48" s="35">
        <v>325954</v>
      </c>
      <c r="N48" s="35">
        <v>325984</v>
      </c>
      <c r="O48" s="35">
        <v>321711</v>
      </c>
      <c r="P48" s="409"/>
      <c r="Q48" s="894"/>
      <c r="R48" s="49"/>
      <c r="S48" s="49"/>
      <c r="T48" s="49"/>
      <c r="U48" s="49"/>
      <c r="V48" s="49"/>
      <c r="W48" s="49"/>
      <c r="X48" s="49"/>
      <c r="Y48" s="49"/>
      <c r="Z48" s="49"/>
      <c r="AG48" s="868"/>
    </row>
    <row r="49" spans="2:54" ht="16" x14ac:dyDescent="0.35">
      <c r="B49" s="60"/>
      <c r="C49" s="331"/>
      <c r="D49" s="331"/>
      <c r="E49" s="331"/>
      <c r="F49" s="331"/>
      <c r="G49" s="331"/>
      <c r="H49" s="49"/>
      <c r="I49" s="49"/>
      <c r="J49" s="49"/>
      <c r="K49"/>
      <c r="L49"/>
      <c r="M49"/>
      <c r="N49"/>
      <c r="O49"/>
      <c r="P49"/>
      <c r="Q49" s="893"/>
      <c r="R49" s="49"/>
      <c r="S49" s="49"/>
      <c r="T49" s="49"/>
      <c r="U49" s="49"/>
      <c r="V49" s="49"/>
      <c r="W49" s="49"/>
      <c r="X49" s="49"/>
      <c r="Y49" s="49"/>
      <c r="Z49" s="49"/>
      <c r="AG49" s="868"/>
    </row>
    <row r="50" spans="2:54" ht="12.75" customHeight="1" x14ac:dyDescent="0.3">
      <c r="AG50" s="868"/>
    </row>
    <row r="51" spans="2:54" x14ac:dyDescent="0.3">
      <c r="B51" s="1290" t="s">
        <v>486</v>
      </c>
      <c r="C51" s="1290"/>
      <c r="D51" s="1290"/>
      <c r="E51" s="1290"/>
      <c r="F51" s="1290"/>
      <c r="G51" s="1290"/>
      <c r="H51" s="1290"/>
      <c r="I51" s="1290"/>
      <c r="J51" s="1290"/>
      <c r="K51" s="1290"/>
      <c r="L51" s="1290"/>
      <c r="M51" s="1290"/>
      <c r="N51" s="1290"/>
      <c r="O51" s="1290"/>
      <c r="P51" s="1290"/>
      <c r="Q51" s="1290"/>
      <c r="R51" s="1290"/>
      <c r="S51" s="1290"/>
      <c r="T51" s="1290"/>
      <c r="U51" s="1290"/>
      <c r="V51" s="1290"/>
      <c r="W51" s="1290"/>
      <c r="X51" s="1290"/>
      <c r="Y51" s="1290"/>
      <c r="Z51" s="1290"/>
      <c r="AA51" s="1290"/>
      <c r="AB51" s="1290"/>
      <c r="AC51" s="1290"/>
      <c r="AG51" s="868"/>
    </row>
    <row r="52" spans="2:54" ht="9" customHeight="1" x14ac:dyDescent="0.3">
      <c r="B52" s="1290"/>
      <c r="C52" s="1290"/>
      <c r="D52" s="1290"/>
      <c r="E52" s="1290"/>
      <c r="F52" s="1290"/>
      <c r="G52" s="1290"/>
      <c r="H52" s="1290"/>
      <c r="I52" s="1290"/>
      <c r="J52" s="1290"/>
      <c r="K52" s="1290"/>
      <c r="L52" s="1290"/>
      <c r="M52" s="1290"/>
      <c r="N52" s="1290"/>
      <c r="O52" s="1290"/>
      <c r="P52" s="1290"/>
      <c r="Q52" s="1290"/>
      <c r="R52" s="1290"/>
      <c r="S52" s="1290"/>
      <c r="T52" s="1290"/>
      <c r="U52" s="1290"/>
      <c r="V52" s="1290"/>
      <c r="W52" s="1290"/>
      <c r="X52" s="1290"/>
      <c r="Y52" s="1290"/>
      <c r="Z52" s="1290"/>
      <c r="AA52" s="1290"/>
      <c r="AB52" s="1290"/>
      <c r="AC52" s="1290"/>
      <c r="AG52" s="868"/>
    </row>
    <row r="53" spans="2:54" ht="14.25" customHeight="1" x14ac:dyDescent="0.3">
      <c r="B53" s="1358" t="s">
        <v>487</v>
      </c>
      <c r="C53" s="1358"/>
      <c r="D53" s="1358"/>
      <c r="E53" s="1358"/>
      <c r="F53" s="1358"/>
      <c r="G53" s="1358"/>
      <c r="H53" s="1358"/>
      <c r="I53" s="1358"/>
      <c r="J53" s="1358"/>
      <c r="K53" s="1358"/>
      <c r="L53" s="1358"/>
      <c r="M53" s="1358"/>
      <c r="N53" s="1358"/>
      <c r="O53" s="1358"/>
      <c r="P53" s="1358"/>
      <c r="Q53" s="1358"/>
      <c r="R53" s="1358"/>
      <c r="S53" s="1358"/>
      <c r="T53" s="1358"/>
      <c r="U53" s="1358"/>
      <c r="V53" s="1358"/>
      <c r="W53" s="1358"/>
      <c r="X53" s="1358"/>
      <c r="Y53" s="1358"/>
      <c r="Z53" s="1358"/>
      <c r="AA53" s="1358"/>
      <c r="AB53" s="1358"/>
      <c r="AC53" s="1358"/>
      <c r="AG53" s="868"/>
    </row>
    <row r="54" spans="2:54" x14ac:dyDescent="0.3">
      <c r="B54" s="1358"/>
      <c r="C54" s="1358"/>
      <c r="D54" s="1358"/>
      <c r="E54" s="1358"/>
      <c r="F54" s="1358"/>
      <c r="G54" s="1358"/>
      <c r="H54" s="1358"/>
      <c r="I54" s="1358"/>
      <c r="J54" s="1358"/>
      <c r="K54" s="1358"/>
      <c r="L54" s="1358"/>
      <c r="M54" s="1358"/>
      <c r="N54" s="1358"/>
      <c r="O54" s="1358"/>
      <c r="P54" s="1358"/>
      <c r="Q54" s="1358"/>
      <c r="R54" s="1358"/>
      <c r="S54" s="1358"/>
      <c r="T54" s="1358"/>
      <c r="U54" s="1358"/>
      <c r="V54" s="1358"/>
      <c r="W54" s="1358"/>
      <c r="X54" s="1358"/>
      <c r="Y54" s="1358"/>
      <c r="Z54" s="1358"/>
      <c r="AA54" s="1358"/>
      <c r="AB54" s="1358"/>
      <c r="AC54" s="1358"/>
      <c r="AG54" s="868"/>
    </row>
    <row r="55" spans="2:54" ht="8.65" customHeight="1" x14ac:dyDescent="0.3">
      <c r="B55" s="1358"/>
      <c r="C55" s="1358"/>
      <c r="D55" s="1358"/>
      <c r="E55" s="1358"/>
      <c r="F55" s="1358"/>
      <c r="G55" s="1358"/>
      <c r="H55" s="1358"/>
      <c r="I55" s="1358"/>
      <c r="J55" s="1358"/>
      <c r="K55" s="1358"/>
      <c r="L55" s="1358"/>
      <c r="M55" s="1358"/>
      <c r="N55" s="1358"/>
      <c r="O55" s="1358"/>
      <c r="P55" s="1358"/>
      <c r="Q55" s="1358"/>
      <c r="R55" s="1358"/>
      <c r="S55" s="1358"/>
      <c r="T55" s="1358"/>
      <c r="U55" s="1358"/>
      <c r="V55" s="1358"/>
      <c r="W55" s="1358"/>
      <c r="X55" s="1358"/>
      <c r="Y55" s="1358"/>
      <c r="Z55" s="1358"/>
      <c r="AA55" s="1358"/>
      <c r="AB55" s="1358"/>
      <c r="AC55" s="1358"/>
      <c r="AG55" s="868"/>
    </row>
    <row r="56" spans="2:54" ht="12.75" customHeight="1" x14ac:dyDescent="0.3">
      <c r="AG56" s="868"/>
    </row>
    <row r="57" spans="2:54" ht="30.75" customHeight="1" x14ac:dyDescent="0.3">
      <c r="B57" s="1295" t="s">
        <v>349</v>
      </c>
      <c r="C57" s="1359"/>
      <c r="D57" s="1307" t="s">
        <v>350</v>
      </c>
      <c r="E57" s="1308"/>
      <c r="F57" s="1308"/>
      <c r="G57" s="1308"/>
      <c r="H57" s="1308"/>
      <c r="I57" s="1308"/>
      <c r="J57" s="1308"/>
      <c r="K57" s="1308"/>
      <c r="L57" s="1308"/>
      <c r="M57" s="1308"/>
      <c r="N57" s="1308"/>
      <c r="O57" s="1308"/>
      <c r="P57" s="1309"/>
      <c r="Q57" s="1304" t="s">
        <v>351</v>
      </c>
      <c r="R57" s="1305"/>
      <c r="S57" s="1305"/>
      <c r="T57" s="1305"/>
      <c r="U57" s="1305"/>
      <c r="V57" s="1305"/>
      <c r="W57" s="1305"/>
      <c r="X57" s="1305"/>
      <c r="Y57" s="1305"/>
      <c r="Z57" s="1305"/>
      <c r="AA57" s="1305"/>
      <c r="AB57" s="1305"/>
      <c r="AC57" s="1306"/>
      <c r="AG57" s="868"/>
    </row>
    <row r="58" spans="2:54" x14ac:dyDescent="0.3">
      <c r="B58" s="1297"/>
      <c r="C58" s="1360"/>
      <c r="D58" s="455">
        <v>2018</v>
      </c>
      <c r="E58" s="1292">
        <v>2019</v>
      </c>
      <c r="F58" s="1293"/>
      <c r="G58" s="1293"/>
      <c r="H58" s="1294"/>
      <c r="I58" s="1292">
        <v>2020</v>
      </c>
      <c r="J58" s="1293"/>
      <c r="K58" s="1293"/>
      <c r="L58" s="1293"/>
      <c r="M58" s="1302">
        <v>2021</v>
      </c>
      <c r="N58" s="1293"/>
      <c r="O58" s="1293"/>
      <c r="P58" s="1303"/>
      <c r="Q58" s="1300">
        <v>2022</v>
      </c>
      <c r="R58" s="1300"/>
      <c r="S58" s="1300"/>
      <c r="T58" s="1301"/>
      <c r="U58" s="1299">
        <v>2023</v>
      </c>
      <c r="V58" s="1300"/>
      <c r="W58" s="1300"/>
      <c r="X58" s="1300"/>
      <c r="Y58" s="1299">
        <v>2024</v>
      </c>
      <c r="Z58" s="1300"/>
      <c r="AA58" s="1300"/>
      <c r="AB58" s="1301"/>
      <c r="AC58" s="306">
        <v>2025</v>
      </c>
      <c r="AG58" s="868"/>
    </row>
    <row r="59" spans="2:54" x14ac:dyDescent="0.3">
      <c r="B59" s="1335"/>
      <c r="C59" s="1361"/>
      <c r="D59" s="156" t="s">
        <v>352</v>
      </c>
      <c r="E59" s="156" t="s">
        <v>353</v>
      </c>
      <c r="F59" s="139" t="s">
        <v>354</v>
      </c>
      <c r="G59" s="139" t="s">
        <v>253</v>
      </c>
      <c r="H59" s="146" t="s">
        <v>352</v>
      </c>
      <c r="I59" s="140" t="s">
        <v>353</v>
      </c>
      <c r="J59" s="140" t="s">
        <v>354</v>
      </c>
      <c r="K59" s="140" t="s">
        <v>253</v>
      </c>
      <c r="L59" s="140" t="s">
        <v>352</v>
      </c>
      <c r="M59" s="151" t="s">
        <v>353</v>
      </c>
      <c r="N59" s="773" t="s">
        <v>354</v>
      </c>
      <c r="O59" s="773" t="s">
        <v>253</v>
      </c>
      <c r="P59" s="146" t="s">
        <v>352</v>
      </c>
      <c r="Q59" s="826" t="s">
        <v>353</v>
      </c>
      <c r="R59" s="898" t="s">
        <v>354</v>
      </c>
      <c r="S59" s="898" t="s">
        <v>253</v>
      </c>
      <c r="T59" s="898" t="s">
        <v>352</v>
      </c>
      <c r="U59" s="897" t="s">
        <v>353</v>
      </c>
      <c r="V59" s="898" t="s">
        <v>354</v>
      </c>
      <c r="W59" s="898" t="s">
        <v>253</v>
      </c>
      <c r="X59" s="898" t="s">
        <v>352</v>
      </c>
      <c r="Y59" s="897" t="s">
        <v>353</v>
      </c>
      <c r="Z59" s="874" t="s">
        <v>354</v>
      </c>
      <c r="AA59" s="898" t="s">
        <v>253</v>
      </c>
      <c r="AB59" s="381" t="s">
        <v>352</v>
      </c>
      <c r="AC59" s="63" t="s">
        <v>353</v>
      </c>
      <c r="AG59" s="868"/>
    </row>
    <row r="60" spans="2:54" x14ac:dyDescent="0.3">
      <c r="B60" s="57" t="s">
        <v>148</v>
      </c>
      <c r="C60" s="702"/>
      <c r="D60" s="964"/>
      <c r="E60" s="702"/>
      <c r="F60" s="702"/>
      <c r="G60" s="702"/>
      <c r="H60" s="398">
        <f>Grants!H108</f>
        <v>70.894000000000005</v>
      </c>
      <c r="I60" s="398">
        <f>Grants!I108</f>
        <v>72.774000000000001</v>
      </c>
      <c r="J60" s="398">
        <f>Grants!J108</f>
        <v>75.275000000000006</v>
      </c>
      <c r="K60" s="398">
        <f>Grants!K108</f>
        <v>78.766999999999996</v>
      </c>
      <c r="L60" s="398">
        <f>Grants!L108</f>
        <v>76.995000000000005</v>
      </c>
      <c r="M60" s="398">
        <f>Grants!M108</f>
        <v>75.03</v>
      </c>
      <c r="N60" s="398">
        <f>Grants!N108</f>
        <v>77.703999999999994</v>
      </c>
      <c r="O60" s="398">
        <f>Grants!O108</f>
        <v>72.766999999999996</v>
      </c>
      <c r="P60" s="965">
        <f>Grants!P108</f>
        <v>74.768000000000001</v>
      </c>
      <c r="Q60" s="390">
        <f>Grants!Q108</f>
        <v>75.34842857142857</v>
      </c>
      <c r="R60" s="390">
        <f>Grants!R108</f>
        <v>75.34842857142857</v>
      </c>
      <c r="S60" s="390">
        <f>Grants!S108</f>
        <v>75.34842857142857</v>
      </c>
      <c r="T60" s="390">
        <f>Grants!T108</f>
        <v>75.34842857142857</v>
      </c>
      <c r="U60" s="390">
        <f>Grants!U108</f>
        <v>75.34842857142857</v>
      </c>
      <c r="V60" s="390">
        <f>Grants!V108</f>
        <v>75.34842857142857</v>
      </c>
      <c r="W60" s="390">
        <f>Grants!W108</f>
        <v>75.34842857142857</v>
      </c>
      <c r="X60" s="390">
        <f>Grants!X108</f>
        <v>75.34842857142857</v>
      </c>
      <c r="Y60" s="390">
        <f>Grants!Y108</f>
        <v>75.34842857142857</v>
      </c>
      <c r="Z60" s="390">
        <f>Grants!Z108</f>
        <v>75.34842857142857</v>
      </c>
      <c r="AA60" s="390">
        <f>Grants!AA108</f>
        <v>75.34842857142857</v>
      </c>
      <c r="AB60" s="390">
        <f>Grants!AB108</f>
        <v>75.34842857142857</v>
      </c>
      <c r="AC60" s="75">
        <f>Grants!AC108</f>
        <v>75.34842857142857</v>
      </c>
    </row>
    <row r="61" spans="2:54" x14ac:dyDescent="0.3">
      <c r="B61" s="48" t="s">
        <v>206</v>
      </c>
      <c r="C61" s="47"/>
      <c r="D61" s="148"/>
      <c r="E61" s="963"/>
      <c r="F61" s="963"/>
      <c r="G61" s="963"/>
      <c r="H61" s="960">
        <f>Grants!H89</f>
        <v>208.59399999999999</v>
      </c>
      <c r="I61" s="960">
        <f>Grants!I89</f>
        <v>212.48200000000003</v>
      </c>
      <c r="J61" s="960">
        <f>Grants!J89</f>
        <v>334.61</v>
      </c>
      <c r="K61" s="960">
        <f>Grants!K89</f>
        <v>301.78300000000002</v>
      </c>
      <c r="L61" s="960">
        <f>Grants!L89</f>
        <v>280.16300000000001</v>
      </c>
      <c r="M61" s="960">
        <f>Grants!M89</f>
        <v>310.15499999999997</v>
      </c>
      <c r="N61" s="960">
        <f>Grants!N89</f>
        <v>346.31500000000005</v>
      </c>
      <c r="O61" s="960">
        <f>Grants!O89</f>
        <v>384.12299999999988</v>
      </c>
      <c r="P61" s="966">
        <f>Grants!P89</f>
        <v>418.11685200000005</v>
      </c>
      <c r="Q61" s="61">
        <f>Grants!Q89</f>
        <v>423.31864142999859</v>
      </c>
      <c r="R61" s="61">
        <f>Grants!R89</f>
        <v>423.6285340649323</v>
      </c>
      <c r="S61" s="61">
        <f>Grants!S89</f>
        <v>426.95839668633465</v>
      </c>
      <c r="T61" s="61">
        <f>Grants!T89</f>
        <v>440.23941166666668</v>
      </c>
      <c r="U61" s="61">
        <f>Grants!U89</f>
        <v>452.8843619704507</v>
      </c>
      <c r="V61" s="61">
        <f>Grants!V89</f>
        <v>437.17611337154818</v>
      </c>
      <c r="W61" s="61">
        <f>Grants!W89</f>
        <v>435.99475511378807</v>
      </c>
      <c r="X61" s="61">
        <f>Grants!X89</f>
        <v>440.05219093333335</v>
      </c>
      <c r="Y61" s="61">
        <f>Grants!Y89</f>
        <v>431.63394208126874</v>
      </c>
      <c r="Z61" s="61">
        <f>Grants!Z89</f>
        <v>413.76351714641009</v>
      </c>
      <c r="AA61" s="61">
        <f>Grants!AA89</f>
        <v>418.21511307833958</v>
      </c>
      <c r="AB61" s="61">
        <f>Grants!AB89</f>
        <v>421.88752491066668</v>
      </c>
      <c r="AC61" s="59">
        <f>Grants!AC89</f>
        <v>405.04790028451941</v>
      </c>
    </row>
    <row r="62" spans="2:54" x14ac:dyDescent="0.3">
      <c r="B62" s="64" t="s">
        <v>488</v>
      </c>
      <c r="C62" s="456"/>
      <c r="D62" s="899"/>
      <c r="E62" s="900"/>
      <c r="F62" s="900"/>
      <c r="G62" s="900"/>
      <c r="H62" s="472">
        <f>H60+H61</f>
        <v>279.488</v>
      </c>
      <c r="I62" s="472">
        <f t="shared" ref="I62:AC62" si="30">I60+I61</f>
        <v>285.25600000000003</v>
      </c>
      <c r="J62" s="472">
        <f t="shared" si="30"/>
        <v>409.88499999999999</v>
      </c>
      <c r="K62" s="472">
        <f t="shared" si="30"/>
        <v>380.55</v>
      </c>
      <c r="L62" s="472">
        <f t="shared" si="30"/>
        <v>357.15800000000002</v>
      </c>
      <c r="M62" s="472">
        <f t="shared" si="30"/>
        <v>385.18499999999995</v>
      </c>
      <c r="N62" s="472">
        <f t="shared" si="30"/>
        <v>424.01900000000006</v>
      </c>
      <c r="O62" s="472">
        <f t="shared" si="30"/>
        <v>456.88999999999987</v>
      </c>
      <c r="P62" s="967">
        <f t="shared" si="30"/>
        <v>492.88485200000002</v>
      </c>
      <c r="Q62" s="76">
        <f t="shared" si="30"/>
        <v>498.66707000142719</v>
      </c>
      <c r="R62" s="76">
        <f t="shared" si="30"/>
        <v>498.97696263636089</v>
      </c>
      <c r="S62" s="76">
        <f t="shared" si="30"/>
        <v>502.30682525776319</v>
      </c>
      <c r="T62" s="76">
        <f t="shared" si="30"/>
        <v>515.58784023809528</v>
      </c>
      <c r="U62" s="76">
        <f t="shared" si="30"/>
        <v>528.23279054187924</v>
      </c>
      <c r="V62" s="76">
        <f t="shared" si="30"/>
        <v>512.52454194297673</v>
      </c>
      <c r="W62" s="76">
        <f t="shared" si="30"/>
        <v>511.34318368521667</v>
      </c>
      <c r="X62" s="76">
        <f t="shared" si="30"/>
        <v>515.40061950476195</v>
      </c>
      <c r="Y62" s="76">
        <f t="shared" si="30"/>
        <v>506.98237065269734</v>
      </c>
      <c r="Z62" s="76">
        <f t="shared" si="30"/>
        <v>489.11194571783869</v>
      </c>
      <c r="AA62" s="76">
        <f t="shared" si="30"/>
        <v>493.56354164976813</v>
      </c>
      <c r="AB62" s="76">
        <f t="shared" si="30"/>
        <v>497.23595348209528</v>
      </c>
      <c r="AC62" s="77">
        <f t="shared" si="30"/>
        <v>480.39632885594801</v>
      </c>
    </row>
    <row r="63" spans="2:54" x14ac:dyDescent="0.3">
      <c r="AM63" s="1352" t="s">
        <v>489</v>
      </c>
      <c r="AN63" s="1353"/>
      <c r="AO63" s="1307" t="s">
        <v>350</v>
      </c>
      <c r="AP63" s="1308"/>
      <c r="AQ63" s="1308"/>
      <c r="AR63" s="1308"/>
      <c r="AS63" s="1308"/>
      <c r="AT63" s="1309"/>
      <c r="AU63" s="1362" t="s">
        <v>351</v>
      </c>
      <c r="AV63" s="1362"/>
      <c r="AW63" s="1362"/>
      <c r="AX63" s="1362"/>
      <c r="AY63" s="1362"/>
      <c r="AZ63" s="1362"/>
      <c r="BA63" s="1362"/>
      <c r="BB63" s="1362"/>
    </row>
    <row r="64" spans="2:54" x14ac:dyDescent="0.3">
      <c r="AM64" s="1354"/>
      <c r="AN64" s="1355"/>
      <c r="AO64" s="733">
        <v>2019</v>
      </c>
      <c r="AP64" s="1292">
        <v>2020</v>
      </c>
      <c r="AQ64" s="1293"/>
      <c r="AR64" s="1293"/>
      <c r="AS64" s="1294"/>
      <c r="AT64" s="733">
        <v>2021</v>
      </c>
      <c r="AU64" s="1299">
        <v>2021</v>
      </c>
      <c r="AV64" s="1300"/>
      <c r="AW64" s="1301"/>
      <c r="AX64" s="1299">
        <v>2022</v>
      </c>
      <c r="AY64" s="1300"/>
      <c r="AZ64" s="1300"/>
      <c r="BA64" s="1301"/>
      <c r="BB64" s="306">
        <v>2023</v>
      </c>
    </row>
    <row r="65" spans="39:58" x14ac:dyDescent="0.3">
      <c r="AM65" s="1354"/>
      <c r="AN65" s="1355"/>
      <c r="AO65" s="157" t="s">
        <v>352</v>
      </c>
      <c r="AP65" s="151" t="s">
        <v>353</v>
      </c>
      <c r="AQ65" s="140" t="s">
        <v>354</v>
      </c>
      <c r="AR65" s="140" t="s">
        <v>253</v>
      </c>
      <c r="AS65" s="146" t="s">
        <v>352</v>
      </c>
      <c r="AT65" s="157" t="s">
        <v>353</v>
      </c>
      <c r="AU65" s="379" t="s">
        <v>354</v>
      </c>
      <c r="AV65" s="380" t="s">
        <v>253</v>
      </c>
      <c r="AW65" s="381" t="s">
        <v>352</v>
      </c>
      <c r="AX65" s="379" t="s">
        <v>353</v>
      </c>
      <c r="AY65" s="380" t="s">
        <v>354</v>
      </c>
      <c r="AZ65" s="380" t="s">
        <v>253</v>
      </c>
      <c r="BA65" s="381" t="s">
        <v>352</v>
      </c>
      <c r="BB65" s="63" t="s">
        <v>353</v>
      </c>
    </row>
    <row r="66" spans="39:58" ht="28" x14ac:dyDescent="0.3">
      <c r="AM66" s="57" t="s">
        <v>490</v>
      </c>
      <c r="AN66" s="426"/>
      <c r="AO66" s="62">
        <v>4.8</v>
      </c>
      <c r="AP66" s="398">
        <v>3.9</v>
      </c>
      <c r="AQ66" s="398">
        <v>3.2</v>
      </c>
      <c r="AR66" s="398">
        <v>3.8</v>
      </c>
      <c r="AS66" s="398">
        <v>3.7</v>
      </c>
      <c r="AT66" s="398">
        <v>3.7</v>
      </c>
      <c r="AU66" s="74">
        <v>3.7</v>
      </c>
      <c r="AV66" s="390">
        <v>3.7</v>
      </c>
      <c r="AW66" s="390">
        <v>3.8</v>
      </c>
      <c r="AX66" s="390">
        <v>3.8</v>
      </c>
      <c r="AY66" s="390">
        <v>3.9</v>
      </c>
      <c r="AZ66" s="390">
        <v>3.9</v>
      </c>
      <c r="BA66" s="390">
        <v>4</v>
      </c>
      <c r="BB66" s="75">
        <v>4</v>
      </c>
    </row>
    <row r="67" spans="39:58" ht="28" x14ac:dyDescent="0.3">
      <c r="AM67" s="81" t="s">
        <v>491</v>
      </c>
      <c r="AN67" s="331"/>
      <c r="AO67" s="56">
        <v>3.3969999999999998</v>
      </c>
      <c r="AP67" s="54">
        <v>4.1660000000000004</v>
      </c>
      <c r="AQ67" s="54">
        <v>-7.6660000000000004</v>
      </c>
      <c r="AR67" s="55">
        <v>-0.84299999999999997</v>
      </c>
      <c r="AS67" s="55">
        <v>2.097</v>
      </c>
      <c r="AT67" s="55">
        <v>9.5879999999999992</v>
      </c>
      <c r="AU67" s="350">
        <v>14.488</v>
      </c>
      <c r="AV67" s="351">
        <v>9.7850000000000001</v>
      </c>
      <c r="AW67" s="351">
        <v>5.202</v>
      </c>
      <c r="AX67" s="351">
        <v>5.4939999999999998</v>
      </c>
      <c r="AY67" s="351">
        <v>5.7560000000000002</v>
      </c>
      <c r="AZ67" s="351">
        <v>4.133</v>
      </c>
      <c r="BA67" s="351">
        <v>3.5270000000000001</v>
      </c>
      <c r="BB67" s="352">
        <v>3.488</v>
      </c>
    </row>
    <row r="68" spans="39:58" x14ac:dyDescent="0.3">
      <c r="AM68" s="27" t="s">
        <v>492</v>
      </c>
      <c r="AO68" s="55">
        <f>AO67</f>
        <v>3.3969999999999998</v>
      </c>
      <c r="AP68" s="55">
        <f t="shared" ref="AP68:AT68" si="31">AP67</f>
        <v>4.1660000000000004</v>
      </c>
      <c r="AQ68" s="55">
        <f t="shared" si="31"/>
        <v>-7.6660000000000004</v>
      </c>
      <c r="AR68" s="55">
        <f t="shared" si="31"/>
        <v>-0.84299999999999997</v>
      </c>
      <c r="AS68" s="55">
        <f t="shared" si="31"/>
        <v>2.097</v>
      </c>
      <c r="AT68" s="55">
        <f t="shared" si="31"/>
        <v>9.5879999999999992</v>
      </c>
      <c r="AU68" s="548">
        <f t="shared" ref="AU68:BB68" si="32">N34</f>
        <v>9</v>
      </c>
      <c r="AV68" s="548">
        <f t="shared" si="32"/>
        <v>10</v>
      </c>
      <c r="AW68" s="548">
        <f t="shared" si="32"/>
        <v>10</v>
      </c>
      <c r="AX68" s="548">
        <f t="shared" si="32"/>
        <v>6</v>
      </c>
      <c r="AY68" s="548">
        <f t="shared" si="32"/>
        <v>8</v>
      </c>
      <c r="AZ68" s="548">
        <f t="shared" si="32"/>
        <v>7</v>
      </c>
      <c r="BA68" s="548">
        <f t="shared" si="32"/>
        <v>5.5</v>
      </c>
      <c r="BB68" s="548">
        <f t="shared" si="32"/>
        <v>5</v>
      </c>
    </row>
    <row r="69" spans="39:58" x14ac:dyDescent="0.3">
      <c r="AM69" s="1356" t="s">
        <v>493</v>
      </c>
      <c r="AN69" s="1357"/>
      <c r="AO69" s="56"/>
      <c r="AP69" s="54"/>
      <c r="AQ69" s="54"/>
      <c r="AR69" s="55"/>
      <c r="AS69" s="55"/>
      <c r="AT69" s="55"/>
      <c r="AU69" s="350"/>
      <c r="AV69" s="351"/>
      <c r="AW69" s="351"/>
      <c r="AX69" s="351"/>
      <c r="AY69" s="351"/>
      <c r="AZ69" s="351"/>
      <c r="BA69" s="351"/>
      <c r="BB69" s="352"/>
    </row>
    <row r="70" spans="39:58" ht="28" x14ac:dyDescent="0.3">
      <c r="AM70" s="48" t="s">
        <v>494</v>
      </c>
      <c r="AN70" s="32"/>
      <c r="AO70" s="261">
        <v>2368</v>
      </c>
      <c r="AP70" s="260">
        <v>2391</v>
      </c>
      <c r="AQ70" s="260">
        <v>2410</v>
      </c>
      <c r="AR70" s="260">
        <v>2432</v>
      </c>
      <c r="AS70" s="260">
        <v>2455</v>
      </c>
      <c r="AT70" s="260">
        <v>2477</v>
      </c>
      <c r="AU70" s="355">
        <v>2500</v>
      </c>
      <c r="AV70" s="356">
        <v>2523</v>
      </c>
      <c r="AW70" s="356">
        <v>2546</v>
      </c>
      <c r="AX70" s="356">
        <v>2571</v>
      </c>
      <c r="AY70" s="356">
        <v>2595</v>
      </c>
      <c r="AZ70" s="356">
        <v>2621</v>
      </c>
      <c r="BA70" s="356">
        <v>2646</v>
      </c>
      <c r="BB70" s="357">
        <v>2672</v>
      </c>
    </row>
    <row r="71" spans="39:58" ht="28" x14ac:dyDescent="0.3">
      <c r="AM71" s="48" t="s">
        <v>495</v>
      </c>
      <c r="AN71" s="32"/>
      <c r="AO71" s="137">
        <v>2357</v>
      </c>
      <c r="AP71" s="36">
        <v>2382</v>
      </c>
      <c r="AQ71" s="36">
        <v>2335</v>
      </c>
      <c r="AR71" s="36">
        <v>2330</v>
      </c>
      <c r="AS71" s="36">
        <v>2318</v>
      </c>
      <c r="AT71" s="36">
        <v>2339</v>
      </c>
      <c r="AU71" s="379">
        <v>2361</v>
      </c>
      <c r="AV71" s="380">
        <v>2379</v>
      </c>
      <c r="AW71" s="380">
        <v>2397</v>
      </c>
      <c r="AX71" s="380">
        <v>2417</v>
      </c>
      <c r="AY71" s="380">
        <v>2439</v>
      </c>
      <c r="AZ71" s="380">
        <v>2462</v>
      </c>
      <c r="BA71" s="380">
        <v>2486</v>
      </c>
      <c r="BB71" s="381">
        <v>2513</v>
      </c>
    </row>
    <row r="72" spans="39:58" ht="28" x14ac:dyDescent="0.3">
      <c r="AM72" s="48" t="s">
        <v>496</v>
      </c>
      <c r="AN72" s="32"/>
      <c r="AO72" s="428">
        <v>2357.4</v>
      </c>
      <c r="AP72" s="272">
        <v>2381.6</v>
      </c>
      <c r="AQ72" s="272">
        <v>2334.5</v>
      </c>
      <c r="AR72" s="272">
        <v>2329.6</v>
      </c>
      <c r="AS72" s="272">
        <v>2341.6999999999998</v>
      </c>
      <c r="AT72" s="272">
        <v>2395.9</v>
      </c>
      <c r="AU72" s="325">
        <v>2478.4</v>
      </c>
      <c r="AV72" s="326">
        <v>2536.9</v>
      </c>
      <c r="AW72" s="326">
        <v>2569.3000000000002</v>
      </c>
      <c r="AX72" s="326">
        <v>2603.9</v>
      </c>
      <c r="AY72" s="326">
        <v>2640.6</v>
      </c>
      <c r="AZ72" s="326">
        <v>2667.4</v>
      </c>
      <c r="BA72" s="326">
        <v>2690.6</v>
      </c>
      <c r="BB72" s="327">
        <v>2713.8</v>
      </c>
      <c r="BC72" s="429"/>
      <c r="BD72" s="429"/>
      <c r="BE72" s="429"/>
      <c r="BF72" s="429"/>
    </row>
    <row r="73" spans="39:58" x14ac:dyDescent="0.3">
      <c r="AM73" s="1350" t="s">
        <v>497</v>
      </c>
      <c r="AN73" s="1351"/>
      <c r="AO73" s="137"/>
      <c r="AP73" s="36"/>
      <c r="AQ73" s="36"/>
      <c r="AR73" s="36"/>
      <c r="AS73" s="36"/>
      <c r="AT73" s="36"/>
      <c r="AU73" s="379"/>
      <c r="AV73" s="380"/>
      <c r="AW73" s="380"/>
      <c r="AX73" s="380"/>
      <c r="AY73" s="380"/>
      <c r="AZ73" s="380"/>
      <c r="BA73" s="380"/>
      <c r="BB73" s="381"/>
    </row>
    <row r="74" spans="39:58" ht="28" x14ac:dyDescent="0.3">
      <c r="AM74" s="48" t="s">
        <v>494</v>
      </c>
      <c r="AN74" s="32"/>
      <c r="AO74" s="261">
        <f t="shared" ref="AO74:BB74" si="33">AO70-H62</f>
        <v>2088.5120000000002</v>
      </c>
      <c r="AP74" s="260">
        <f t="shared" si="33"/>
        <v>2105.7440000000001</v>
      </c>
      <c r="AQ74" s="260">
        <f t="shared" si="33"/>
        <v>2000.115</v>
      </c>
      <c r="AR74" s="260">
        <f t="shared" si="33"/>
        <v>2051.4499999999998</v>
      </c>
      <c r="AS74" s="260">
        <f t="shared" si="33"/>
        <v>2097.8420000000001</v>
      </c>
      <c r="AT74" s="260">
        <f t="shared" si="33"/>
        <v>2091.8150000000001</v>
      </c>
      <c r="AU74" s="355">
        <f t="shared" si="33"/>
        <v>2075.9809999999998</v>
      </c>
      <c r="AV74" s="356">
        <f t="shared" si="33"/>
        <v>2066.11</v>
      </c>
      <c r="AW74" s="356">
        <f t="shared" si="33"/>
        <v>2053.1151479999999</v>
      </c>
      <c r="AX74" s="356">
        <f t="shared" si="33"/>
        <v>2072.3329299985726</v>
      </c>
      <c r="AY74" s="356">
        <f t="shared" si="33"/>
        <v>2096.0230373636391</v>
      </c>
      <c r="AZ74" s="356">
        <f t="shared" si="33"/>
        <v>2118.6931747422368</v>
      </c>
      <c r="BA74" s="356">
        <f t="shared" si="33"/>
        <v>2130.4121597619046</v>
      </c>
      <c r="BB74" s="357">
        <f t="shared" si="33"/>
        <v>2143.7672094581208</v>
      </c>
    </row>
    <row r="75" spans="39:58" ht="28" x14ac:dyDescent="0.3">
      <c r="AM75" s="48" t="s">
        <v>495</v>
      </c>
      <c r="AN75" s="32"/>
      <c r="AO75" s="261">
        <f t="shared" ref="AO75:BB75" si="34">AO71-H62</f>
        <v>2077.5120000000002</v>
      </c>
      <c r="AP75" s="260">
        <f t="shared" si="34"/>
        <v>2096.7440000000001</v>
      </c>
      <c r="AQ75" s="260">
        <f t="shared" si="34"/>
        <v>1925.115</v>
      </c>
      <c r="AR75" s="260">
        <f t="shared" si="34"/>
        <v>1949.45</v>
      </c>
      <c r="AS75" s="260">
        <f t="shared" si="34"/>
        <v>1960.8420000000001</v>
      </c>
      <c r="AT75" s="260">
        <f t="shared" si="34"/>
        <v>1953.8150000000001</v>
      </c>
      <c r="AU75" s="355">
        <f t="shared" si="34"/>
        <v>1936.981</v>
      </c>
      <c r="AV75" s="356">
        <f t="shared" si="34"/>
        <v>1922.1100000000001</v>
      </c>
      <c r="AW75" s="356">
        <f t="shared" si="34"/>
        <v>1904.1151479999999</v>
      </c>
      <c r="AX75" s="356">
        <f t="shared" si="34"/>
        <v>1918.3329299985728</v>
      </c>
      <c r="AY75" s="356">
        <f t="shared" si="34"/>
        <v>1940.0230373636391</v>
      </c>
      <c r="AZ75" s="356">
        <f t="shared" si="34"/>
        <v>1959.6931747422368</v>
      </c>
      <c r="BA75" s="356">
        <f t="shared" si="34"/>
        <v>1970.4121597619046</v>
      </c>
      <c r="BB75" s="357">
        <f t="shared" si="34"/>
        <v>1984.7672094581208</v>
      </c>
    </row>
    <row r="76" spans="39:58" ht="28" x14ac:dyDescent="0.3">
      <c r="AM76" s="141" t="s">
        <v>496</v>
      </c>
      <c r="AN76" s="430"/>
      <c r="AO76" s="399">
        <f t="shared" ref="AO76:AU76" si="35">AO72-H62</f>
        <v>2077.9120000000003</v>
      </c>
      <c r="AP76" s="400">
        <f t="shared" si="35"/>
        <v>2096.3440000000001</v>
      </c>
      <c r="AQ76" s="400">
        <f t="shared" si="35"/>
        <v>1924.615</v>
      </c>
      <c r="AR76" s="400">
        <f t="shared" si="35"/>
        <v>1949.05</v>
      </c>
      <c r="AS76" s="400">
        <f t="shared" si="35"/>
        <v>1984.5419999999999</v>
      </c>
      <c r="AT76" s="400">
        <f t="shared" si="35"/>
        <v>2010.7150000000001</v>
      </c>
      <c r="AU76" s="401">
        <f t="shared" si="35"/>
        <v>2054.3809999999999</v>
      </c>
      <c r="AV76" s="402">
        <f t="shared" ref="AV76" si="36">AV72-O62</f>
        <v>2080.0100000000002</v>
      </c>
      <c r="AW76" s="402">
        <f t="shared" ref="AW76" si="37">AW72-P62</f>
        <v>2076.415148</v>
      </c>
      <c r="AX76" s="402">
        <f t="shared" ref="AX76" si="38">AX72-Q62</f>
        <v>2105.2329299985731</v>
      </c>
      <c r="AY76" s="402">
        <f t="shared" ref="AY76" si="39">AY72-R62</f>
        <v>2141.623037363639</v>
      </c>
      <c r="AZ76" s="402">
        <f>AZ72-S62</f>
        <v>2165.0931747422369</v>
      </c>
      <c r="BA76" s="402">
        <f>BA72-T62</f>
        <v>2175.0121597619045</v>
      </c>
      <c r="BB76" s="403">
        <f t="shared" ref="BB76" si="40">BB72-U62</f>
        <v>2185.5672094581209</v>
      </c>
    </row>
  </sheetData>
  <mergeCells count="43">
    <mergeCell ref="B1:AC1"/>
    <mergeCell ref="B6:C8"/>
    <mergeCell ref="E7:H7"/>
    <mergeCell ref="I7:L7"/>
    <mergeCell ref="Q7:T7"/>
    <mergeCell ref="U7:X7"/>
    <mergeCell ref="Y7:AB7"/>
    <mergeCell ref="B2:AC4"/>
    <mergeCell ref="B25:AC25"/>
    <mergeCell ref="B26:AC28"/>
    <mergeCell ref="AO63:AT63"/>
    <mergeCell ref="D6:P6"/>
    <mergeCell ref="Q6:AC6"/>
    <mergeCell ref="M7:P7"/>
    <mergeCell ref="J18:O18"/>
    <mergeCell ref="P16:AC16"/>
    <mergeCell ref="AU64:AW64"/>
    <mergeCell ref="AX64:BA64"/>
    <mergeCell ref="U31:X31"/>
    <mergeCell ref="U58:X58"/>
    <mergeCell ref="Y31:AB31"/>
    <mergeCell ref="Y58:AB58"/>
    <mergeCell ref="B53:AC55"/>
    <mergeCell ref="B51:AC52"/>
    <mergeCell ref="B57:C59"/>
    <mergeCell ref="I58:L58"/>
    <mergeCell ref="Q58:T58"/>
    <mergeCell ref="E31:H31"/>
    <mergeCell ref="E58:H58"/>
    <mergeCell ref="AP64:AS64"/>
    <mergeCell ref="B30:C32"/>
    <mergeCell ref="AU63:BB63"/>
    <mergeCell ref="AM73:AN73"/>
    <mergeCell ref="AM63:AN65"/>
    <mergeCell ref="Q31:T31"/>
    <mergeCell ref="I31:L31"/>
    <mergeCell ref="D30:P30"/>
    <mergeCell ref="Q30:AC30"/>
    <mergeCell ref="M31:P31"/>
    <mergeCell ref="D57:P57"/>
    <mergeCell ref="Q57:AC57"/>
    <mergeCell ref="M58:P58"/>
    <mergeCell ref="AM69:AN69"/>
  </mergeCells>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62"/>
  <sheetViews>
    <sheetView zoomScale="60" zoomScaleNormal="60" workbookViewId="0">
      <selection activeCell="B7" sqref="B7"/>
    </sheetView>
  </sheetViews>
  <sheetFormatPr defaultColWidth="10.7265625" defaultRowHeight="14.5" x14ac:dyDescent="0.35"/>
  <cols>
    <col min="2" max="2" width="49.453125" customWidth="1"/>
    <col min="6" max="25" width="6.453125" customWidth="1"/>
    <col min="27" max="27" width="10.1796875" customWidth="1"/>
  </cols>
  <sheetData>
    <row r="1" spans="2:29" x14ac:dyDescent="0.35">
      <c r="B1" s="1290" t="s">
        <v>52</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29" s="121" customFormat="1" ht="14.65" customHeight="1" x14ac:dyDescent="0.35">
      <c r="B2" s="1291" t="s">
        <v>1256</v>
      </c>
      <c r="C2" s="1291"/>
      <c r="D2" s="1291"/>
      <c r="E2" s="1291"/>
      <c r="F2" s="1291"/>
      <c r="G2" s="1291"/>
      <c r="H2" s="1291"/>
      <c r="I2" s="1291"/>
      <c r="J2" s="1291"/>
      <c r="K2" s="1291"/>
      <c r="L2" s="1291"/>
      <c r="M2" s="1291"/>
      <c r="N2" s="1291"/>
      <c r="O2" s="1291"/>
      <c r="P2" s="1291"/>
      <c r="Q2" s="1291"/>
      <c r="R2" s="1291"/>
      <c r="S2" s="1291"/>
      <c r="T2" s="1291"/>
      <c r="U2" s="1291"/>
      <c r="V2" s="1291"/>
      <c r="W2" s="1291"/>
      <c r="X2" s="1291"/>
      <c r="Y2" s="1291"/>
      <c r="Z2" s="1291"/>
      <c r="AA2" s="1291"/>
      <c r="AB2" s="1291"/>
      <c r="AC2" s="1291"/>
    </row>
    <row r="3" spans="2:29" s="121" customFormat="1" ht="14.65" customHeight="1" x14ac:dyDescent="0.35">
      <c r="B3" s="1291"/>
      <c r="C3" s="1291"/>
      <c r="D3" s="1291"/>
      <c r="E3" s="1291"/>
      <c r="F3" s="1291"/>
      <c r="G3" s="1291"/>
      <c r="H3" s="1291"/>
      <c r="I3" s="1291"/>
      <c r="J3" s="1291"/>
      <c r="K3" s="1291"/>
      <c r="L3" s="1291"/>
      <c r="M3" s="1291"/>
      <c r="N3" s="1291"/>
      <c r="O3" s="1291"/>
      <c r="P3" s="1291"/>
      <c r="Q3" s="1291"/>
      <c r="R3" s="1291"/>
      <c r="S3" s="1291"/>
      <c r="T3" s="1291"/>
      <c r="U3" s="1291"/>
      <c r="V3" s="1291"/>
      <c r="W3" s="1291"/>
      <c r="X3" s="1291"/>
      <c r="Y3" s="1291"/>
      <c r="Z3" s="1291"/>
      <c r="AA3" s="1291"/>
      <c r="AB3" s="1291"/>
      <c r="AC3" s="1291"/>
    </row>
    <row r="4" spans="2:29" s="121" customFormat="1" ht="5.5" customHeight="1" x14ac:dyDescent="0.35">
      <c r="B4" s="1291"/>
      <c r="C4" s="1291"/>
      <c r="D4" s="1291"/>
      <c r="E4" s="1291"/>
      <c r="F4" s="1291"/>
      <c r="G4" s="1291"/>
      <c r="H4" s="1291"/>
      <c r="I4" s="1291"/>
      <c r="J4" s="1291"/>
      <c r="K4" s="1291"/>
      <c r="L4" s="1291"/>
      <c r="M4" s="1291"/>
      <c r="N4" s="1291"/>
      <c r="O4" s="1291"/>
      <c r="P4" s="1291"/>
      <c r="Q4" s="1291"/>
      <c r="R4" s="1291"/>
      <c r="S4" s="1291"/>
      <c r="T4" s="1291"/>
      <c r="U4" s="1291"/>
      <c r="V4" s="1291"/>
      <c r="W4" s="1291"/>
      <c r="X4" s="1291"/>
      <c r="Y4" s="1291"/>
      <c r="Z4" s="1291"/>
      <c r="AA4" s="1291"/>
      <c r="AB4" s="1291"/>
      <c r="AC4" s="1291"/>
    </row>
    <row r="5" spans="2:29" s="121" customFormat="1" ht="1.5" customHeight="1" x14ac:dyDescent="0.35">
      <c r="B5" s="1291"/>
      <c r="C5" s="1291"/>
      <c r="D5" s="1291"/>
      <c r="E5" s="1291"/>
      <c r="F5" s="1291"/>
      <c r="G5" s="1291"/>
      <c r="H5" s="1291"/>
      <c r="I5" s="1291"/>
      <c r="J5" s="1291"/>
      <c r="K5" s="1291"/>
      <c r="L5" s="1291"/>
      <c r="M5" s="1291"/>
      <c r="N5" s="1291"/>
      <c r="O5" s="1291"/>
      <c r="P5" s="1291"/>
      <c r="Q5" s="1291"/>
      <c r="R5" s="1291"/>
      <c r="S5" s="1291"/>
      <c r="T5" s="1291"/>
      <c r="U5" s="1291"/>
      <c r="V5" s="1291"/>
      <c r="W5" s="1291"/>
      <c r="X5" s="1291"/>
      <c r="Y5" s="1291"/>
      <c r="Z5" s="1291"/>
      <c r="AA5" s="1291"/>
      <c r="AB5" s="1291"/>
      <c r="AC5" s="1291"/>
    </row>
    <row r="6" spans="2:29" s="121" customFormat="1" ht="14.5" hidden="1" customHeight="1" x14ac:dyDescent="0.35">
      <c r="B6" s="1291"/>
      <c r="C6" s="1291"/>
      <c r="D6" s="1291"/>
      <c r="E6" s="1291"/>
      <c r="F6" s="1291"/>
      <c r="G6" s="1291"/>
      <c r="H6" s="1291"/>
      <c r="I6" s="1291"/>
      <c r="J6" s="1291"/>
      <c r="K6" s="1291"/>
      <c r="L6" s="1291"/>
      <c r="M6" s="1291"/>
      <c r="N6" s="1291"/>
      <c r="O6" s="1291"/>
      <c r="P6" s="1291"/>
      <c r="Q6" s="1291"/>
      <c r="R6" s="1291"/>
      <c r="S6" s="1291"/>
      <c r="T6" s="1291"/>
      <c r="U6" s="1291"/>
      <c r="V6" s="1291"/>
      <c r="W6" s="1291"/>
      <c r="X6" s="1291"/>
      <c r="Y6" s="1291"/>
      <c r="Z6" s="1291"/>
      <c r="AA6" s="1291"/>
      <c r="AB6" s="1291"/>
      <c r="AC6" s="1291"/>
    </row>
    <row r="7" spans="2:29" s="121" customFormat="1" ht="33.75" customHeight="1" x14ac:dyDescent="0.35">
      <c r="B7" s="87"/>
      <c r="C7" s="87"/>
      <c r="D7" s="87"/>
      <c r="E7" s="87"/>
      <c r="F7" s="87"/>
      <c r="G7" s="87"/>
      <c r="H7" s="87"/>
      <c r="I7" s="87"/>
      <c r="J7" s="87"/>
      <c r="K7" s="87"/>
      <c r="L7" s="87"/>
      <c r="M7" s="87"/>
      <c r="N7" s="87"/>
      <c r="O7" s="87"/>
      <c r="P7" s="87"/>
      <c r="Q7" s="87"/>
      <c r="R7" s="87"/>
      <c r="S7" s="87"/>
      <c r="T7" s="87"/>
      <c r="U7" s="87"/>
      <c r="V7" s="87"/>
      <c r="W7" s="87"/>
      <c r="X7" s="87"/>
      <c r="Y7" s="87"/>
    </row>
    <row r="8" spans="2:29" ht="14.65" customHeight="1" x14ac:dyDescent="0.35">
      <c r="B8" s="1295" t="s">
        <v>498</v>
      </c>
      <c r="C8" s="1296"/>
      <c r="D8" s="1307" t="s">
        <v>350</v>
      </c>
      <c r="E8" s="1308"/>
      <c r="F8" s="1308"/>
      <c r="G8" s="1308"/>
      <c r="H8" s="1308"/>
      <c r="I8" s="1308"/>
      <c r="J8" s="1308"/>
      <c r="K8" s="1308"/>
      <c r="L8" s="1308"/>
      <c r="M8" s="1308"/>
      <c r="N8" s="1308"/>
      <c r="O8" s="1308"/>
      <c r="P8" s="1309"/>
      <c r="Q8" s="1304" t="s">
        <v>351</v>
      </c>
      <c r="R8" s="1305"/>
      <c r="S8" s="1305"/>
      <c r="T8" s="1305"/>
      <c r="U8" s="1305"/>
      <c r="V8" s="1305"/>
      <c r="W8" s="1305"/>
      <c r="X8" s="1305"/>
      <c r="Y8" s="1305"/>
      <c r="Z8" s="1305"/>
      <c r="AA8" s="1305"/>
      <c r="AB8" s="1305"/>
      <c r="AC8" s="1306"/>
    </row>
    <row r="9" spans="2:29" x14ac:dyDescent="0.35">
      <c r="B9" s="1297"/>
      <c r="C9" s="1298"/>
      <c r="D9" s="455">
        <v>2018</v>
      </c>
      <c r="E9" s="1292">
        <v>2019</v>
      </c>
      <c r="F9" s="1293"/>
      <c r="G9" s="1293"/>
      <c r="H9" s="1294"/>
      <c r="I9" s="1292">
        <v>2020</v>
      </c>
      <c r="J9" s="1293"/>
      <c r="K9" s="1293"/>
      <c r="L9" s="1293"/>
      <c r="M9" s="1302">
        <v>2021</v>
      </c>
      <c r="N9" s="1293"/>
      <c r="O9" s="1293"/>
      <c r="P9" s="1303"/>
      <c r="Q9" s="1300">
        <v>2022</v>
      </c>
      <c r="R9" s="1300"/>
      <c r="S9" s="1300"/>
      <c r="T9" s="1301"/>
      <c r="U9" s="1299">
        <v>2023</v>
      </c>
      <c r="V9" s="1300"/>
      <c r="W9" s="1300"/>
      <c r="X9" s="1300"/>
      <c r="Y9" s="1299">
        <v>2024</v>
      </c>
      <c r="Z9" s="1300"/>
      <c r="AA9" s="1300"/>
      <c r="AB9" s="1301"/>
      <c r="AC9" s="306">
        <v>2025</v>
      </c>
    </row>
    <row r="10" spans="2:29" x14ac:dyDescent="0.35">
      <c r="B10" s="1335"/>
      <c r="C10" s="1336"/>
      <c r="D10" s="156" t="s">
        <v>352</v>
      </c>
      <c r="E10" s="156" t="s">
        <v>353</v>
      </c>
      <c r="F10" s="139" t="s">
        <v>354</v>
      </c>
      <c r="G10" s="139" t="s">
        <v>253</v>
      </c>
      <c r="H10" s="146" t="s">
        <v>352</v>
      </c>
      <c r="I10" s="140" t="s">
        <v>353</v>
      </c>
      <c r="J10" s="140" t="s">
        <v>354</v>
      </c>
      <c r="K10" s="140" t="s">
        <v>253</v>
      </c>
      <c r="L10" s="140" t="s">
        <v>352</v>
      </c>
      <c r="M10" s="151" t="s">
        <v>353</v>
      </c>
      <c r="N10" s="773" t="s">
        <v>354</v>
      </c>
      <c r="O10" s="773" t="s">
        <v>253</v>
      </c>
      <c r="P10" s="146" t="s">
        <v>352</v>
      </c>
      <c r="Q10" s="826" t="s">
        <v>353</v>
      </c>
      <c r="R10" s="898" t="s">
        <v>354</v>
      </c>
      <c r="S10" s="898" t="s">
        <v>253</v>
      </c>
      <c r="T10" s="898" t="s">
        <v>352</v>
      </c>
      <c r="U10" s="897" t="s">
        <v>353</v>
      </c>
      <c r="V10" s="898" t="s">
        <v>354</v>
      </c>
      <c r="W10" s="898" t="s">
        <v>253</v>
      </c>
      <c r="X10" s="898" t="s">
        <v>352</v>
      </c>
      <c r="Y10" s="897" t="s">
        <v>353</v>
      </c>
      <c r="Z10" s="874" t="s">
        <v>354</v>
      </c>
      <c r="AA10" s="898" t="s">
        <v>253</v>
      </c>
      <c r="AB10" s="381" t="s">
        <v>352</v>
      </c>
      <c r="AC10" s="63" t="s">
        <v>353</v>
      </c>
    </row>
    <row r="11" spans="2:29" x14ac:dyDescent="0.35">
      <c r="B11" s="1356" t="s">
        <v>499</v>
      </c>
      <c r="C11" s="1357"/>
      <c r="D11" s="1201"/>
      <c r="E11" s="1202"/>
      <c r="F11" s="706">
        <v>60.5</v>
      </c>
      <c r="G11" s="706">
        <v>81.400000000000006</v>
      </c>
      <c r="H11" s="512">
        <f>'Haver Pivoted'!GS42</f>
        <v>82.2</v>
      </c>
      <c r="I11" s="512">
        <f>'Haver Pivoted'!GT42</f>
        <v>80.3</v>
      </c>
      <c r="J11" s="512">
        <f>'Haver Pivoted'!GU42</f>
        <v>1123.5999999999999</v>
      </c>
      <c r="K11" s="512">
        <f>'Haver Pivoted'!GV42</f>
        <v>1220.5</v>
      </c>
      <c r="L11" s="512">
        <f>'Haver Pivoted'!GW42</f>
        <v>618.6</v>
      </c>
      <c r="M11" s="512">
        <f>'Haver Pivoted'!GX42</f>
        <v>403.8</v>
      </c>
      <c r="N11" s="512">
        <f>'Haver Pivoted'!GY42</f>
        <v>697</v>
      </c>
      <c r="O11" s="979">
        <f>'Haver Pivoted'!GZ42</f>
        <v>554.5</v>
      </c>
      <c r="P11" s="980">
        <f>'Haver Pivoted'!HA42</f>
        <v>304.7</v>
      </c>
      <c r="Q11" s="511">
        <f t="shared" ref="Q11:AC11" si="0">Q12+Q13</f>
        <v>180.51506671838635</v>
      </c>
      <c r="R11" s="511">
        <f t="shared" si="0"/>
        <v>153.89830954228086</v>
      </c>
      <c r="S11" s="511">
        <f t="shared" si="0"/>
        <v>141.88900000000001</v>
      </c>
      <c r="T11" s="511">
        <f t="shared" si="0"/>
        <v>97.986000000000018</v>
      </c>
      <c r="U11" s="511">
        <f t="shared" si="0"/>
        <v>94.986000000000018</v>
      </c>
      <c r="V11" s="511">
        <f t="shared" si="0"/>
        <v>94.986000000000018</v>
      </c>
      <c r="W11" s="511">
        <f t="shared" si="0"/>
        <v>94.986000000000018</v>
      </c>
      <c r="X11" s="511">
        <f t="shared" si="0"/>
        <v>86.300000000000011</v>
      </c>
      <c r="Y11" s="511">
        <f t="shared" si="0"/>
        <v>86.300000000000011</v>
      </c>
      <c r="Z11" s="511">
        <f t="shared" si="0"/>
        <v>86.300000000000011</v>
      </c>
      <c r="AA11" s="511">
        <f t="shared" si="0"/>
        <v>86.300000000000011</v>
      </c>
      <c r="AB11" s="511">
        <f t="shared" si="0"/>
        <v>76.100000000000009</v>
      </c>
      <c r="AC11" s="1474">
        <f t="shared" si="0"/>
        <v>76.100000000000009</v>
      </c>
    </row>
    <row r="12" spans="2:29" ht="16.5" customHeight="1" x14ac:dyDescent="0.35">
      <c r="B12" s="86" t="s">
        <v>500</v>
      </c>
      <c r="C12" s="87"/>
      <c r="D12" s="1200"/>
      <c r="E12" s="969"/>
      <c r="F12" s="941">
        <f>F11</f>
        <v>60.5</v>
      </c>
      <c r="G12" s="941">
        <f>G11</f>
        <v>81.400000000000006</v>
      </c>
      <c r="H12" s="939">
        <f t="shared" ref="H12:M12" si="1">H11-H13</f>
        <v>82.2</v>
      </c>
      <c r="I12" s="939">
        <f t="shared" si="1"/>
        <v>80.3</v>
      </c>
      <c r="J12" s="939">
        <f>J11-J13</f>
        <v>134.09999999999991</v>
      </c>
      <c r="K12" s="939">
        <f t="shared" si="1"/>
        <v>93.900000000000091</v>
      </c>
      <c r="L12" s="939">
        <f>L11-L13</f>
        <v>80.199999999999932</v>
      </c>
      <c r="M12" s="939">
        <f t="shared" si="1"/>
        <v>73.900000000000034</v>
      </c>
      <c r="N12" s="939">
        <f>N11-N13</f>
        <v>76.299999999999955</v>
      </c>
      <c r="O12" s="939">
        <f>O11-O13</f>
        <v>76.383519999999976</v>
      </c>
      <c r="P12" s="727">
        <f>P11-P13</f>
        <v>72.499999999999972</v>
      </c>
      <c r="Q12" s="1130">
        <f>AVERAGE($F$11:$I$11)</f>
        <v>76.100000000000009</v>
      </c>
      <c r="R12" s="1130">
        <f t="shared" ref="R12:AC12" si="2">AVERAGE($F$11:$I$11)</f>
        <v>76.100000000000009</v>
      </c>
      <c r="S12" s="1130">
        <f t="shared" si="2"/>
        <v>76.100000000000009</v>
      </c>
      <c r="T12" s="1130">
        <f t="shared" si="2"/>
        <v>76.100000000000009</v>
      </c>
      <c r="U12" s="1130">
        <f t="shared" si="2"/>
        <v>76.100000000000009</v>
      </c>
      <c r="V12" s="1130">
        <f t="shared" si="2"/>
        <v>76.100000000000009</v>
      </c>
      <c r="W12" s="1130">
        <f t="shared" si="2"/>
        <v>76.100000000000009</v>
      </c>
      <c r="X12" s="1130">
        <f t="shared" si="2"/>
        <v>76.100000000000009</v>
      </c>
      <c r="Y12" s="1130">
        <f t="shared" si="2"/>
        <v>76.100000000000009</v>
      </c>
      <c r="Z12" s="1130">
        <f t="shared" si="2"/>
        <v>76.100000000000009</v>
      </c>
      <c r="AA12" s="1130">
        <f t="shared" si="2"/>
        <v>76.100000000000009</v>
      </c>
      <c r="AB12" s="1130">
        <f t="shared" si="2"/>
        <v>76.100000000000009</v>
      </c>
      <c r="AC12" s="69">
        <f t="shared" si="2"/>
        <v>76.100000000000009</v>
      </c>
    </row>
    <row r="13" spans="2:29" x14ac:dyDescent="0.35">
      <c r="B13" s="83" t="s">
        <v>501</v>
      </c>
      <c r="C13" s="87"/>
      <c r="D13" s="1200"/>
      <c r="E13" s="969"/>
      <c r="F13" s="971"/>
      <c r="G13" s="971"/>
      <c r="H13" s="939">
        <f>SUM(H16:H25)</f>
        <v>0</v>
      </c>
      <c r="I13" s="939">
        <f>SUM(I16:I25)</f>
        <v>0</v>
      </c>
      <c r="J13" s="939">
        <f t="shared" ref="J13:AC13" si="3">SUM(J16:J25)+J14</f>
        <v>989.5</v>
      </c>
      <c r="K13" s="939">
        <f t="shared" si="3"/>
        <v>1126.5999999999999</v>
      </c>
      <c r="L13" s="939">
        <f t="shared" si="3"/>
        <v>538.40000000000009</v>
      </c>
      <c r="M13" s="939">
        <f t="shared" si="3"/>
        <v>329.9</v>
      </c>
      <c r="N13" s="972">
        <f t="shared" si="3"/>
        <v>620.70000000000005</v>
      </c>
      <c r="O13" s="973">
        <f>SUM(O16:O25)+O14</f>
        <v>478.11648000000002</v>
      </c>
      <c r="P13" s="933">
        <f>SUM(P16:P25)+P14</f>
        <v>232.20000000000002</v>
      </c>
      <c r="Q13" s="1475">
        <f t="shared" si="3"/>
        <v>104.41506671838634</v>
      </c>
      <c r="R13" s="1475">
        <f t="shared" si="3"/>
        <v>77.798309542280833</v>
      </c>
      <c r="S13" s="1475">
        <f t="shared" si="3"/>
        <v>65.789000000000001</v>
      </c>
      <c r="T13" s="1475">
        <f t="shared" si="3"/>
        <v>21.886000000000003</v>
      </c>
      <c r="U13" s="1475">
        <f t="shared" si="3"/>
        <v>18.886000000000003</v>
      </c>
      <c r="V13" s="1475">
        <f t="shared" si="3"/>
        <v>18.886000000000003</v>
      </c>
      <c r="W13" s="1475">
        <f t="shared" si="3"/>
        <v>18.886000000000003</v>
      </c>
      <c r="X13" s="1475">
        <f t="shared" si="3"/>
        <v>10.199999999999999</v>
      </c>
      <c r="Y13" s="1475">
        <f t="shared" si="3"/>
        <v>10.199999999999999</v>
      </c>
      <c r="Z13" s="1475">
        <f t="shared" si="3"/>
        <v>10.199999999999999</v>
      </c>
      <c r="AA13" s="1475">
        <f t="shared" si="3"/>
        <v>10.199999999999999</v>
      </c>
      <c r="AB13" s="1475">
        <f t="shared" si="3"/>
        <v>0</v>
      </c>
      <c r="AC13" s="734">
        <f t="shared" si="3"/>
        <v>0</v>
      </c>
    </row>
    <row r="14" spans="2:29" x14ac:dyDescent="0.35">
      <c r="B14" s="73" t="s">
        <v>50</v>
      </c>
      <c r="C14" s="88" t="s">
        <v>402</v>
      </c>
      <c r="D14" s="478"/>
      <c r="E14" s="943"/>
      <c r="F14" s="939"/>
      <c r="G14" s="939"/>
      <c r="H14" s="941">
        <f>'Haver Pivoted'!GS49</f>
        <v>0</v>
      </c>
      <c r="I14" s="941">
        <f>'Haver Pivoted'!GT49</f>
        <v>0</v>
      </c>
      <c r="J14" s="941">
        <f>'Haver Pivoted'!GU49</f>
        <v>576.9</v>
      </c>
      <c r="K14" s="941">
        <f>'Haver Pivoted'!GV49</f>
        <v>819.5</v>
      </c>
      <c r="L14" s="941">
        <f>'Haver Pivoted'!GW49</f>
        <v>246.3</v>
      </c>
      <c r="M14" s="941">
        <f>'Haver Pivoted'!GX49</f>
        <v>184.6</v>
      </c>
      <c r="N14" s="941">
        <f>'Haver Pivoted'!GY49</f>
        <v>427.2</v>
      </c>
      <c r="O14" s="974">
        <f>'Haver Pivoted'!GZ49</f>
        <v>265</v>
      </c>
      <c r="P14" s="934">
        <f>'Haver Pivoted'!HA49</f>
        <v>28.6</v>
      </c>
      <c r="Q14" s="1475"/>
      <c r="R14" s="1475"/>
      <c r="S14" s="1475"/>
      <c r="T14" s="1475"/>
      <c r="U14" s="1475"/>
      <c r="V14" s="1475"/>
      <c r="W14" s="1475"/>
      <c r="X14" s="1475"/>
      <c r="Y14" s="1475"/>
      <c r="Z14" s="1476"/>
      <c r="AA14" s="1476"/>
      <c r="AB14" s="1476"/>
      <c r="AC14" s="166"/>
    </row>
    <row r="15" spans="2:29" x14ac:dyDescent="0.35">
      <c r="B15" s="83" t="s">
        <v>502</v>
      </c>
      <c r="C15" s="87"/>
      <c r="D15" s="1200"/>
      <c r="E15" s="969"/>
      <c r="F15" s="971"/>
      <c r="G15" s="971"/>
      <c r="H15" s="939">
        <f t="shared" ref="H15:AC15" si="4">SUM(H16:H25)</f>
        <v>0</v>
      </c>
      <c r="I15" s="939">
        <f t="shared" si="4"/>
        <v>0</v>
      </c>
      <c r="J15" s="939">
        <f t="shared" si="4"/>
        <v>412.6</v>
      </c>
      <c r="K15" s="939">
        <f t="shared" si="4"/>
        <v>307.10000000000002</v>
      </c>
      <c r="L15" s="939">
        <f t="shared" si="4"/>
        <v>292.10000000000002</v>
      </c>
      <c r="M15" s="939">
        <f t="shared" si="4"/>
        <v>145.30000000000001</v>
      </c>
      <c r="N15" s="939">
        <f t="shared" si="4"/>
        <v>193.50000000000003</v>
      </c>
      <c r="O15" s="970">
        <f t="shared" si="4"/>
        <v>213.11648</v>
      </c>
      <c r="P15" s="935">
        <f>SUM(P16:P25)</f>
        <v>203.60000000000002</v>
      </c>
      <c r="Q15" s="1477">
        <f t="shared" si="4"/>
        <v>104.41506671838634</v>
      </c>
      <c r="R15" s="1477">
        <f t="shared" si="4"/>
        <v>77.798309542280833</v>
      </c>
      <c r="S15" s="1477">
        <f t="shared" si="4"/>
        <v>65.789000000000001</v>
      </c>
      <c r="T15" s="1477">
        <f t="shared" si="4"/>
        <v>21.886000000000003</v>
      </c>
      <c r="U15" s="1477">
        <f t="shared" si="4"/>
        <v>18.886000000000003</v>
      </c>
      <c r="V15" s="1477">
        <f t="shared" si="4"/>
        <v>18.886000000000003</v>
      </c>
      <c r="W15" s="1477">
        <f t="shared" si="4"/>
        <v>18.886000000000003</v>
      </c>
      <c r="X15" s="1477">
        <f t="shared" si="4"/>
        <v>10.199999999999999</v>
      </c>
      <c r="Y15" s="1477">
        <f t="shared" si="4"/>
        <v>10.199999999999999</v>
      </c>
      <c r="Z15" s="1477">
        <f t="shared" si="4"/>
        <v>10.199999999999999</v>
      </c>
      <c r="AA15" s="1477">
        <f t="shared" si="4"/>
        <v>10.199999999999999</v>
      </c>
      <c r="AB15" s="1477">
        <f t="shared" si="4"/>
        <v>0</v>
      </c>
      <c r="AC15" s="735">
        <f t="shared" si="4"/>
        <v>0</v>
      </c>
    </row>
    <row r="16" spans="2:29" x14ac:dyDescent="0.35">
      <c r="B16" s="1136" t="s">
        <v>159</v>
      </c>
      <c r="C16" s="1137" t="s">
        <v>503</v>
      </c>
      <c r="D16" s="1126"/>
      <c r="E16" s="1127"/>
      <c r="F16" s="970"/>
      <c r="G16" s="970"/>
      <c r="H16" s="974">
        <f>'Haver Pivoted'!GS53</f>
        <v>0</v>
      </c>
      <c r="I16" s="974">
        <f>'Haver Pivoted'!GT53</f>
        <v>0</v>
      </c>
      <c r="J16" s="974">
        <f>'Haver Pivoted'!GU53</f>
        <v>16.899999999999999</v>
      </c>
      <c r="K16" s="974">
        <f>'Haver Pivoted'!GV53</f>
        <v>18.399999999999999</v>
      </c>
      <c r="L16" s="974">
        <f>'Haver Pivoted'!GW53</f>
        <v>46.2</v>
      </c>
      <c r="M16" s="974">
        <f>'Haver Pivoted'!GX53</f>
        <v>0.9</v>
      </c>
      <c r="N16" s="974">
        <f>'Haver Pivoted'!GY53</f>
        <v>14.3</v>
      </c>
      <c r="O16" s="974">
        <f>'Haver Pivoted'!GZ53</f>
        <v>8.6999999999999993</v>
      </c>
      <c r="P16" s="934">
        <f>'Haver Pivoted'!HA53</f>
        <v>1.2</v>
      </c>
      <c r="Q16" s="1130"/>
      <c r="R16" s="1130"/>
      <c r="S16" s="1130"/>
      <c r="T16" s="1130"/>
      <c r="U16" s="1130"/>
      <c r="V16" s="1478"/>
      <c r="W16" s="1478"/>
      <c r="X16" s="1478"/>
      <c r="Y16" s="1478"/>
      <c r="Z16" s="1476"/>
      <c r="AA16" s="1476"/>
      <c r="AB16" s="1476"/>
      <c r="AC16" s="166"/>
    </row>
    <row r="17" spans="2:29" x14ac:dyDescent="0.35">
      <c r="B17" s="1136" t="s">
        <v>157</v>
      </c>
      <c r="C17" s="1137" t="s">
        <v>504</v>
      </c>
      <c r="D17" s="1126"/>
      <c r="E17" s="1127"/>
      <c r="F17" s="970"/>
      <c r="G17" s="970"/>
      <c r="H17" s="974">
        <f>'Haver Pivoted'!GS51</f>
        <v>0</v>
      </c>
      <c r="I17" s="974">
        <f>'Haver Pivoted'!GT51</f>
        <v>0</v>
      </c>
      <c r="J17" s="974">
        <f>'Haver Pivoted'!GU51</f>
        <v>73.3</v>
      </c>
      <c r="K17" s="974">
        <f>'Haver Pivoted'!GV51</f>
        <v>73.3</v>
      </c>
      <c r="L17" s="974">
        <f>'Haver Pivoted'!GW51</f>
        <v>73.3</v>
      </c>
      <c r="M17" s="974">
        <f>'Haver Pivoted'!GX51</f>
        <v>62.9</v>
      </c>
      <c r="N17" s="974">
        <f>'Haver Pivoted'!GY51</f>
        <v>62.9</v>
      </c>
      <c r="O17" s="974">
        <f>'Haver Pivoted'!GZ51</f>
        <v>62.9</v>
      </c>
      <c r="P17" s="934">
        <f>'Haver Pivoted'!HA51</f>
        <v>62.9</v>
      </c>
      <c r="Q17" s="1130">
        <f t="shared" ref="Q17:AC17" si="5">Q34</f>
        <v>7.1439999999999992</v>
      </c>
      <c r="R17" s="1130">
        <f t="shared" si="5"/>
        <v>7.1439999999999992</v>
      </c>
      <c r="S17" s="1130">
        <f t="shared" si="5"/>
        <v>7.1439999999999992</v>
      </c>
      <c r="T17" s="1130">
        <f t="shared" si="5"/>
        <v>0</v>
      </c>
      <c r="U17" s="1130">
        <f t="shared" si="5"/>
        <v>0</v>
      </c>
      <c r="V17" s="1130">
        <f t="shared" si="5"/>
        <v>0</v>
      </c>
      <c r="W17" s="1130">
        <f t="shared" si="5"/>
        <v>0</v>
      </c>
      <c r="X17" s="1130">
        <f t="shared" si="5"/>
        <v>0</v>
      </c>
      <c r="Y17" s="1130">
        <f t="shared" si="5"/>
        <v>0</v>
      </c>
      <c r="Z17" s="1130">
        <f t="shared" si="5"/>
        <v>0</v>
      </c>
      <c r="AA17" s="1130">
        <f t="shared" si="5"/>
        <v>0</v>
      </c>
      <c r="AB17" s="1130">
        <f t="shared" si="5"/>
        <v>0</v>
      </c>
      <c r="AC17" s="69">
        <f t="shared" si="5"/>
        <v>0</v>
      </c>
    </row>
    <row r="18" spans="2:29" x14ac:dyDescent="0.35">
      <c r="B18" s="1136" t="s">
        <v>156</v>
      </c>
      <c r="C18" s="1085" t="s">
        <v>505</v>
      </c>
      <c r="D18" s="1128"/>
      <c r="E18" s="1082"/>
      <c r="F18" s="970"/>
      <c r="G18" s="970"/>
      <c r="H18" s="974">
        <f>'Haver Pivoted'!GS50</f>
        <v>0</v>
      </c>
      <c r="I18" s="974">
        <f>'Haver Pivoted'!GT50</f>
        <v>0</v>
      </c>
      <c r="J18" s="974">
        <f>'Haver Pivoted'!GU50</f>
        <v>63.8</v>
      </c>
      <c r="K18" s="974">
        <f>'Haver Pivoted'!GV50</f>
        <v>15</v>
      </c>
      <c r="L18" s="974">
        <f>'Haver Pivoted'!GW50</f>
        <v>0.1</v>
      </c>
      <c r="M18" s="974">
        <f>'Haver Pivoted'!GX50</f>
        <v>38</v>
      </c>
      <c r="N18" s="974">
        <f>'Haver Pivoted'!GY50</f>
        <v>47.3</v>
      </c>
      <c r="O18" s="974">
        <f>'Haver Pivoted'!GZ50</f>
        <v>0.7</v>
      </c>
      <c r="P18" s="934">
        <f>'Haver Pivoted'!HA50</f>
        <v>0</v>
      </c>
      <c r="Q18" s="1130">
        <f t="shared" ref="Q18:AC18" si="6">Q28</f>
        <v>0</v>
      </c>
      <c r="R18" s="1130">
        <f t="shared" si="6"/>
        <v>0</v>
      </c>
      <c r="S18" s="1130">
        <f t="shared" si="6"/>
        <v>0</v>
      </c>
      <c r="T18" s="1130">
        <f t="shared" si="6"/>
        <v>0</v>
      </c>
      <c r="U18" s="1130">
        <f t="shared" si="6"/>
        <v>0</v>
      </c>
      <c r="V18" s="1130">
        <f t="shared" si="6"/>
        <v>0</v>
      </c>
      <c r="W18" s="1130">
        <f t="shared" si="6"/>
        <v>0</v>
      </c>
      <c r="X18" s="1130">
        <f t="shared" si="6"/>
        <v>0</v>
      </c>
      <c r="Y18" s="1130">
        <f t="shared" si="6"/>
        <v>0</v>
      </c>
      <c r="Z18" s="1130">
        <f t="shared" si="6"/>
        <v>0</v>
      </c>
      <c r="AA18" s="1130">
        <f t="shared" si="6"/>
        <v>0</v>
      </c>
      <c r="AB18" s="1130">
        <f t="shared" si="6"/>
        <v>0</v>
      </c>
      <c r="AC18" s="69">
        <f t="shared" si="6"/>
        <v>0</v>
      </c>
    </row>
    <row r="19" spans="2:29" x14ac:dyDescent="0.35">
      <c r="B19" s="1136" t="s">
        <v>506</v>
      </c>
      <c r="C19" s="1085" t="s">
        <v>382</v>
      </c>
      <c r="D19" s="1128"/>
      <c r="E19" s="1082"/>
      <c r="F19" s="970"/>
      <c r="G19" s="970"/>
      <c r="H19" s="974">
        <f>'Haver Pivoted'!GS54</f>
        <v>0</v>
      </c>
      <c r="I19" s="974">
        <f>'Haver Pivoted'!GT54</f>
        <v>0</v>
      </c>
      <c r="J19" s="974">
        <f>'Haver Pivoted'!GU54</f>
        <v>96.6</v>
      </c>
      <c r="K19" s="974">
        <f>'Haver Pivoted'!GV54</f>
        <v>35.1</v>
      </c>
      <c r="L19" s="974">
        <f>'Haver Pivoted'!GW54</f>
        <v>20.7</v>
      </c>
      <c r="M19" s="974">
        <f>'Haver Pivoted'!GX54</f>
        <v>25.7</v>
      </c>
      <c r="N19" s="974">
        <f>'Haver Pivoted'!GY54</f>
        <v>16</v>
      </c>
      <c r="O19" s="974">
        <f>'Haver Pivoted'!GZ54</f>
        <v>22.4</v>
      </c>
      <c r="P19" s="934">
        <f>'Haver Pivoted'!HA54</f>
        <v>38.700000000000003</v>
      </c>
      <c r="Q19" s="1130">
        <f>'Provider Relief'!Q13</f>
        <v>33.62606671838634</v>
      </c>
      <c r="R19" s="1130">
        <f>'Provider Relief'!R13</f>
        <v>12.009309542280837</v>
      </c>
      <c r="S19" s="1130">
        <f>'Provider Relief'!S13</f>
        <v>0</v>
      </c>
      <c r="T19" s="1130">
        <f>'Provider Relief'!T13</f>
        <v>0</v>
      </c>
      <c r="U19" s="1130"/>
      <c r="V19" s="1130"/>
      <c r="W19" s="1130"/>
      <c r="X19" s="1130"/>
      <c r="Y19" s="1130"/>
      <c r="Z19" s="1476"/>
      <c r="AA19" s="1476"/>
      <c r="AB19" s="1476"/>
      <c r="AC19" s="166"/>
    </row>
    <row r="20" spans="2:29" x14ac:dyDescent="0.35">
      <c r="B20" s="1136" t="s">
        <v>158</v>
      </c>
      <c r="C20" s="1085" t="s">
        <v>507</v>
      </c>
      <c r="D20" s="1128"/>
      <c r="E20" s="1082"/>
      <c r="F20" s="970"/>
      <c r="G20" s="970"/>
      <c r="H20" s="974">
        <f>'Haver Pivoted'!GS52</f>
        <v>0</v>
      </c>
      <c r="I20" s="974">
        <f>'Haver Pivoted'!GT52</f>
        <v>0</v>
      </c>
      <c r="J20" s="974">
        <f>'Haver Pivoted'!GU52</f>
        <v>22</v>
      </c>
      <c r="K20" s="974">
        <f>'Haver Pivoted'!GV52</f>
        <v>25.3</v>
      </c>
      <c r="L20" s="974">
        <f>'Haver Pivoted'!GW52</f>
        <v>11.8</v>
      </c>
      <c r="M20" s="974">
        <f>'Haver Pivoted'!GX52</f>
        <v>9.8000000000000007</v>
      </c>
      <c r="N20" s="974">
        <f>'Haver Pivoted'!GY52</f>
        <v>12.3</v>
      </c>
      <c r="O20" s="974">
        <f>'Haver Pivoted'!GZ52</f>
        <v>18.5</v>
      </c>
      <c r="P20" s="934">
        <f>'Haver Pivoted'!HA52</f>
        <v>15.7</v>
      </c>
      <c r="Q20" s="1130">
        <f t="shared" ref="Q20:AC20" si="7">Q35</f>
        <v>5.6120000000000001</v>
      </c>
      <c r="R20" s="1130">
        <f t="shared" si="7"/>
        <v>5.6120000000000001</v>
      </c>
      <c r="S20" s="1130">
        <f t="shared" si="7"/>
        <v>5.6120000000000001</v>
      </c>
      <c r="T20" s="1130">
        <f t="shared" si="7"/>
        <v>0.48599999999999993</v>
      </c>
      <c r="U20" s="1130">
        <f t="shared" si="7"/>
        <v>0.48599999999999993</v>
      </c>
      <c r="V20" s="1130">
        <f t="shared" si="7"/>
        <v>0.48599999999999993</v>
      </c>
      <c r="W20" s="1130">
        <f t="shared" si="7"/>
        <v>0.48599999999999993</v>
      </c>
      <c r="X20" s="1130">
        <f t="shared" si="7"/>
        <v>0</v>
      </c>
      <c r="Y20" s="1130">
        <f t="shared" si="7"/>
        <v>0</v>
      </c>
      <c r="Z20" s="1130">
        <f t="shared" si="7"/>
        <v>0</v>
      </c>
      <c r="AA20" s="1130">
        <f t="shared" si="7"/>
        <v>0</v>
      </c>
      <c r="AB20" s="1130">
        <f t="shared" si="7"/>
        <v>0</v>
      </c>
      <c r="AC20" s="69">
        <f t="shared" si="7"/>
        <v>0</v>
      </c>
    </row>
    <row r="21" spans="2:29" x14ac:dyDescent="0.35">
      <c r="B21" s="1136" t="s">
        <v>162</v>
      </c>
      <c r="C21" s="1085" t="s">
        <v>508</v>
      </c>
      <c r="D21" s="1128"/>
      <c r="E21" s="1082"/>
      <c r="F21" s="970"/>
      <c r="G21" s="970"/>
      <c r="H21" s="974">
        <f>'Haver Pivoted'!GS55</f>
        <v>0</v>
      </c>
      <c r="I21" s="974">
        <f>'Haver Pivoted'!GT55</f>
        <v>0</v>
      </c>
      <c r="J21" s="974">
        <f>'Haver Pivoted'!GU55</f>
        <v>140</v>
      </c>
      <c r="K21" s="974">
        <f>'Haver Pivoted'!GV55</f>
        <v>140</v>
      </c>
      <c r="L21" s="974">
        <f>'Haver Pivoted'!GW55</f>
        <v>140</v>
      </c>
      <c r="M21" s="974">
        <f>'Haver Pivoted'!GX55</f>
        <v>8</v>
      </c>
      <c r="N21" s="974">
        <f>'Haver Pivoted'!GY55</f>
        <v>8</v>
      </c>
      <c r="O21" s="974">
        <f>'Haver Pivoted'!GZ55</f>
        <v>8</v>
      </c>
      <c r="P21" s="934">
        <f>'Haver Pivoted'!HA55</f>
        <v>8</v>
      </c>
      <c r="Q21" s="1130">
        <f t="shared" ref="Q21:AC21" si="8">Q36</f>
        <v>1.7329999999999999</v>
      </c>
      <c r="R21" s="1130">
        <f t="shared" si="8"/>
        <v>1.7329999999999999</v>
      </c>
      <c r="S21" s="1130">
        <f t="shared" si="8"/>
        <v>1.7329999999999999</v>
      </c>
      <c r="T21" s="1130">
        <f t="shared" si="8"/>
        <v>0</v>
      </c>
      <c r="U21" s="1130">
        <f t="shared" si="8"/>
        <v>0</v>
      </c>
      <c r="V21" s="1130">
        <f t="shared" si="8"/>
        <v>0</v>
      </c>
      <c r="W21" s="1130">
        <f t="shared" si="8"/>
        <v>0</v>
      </c>
      <c r="X21" s="1130">
        <f t="shared" si="8"/>
        <v>0</v>
      </c>
      <c r="Y21" s="1130">
        <f t="shared" si="8"/>
        <v>0</v>
      </c>
      <c r="Z21" s="1130">
        <f t="shared" si="8"/>
        <v>0</v>
      </c>
      <c r="AA21" s="1130">
        <f t="shared" si="8"/>
        <v>0</v>
      </c>
      <c r="AB21" s="1130">
        <f t="shared" si="8"/>
        <v>0</v>
      </c>
      <c r="AC21" s="69">
        <f t="shared" si="8"/>
        <v>0</v>
      </c>
    </row>
    <row r="22" spans="2:29" x14ac:dyDescent="0.35">
      <c r="B22" s="1136" t="s">
        <v>509</v>
      </c>
      <c r="C22" s="1085" t="s">
        <v>1150</v>
      </c>
      <c r="D22" s="981"/>
      <c r="E22" s="974"/>
      <c r="F22" s="974"/>
      <c r="G22" s="974"/>
      <c r="H22" s="974"/>
      <c r="I22" s="974"/>
      <c r="J22" s="974"/>
      <c r="K22" s="974"/>
      <c r="L22" s="974"/>
      <c r="M22" s="974"/>
      <c r="N22" s="974">
        <f>'Haver Pivoted'!GY87</f>
        <v>11.3</v>
      </c>
      <c r="O22" s="974">
        <f>'Haver Pivoted'!GZ87</f>
        <v>10.4</v>
      </c>
      <c r="P22" s="934">
        <f>'Haver Pivoted'!HA87</f>
        <v>5.3</v>
      </c>
      <c r="Q22" s="1130">
        <v>10</v>
      </c>
      <c r="R22" s="1130">
        <v>10</v>
      </c>
      <c r="S22" s="1130">
        <v>10</v>
      </c>
      <c r="T22" s="1130">
        <v>10</v>
      </c>
      <c r="U22" s="1130">
        <v>10</v>
      </c>
      <c r="V22" s="1130">
        <v>10</v>
      </c>
      <c r="W22" s="1130">
        <v>10</v>
      </c>
      <c r="X22" s="1130">
        <v>10</v>
      </c>
      <c r="Y22" s="1130">
        <v>10</v>
      </c>
      <c r="Z22" s="1130">
        <v>10</v>
      </c>
      <c r="AA22" s="1130">
        <v>10</v>
      </c>
      <c r="AB22" s="1130">
        <f t="shared" ref="AB22:AC22" si="9">AB37+AB30</f>
        <v>0</v>
      </c>
      <c r="AC22" s="69">
        <f t="shared" si="9"/>
        <v>0</v>
      </c>
    </row>
    <row r="23" spans="2:29" x14ac:dyDescent="0.35">
      <c r="B23" s="1136" t="s">
        <v>510</v>
      </c>
      <c r="C23" s="1085" t="s">
        <v>1149</v>
      </c>
      <c r="D23" s="1128"/>
      <c r="E23" s="1082"/>
      <c r="F23" s="970"/>
      <c r="G23" s="1138"/>
      <c r="H23" s="974"/>
      <c r="I23" s="974"/>
      <c r="J23" s="974"/>
      <c r="K23" s="974"/>
      <c r="L23" s="974"/>
      <c r="M23" s="974"/>
      <c r="N23" s="974">
        <f>'Haver Pivoted'!GY86</f>
        <v>21.4</v>
      </c>
      <c r="O23" s="974">
        <f>'Haver Pivoted'!GZ86</f>
        <v>57</v>
      </c>
      <c r="P23" s="934">
        <f>'Haver Pivoted'!HA86</f>
        <v>35.5</v>
      </c>
      <c r="Q23" s="1130">
        <v>10</v>
      </c>
      <c r="R23" s="1130">
        <v>5</v>
      </c>
      <c r="S23" s="1130">
        <v>5</v>
      </c>
      <c r="T23" s="1130">
        <v>3</v>
      </c>
      <c r="U23" s="1130">
        <v>0</v>
      </c>
      <c r="V23" s="1130">
        <v>0</v>
      </c>
      <c r="W23" s="1130">
        <v>0</v>
      </c>
      <c r="X23" s="1130">
        <f t="shared" ref="X23:AC23" si="10">X38+X31</f>
        <v>0</v>
      </c>
      <c r="Y23" s="1130">
        <f t="shared" si="10"/>
        <v>0</v>
      </c>
      <c r="Z23" s="1130">
        <f t="shared" si="10"/>
        <v>0</v>
      </c>
      <c r="AA23" s="1130">
        <f t="shared" si="10"/>
        <v>0</v>
      </c>
      <c r="AB23" s="1130">
        <f t="shared" si="10"/>
        <v>0</v>
      </c>
      <c r="AC23" s="69">
        <f t="shared" si="10"/>
        <v>0</v>
      </c>
    </row>
    <row r="24" spans="2:29" x14ac:dyDescent="0.35">
      <c r="B24" s="1136" t="s">
        <v>511</v>
      </c>
      <c r="C24" s="1085"/>
      <c r="D24" s="1128"/>
      <c r="E24" s="1082"/>
      <c r="F24" s="970"/>
      <c r="G24" s="970"/>
      <c r="H24" s="974"/>
      <c r="I24" s="974"/>
      <c r="J24" s="974"/>
      <c r="K24" s="974"/>
      <c r="L24" s="974"/>
      <c r="M24" s="974"/>
      <c r="N24" s="974"/>
      <c r="O24" s="1115">
        <f>O39+O40</f>
        <v>12.51648</v>
      </c>
      <c r="P24" s="783">
        <f>P39+P40</f>
        <v>11.3</v>
      </c>
      <c r="Q24" s="1130">
        <f t="shared" ref="Q24:AC24" si="11">Q39+Q40</f>
        <v>11.3</v>
      </c>
      <c r="R24" s="1130">
        <f t="shared" si="11"/>
        <v>11.3</v>
      </c>
      <c r="S24" s="1130">
        <f t="shared" si="11"/>
        <v>11.3</v>
      </c>
      <c r="T24" s="1130">
        <f t="shared" si="11"/>
        <v>8.4</v>
      </c>
      <c r="U24" s="1130">
        <f t="shared" si="11"/>
        <v>8.4</v>
      </c>
      <c r="V24" s="1130">
        <f t="shared" si="11"/>
        <v>8.4</v>
      </c>
      <c r="W24" s="1130">
        <f t="shared" si="11"/>
        <v>8.4</v>
      </c>
      <c r="X24" s="1130">
        <f t="shared" si="11"/>
        <v>0.2</v>
      </c>
      <c r="Y24" s="1130">
        <f t="shared" si="11"/>
        <v>0.2</v>
      </c>
      <c r="Z24" s="1130">
        <f t="shared" si="11"/>
        <v>0.2</v>
      </c>
      <c r="AA24" s="1130">
        <f t="shared" si="11"/>
        <v>0.2</v>
      </c>
      <c r="AB24" s="1130">
        <f t="shared" si="11"/>
        <v>0</v>
      </c>
      <c r="AC24" s="69">
        <f t="shared" si="11"/>
        <v>0</v>
      </c>
    </row>
    <row r="25" spans="2:29" x14ac:dyDescent="0.35">
      <c r="B25" s="1136" t="s">
        <v>512</v>
      </c>
      <c r="C25" s="1085"/>
      <c r="D25" s="1128"/>
      <c r="E25" s="1082"/>
      <c r="F25" s="973"/>
      <c r="G25" s="973"/>
      <c r="H25" s="1199"/>
      <c r="I25" s="1199"/>
      <c r="J25" s="1199"/>
      <c r="K25" s="1199"/>
      <c r="L25" s="1199"/>
      <c r="M25" s="1199"/>
      <c r="N25" s="1115"/>
      <c r="O25" s="1115">
        <f>O32</f>
        <v>12</v>
      </c>
      <c r="P25" s="783">
        <v>25</v>
      </c>
      <c r="Q25" s="513">
        <v>25</v>
      </c>
      <c r="R25" s="513">
        <v>25</v>
      </c>
      <c r="S25" s="513">
        <v>25</v>
      </c>
      <c r="T25" s="513">
        <f t="shared" ref="T25:AC25" si="12">T32</f>
        <v>0</v>
      </c>
      <c r="U25" s="513">
        <f t="shared" si="12"/>
        <v>0</v>
      </c>
      <c r="V25" s="513">
        <f t="shared" si="12"/>
        <v>0</v>
      </c>
      <c r="W25" s="513">
        <f t="shared" si="12"/>
        <v>0</v>
      </c>
      <c r="X25" s="513">
        <f t="shared" si="12"/>
        <v>0</v>
      </c>
      <c r="Y25" s="513">
        <f t="shared" si="12"/>
        <v>0</v>
      </c>
      <c r="Z25" s="513">
        <f t="shared" si="12"/>
        <v>0</v>
      </c>
      <c r="AA25" s="513">
        <f t="shared" si="12"/>
        <v>0</v>
      </c>
      <c r="AB25" s="513">
        <f t="shared" si="12"/>
        <v>0</v>
      </c>
      <c r="AC25" s="558">
        <f t="shared" si="12"/>
        <v>0</v>
      </c>
    </row>
    <row r="26" spans="2:29" ht="15" customHeight="1" x14ac:dyDescent="0.35">
      <c r="B26" s="1365" t="s">
        <v>513</v>
      </c>
      <c r="C26" s="1366"/>
      <c r="D26" s="1139"/>
      <c r="E26" s="1140"/>
      <c r="F26" s="1140"/>
      <c r="G26" s="1140"/>
      <c r="H26" s="973"/>
      <c r="I26" s="973"/>
      <c r="J26" s="973"/>
      <c r="K26" s="973"/>
      <c r="L26" s="973"/>
      <c r="M26" s="973"/>
      <c r="N26" s="1115"/>
      <c r="O26" s="1115"/>
      <c r="P26" s="1141"/>
      <c r="Q26" s="1130"/>
      <c r="R26" s="1130"/>
      <c r="S26" s="1130"/>
      <c r="T26" s="1130"/>
      <c r="U26" s="1130"/>
      <c r="V26" s="1476"/>
      <c r="W26" s="1476"/>
      <c r="X26" s="1476"/>
      <c r="Y26" s="1476"/>
      <c r="Z26" s="1476"/>
      <c r="AA26" s="1476"/>
      <c r="AB26" s="1476"/>
      <c r="AC26" s="166"/>
    </row>
    <row r="27" spans="2:29" x14ac:dyDescent="0.35">
      <c r="B27" s="1142" t="s">
        <v>514</v>
      </c>
      <c r="C27" s="1143"/>
      <c r="D27" s="1144"/>
      <c r="E27" s="1135"/>
      <c r="F27" s="1199"/>
      <c r="G27" s="1199"/>
      <c r="H27" s="1115"/>
      <c r="I27" s="1115"/>
      <c r="J27" s="1115"/>
      <c r="K27" s="1115"/>
      <c r="L27" s="1115"/>
      <c r="M27" s="1115"/>
      <c r="N27" s="1115">
        <f>SUM(N28:N32)</f>
        <v>23</v>
      </c>
      <c r="O27" s="1115">
        <f>SUM(O28:O32)</f>
        <v>162</v>
      </c>
      <c r="P27" s="783"/>
      <c r="Q27" s="1130"/>
      <c r="R27" s="1130"/>
      <c r="S27" s="1130"/>
      <c r="T27" s="1130"/>
      <c r="U27" s="1130"/>
      <c r="V27" s="1476"/>
      <c r="W27" s="1476"/>
      <c r="X27" s="1476"/>
      <c r="Y27" s="1476"/>
      <c r="Z27" s="1476"/>
      <c r="AA27" s="1476"/>
      <c r="AB27" s="1476"/>
      <c r="AC27" s="166"/>
    </row>
    <row r="28" spans="2:29" x14ac:dyDescent="0.35">
      <c r="B28" s="1145" t="s">
        <v>515</v>
      </c>
      <c r="C28" s="1143"/>
      <c r="D28" s="1144"/>
      <c r="E28" s="1135"/>
      <c r="F28" s="1199"/>
      <c r="G28" s="1199"/>
      <c r="H28" s="1115"/>
      <c r="I28" s="1115"/>
      <c r="J28" s="1115"/>
      <c r="K28" s="1115"/>
      <c r="L28" s="1146"/>
      <c r="M28" s="1115"/>
      <c r="N28" s="1115">
        <f>(4*'Response and Relief Act Score'!$F$15-$M$18)/2</f>
        <v>11</v>
      </c>
      <c r="O28" s="1115">
        <f>(4*'Response and Relief Act Score'!$F$15-$M$18)/2</f>
        <v>11</v>
      </c>
      <c r="P28" s="783"/>
      <c r="Q28" s="1130"/>
      <c r="R28" s="1130"/>
      <c r="S28" s="1130"/>
      <c r="T28" s="1130"/>
      <c r="U28" s="1130"/>
      <c r="V28" s="1476"/>
      <c r="W28" s="1476"/>
      <c r="X28" s="1476"/>
      <c r="Y28" s="1476"/>
      <c r="Z28" s="1476"/>
      <c r="AA28" s="1476"/>
      <c r="AB28" s="1476"/>
      <c r="AC28" s="166"/>
    </row>
    <row r="29" spans="2:29" x14ac:dyDescent="0.35">
      <c r="B29" s="1145" t="s">
        <v>512</v>
      </c>
      <c r="C29" s="1143"/>
      <c r="D29" s="1144"/>
      <c r="E29" s="1135"/>
      <c r="F29" s="1199"/>
      <c r="G29" s="1199"/>
      <c r="H29" s="1115"/>
      <c r="I29" s="1115"/>
      <c r="J29" s="1115"/>
      <c r="K29" s="1115"/>
      <c r="L29" s="1146"/>
      <c r="M29" s="1115"/>
      <c r="N29" s="1115"/>
      <c r="O29" s="1115"/>
      <c r="P29" s="783"/>
      <c r="Q29" s="1130"/>
      <c r="R29" s="1130"/>
      <c r="S29" s="1130"/>
      <c r="T29" s="1130"/>
      <c r="U29" s="1130"/>
      <c r="V29" s="1476"/>
      <c r="W29" s="1476"/>
      <c r="X29" s="1476"/>
      <c r="Y29" s="1476"/>
      <c r="Z29" s="1476"/>
      <c r="AA29" s="1476"/>
      <c r="AB29" s="1476"/>
      <c r="AC29" s="166"/>
    </row>
    <row r="30" spans="2:29" x14ac:dyDescent="0.35">
      <c r="B30" s="195" t="s">
        <v>509</v>
      </c>
      <c r="C30" s="32"/>
      <c r="D30" s="48"/>
      <c r="E30" s="968"/>
      <c r="F30" s="945"/>
      <c r="G30" s="945"/>
      <c r="H30" s="942"/>
      <c r="I30" s="942"/>
      <c r="J30" s="942"/>
      <c r="K30" s="942"/>
      <c r="L30" s="942"/>
      <c r="M30" s="942"/>
      <c r="N30" s="942"/>
      <c r="O30" s="942">
        <v>79</v>
      </c>
      <c r="P30" s="783"/>
      <c r="Q30" s="1479"/>
      <c r="R30" s="1479"/>
      <c r="S30" s="1479"/>
      <c r="T30" s="1479"/>
      <c r="U30" s="1479"/>
      <c r="V30" s="1476"/>
      <c r="W30" s="1476"/>
      <c r="X30" s="1476"/>
      <c r="Y30" s="1476"/>
      <c r="Z30" s="1476"/>
      <c r="AA30" s="1476"/>
      <c r="AB30" s="1476"/>
      <c r="AC30" s="166"/>
    </row>
    <row r="31" spans="2:29" x14ac:dyDescent="0.35">
      <c r="B31" s="199" t="s">
        <v>516</v>
      </c>
      <c r="C31" s="32"/>
      <c r="D31" s="48"/>
      <c r="E31" s="968"/>
      <c r="F31" s="945"/>
      <c r="G31" s="945"/>
      <c r="H31" s="942"/>
      <c r="I31" s="942"/>
      <c r="J31" s="942"/>
      <c r="K31" s="942"/>
      <c r="L31" s="942"/>
      <c r="M31" s="942"/>
      <c r="N31" s="942"/>
      <c r="O31" s="942">
        <f>'Response and Relief Act Score'!F13*4</f>
        <v>60</v>
      </c>
      <c r="P31" s="783"/>
      <c r="Q31" s="1479"/>
      <c r="R31" s="1479"/>
      <c r="S31" s="1479"/>
      <c r="T31" s="1479"/>
      <c r="U31" s="1479"/>
      <c r="V31" s="1476"/>
      <c r="W31" s="1476"/>
      <c r="X31" s="1476"/>
      <c r="Y31" s="1476"/>
      <c r="Z31" s="1476"/>
      <c r="AA31" s="1476"/>
      <c r="AB31" s="1476"/>
      <c r="AC31" s="166"/>
    </row>
    <row r="32" spans="2:29" ht="28" x14ac:dyDescent="0.35">
      <c r="B32" s="199" t="s">
        <v>517</v>
      </c>
      <c r="C32" s="32"/>
      <c r="D32" s="48"/>
      <c r="E32" s="968"/>
      <c r="F32" s="945"/>
      <c r="G32" s="945"/>
      <c r="H32" s="942"/>
      <c r="I32" s="942"/>
      <c r="J32" s="942"/>
      <c r="K32" s="942"/>
      <c r="L32" s="975"/>
      <c r="M32" s="942"/>
      <c r="N32" s="942">
        <f>'Response and Relief Act Score'!F14*4/2</f>
        <v>12</v>
      </c>
      <c r="O32" s="942">
        <f>'Response and Relief Act Score'!F14*4/2</f>
        <v>12</v>
      </c>
      <c r="P32" s="783"/>
      <c r="Q32" s="1130"/>
      <c r="R32" s="1130"/>
      <c r="S32" s="1130"/>
      <c r="T32" s="1130"/>
      <c r="U32" s="1130"/>
      <c r="V32" s="1476"/>
      <c r="W32" s="1476"/>
      <c r="X32" s="1476"/>
      <c r="Y32" s="1476"/>
      <c r="Z32" s="1476"/>
      <c r="AA32" s="1476"/>
      <c r="AB32" s="1476"/>
      <c r="AC32" s="166"/>
    </row>
    <row r="33" spans="1:78" x14ac:dyDescent="0.35">
      <c r="B33" s="1363" t="s">
        <v>518</v>
      </c>
      <c r="C33" s="1364"/>
      <c r="D33" s="48"/>
      <c r="E33" s="968"/>
      <c r="F33" s="945"/>
      <c r="G33" s="945"/>
      <c r="H33" s="942"/>
      <c r="I33" s="942"/>
      <c r="J33" s="942"/>
      <c r="K33" s="942"/>
      <c r="L33" s="975"/>
      <c r="M33" s="942"/>
      <c r="N33" s="942"/>
      <c r="O33" s="942"/>
      <c r="P33" s="783"/>
      <c r="Q33" s="511"/>
      <c r="R33" s="511"/>
      <c r="S33" s="511"/>
      <c r="T33" s="511"/>
      <c r="U33" s="511"/>
      <c r="V33" s="514"/>
      <c r="W33" s="514"/>
      <c r="X33" s="514"/>
      <c r="Y33" s="514"/>
      <c r="Z33" s="514"/>
      <c r="AA33" s="514"/>
      <c r="AB33" s="514"/>
      <c r="AC33" s="1468"/>
    </row>
    <row r="34" spans="1:78" ht="13.5" customHeight="1" x14ac:dyDescent="0.35">
      <c r="B34" s="199" t="s">
        <v>157</v>
      </c>
      <c r="C34" s="32"/>
      <c r="D34" s="48"/>
      <c r="E34" s="968"/>
      <c r="F34" s="945"/>
      <c r="G34" s="945"/>
      <c r="H34" s="942"/>
      <c r="I34" s="942"/>
      <c r="J34" s="942"/>
      <c r="K34" s="942"/>
      <c r="L34" s="975"/>
      <c r="M34" s="942">
        <f>'ARP Quarterly'!C18</f>
        <v>0</v>
      </c>
      <c r="N34" s="942">
        <f>'ARP Quarterly'!D18</f>
        <v>2.2132800000000001</v>
      </c>
      <c r="O34" s="942">
        <f>'ARP Quarterly'!E18</f>
        <v>10.082720000000002</v>
      </c>
      <c r="P34" s="783">
        <f>'ARP Quarterly'!F18</f>
        <v>7.1439999999999992</v>
      </c>
      <c r="Q34" s="1130">
        <f>'ARP Quarterly'!G18</f>
        <v>7.1439999999999992</v>
      </c>
      <c r="R34" s="1130">
        <f>'ARP Quarterly'!H18</f>
        <v>7.1439999999999992</v>
      </c>
      <c r="S34" s="1130">
        <f>'ARP Quarterly'!I18</f>
        <v>7.1439999999999992</v>
      </c>
      <c r="T34" s="1130">
        <f>'ARP Quarterly'!J18</f>
        <v>0</v>
      </c>
      <c r="U34" s="1130">
        <f>'ARP Quarterly'!K18</f>
        <v>0</v>
      </c>
      <c r="V34" s="1130">
        <f>'ARP Quarterly'!L18</f>
        <v>0</v>
      </c>
      <c r="W34" s="1130">
        <f>'ARP Quarterly'!M18</f>
        <v>0</v>
      </c>
      <c r="X34" s="1130">
        <f>'ARP Quarterly'!N18</f>
        <v>0</v>
      </c>
      <c r="Y34" s="1130">
        <f>'ARP Quarterly'!O18</f>
        <v>0</v>
      </c>
      <c r="Z34" s="1130">
        <f>'ARP Quarterly'!P18</f>
        <v>0</v>
      </c>
      <c r="AA34" s="1130">
        <f>'ARP Quarterly'!Q18</f>
        <v>0</v>
      </c>
      <c r="AB34" s="1130">
        <f>'ARP Quarterly'!R18</f>
        <v>0</v>
      </c>
      <c r="AC34" s="69">
        <f>'ARP Quarterly'!S18</f>
        <v>0</v>
      </c>
    </row>
    <row r="35" spans="1:78" x14ac:dyDescent="0.35">
      <c r="B35" s="199" t="s">
        <v>519</v>
      </c>
      <c r="C35" s="32"/>
      <c r="D35" s="48"/>
      <c r="E35" s="968"/>
      <c r="F35" s="945"/>
      <c r="G35" s="945"/>
      <c r="H35" s="942"/>
      <c r="I35" s="942"/>
      <c r="J35" s="942"/>
      <c r="K35" s="942"/>
      <c r="L35" s="975"/>
      <c r="M35" s="942">
        <f>'ARP Quarterly'!C19</f>
        <v>0</v>
      </c>
      <c r="N35" s="942">
        <f>'ARP Quarterly'!D19</f>
        <v>15.128640000000001</v>
      </c>
      <c r="O35" s="942">
        <f>'ARP Quarterly'!E19</f>
        <v>68.919360000000012</v>
      </c>
      <c r="P35" s="783">
        <f>'ARP Quarterly'!F19</f>
        <v>5.6120000000000001</v>
      </c>
      <c r="Q35" s="1130">
        <f>'ARP Quarterly'!G19</f>
        <v>5.6120000000000001</v>
      </c>
      <c r="R35" s="1130">
        <f>'ARP Quarterly'!H19</f>
        <v>5.6120000000000001</v>
      </c>
      <c r="S35" s="1130">
        <f>'ARP Quarterly'!I19</f>
        <v>5.6120000000000001</v>
      </c>
      <c r="T35" s="1130">
        <f>'ARP Quarterly'!J19</f>
        <v>0.48599999999999993</v>
      </c>
      <c r="U35" s="1130">
        <f>'ARP Quarterly'!K19</f>
        <v>0.48599999999999993</v>
      </c>
      <c r="V35" s="1130">
        <f>'ARP Quarterly'!L19</f>
        <v>0.48599999999999993</v>
      </c>
      <c r="W35" s="1130">
        <f>'ARP Quarterly'!M19</f>
        <v>0.48599999999999993</v>
      </c>
      <c r="X35" s="1130">
        <f>'ARP Quarterly'!N19</f>
        <v>0</v>
      </c>
      <c r="Y35" s="1130">
        <f>'ARP Quarterly'!O19</f>
        <v>0</v>
      </c>
      <c r="Z35" s="1130">
        <f>'ARP Quarterly'!P19</f>
        <v>0</v>
      </c>
      <c r="AA35" s="1130">
        <f>'ARP Quarterly'!Q19</f>
        <v>0</v>
      </c>
      <c r="AB35" s="1130">
        <f>'ARP Quarterly'!R19</f>
        <v>0</v>
      </c>
      <c r="AC35" s="69">
        <f>'ARP Quarterly'!S19</f>
        <v>0</v>
      </c>
    </row>
    <row r="36" spans="1:78" x14ac:dyDescent="0.35">
      <c r="B36" s="199" t="s">
        <v>162</v>
      </c>
      <c r="C36" s="32"/>
      <c r="D36" s="48"/>
      <c r="E36" s="968"/>
      <c r="F36" s="945"/>
      <c r="G36" s="945"/>
      <c r="H36" s="942"/>
      <c r="I36" s="942"/>
      <c r="J36" s="942"/>
      <c r="K36" s="942"/>
      <c r="L36" s="975"/>
      <c r="M36" s="942">
        <f>'ARP Quarterly'!C20</f>
        <v>0</v>
      </c>
      <c r="N36" s="942">
        <f>'ARP Quarterly'!D20</f>
        <v>3.2479199999999997</v>
      </c>
      <c r="O36" s="942">
        <f>'ARP Quarterly'!E20</f>
        <v>14.796080000000002</v>
      </c>
      <c r="P36" s="783">
        <f>'ARP Quarterly'!F20</f>
        <v>1.7329999999999999</v>
      </c>
      <c r="Q36" s="1130">
        <f>'ARP Quarterly'!G20</f>
        <v>1.7329999999999999</v>
      </c>
      <c r="R36" s="1130">
        <f>'ARP Quarterly'!H20</f>
        <v>1.7329999999999999</v>
      </c>
      <c r="S36" s="1130">
        <f>'ARP Quarterly'!I20</f>
        <v>1.7329999999999999</v>
      </c>
      <c r="T36" s="1130">
        <f>'ARP Quarterly'!J20</f>
        <v>0</v>
      </c>
      <c r="U36" s="1130">
        <f>'ARP Quarterly'!K20</f>
        <v>0</v>
      </c>
      <c r="V36" s="1130">
        <f>'ARP Quarterly'!L20</f>
        <v>0</v>
      </c>
      <c r="W36" s="1130">
        <f>'ARP Quarterly'!M20</f>
        <v>0</v>
      </c>
      <c r="X36" s="1130">
        <f>'ARP Quarterly'!N20</f>
        <v>0</v>
      </c>
      <c r="Y36" s="1130">
        <f>'ARP Quarterly'!O20</f>
        <v>0</v>
      </c>
      <c r="Z36" s="1130">
        <f>'ARP Quarterly'!P20</f>
        <v>0</v>
      </c>
      <c r="AA36" s="1130">
        <f>'ARP Quarterly'!Q20</f>
        <v>0</v>
      </c>
      <c r="AB36" s="1130">
        <f>'ARP Quarterly'!R20</f>
        <v>0</v>
      </c>
      <c r="AC36" s="69">
        <f>'ARP Quarterly'!S20</f>
        <v>0</v>
      </c>
    </row>
    <row r="37" spans="1:78" x14ac:dyDescent="0.35">
      <c r="B37" s="199" t="s">
        <v>509</v>
      </c>
      <c r="C37" s="32"/>
      <c r="D37" s="48"/>
      <c r="E37" s="968"/>
      <c r="F37" s="945"/>
      <c r="G37" s="945"/>
      <c r="H37" s="942"/>
      <c r="I37" s="942"/>
      <c r="J37" s="942"/>
      <c r="K37" s="942"/>
      <c r="L37" s="975"/>
      <c r="M37" s="942">
        <f>'ARP Quarterly'!C21</f>
        <v>0</v>
      </c>
      <c r="N37" s="942">
        <f>'ARP Quarterly'!D21</f>
        <v>13.2921</v>
      </c>
      <c r="O37" s="942">
        <f>'ARP Quarterly'!E21</f>
        <v>60.552900000000008</v>
      </c>
      <c r="P37" s="783">
        <f>'ARP Quarterly'!F21</f>
        <v>1.0687500000000001</v>
      </c>
      <c r="Q37" s="1130">
        <f>'ARP Quarterly'!G21</f>
        <v>1.0687500000000001</v>
      </c>
      <c r="R37" s="1130">
        <f>'ARP Quarterly'!H21</f>
        <v>1.0687500000000001</v>
      </c>
      <c r="S37" s="1130">
        <f>'ARP Quarterly'!I21</f>
        <v>1.0687500000000001</v>
      </c>
      <c r="T37" s="1130">
        <f>'ARP Quarterly'!J21</f>
        <v>0.78750000000000009</v>
      </c>
      <c r="U37" s="1130">
        <f>'ARP Quarterly'!K21</f>
        <v>0.78750000000000009</v>
      </c>
      <c r="V37" s="1130">
        <f>'ARP Quarterly'!L21</f>
        <v>0.78750000000000009</v>
      </c>
      <c r="W37" s="1130">
        <f>'ARP Quarterly'!M21</f>
        <v>0.78750000000000009</v>
      </c>
      <c r="X37" s="1130">
        <f>'ARP Quarterly'!N21</f>
        <v>0</v>
      </c>
      <c r="Y37" s="1130">
        <f>'ARP Quarterly'!O21</f>
        <v>0</v>
      </c>
      <c r="Z37" s="1130">
        <f>'ARP Quarterly'!P21</f>
        <v>0</v>
      </c>
      <c r="AA37" s="1130">
        <f>'ARP Quarterly'!Q21</f>
        <v>0</v>
      </c>
      <c r="AB37" s="1130">
        <f>'ARP Quarterly'!R21</f>
        <v>0</v>
      </c>
      <c r="AC37" s="69">
        <f>'ARP Quarterly'!S21</f>
        <v>0</v>
      </c>
      <c r="AD37" t="s">
        <v>1158</v>
      </c>
    </row>
    <row r="38" spans="1:78" ht="30" customHeight="1" x14ac:dyDescent="0.35">
      <c r="B38" s="199" t="s">
        <v>520</v>
      </c>
      <c r="C38" s="32"/>
      <c r="D38" s="48"/>
      <c r="E38" s="968"/>
      <c r="F38" s="945"/>
      <c r="G38" s="945"/>
      <c r="H38" s="942"/>
      <c r="I38" s="942"/>
      <c r="J38" s="942"/>
      <c r="K38" s="942"/>
      <c r="L38" s="975"/>
      <c r="M38" s="942">
        <f>'ARP Quarterly'!C22</f>
        <v>0</v>
      </c>
      <c r="N38" s="942">
        <f>'ARP Quarterly'!D22</f>
        <v>22.153499999999998</v>
      </c>
      <c r="O38" s="942">
        <f>'ARP Quarterly'!E22</f>
        <v>100.92150000000002</v>
      </c>
      <c r="P38" s="783">
        <f>'ARP Quarterly'!F22</f>
        <v>1.7812500000000002</v>
      </c>
      <c r="Q38" s="1130">
        <f>'ARP Quarterly'!G22</f>
        <v>1.7812500000000002</v>
      </c>
      <c r="R38" s="1130">
        <f>'ARP Quarterly'!H22</f>
        <v>1.7812500000000002</v>
      </c>
      <c r="S38" s="1130">
        <f>'ARP Quarterly'!I22</f>
        <v>1.7812500000000002</v>
      </c>
      <c r="T38" s="1130">
        <f>'ARP Quarterly'!J22</f>
        <v>1.3125000000000002</v>
      </c>
      <c r="U38" s="1130">
        <f>'ARP Quarterly'!K22</f>
        <v>1.3125000000000002</v>
      </c>
      <c r="V38" s="1130">
        <f>'ARP Quarterly'!L22</f>
        <v>1.3125000000000002</v>
      </c>
      <c r="W38" s="1130">
        <f>'ARP Quarterly'!M22</f>
        <v>1.3125000000000002</v>
      </c>
      <c r="X38" s="1130">
        <f>'ARP Quarterly'!N22</f>
        <v>0</v>
      </c>
      <c r="Y38" s="1130">
        <f>'ARP Quarterly'!O22</f>
        <v>0</v>
      </c>
      <c r="Z38" s="1130">
        <f>'ARP Quarterly'!P22</f>
        <v>0</v>
      </c>
      <c r="AA38" s="1130">
        <f>'ARP Quarterly'!Q22</f>
        <v>0</v>
      </c>
      <c r="AB38" s="1130">
        <f>'ARP Quarterly'!R22</f>
        <v>0</v>
      </c>
      <c r="AC38" s="69">
        <f>'ARP Quarterly'!S22</f>
        <v>0</v>
      </c>
    </row>
    <row r="39" spans="1:78" x14ac:dyDescent="0.35">
      <c r="B39" s="199" t="s">
        <v>521</v>
      </c>
      <c r="C39" s="32"/>
      <c r="D39" s="48"/>
      <c r="E39" s="968"/>
      <c r="F39" s="945"/>
      <c r="G39" s="945"/>
      <c r="H39" s="942"/>
      <c r="I39" s="942"/>
      <c r="J39" s="942"/>
      <c r="K39" s="942"/>
      <c r="L39" s="975"/>
      <c r="M39" s="942">
        <f>'ARP Quarterly'!C23</f>
        <v>0</v>
      </c>
      <c r="N39" s="942">
        <f>'ARP Quarterly'!D23</f>
        <v>2.9519999999999995</v>
      </c>
      <c r="O39" s="942">
        <f>'ARP Quarterly'!E23</f>
        <v>13.448</v>
      </c>
      <c r="P39" s="783">
        <f>'ARP Quarterly'!F23</f>
        <v>11.3</v>
      </c>
      <c r="Q39" s="1130">
        <f>'ARP Quarterly'!G23</f>
        <v>11.3</v>
      </c>
      <c r="R39" s="1130">
        <f>'ARP Quarterly'!H23</f>
        <v>11.3</v>
      </c>
      <c r="S39" s="1130">
        <f>'ARP Quarterly'!I23</f>
        <v>11.3</v>
      </c>
      <c r="T39" s="1130">
        <f>'ARP Quarterly'!J23</f>
        <v>8.4</v>
      </c>
      <c r="U39" s="1130">
        <f>'ARP Quarterly'!K23</f>
        <v>8.4</v>
      </c>
      <c r="V39" s="1130">
        <f>'ARP Quarterly'!L23</f>
        <v>8.4</v>
      </c>
      <c r="W39" s="1130">
        <f>'ARP Quarterly'!M23</f>
        <v>8.4</v>
      </c>
      <c r="X39" s="1130">
        <f>'ARP Quarterly'!N23</f>
        <v>0.2</v>
      </c>
      <c r="Y39" s="1130">
        <f>'ARP Quarterly'!O23</f>
        <v>0.2</v>
      </c>
      <c r="Z39" s="1130">
        <f>'ARP Quarterly'!P23</f>
        <v>0.2</v>
      </c>
      <c r="AA39" s="1130">
        <f>'ARP Quarterly'!Q23</f>
        <v>0.2</v>
      </c>
      <c r="AB39" s="1130">
        <f>'ARP Quarterly'!R23</f>
        <v>0</v>
      </c>
      <c r="AC39" s="69">
        <f>'ARP Quarterly'!S23</f>
        <v>0</v>
      </c>
    </row>
    <row r="40" spans="1:78" x14ac:dyDescent="0.35">
      <c r="B40" s="199" t="s">
        <v>522</v>
      </c>
      <c r="C40" s="32"/>
      <c r="D40" s="48"/>
      <c r="E40" s="968"/>
      <c r="F40" s="945"/>
      <c r="G40" s="945"/>
      <c r="H40" s="942"/>
      <c r="I40" s="942"/>
      <c r="J40" s="942"/>
      <c r="K40" s="942"/>
      <c r="L40" s="975"/>
      <c r="M40" s="942">
        <f>'ARP Quarterly'!C24</f>
        <v>0</v>
      </c>
      <c r="N40" s="942">
        <f>'ARP Quarterly'!D24</f>
        <v>-0.20447999999999997</v>
      </c>
      <c r="O40" s="942">
        <f>'ARP Quarterly'!E24</f>
        <v>-0.93152000000000001</v>
      </c>
      <c r="P40" s="783">
        <v>0</v>
      </c>
      <c r="Q40" s="1130">
        <v>0</v>
      </c>
      <c r="R40" s="1130">
        <v>0</v>
      </c>
      <c r="S40" s="1130">
        <v>0</v>
      </c>
      <c r="T40" s="1130">
        <v>0</v>
      </c>
      <c r="U40" s="1130">
        <v>0</v>
      </c>
      <c r="V40" s="1130">
        <v>0</v>
      </c>
      <c r="W40" s="1130">
        <v>0</v>
      </c>
      <c r="X40" s="1130">
        <v>0</v>
      </c>
      <c r="Y40" s="1130">
        <v>0</v>
      </c>
      <c r="Z40" s="1130">
        <v>0</v>
      </c>
      <c r="AA40" s="1130">
        <v>0</v>
      </c>
      <c r="AB40" s="1130">
        <v>0</v>
      </c>
      <c r="AC40" s="69">
        <v>0</v>
      </c>
    </row>
    <row r="41" spans="1:78" x14ac:dyDescent="0.35">
      <c r="B41" s="199" t="s">
        <v>385</v>
      </c>
      <c r="C41" s="32"/>
      <c r="D41" s="48"/>
      <c r="E41" s="968"/>
      <c r="F41" s="945"/>
      <c r="G41" s="945"/>
      <c r="H41" s="942"/>
      <c r="I41" s="942"/>
      <c r="J41" s="942"/>
      <c r="K41" s="942"/>
      <c r="L41" s="975"/>
      <c r="M41" s="942">
        <f>'ARP Quarterly'!C25</f>
        <v>0</v>
      </c>
      <c r="N41" s="942">
        <f>'ARP Quarterly'!D25</f>
        <v>58.782959999999996</v>
      </c>
      <c r="O41" s="942">
        <f>'ARP Quarterly'!E25</f>
        <v>267.78904000000006</v>
      </c>
      <c r="P41" s="783">
        <f>'ARP Quarterly'!F25</f>
        <v>110.24799999999999</v>
      </c>
      <c r="Q41" s="1130">
        <f>'ARP Quarterly'!G25</f>
        <v>110.24799999999999</v>
      </c>
      <c r="R41" s="1130">
        <f>'ARP Quarterly'!H25</f>
        <v>110.24799999999999</v>
      </c>
      <c r="S41" s="1130">
        <f>'ARP Quarterly'!I25</f>
        <v>110.24799999999999</v>
      </c>
      <c r="T41" s="1130">
        <f>'ARP Quarterly'!J25</f>
        <v>12.362</v>
      </c>
      <c r="U41" s="1130">
        <f>'ARP Quarterly'!K25</f>
        <v>12.362</v>
      </c>
      <c r="V41" s="1130">
        <f>'ARP Quarterly'!L25</f>
        <v>12.362</v>
      </c>
      <c r="W41" s="1130">
        <f>'ARP Quarterly'!M25</f>
        <v>12.362</v>
      </c>
      <c r="X41" s="1130">
        <f>'ARP Quarterly'!N25</f>
        <v>-0.67500000000000004</v>
      </c>
      <c r="Y41" s="1130">
        <f>'ARP Quarterly'!O25</f>
        <v>-0.67500000000000004</v>
      </c>
      <c r="Z41" s="1130">
        <f>'ARP Quarterly'!P25</f>
        <v>-0.67500000000000004</v>
      </c>
      <c r="AA41" s="1130">
        <f>'ARP Quarterly'!Q25</f>
        <v>-0.67500000000000004</v>
      </c>
      <c r="AB41" s="1130">
        <f>'ARP Quarterly'!R25</f>
        <v>0</v>
      </c>
      <c r="AC41" s="69">
        <f>'ARP Quarterly'!S25</f>
        <v>0</v>
      </c>
    </row>
    <row r="42" spans="1:78" x14ac:dyDescent="0.35">
      <c r="B42" s="1363" t="s">
        <v>523</v>
      </c>
      <c r="C42" s="1364"/>
      <c r="D42" s="1201"/>
      <c r="E42" s="1202"/>
      <c r="F42" s="696"/>
      <c r="G42" s="696"/>
      <c r="H42" s="527"/>
      <c r="I42" s="527"/>
      <c r="J42" s="527"/>
      <c r="K42" s="527"/>
      <c r="L42" s="1466"/>
      <c r="M42" s="527"/>
      <c r="N42" s="527"/>
      <c r="O42" s="527"/>
      <c r="P42" s="1467"/>
      <c r="Q42" s="511"/>
      <c r="R42" s="511"/>
      <c r="S42" s="511"/>
      <c r="T42" s="511"/>
      <c r="U42" s="511"/>
      <c r="V42" s="514"/>
      <c r="W42" s="514"/>
      <c r="X42" s="514"/>
      <c r="Y42" s="514"/>
      <c r="Z42" s="514"/>
      <c r="AA42" s="514"/>
      <c r="AB42" s="514"/>
      <c r="AC42" s="1468"/>
    </row>
    <row r="43" spans="1:78" s="273" customFormat="1" ht="21" customHeight="1" x14ac:dyDescent="0.35">
      <c r="B43" s="274" t="s">
        <v>524</v>
      </c>
      <c r="C43" s="382"/>
      <c r="D43" s="274"/>
      <c r="E43" s="976"/>
      <c r="F43" s="951"/>
      <c r="G43" s="951"/>
      <c r="H43" s="977"/>
      <c r="I43" s="977"/>
      <c r="J43" s="977"/>
      <c r="K43" s="977"/>
      <c r="L43" s="978"/>
      <c r="M43" s="977">
        <f>'ARP Quarterly'!C6</f>
        <v>0</v>
      </c>
      <c r="N43" s="977">
        <f>'ARP Quarterly'!D6</f>
        <v>58.782959999999989</v>
      </c>
      <c r="O43" s="977">
        <f>'ARP Quarterly'!E6</f>
        <v>267.78904</v>
      </c>
      <c r="P43" s="982">
        <f>'ARP Quarterly'!F6</f>
        <v>110.24799999999999</v>
      </c>
      <c r="Q43" s="1469">
        <f>'ARP Quarterly'!G6</f>
        <v>110.24799999999999</v>
      </c>
      <c r="R43" s="1469">
        <f>'ARP Quarterly'!H6</f>
        <v>110.24799999999999</v>
      </c>
      <c r="S43" s="1469">
        <f>'ARP Quarterly'!I6</f>
        <v>110.24799999999999</v>
      </c>
      <c r="T43" s="1469">
        <f>'ARP Quarterly'!J6</f>
        <v>12.726000000000001</v>
      </c>
      <c r="U43" s="1469">
        <f>'ARP Quarterly'!K6</f>
        <v>12.726000000000001</v>
      </c>
      <c r="V43" s="1469">
        <f>'ARP Quarterly'!L6</f>
        <v>12.726000000000001</v>
      </c>
      <c r="W43" s="1469">
        <f>'ARP Quarterly'!M6</f>
        <v>12.726000000000001</v>
      </c>
      <c r="X43" s="1469">
        <f>'ARP Quarterly'!N6</f>
        <v>1.365</v>
      </c>
      <c r="Y43" s="1469">
        <f>'ARP Quarterly'!O6</f>
        <v>1.365</v>
      </c>
      <c r="Z43" s="1469">
        <f>'ARP Quarterly'!P6</f>
        <v>1.365</v>
      </c>
      <c r="AA43" s="1469">
        <f>'ARP Quarterly'!Q6</f>
        <v>1.365</v>
      </c>
      <c r="AB43" s="1469">
        <f>'ARP Quarterly'!R6</f>
        <v>-0.90100000000000025</v>
      </c>
      <c r="AC43" s="736">
        <f>'ARP Quarterly'!S6</f>
        <v>-0.90100000000000025</v>
      </c>
    </row>
    <row r="44" spans="1:78" s="275" customFormat="1" ht="19.5" customHeight="1" x14ac:dyDescent="0.35">
      <c r="A44" s="273"/>
      <c r="B44" s="133" t="s">
        <v>213</v>
      </c>
      <c r="C44" s="134"/>
      <c r="D44" s="133"/>
      <c r="E44" s="134"/>
      <c r="F44" s="1470">
        <f>F11-F43</f>
        <v>60.5</v>
      </c>
      <c r="G44" s="1470">
        <f>G11-G43</f>
        <v>81.400000000000006</v>
      </c>
      <c r="H44" s="1470">
        <f t="shared" ref="H44:AC44" si="13">H11-H43</f>
        <v>82.2</v>
      </c>
      <c r="I44" s="1470">
        <f>I11-I43</f>
        <v>80.3</v>
      </c>
      <c r="J44" s="1470">
        <f t="shared" si="13"/>
        <v>1123.5999999999999</v>
      </c>
      <c r="K44" s="1470">
        <f t="shared" si="13"/>
        <v>1220.5</v>
      </c>
      <c r="L44" s="1470">
        <f>L11-L43</f>
        <v>618.6</v>
      </c>
      <c r="M44" s="1470">
        <f>M11-M43</f>
        <v>403.8</v>
      </c>
      <c r="N44" s="1470">
        <f t="shared" si="13"/>
        <v>638.21704</v>
      </c>
      <c r="O44" s="1470">
        <f>O11-O43</f>
        <v>286.71096</v>
      </c>
      <c r="P44" s="1471">
        <f>P11-P43</f>
        <v>194.452</v>
      </c>
      <c r="Q44" s="1472">
        <f t="shared" si="13"/>
        <v>70.26706671838636</v>
      </c>
      <c r="R44" s="1472">
        <f t="shared" si="13"/>
        <v>43.650309542280866</v>
      </c>
      <c r="S44" s="1472">
        <f t="shared" si="13"/>
        <v>31.64100000000002</v>
      </c>
      <c r="T44" s="1472">
        <f t="shared" si="13"/>
        <v>85.260000000000019</v>
      </c>
      <c r="U44" s="1472">
        <f t="shared" si="13"/>
        <v>82.260000000000019</v>
      </c>
      <c r="V44" s="1472">
        <f t="shared" si="13"/>
        <v>82.260000000000019</v>
      </c>
      <c r="W44" s="1472">
        <f t="shared" si="13"/>
        <v>82.260000000000019</v>
      </c>
      <c r="X44" s="1472">
        <f t="shared" si="13"/>
        <v>84.935000000000016</v>
      </c>
      <c r="Y44" s="1472">
        <f t="shared" si="13"/>
        <v>84.935000000000016</v>
      </c>
      <c r="Z44" s="1472">
        <f t="shared" si="13"/>
        <v>84.935000000000016</v>
      </c>
      <c r="AA44" s="1472">
        <f t="shared" si="13"/>
        <v>84.935000000000016</v>
      </c>
      <c r="AB44" s="1472">
        <f t="shared" si="13"/>
        <v>77.001000000000005</v>
      </c>
      <c r="AC44" s="1473">
        <f t="shared" si="13"/>
        <v>77.001000000000005</v>
      </c>
      <c r="AD44" s="273"/>
      <c r="AE44" s="273"/>
      <c r="AF44" s="273"/>
      <c r="AG44" s="273"/>
      <c r="AH44" s="273"/>
      <c r="AI44" s="273"/>
      <c r="AJ44" s="273"/>
      <c r="AK44" s="273"/>
      <c r="AL44" s="273"/>
      <c r="AM44" s="273"/>
      <c r="AN44" s="273"/>
      <c r="AO44" s="273"/>
      <c r="AP44" s="273"/>
      <c r="AQ44" s="273"/>
      <c r="AR44" s="273"/>
      <c r="AS44" s="273"/>
      <c r="AT44" s="273"/>
      <c r="AU44" s="273"/>
      <c r="AV44" s="273"/>
      <c r="AW44" s="273"/>
      <c r="AX44" s="273"/>
      <c r="AY44" s="273"/>
      <c r="AZ44" s="273"/>
      <c r="BA44" s="273"/>
      <c r="BB44" s="273"/>
      <c r="BC44" s="273"/>
      <c r="BD44" s="273"/>
      <c r="BE44" s="273"/>
      <c r="BF44" s="273"/>
      <c r="BG44" s="273"/>
      <c r="BH44" s="273"/>
      <c r="BI44" s="273"/>
      <c r="BJ44" s="273"/>
      <c r="BK44" s="273"/>
      <c r="BL44" s="273"/>
      <c r="BM44" s="273"/>
      <c r="BN44" s="273"/>
      <c r="BO44" s="273"/>
      <c r="BP44" s="273"/>
      <c r="BQ44" s="273"/>
      <c r="BR44" s="273"/>
      <c r="BS44" s="273"/>
      <c r="BT44" s="273"/>
      <c r="BU44" s="273"/>
      <c r="BV44" s="273"/>
      <c r="BW44" s="273"/>
      <c r="BX44" s="273"/>
      <c r="BY44" s="273"/>
      <c r="BZ44" s="273"/>
    </row>
    <row r="45" spans="1:78" x14ac:dyDescent="0.35">
      <c r="B45" s="44"/>
      <c r="C45" s="27"/>
      <c r="D45" s="817"/>
      <c r="E45" s="817"/>
      <c r="F45" s="817"/>
      <c r="G45" s="817"/>
      <c r="H45" s="817"/>
      <c r="I45" s="817"/>
      <c r="J45" s="817"/>
      <c r="K45" s="817"/>
      <c r="L45" s="817"/>
      <c r="M45" s="817"/>
      <c r="N45" s="817"/>
      <c r="O45" s="817"/>
      <c r="P45" s="1099"/>
      <c r="Q45" s="1099"/>
      <c r="R45" s="1099"/>
      <c r="S45" s="1099"/>
      <c r="T45" s="1099"/>
      <c r="U45" s="1099"/>
      <c r="V45" s="1099"/>
      <c r="W45" s="1099"/>
      <c r="X45" s="1099"/>
      <c r="Y45" s="1099"/>
      <c r="Z45" s="1099"/>
      <c r="AA45" s="1099"/>
      <c r="AB45" s="1099"/>
      <c r="AC45" s="1099"/>
    </row>
    <row r="46" spans="1:78" x14ac:dyDescent="0.35">
      <c r="D46" s="1090"/>
      <c r="E46" s="1090"/>
      <c r="F46" s="1090"/>
      <c r="G46" s="1090"/>
      <c r="H46" s="1090"/>
      <c r="I46" s="1090"/>
      <c r="J46" s="1090"/>
      <c r="K46" s="1090"/>
      <c r="L46" s="1090"/>
      <c r="M46" s="1090"/>
      <c r="N46" s="1090"/>
      <c r="O46" s="1090"/>
      <c r="P46" s="1115"/>
      <c r="Q46" s="1115"/>
      <c r="R46" s="1115"/>
      <c r="S46" s="1115"/>
      <c r="T46" s="1115"/>
      <c r="U46" s="1115"/>
      <c r="V46" s="1115"/>
      <c r="W46" s="1115"/>
      <c r="X46" s="1115"/>
      <c r="Y46" s="1115"/>
      <c r="Z46" s="1115"/>
      <c r="AA46" s="1115"/>
      <c r="AB46" s="1115"/>
      <c r="AC46" s="1115"/>
    </row>
    <row r="47" spans="1:78" ht="14.65" customHeight="1" x14ac:dyDescent="0.35">
      <c r="B47" s="593"/>
      <c r="D47" s="1090"/>
      <c r="E47" s="1119"/>
      <c r="F47" s="1119"/>
      <c r="G47" s="1119"/>
      <c r="H47" s="1119"/>
      <c r="I47" s="1119"/>
      <c r="J47" s="1119"/>
      <c r="K47" s="1119"/>
      <c r="L47" s="1119"/>
      <c r="M47" s="1090"/>
      <c r="N47" s="1090"/>
      <c r="O47" s="1090"/>
      <c r="P47" s="1115"/>
      <c r="Q47" s="1115"/>
      <c r="R47" s="1115"/>
      <c r="S47" s="1115"/>
      <c r="T47" s="1115"/>
      <c r="U47" s="1115"/>
      <c r="V47" s="1115"/>
      <c r="W47" s="1115"/>
      <c r="X47" s="1115"/>
      <c r="Y47" s="1115"/>
      <c r="Z47" s="1115"/>
      <c r="AA47" s="1115"/>
      <c r="AB47" s="1115"/>
      <c r="AC47" s="1115"/>
    </row>
    <row r="48" spans="1:78" x14ac:dyDescent="0.35">
      <c r="B48" s="593"/>
      <c r="D48" s="1090"/>
      <c r="E48" s="1119"/>
      <c r="F48" s="1119"/>
      <c r="G48" s="1119"/>
      <c r="H48" s="1119"/>
      <c r="I48" s="1119"/>
      <c r="J48" s="1119"/>
      <c r="K48" s="1119"/>
      <c r="L48" s="1119"/>
      <c r="M48" s="1090"/>
      <c r="N48" s="1090"/>
      <c r="O48" s="1090"/>
      <c r="P48" s="973"/>
      <c r="Q48" s="973"/>
      <c r="R48" s="973"/>
      <c r="S48" s="973"/>
      <c r="T48" s="973"/>
      <c r="U48" s="973"/>
      <c r="V48" s="973"/>
      <c r="W48" s="973"/>
      <c r="X48" s="973"/>
      <c r="Y48" s="973"/>
      <c r="Z48" s="973"/>
      <c r="AA48" s="973"/>
      <c r="AB48" s="973"/>
      <c r="AC48" s="973"/>
    </row>
    <row r="49" spans="2:29" x14ac:dyDescent="0.35">
      <c r="B49" s="593"/>
      <c r="D49" s="1090"/>
      <c r="E49" s="1119"/>
      <c r="F49" s="1119"/>
      <c r="G49" s="1119"/>
      <c r="H49" s="1119"/>
      <c r="I49" s="1119"/>
      <c r="J49" s="1119"/>
      <c r="K49" s="1119"/>
      <c r="L49" s="1119"/>
      <c r="M49" s="1090"/>
      <c r="N49" s="974"/>
      <c r="O49" s="1090"/>
      <c r="P49" s="1115"/>
      <c r="Q49" s="973"/>
      <c r="R49" s="973"/>
      <c r="S49" s="973"/>
      <c r="T49" s="973"/>
      <c r="U49" s="973"/>
      <c r="V49" s="973"/>
      <c r="W49" s="973"/>
      <c r="X49" s="973"/>
      <c r="Y49" s="973"/>
      <c r="Z49" s="1090"/>
      <c r="AA49" s="1090"/>
      <c r="AB49" s="1090"/>
      <c r="AC49" s="1090"/>
    </row>
    <row r="50" spans="2:29" x14ac:dyDescent="0.35">
      <c r="B50" s="593"/>
      <c r="D50" s="1090"/>
      <c r="E50" s="1090"/>
      <c r="F50" s="1090"/>
      <c r="G50" s="1090"/>
      <c r="H50" s="1091"/>
      <c r="I50" s="1090"/>
      <c r="J50" s="1090"/>
      <c r="K50" s="1090"/>
      <c r="L50" s="1090"/>
      <c r="M50" s="1090"/>
      <c r="N50" s="970"/>
      <c r="O50" s="1090"/>
      <c r="P50" s="970"/>
      <c r="Q50" s="970"/>
      <c r="R50" s="970"/>
      <c r="S50" s="970"/>
      <c r="T50" s="970"/>
      <c r="U50" s="970"/>
      <c r="V50" s="970"/>
      <c r="W50" s="970"/>
      <c r="X50" s="970"/>
      <c r="Y50" s="970"/>
      <c r="Z50" s="970"/>
      <c r="AA50" s="970"/>
      <c r="AB50" s="970"/>
      <c r="AC50" s="970"/>
    </row>
    <row r="51" spans="2:29" x14ac:dyDescent="0.35">
      <c r="B51" s="593"/>
      <c r="D51" s="1090"/>
      <c r="E51" s="1090"/>
      <c r="F51" s="1090"/>
      <c r="G51" s="1090"/>
      <c r="H51" s="1092"/>
      <c r="I51" s="1090"/>
      <c r="J51" s="1090"/>
      <c r="K51" s="1090"/>
      <c r="L51" s="1090"/>
      <c r="M51" s="1090"/>
      <c r="N51" s="974"/>
      <c r="O51" s="1090"/>
      <c r="P51" s="1115"/>
      <c r="Q51" s="1115"/>
      <c r="R51" s="1115"/>
      <c r="S51" s="1115"/>
      <c r="T51" s="1115"/>
      <c r="U51" s="1115"/>
      <c r="V51" s="1147"/>
      <c r="W51" s="1147"/>
      <c r="X51" s="1147"/>
      <c r="Y51" s="1147"/>
      <c r="Z51" s="1090"/>
      <c r="AA51" s="1090"/>
      <c r="AB51" s="1090"/>
      <c r="AC51" s="1090"/>
    </row>
    <row r="52" spans="2:29" x14ac:dyDescent="0.35">
      <c r="B52" s="593"/>
      <c r="D52" s="1090"/>
      <c r="E52" s="1090"/>
      <c r="F52" s="1090"/>
      <c r="G52" s="1090"/>
      <c r="H52" s="1092"/>
      <c r="I52" s="1090"/>
      <c r="J52" s="1090"/>
      <c r="K52" s="1090"/>
      <c r="L52" s="1090"/>
      <c r="M52" s="1090"/>
      <c r="N52" s="974"/>
      <c r="O52" s="974"/>
      <c r="P52" s="1115"/>
      <c r="Q52" s="1115"/>
      <c r="R52" s="1115"/>
      <c r="S52" s="1115"/>
      <c r="T52" s="1115"/>
      <c r="U52" s="1115"/>
      <c r="V52" s="1115"/>
      <c r="W52" s="1115"/>
      <c r="X52" s="1115"/>
      <c r="Y52" s="1115"/>
      <c r="Z52" s="1115"/>
      <c r="AA52" s="1115"/>
      <c r="AB52" s="1115"/>
      <c r="AC52" s="1115"/>
    </row>
    <row r="53" spans="2:29" x14ac:dyDescent="0.35">
      <c r="B53" s="593"/>
      <c r="D53" s="1090"/>
      <c r="E53" s="1090"/>
      <c r="F53" s="1090"/>
      <c r="G53" s="1090"/>
      <c r="H53" s="1092"/>
      <c r="I53" s="1090"/>
      <c r="J53" s="1090"/>
      <c r="K53" s="1090"/>
      <c r="L53" s="1090"/>
      <c r="M53" s="1090"/>
      <c r="N53" s="974"/>
      <c r="O53" s="974"/>
      <c r="P53" s="1115"/>
      <c r="Q53" s="1115"/>
      <c r="R53" s="1115"/>
      <c r="S53" s="1115"/>
      <c r="T53" s="1115"/>
      <c r="U53" s="1115"/>
      <c r="V53" s="1115"/>
      <c r="W53" s="1115"/>
      <c r="X53" s="1115"/>
      <c r="Y53" s="1115"/>
      <c r="Z53" s="1115"/>
      <c r="AA53" s="1115"/>
      <c r="AB53" s="1115"/>
      <c r="AC53" s="1115"/>
    </row>
    <row r="54" spans="2:29" x14ac:dyDescent="0.35">
      <c r="B54" s="593"/>
      <c r="D54" s="1090"/>
      <c r="E54" s="1090"/>
      <c r="F54" s="1090"/>
      <c r="G54" s="1090"/>
      <c r="H54" s="1092"/>
      <c r="I54" s="1090"/>
      <c r="J54" s="1090"/>
      <c r="K54" s="1090"/>
      <c r="L54" s="1090"/>
      <c r="M54" s="1090"/>
      <c r="N54" s="974"/>
      <c r="O54" s="974"/>
      <c r="P54" s="1115"/>
      <c r="Q54" s="1115"/>
      <c r="R54" s="1115"/>
      <c r="S54" s="1115"/>
      <c r="T54" s="1115"/>
      <c r="U54" s="1115"/>
      <c r="V54" s="1115"/>
      <c r="W54" s="1115"/>
      <c r="X54" s="1115"/>
      <c r="Y54" s="1115"/>
      <c r="Z54" s="1090"/>
      <c r="AA54" s="1090"/>
      <c r="AB54" s="1090"/>
      <c r="AC54" s="1090"/>
    </row>
    <row r="55" spans="2:29" x14ac:dyDescent="0.35">
      <c r="D55" s="1090"/>
      <c r="E55" s="1090"/>
      <c r="F55" s="1090"/>
      <c r="G55" s="1090"/>
      <c r="H55" s="1092"/>
      <c r="I55" s="1090"/>
      <c r="J55" s="1090"/>
      <c r="K55" s="1090"/>
      <c r="L55" s="1090"/>
      <c r="M55" s="1090"/>
      <c r="N55" s="974"/>
      <c r="O55" s="974"/>
      <c r="P55" s="1115"/>
      <c r="Q55" s="1115"/>
      <c r="R55" s="1115"/>
      <c r="S55" s="1115"/>
      <c r="T55" s="1115"/>
      <c r="U55" s="1115"/>
      <c r="V55" s="1115"/>
      <c r="W55" s="1115"/>
      <c r="X55" s="1115"/>
      <c r="Y55" s="1115"/>
      <c r="Z55" s="1115"/>
      <c r="AA55" s="1115"/>
      <c r="AB55" s="1115"/>
      <c r="AC55" s="1115"/>
    </row>
    <row r="56" spans="2:29" x14ac:dyDescent="0.35">
      <c r="D56" s="1090"/>
      <c r="E56" s="1090"/>
      <c r="F56" s="1090"/>
      <c r="G56" s="1090"/>
      <c r="H56" s="1092"/>
      <c r="I56" s="1090"/>
      <c r="J56" s="1090"/>
      <c r="K56" s="1090"/>
      <c r="L56" s="1090"/>
      <c r="M56" s="1090"/>
      <c r="N56" s="974"/>
      <c r="O56" s="974"/>
      <c r="P56" s="1115"/>
      <c r="Q56" s="1115"/>
      <c r="R56" s="1115"/>
      <c r="S56" s="1115"/>
      <c r="T56" s="1115"/>
      <c r="U56" s="1115"/>
      <c r="V56" s="1115"/>
      <c r="W56" s="1115"/>
      <c r="X56" s="1115"/>
      <c r="Y56" s="1115"/>
      <c r="Z56" s="1115"/>
      <c r="AA56" s="1115"/>
      <c r="AB56" s="1115"/>
      <c r="AC56" s="1115"/>
    </row>
    <row r="57" spans="2:29" x14ac:dyDescent="0.35">
      <c r="D57" s="1090"/>
      <c r="E57" s="1090"/>
      <c r="F57" s="1090"/>
      <c r="G57" s="1090"/>
      <c r="H57" s="1092"/>
      <c r="I57" s="1090"/>
      <c r="J57" s="1090"/>
      <c r="K57" s="1090"/>
      <c r="L57" s="1090"/>
      <c r="M57" s="1090"/>
      <c r="N57" s="974"/>
      <c r="O57" s="974"/>
      <c r="P57" s="1115"/>
      <c r="Q57" s="1115"/>
      <c r="R57" s="1115"/>
      <c r="S57" s="1115"/>
      <c r="T57" s="1115"/>
      <c r="U57" s="1115"/>
      <c r="V57" s="1115"/>
      <c r="W57" s="1115"/>
      <c r="X57" s="1115"/>
      <c r="Y57" s="1115"/>
      <c r="Z57" s="1115"/>
      <c r="AA57" s="1115"/>
      <c r="AB57" s="1115"/>
      <c r="AC57" s="1115"/>
    </row>
    <row r="58" spans="2:29" x14ac:dyDescent="0.35">
      <c r="D58" s="1090"/>
      <c r="E58" s="1090"/>
      <c r="F58" s="1090"/>
      <c r="G58" s="1090"/>
      <c r="H58" s="1092"/>
      <c r="I58" s="1090"/>
      <c r="J58" s="1090"/>
      <c r="K58" s="1090"/>
      <c r="L58" s="1090"/>
      <c r="M58" s="1090"/>
      <c r="N58" s="974"/>
      <c r="O58" s="1090"/>
      <c r="P58" s="1115"/>
      <c r="Q58" s="1115"/>
      <c r="R58" s="1115"/>
      <c r="S58" s="1115"/>
      <c r="T58" s="1115"/>
      <c r="U58" s="1115"/>
      <c r="V58" s="1115"/>
      <c r="W58" s="1115"/>
      <c r="X58" s="1115"/>
      <c r="Y58" s="1115"/>
      <c r="Z58" s="1115"/>
      <c r="AA58" s="1115"/>
      <c r="AB58" s="1115"/>
      <c r="AC58" s="1115"/>
    </row>
    <row r="59" spans="2:29" x14ac:dyDescent="0.35">
      <c r="D59" s="1090"/>
      <c r="E59" s="1090"/>
      <c r="F59" s="1090"/>
      <c r="G59" s="1090"/>
      <c r="H59" s="1090"/>
      <c r="I59" s="1090"/>
      <c r="J59" s="1090"/>
      <c r="K59" s="1090"/>
      <c r="L59" s="1090"/>
      <c r="M59" s="1090"/>
      <c r="N59" s="1090"/>
      <c r="O59" s="1090"/>
      <c r="P59" s="1115"/>
      <c r="Q59" s="1115"/>
      <c r="R59" s="1115"/>
      <c r="S59" s="1115"/>
      <c r="T59" s="1115"/>
      <c r="U59" s="1115"/>
      <c r="V59" s="1115"/>
      <c r="W59" s="1115"/>
      <c r="X59" s="1115"/>
      <c r="Y59" s="1115"/>
      <c r="Z59" s="1115"/>
      <c r="AA59" s="1115"/>
      <c r="AB59" s="1115"/>
      <c r="AC59" s="1115"/>
    </row>
    <row r="60" spans="2:29" x14ac:dyDescent="0.35">
      <c r="D60" s="1090"/>
      <c r="E60" s="1090"/>
      <c r="F60" s="1090"/>
      <c r="G60" s="1090"/>
      <c r="H60" s="1090"/>
      <c r="I60" s="1090"/>
      <c r="J60" s="1090"/>
      <c r="K60" s="1090"/>
      <c r="L60" s="1090"/>
      <c r="M60" s="1090"/>
      <c r="N60" s="1090"/>
      <c r="O60" s="1090"/>
      <c r="P60" s="1115"/>
      <c r="Q60" s="1115"/>
      <c r="R60" s="1115"/>
      <c r="S60" s="1115"/>
      <c r="T60" s="1115"/>
      <c r="U60" s="1115"/>
      <c r="V60" s="1115"/>
      <c r="W60" s="1115"/>
      <c r="X60" s="1115"/>
      <c r="Y60" s="1115"/>
      <c r="Z60" s="1115"/>
      <c r="AA60" s="1115"/>
      <c r="AB60" s="1115"/>
      <c r="AC60" s="1115"/>
    </row>
    <row r="61" spans="2:29" x14ac:dyDescent="0.35">
      <c r="D61" s="1090"/>
      <c r="E61" s="1090"/>
      <c r="F61" s="1090"/>
      <c r="G61" s="1090"/>
      <c r="H61" s="1090"/>
      <c r="I61" s="1090"/>
      <c r="J61" s="1090"/>
      <c r="K61" s="1090"/>
      <c r="L61" s="1090"/>
      <c r="M61" s="1090"/>
      <c r="N61" s="1090"/>
      <c r="O61" s="1090"/>
      <c r="P61" s="1090"/>
      <c r="Q61" s="1090"/>
      <c r="R61" s="1090"/>
      <c r="S61" s="1090"/>
      <c r="T61" s="1090"/>
      <c r="U61" s="1090"/>
      <c r="V61" s="1090"/>
      <c r="W61" s="1090"/>
      <c r="X61" s="1090"/>
      <c r="Y61" s="1090"/>
      <c r="Z61" s="1090"/>
      <c r="AA61" s="1090"/>
      <c r="AB61" s="1090"/>
      <c r="AC61" s="1090"/>
    </row>
    <row r="62" spans="2:29" x14ac:dyDescent="0.35">
      <c r="D62" s="1090"/>
      <c r="E62" s="1090"/>
      <c r="F62" s="1090"/>
      <c r="G62" s="1090"/>
      <c r="H62" s="1090"/>
      <c r="I62" s="1090"/>
      <c r="J62" s="1090"/>
      <c r="K62" s="1090"/>
      <c r="L62" s="1090"/>
      <c r="M62" s="1090"/>
      <c r="N62" s="1090"/>
      <c r="O62" s="1090"/>
      <c r="P62" s="1090"/>
      <c r="Q62" s="1090"/>
      <c r="R62" s="1090"/>
      <c r="S62" s="1090"/>
      <c r="T62" s="1090"/>
      <c r="U62" s="1090"/>
      <c r="V62" s="1090"/>
      <c r="W62" s="1090"/>
      <c r="X62" s="1090"/>
      <c r="Y62" s="1090"/>
      <c r="Z62" s="1090"/>
      <c r="AA62" s="1090"/>
      <c r="AB62" s="1090"/>
      <c r="AC62" s="1090"/>
    </row>
  </sheetData>
  <mergeCells count="15">
    <mergeCell ref="B1:AC1"/>
    <mergeCell ref="B42:C42"/>
    <mergeCell ref="U9:X9"/>
    <mergeCell ref="B26:C26"/>
    <mergeCell ref="B8:C10"/>
    <mergeCell ref="I9:L9"/>
    <mergeCell ref="Q9:T9"/>
    <mergeCell ref="B11:C11"/>
    <mergeCell ref="E9:H9"/>
    <mergeCell ref="B33:C33"/>
    <mergeCell ref="Y9:AB9"/>
    <mergeCell ref="D8:P8"/>
    <mergeCell ref="Q8:AC8"/>
    <mergeCell ref="M9:P9"/>
    <mergeCell ref="B2:AC6"/>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6"/>
  <sheetViews>
    <sheetView zoomScale="70" zoomScaleNormal="70" workbookViewId="0">
      <selection activeCell="B2" sqref="B2:AC4"/>
    </sheetView>
  </sheetViews>
  <sheetFormatPr defaultColWidth="8.453125" defaultRowHeight="14" x14ac:dyDescent="0.3"/>
  <cols>
    <col min="1" max="1" width="8.453125" style="27"/>
    <col min="2" max="2" width="26.26953125" style="27" customWidth="1"/>
    <col min="3" max="5" width="8.453125" style="27"/>
    <col min="6" max="6" width="9" style="27" customWidth="1"/>
    <col min="7" max="11" width="7.453125" style="27" customWidth="1"/>
    <col min="12" max="12" width="8.453125" style="27"/>
    <col min="13" max="13" width="8.453125" style="27" customWidth="1"/>
    <col min="14" max="28" width="9.1796875" style="27" bestFit="1" customWidth="1"/>
    <col min="29" max="16384" width="8.453125" style="27"/>
  </cols>
  <sheetData>
    <row r="1" spans="2:29" x14ac:dyDescent="0.3">
      <c r="B1" s="1290" t="s">
        <v>54</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29" ht="14.25" customHeight="1" x14ac:dyDescent="0.3">
      <c r="B2" s="1291" t="s">
        <v>1257</v>
      </c>
      <c r="C2" s="1291"/>
      <c r="D2" s="1291"/>
      <c r="E2" s="1291"/>
      <c r="F2" s="1291"/>
      <c r="G2" s="1291"/>
      <c r="H2" s="1291"/>
      <c r="I2" s="1291"/>
      <c r="J2" s="1291"/>
      <c r="K2" s="1291"/>
      <c r="L2" s="1291"/>
      <c r="M2" s="1291"/>
      <c r="N2" s="1291"/>
      <c r="O2" s="1291"/>
      <c r="P2" s="1291"/>
      <c r="Q2" s="1291"/>
      <c r="R2" s="1291"/>
      <c r="S2" s="1291"/>
      <c r="T2" s="1291"/>
      <c r="U2" s="1291"/>
      <c r="V2" s="1291"/>
      <c r="W2" s="1291"/>
      <c r="X2" s="1291"/>
      <c r="Y2" s="1291"/>
      <c r="Z2" s="1291"/>
      <c r="AA2" s="1291"/>
      <c r="AB2" s="1291"/>
      <c r="AC2" s="1291"/>
    </row>
    <row r="3" spans="2:29" ht="59.65" customHeight="1" x14ac:dyDescent="0.3">
      <c r="B3" s="1291"/>
      <c r="C3" s="1291"/>
      <c r="D3" s="1291"/>
      <c r="E3" s="1291"/>
      <c r="F3" s="1291"/>
      <c r="G3" s="1291"/>
      <c r="H3" s="1291"/>
      <c r="I3" s="1291"/>
      <c r="J3" s="1291"/>
      <c r="K3" s="1291"/>
      <c r="L3" s="1291"/>
      <c r="M3" s="1291"/>
      <c r="N3" s="1291"/>
      <c r="O3" s="1291"/>
      <c r="P3" s="1291"/>
      <c r="Q3" s="1291"/>
      <c r="R3" s="1291"/>
      <c r="S3" s="1291"/>
      <c r="T3" s="1291"/>
      <c r="U3" s="1291"/>
      <c r="V3" s="1291"/>
      <c r="W3" s="1291"/>
      <c r="X3" s="1291"/>
      <c r="Y3" s="1291"/>
      <c r="Z3" s="1291"/>
      <c r="AA3" s="1291"/>
      <c r="AB3" s="1291"/>
      <c r="AC3" s="1291"/>
    </row>
    <row r="4" spans="2:29" ht="60.75" customHeight="1" x14ac:dyDescent="0.3">
      <c r="B4" s="1291"/>
      <c r="C4" s="1291"/>
      <c r="D4" s="1291"/>
      <c r="E4" s="1291"/>
      <c r="F4" s="1291"/>
      <c r="G4" s="1291"/>
      <c r="H4" s="1291"/>
      <c r="I4" s="1291"/>
      <c r="J4" s="1291"/>
      <c r="K4" s="1291"/>
      <c r="L4" s="1291"/>
      <c r="M4" s="1291"/>
      <c r="N4" s="1291"/>
      <c r="O4" s="1291"/>
      <c r="P4" s="1291"/>
      <c r="Q4" s="1291"/>
      <c r="R4" s="1291"/>
      <c r="S4" s="1291"/>
      <c r="T4" s="1291"/>
      <c r="U4" s="1291"/>
      <c r="V4" s="1291"/>
      <c r="W4" s="1291"/>
      <c r="X4" s="1291"/>
      <c r="Y4" s="1291"/>
      <c r="Z4" s="1291"/>
      <c r="AA4" s="1291"/>
      <c r="AB4" s="1291"/>
      <c r="AC4" s="1291"/>
    </row>
    <row r="5" spans="2:29" x14ac:dyDescent="0.3">
      <c r="B5" s="125" t="s">
        <v>406</v>
      </c>
    </row>
    <row r="6" spans="2:29" ht="14.65" customHeight="1" x14ac:dyDescent="0.3">
      <c r="B6" s="1295" t="s">
        <v>498</v>
      </c>
      <c r="C6" s="1296"/>
      <c r="D6" s="1307" t="s">
        <v>350</v>
      </c>
      <c r="E6" s="1308"/>
      <c r="F6" s="1308"/>
      <c r="G6" s="1308"/>
      <c r="H6" s="1308"/>
      <c r="I6" s="1308"/>
      <c r="J6" s="1308"/>
      <c r="K6" s="1308"/>
      <c r="L6" s="1308"/>
      <c r="M6" s="1308"/>
      <c r="N6" s="1308"/>
      <c r="O6" s="1308"/>
      <c r="P6" s="1309"/>
      <c r="Q6" s="1304" t="s">
        <v>351</v>
      </c>
      <c r="R6" s="1305"/>
      <c r="S6" s="1305"/>
      <c r="T6" s="1305"/>
      <c r="U6" s="1305"/>
      <c r="V6" s="1305"/>
      <c r="W6" s="1305"/>
      <c r="X6" s="1305"/>
      <c r="Y6" s="1305"/>
      <c r="Z6" s="1305"/>
      <c r="AA6" s="1305"/>
      <c r="AB6" s="1305"/>
      <c r="AC6" s="1306"/>
    </row>
    <row r="7" spans="2:29" x14ac:dyDescent="0.3">
      <c r="B7" s="1297"/>
      <c r="C7" s="1360"/>
      <c r="D7" s="455">
        <v>2018</v>
      </c>
      <c r="E7" s="1292">
        <v>2019</v>
      </c>
      <c r="F7" s="1293"/>
      <c r="G7" s="1293"/>
      <c r="H7" s="1294"/>
      <c r="I7" s="1292">
        <v>2020</v>
      </c>
      <c r="J7" s="1293"/>
      <c r="K7" s="1293"/>
      <c r="L7" s="1293"/>
      <c r="M7" s="1302">
        <v>2021</v>
      </c>
      <c r="N7" s="1293"/>
      <c r="O7" s="1293"/>
      <c r="P7" s="1303"/>
      <c r="Q7" s="1300">
        <v>2022</v>
      </c>
      <c r="R7" s="1300"/>
      <c r="S7" s="1300"/>
      <c r="T7" s="1301"/>
      <c r="U7" s="1299">
        <v>2023</v>
      </c>
      <c r="V7" s="1300"/>
      <c r="W7" s="1300"/>
      <c r="X7" s="1300"/>
      <c r="Y7" s="1299">
        <v>2024</v>
      </c>
      <c r="Z7" s="1300"/>
      <c r="AA7" s="1300"/>
      <c r="AB7" s="1301"/>
      <c r="AC7" s="306">
        <v>2025</v>
      </c>
    </row>
    <row r="8" spans="2:29" x14ac:dyDescent="0.3">
      <c r="B8" s="1297"/>
      <c r="C8" s="1360"/>
      <c r="D8" s="156" t="s">
        <v>352</v>
      </c>
      <c r="E8" s="156" t="s">
        <v>353</v>
      </c>
      <c r="F8" s="139" t="s">
        <v>354</v>
      </c>
      <c r="G8" s="139" t="s">
        <v>253</v>
      </c>
      <c r="H8" s="146" t="s">
        <v>352</v>
      </c>
      <c r="I8" s="140" t="s">
        <v>353</v>
      </c>
      <c r="J8" s="140" t="s">
        <v>354</v>
      </c>
      <c r="K8" s="140" t="s">
        <v>253</v>
      </c>
      <c r="L8" s="140" t="s">
        <v>352</v>
      </c>
      <c r="M8" s="151" t="s">
        <v>353</v>
      </c>
      <c r="N8" s="773" t="s">
        <v>354</v>
      </c>
      <c r="O8" s="773" t="s">
        <v>253</v>
      </c>
      <c r="P8" s="146" t="s">
        <v>352</v>
      </c>
      <c r="Q8" s="826" t="s">
        <v>353</v>
      </c>
      <c r="R8" s="898" t="s">
        <v>354</v>
      </c>
      <c r="S8" s="898" t="s">
        <v>253</v>
      </c>
      <c r="T8" s="898" t="s">
        <v>352</v>
      </c>
      <c r="U8" s="897" t="s">
        <v>353</v>
      </c>
      <c r="V8" s="898" t="s">
        <v>354</v>
      </c>
      <c r="W8" s="898" t="s">
        <v>253</v>
      </c>
      <c r="X8" s="898" t="s">
        <v>352</v>
      </c>
      <c r="Y8" s="897" t="s">
        <v>353</v>
      </c>
      <c r="Z8" s="874" t="s">
        <v>354</v>
      </c>
      <c r="AA8" s="898" t="s">
        <v>253</v>
      </c>
      <c r="AB8" s="381" t="s">
        <v>352</v>
      </c>
      <c r="AC8" s="63" t="s">
        <v>353</v>
      </c>
    </row>
    <row r="9" spans="2:29" x14ac:dyDescent="0.3">
      <c r="B9" s="130" t="s">
        <v>115</v>
      </c>
      <c r="C9" s="216" t="s">
        <v>525</v>
      </c>
      <c r="D9" s="985">
        <f>'Haver Pivoted'!GO13</f>
        <v>589.5</v>
      </c>
      <c r="E9" s="233">
        <f>'Haver Pivoted'!GP13</f>
        <v>598.79999999999995</v>
      </c>
      <c r="F9" s="233">
        <f>'Haver Pivoted'!GQ13</f>
        <v>614.5</v>
      </c>
      <c r="G9" s="233">
        <f>'Haver Pivoted'!GR13</f>
        <v>622.4</v>
      </c>
      <c r="H9" s="233">
        <f>'Haver Pivoted'!GS13</f>
        <v>620.5</v>
      </c>
      <c r="I9" s="233">
        <f>'Haver Pivoted'!GT13</f>
        <v>606.20000000000005</v>
      </c>
      <c r="J9" s="233">
        <f>'Haver Pivoted'!GU13</f>
        <v>654.20000000000005</v>
      </c>
      <c r="K9" s="233">
        <f>'Haver Pivoted'!GV13</f>
        <v>690.4</v>
      </c>
      <c r="L9" s="233">
        <f>'Haver Pivoted'!GW13</f>
        <v>678.3</v>
      </c>
      <c r="M9" s="233">
        <f>'Haver Pivoted'!GX13</f>
        <v>695.9</v>
      </c>
      <c r="N9" s="233">
        <f>'Haver Pivoted'!GY13</f>
        <v>730.5</v>
      </c>
      <c r="O9" s="233">
        <f>'Haver Pivoted'!GZ13</f>
        <v>775</v>
      </c>
      <c r="P9" s="864">
        <f>'Haver Pivoted'!HA13</f>
        <v>782.9</v>
      </c>
      <c r="Q9" s="737"/>
      <c r="R9" s="737"/>
      <c r="S9" s="1111"/>
      <c r="T9" s="1111"/>
      <c r="U9" s="1111"/>
      <c r="V9" s="1111"/>
      <c r="W9" s="1111"/>
      <c r="X9" s="1111"/>
      <c r="Y9" s="1111"/>
      <c r="Z9" s="1111"/>
      <c r="AA9" s="1111"/>
      <c r="AB9" s="1111"/>
      <c r="AC9" s="1112"/>
    </row>
    <row r="10" spans="2:29" x14ac:dyDescent="0.3">
      <c r="B10" s="34" t="s">
        <v>526</v>
      </c>
      <c r="C10" s="27" t="s">
        <v>412</v>
      </c>
      <c r="D10" s="871">
        <f>'Haver Pivoted'!GO40</f>
        <v>390.86599999999999</v>
      </c>
      <c r="E10" s="983">
        <f>'Haver Pivoted'!GP40</f>
        <v>408.75599999999997</v>
      </c>
      <c r="F10" s="983">
        <f>'Haver Pivoted'!GQ40</f>
        <v>413.34399999999999</v>
      </c>
      <c r="G10" s="983">
        <f>'Haver Pivoted'!GR40</f>
        <v>418.529</v>
      </c>
      <c r="H10" s="983">
        <f>'Haver Pivoted'!GS40</f>
        <v>413.80599999999998</v>
      </c>
      <c r="I10" s="983">
        <f>'Haver Pivoted'!GT40</f>
        <v>428.11799999999999</v>
      </c>
      <c r="J10" s="983">
        <f>'Haver Pivoted'!GU40</f>
        <v>502.49</v>
      </c>
      <c r="K10" s="983">
        <f>'Haver Pivoted'!GV40</f>
        <v>481.71699999999998</v>
      </c>
      <c r="L10" s="983">
        <f>'Haver Pivoted'!GW40</f>
        <v>507.83699999999999</v>
      </c>
      <c r="M10" s="983">
        <f>'Haver Pivoted'!GX40</f>
        <v>511.34500000000003</v>
      </c>
      <c r="N10" s="983">
        <f>'Haver Pivoted'!GY40</f>
        <v>520.72900000000004</v>
      </c>
      <c r="O10" s="983">
        <f>'Haver Pivoted'!GZ40</f>
        <v>530.82100000000003</v>
      </c>
      <c r="P10" s="738">
        <f>'Haver Pivoted'!HA40</f>
        <v>541.83299999999997</v>
      </c>
      <c r="Q10" s="883"/>
      <c r="R10" s="883"/>
      <c r="S10" s="826"/>
      <c r="T10" s="826"/>
      <c r="U10" s="826"/>
      <c r="V10" s="826"/>
      <c r="W10" s="826"/>
      <c r="X10" s="826"/>
      <c r="Y10" s="826"/>
      <c r="Z10" s="826"/>
      <c r="AA10" s="826"/>
      <c r="AB10" s="826"/>
      <c r="AC10" s="381"/>
    </row>
    <row r="11" spans="2:29" ht="28" x14ac:dyDescent="0.3">
      <c r="B11" s="48" t="s">
        <v>527</v>
      </c>
      <c r="D11" s="165">
        <f t="shared" ref="D11:N11" si="0">D10/D9</f>
        <v>0.6630466497031382</v>
      </c>
      <c r="E11" s="984">
        <f t="shared" si="0"/>
        <v>0.68262525050100198</v>
      </c>
      <c r="F11" s="984">
        <f t="shared" si="0"/>
        <v>0.6726509357200976</v>
      </c>
      <c r="G11" s="984">
        <f t="shared" si="0"/>
        <v>0.67244376606683809</v>
      </c>
      <c r="H11" s="984">
        <f t="shared" si="0"/>
        <v>0.66689121676067686</v>
      </c>
      <c r="I11" s="984">
        <f t="shared" si="0"/>
        <v>0.70623226657868687</v>
      </c>
      <c r="J11" s="984">
        <f t="shared" si="0"/>
        <v>0.76809844084377865</v>
      </c>
      <c r="K11" s="984">
        <f t="shared" si="0"/>
        <v>0.69773609501738121</v>
      </c>
      <c r="L11" s="984">
        <f t="shared" si="0"/>
        <v>0.7486908447589562</v>
      </c>
      <c r="M11" s="984">
        <f t="shared" si="0"/>
        <v>0.7347966661876707</v>
      </c>
      <c r="N11" s="984">
        <f t="shared" si="0"/>
        <v>0.71283915126625608</v>
      </c>
      <c r="O11" s="1098">
        <f>O10/O9</f>
        <v>0.68493032258064523</v>
      </c>
      <c r="P11" s="1148">
        <f>P10/P9</f>
        <v>0.69208455741474006</v>
      </c>
      <c r="Q11" s="1151">
        <v>0.71699999999999997</v>
      </c>
      <c r="R11" s="1151">
        <v>0.71699999999999997</v>
      </c>
      <c r="S11" s="1151">
        <f>AVERAGE(D11:G11)</f>
        <v>0.67269165049776891</v>
      </c>
      <c r="T11" s="1151">
        <f>AVERAGE(D11:G11)</f>
        <v>0.67269165049776891</v>
      </c>
      <c r="U11" s="1151">
        <f t="shared" ref="U11:Y12" si="1">T11</f>
        <v>0.67269165049776891</v>
      </c>
      <c r="V11" s="1151">
        <f t="shared" si="1"/>
        <v>0.67269165049776891</v>
      </c>
      <c r="W11" s="1151">
        <f t="shared" si="1"/>
        <v>0.67269165049776891</v>
      </c>
      <c r="X11" s="1151">
        <f t="shared" si="1"/>
        <v>0.67269165049776891</v>
      </c>
      <c r="Y11" s="1151">
        <f t="shared" si="1"/>
        <v>0.67269165049776891</v>
      </c>
      <c r="Z11" s="1151">
        <f t="shared" ref="Z11:Z12" si="2">Y11</f>
        <v>0.67269165049776891</v>
      </c>
      <c r="AA11" s="1151">
        <f t="shared" ref="AA11:AA12" si="3">Z11</f>
        <v>0.67269165049776891</v>
      </c>
      <c r="AB11" s="1151">
        <f t="shared" ref="AB11:AB12" si="4">AA11</f>
        <v>0.67269165049776891</v>
      </c>
      <c r="AC11" s="517">
        <f t="shared" ref="AC11:AC12" si="5">AB11</f>
        <v>0.67269165049776891</v>
      </c>
    </row>
    <row r="12" spans="2:29" x14ac:dyDescent="0.3">
      <c r="B12" s="129" t="s">
        <v>528</v>
      </c>
      <c r="C12" s="35"/>
      <c r="D12" s="405">
        <f t="shared" ref="D12:M12" si="6">D11</f>
        <v>0.6630466497031382</v>
      </c>
      <c r="E12" s="172">
        <f t="shared" si="6"/>
        <v>0.68262525050100198</v>
      </c>
      <c r="F12" s="172">
        <f t="shared" si="6"/>
        <v>0.6726509357200976</v>
      </c>
      <c r="G12" s="172">
        <f t="shared" si="6"/>
        <v>0.67244376606683809</v>
      </c>
      <c r="H12" s="172">
        <f t="shared" si="6"/>
        <v>0.66689121676067686</v>
      </c>
      <c r="I12" s="172">
        <f t="shared" si="6"/>
        <v>0.70623226657868687</v>
      </c>
      <c r="J12" s="172">
        <f t="shared" si="6"/>
        <v>0.76809844084377865</v>
      </c>
      <c r="K12" s="172">
        <f t="shared" si="6"/>
        <v>0.69773609501738121</v>
      </c>
      <c r="L12" s="172">
        <f t="shared" si="6"/>
        <v>0.7486908447589562</v>
      </c>
      <c r="M12" s="172">
        <f t="shared" si="6"/>
        <v>0.7347966661876707</v>
      </c>
      <c r="N12" s="708">
        <f>N11+F45</f>
        <v>0.72226866700127546</v>
      </c>
      <c r="O12" s="1149">
        <f>O11</f>
        <v>0.68493032258064523</v>
      </c>
      <c r="P12" s="1150">
        <f>P11</f>
        <v>0.69208455741474006</v>
      </c>
      <c r="Q12" s="312">
        <f>P12</f>
        <v>0.69208455741474006</v>
      </c>
      <c r="R12" s="312">
        <f>Q12</f>
        <v>0.69208455741474006</v>
      </c>
      <c r="S12" s="312">
        <f>S11+G45</f>
        <v>0.68032914338968276</v>
      </c>
      <c r="T12" s="312">
        <f>T11+H45</f>
        <v>0.67761612199483379</v>
      </c>
      <c r="U12" s="312">
        <f t="shared" si="1"/>
        <v>0.67761612199483379</v>
      </c>
      <c r="V12" s="312">
        <f t="shared" si="1"/>
        <v>0.67761612199483379</v>
      </c>
      <c r="W12" s="312">
        <f t="shared" si="1"/>
        <v>0.67761612199483379</v>
      </c>
      <c r="X12" s="312">
        <f t="shared" si="1"/>
        <v>0.67761612199483379</v>
      </c>
      <c r="Y12" s="312">
        <f t="shared" si="1"/>
        <v>0.67761612199483379</v>
      </c>
      <c r="Z12" s="312">
        <f t="shared" si="2"/>
        <v>0.67761612199483379</v>
      </c>
      <c r="AA12" s="312">
        <f t="shared" si="3"/>
        <v>0.67761612199483379</v>
      </c>
      <c r="AB12" s="312">
        <f t="shared" si="4"/>
        <v>0.67761612199483379</v>
      </c>
      <c r="AC12" s="518">
        <f t="shared" si="5"/>
        <v>0.67761612199483379</v>
      </c>
    </row>
    <row r="13" spans="2:29" s="787" customFormat="1" x14ac:dyDescent="0.3">
      <c r="B13" s="817"/>
      <c r="C13" s="817"/>
      <c r="D13" s="1098"/>
      <c r="E13" s="1098"/>
      <c r="F13" s="1098"/>
      <c r="G13" s="1098"/>
      <c r="H13" s="1098"/>
      <c r="I13" s="1098"/>
      <c r="J13" s="1098"/>
      <c r="K13" s="1098"/>
      <c r="L13" s="1098"/>
      <c r="M13" s="1098"/>
      <c r="N13" s="1098"/>
      <c r="O13" s="1098"/>
      <c r="P13" s="817"/>
      <c r="Q13" s="1098"/>
      <c r="R13" s="1098"/>
      <c r="S13" s="1098"/>
      <c r="T13" s="1098"/>
      <c r="U13" s="1098"/>
      <c r="V13" s="1098"/>
      <c r="W13" s="1098"/>
      <c r="X13" s="1098"/>
      <c r="Y13" s="1098"/>
      <c r="Z13" s="1098"/>
      <c r="AA13" s="1098"/>
      <c r="AB13" s="1098"/>
      <c r="AC13" s="1098"/>
    </row>
    <row r="14" spans="2:29" x14ac:dyDescent="0.3">
      <c r="O14" s="817"/>
      <c r="P14" s="1099"/>
      <c r="Q14" s="1099"/>
      <c r="R14" s="1099"/>
      <c r="S14" s="1099"/>
      <c r="T14" s="1099"/>
      <c r="U14" s="1099"/>
      <c r="V14" s="1099"/>
      <c r="W14" s="1099"/>
      <c r="X14" s="1099"/>
      <c r="Y14" s="1099"/>
      <c r="Z14" s="1099"/>
      <c r="AA14" s="1099"/>
      <c r="AB14" s="1099"/>
      <c r="AC14" s="1099"/>
    </row>
    <row r="15" spans="2:29" x14ac:dyDescent="0.3">
      <c r="B15" s="44" t="s">
        <v>425</v>
      </c>
      <c r="O15" s="817"/>
      <c r="P15" s="1098"/>
      <c r="Q15" s="1098"/>
      <c r="R15" s="1098"/>
      <c r="S15" s="1098"/>
      <c r="T15" s="1098"/>
      <c r="U15" s="1098"/>
      <c r="V15" s="1098"/>
      <c r="W15" s="1098"/>
      <c r="X15" s="1098"/>
      <c r="Y15" s="1098"/>
      <c r="Z15" s="1098"/>
      <c r="AA15" s="1098"/>
      <c r="AB15" s="1098"/>
      <c r="AC15" s="1098"/>
    </row>
    <row r="16" spans="2:29" ht="25.15" customHeight="1" x14ac:dyDescent="0.3">
      <c r="B16" s="309" t="s">
        <v>529</v>
      </c>
      <c r="C16" s="451">
        <v>2020</v>
      </c>
      <c r="D16" s="452">
        <v>2021</v>
      </c>
      <c r="E16" s="452">
        <v>2022</v>
      </c>
      <c r="F16" s="452">
        <v>2023</v>
      </c>
      <c r="G16" s="453">
        <v>2024</v>
      </c>
      <c r="H16" s="308"/>
      <c r="I16" s="308"/>
      <c r="J16" s="308"/>
      <c r="O16" s="817"/>
      <c r="P16" s="1098"/>
      <c r="Q16" s="1098"/>
      <c r="R16" s="1098"/>
      <c r="S16" s="1098"/>
      <c r="T16" s="1098"/>
      <c r="U16" s="1098"/>
      <c r="V16" s="1098"/>
      <c r="W16" s="1098"/>
      <c r="X16" s="1098"/>
      <c r="Y16" s="1098"/>
      <c r="Z16" s="1098"/>
      <c r="AA16" s="1098"/>
      <c r="AB16" s="1098"/>
      <c r="AC16" s="1098"/>
    </row>
    <row r="17" spans="2:29" ht="31.5" customHeight="1" x14ac:dyDescent="0.3">
      <c r="B17" s="41" t="s">
        <v>530</v>
      </c>
      <c r="C17" s="448">
        <v>458.46800000000002</v>
      </c>
      <c r="D17" s="449">
        <v>519.15800000000002</v>
      </c>
      <c r="E17" s="449">
        <v>545.428</v>
      </c>
      <c r="F17" s="449">
        <v>512.61800000000005</v>
      </c>
      <c r="G17" s="450">
        <v>520</v>
      </c>
      <c r="O17" s="817"/>
      <c r="P17" s="817"/>
      <c r="Q17" s="817"/>
      <c r="R17" s="817"/>
      <c r="S17" s="817"/>
      <c r="T17" s="817"/>
      <c r="U17" s="817"/>
      <c r="V17" s="817"/>
      <c r="W17" s="817"/>
      <c r="X17" s="817"/>
      <c r="Y17" s="817"/>
      <c r="Z17" s="817"/>
      <c r="AA17" s="817"/>
      <c r="AB17" s="817"/>
      <c r="AC17" s="817"/>
    </row>
    <row r="18" spans="2:29" x14ac:dyDescent="0.3">
      <c r="B18" s="34" t="s">
        <v>531</v>
      </c>
      <c r="C18" s="165">
        <f>AVERAGE(H11:K11)</f>
        <v>0.70973950480013093</v>
      </c>
      <c r="D18" s="307">
        <f>AVERAGE(L11:O11)</f>
        <v>0.72031424619838214</v>
      </c>
      <c r="E18" s="307">
        <f>AVERAGE(P11:S11)</f>
        <v>0.69969405197812728</v>
      </c>
      <c r="F18" s="307">
        <f>AVERAGE(T11:W11)</f>
        <v>0.67269165049776891</v>
      </c>
      <c r="G18" s="164">
        <f>F18</f>
        <v>0.67269165049776891</v>
      </c>
      <c r="O18" s="817"/>
      <c r="P18" s="817"/>
      <c r="Q18" s="817"/>
      <c r="R18" s="817"/>
      <c r="S18" s="817"/>
      <c r="T18" s="817"/>
      <c r="U18" s="817"/>
      <c r="V18" s="817"/>
      <c r="W18" s="817"/>
      <c r="X18" s="817"/>
      <c r="Y18" s="817"/>
      <c r="Z18" s="817"/>
      <c r="AA18" s="817"/>
      <c r="AB18" s="817"/>
      <c r="AC18" s="817"/>
    </row>
    <row r="19" spans="2:29" x14ac:dyDescent="0.3">
      <c r="B19" s="34" t="s">
        <v>532</v>
      </c>
      <c r="C19" s="137">
        <f>C17/C18</f>
        <v>645.96657914527214</v>
      </c>
      <c r="D19" s="36">
        <f>D17/D18</f>
        <v>720.7382093856553</v>
      </c>
      <c r="E19" s="36">
        <f>E17/E18</f>
        <v>779.52356241703524</v>
      </c>
      <c r="F19" s="36">
        <f>F17/F18</f>
        <v>762.04008124774577</v>
      </c>
      <c r="G19" s="250">
        <f>G17/G18</f>
        <v>773.01390557652633</v>
      </c>
      <c r="O19" s="817"/>
      <c r="P19" s="817"/>
      <c r="Q19" s="817"/>
      <c r="R19" s="817"/>
      <c r="S19" s="817"/>
      <c r="T19" s="817"/>
      <c r="U19" s="817"/>
      <c r="V19" s="817"/>
      <c r="W19" s="817"/>
      <c r="X19" s="817"/>
      <c r="Y19" s="817"/>
      <c r="Z19" s="817"/>
      <c r="AA19" s="817"/>
      <c r="AB19" s="817"/>
      <c r="AC19" s="817"/>
    </row>
    <row r="20" spans="2:29" ht="32.25" customHeight="1" x14ac:dyDescent="0.3">
      <c r="B20" s="141" t="s">
        <v>533</v>
      </c>
      <c r="C20" s="138"/>
      <c r="D20" s="172">
        <f>D19/C19-1</f>
        <v>0.11575154606190186</v>
      </c>
      <c r="E20" s="172">
        <v>5.6697556136369981E-2</v>
      </c>
      <c r="F20" s="172">
        <v>-5.1884558310648442E-2</v>
      </c>
      <c r="G20" s="158">
        <v>5.6207817464504109E-2</v>
      </c>
      <c r="I20" s="161"/>
      <c r="J20" s="161"/>
      <c r="K20" s="161"/>
      <c r="L20" s="161"/>
    </row>
    <row r="22" spans="2:29" x14ac:dyDescent="0.3">
      <c r="B22" s="44" t="s">
        <v>438</v>
      </c>
    </row>
    <row r="23" spans="2:29" x14ac:dyDescent="0.3">
      <c r="B23" s="1295" t="s">
        <v>534</v>
      </c>
      <c r="C23" s="1359"/>
      <c r="D23" s="1307" t="s">
        <v>350</v>
      </c>
      <c r="E23" s="1308"/>
      <c r="F23" s="1308"/>
      <c r="G23" s="1308"/>
      <c r="H23" s="1308"/>
      <c r="I23" s="1308"/>
      <c r="J23" s="1308"/>
      <c r="K23" s="1308"/>
      <c r="L23" s="1308"/>
      <c r="M23" s="1308"/>
      <c r="N23" s="1308"/>
      <c r="O23" s="1308"/>
      <c r="P23" s="1309"/>
      <c r="Q23" s="1304" t="s">
        <v>351</v>
      </c>
      <c r="R23" s="1305"/>
      <c r="S23" s="1305"/>
      <c r="T23" s="1305"/>
      <c r="U23" s="1305"/>
      <c r="V23" s="1305"/>
      <c r="W23" s="1305"/>
      <c r="X23" s="1305"/>
      <c r="Y23" s="1305"/>
      <c r="Z23" s="1305"/>
      <c r="AA23" s="1305"/>
      <c r="AB23" s="1305"/>
      <c r="AC23" s="1306"/>
    </row>
    <row r="24" spans="2:29" x14ac:dyDescent="0.3">
      <c r="B24" s="1297"/>
      <c r="C24" s="1360"/>
      <c r="D24" s="455">
        <v>2018</v>
      </c>
      <c r="E24" s="1292">
        <v>2019</v>
      </c>
      <c r="F24" s="1293"/>
      <c r="G24" s="1293"/>
      <c r="H24" s="1294"/>
      <c r="I24" s="1292">
        <v>2020</v>
      </c>
      <c r="J24" s="1293"/>
      <c r="K24" s="1293"/>
      <c r="L24" s="1293"/>
      <c r="M24" s="1302">
        <v>2021</v>
      </c>
      <c r="N24" s="1293"/>
      <c r="O24" s="1293"/>
      <c r="P24" s="1303"/>
      <c r="Q24" s="1300">
        <v>2022</v>
      </c>
      <c r="R24" s="1300"/>
      <c r="S24" s="1300"/>
      <c r="T24" s="1301"/>
      <c r="U24" s="1299">
        <v>2023</v>
      </c>
      <c r="V24" s="1300"/>
      <c r="W24" s="1300"/>
      <c r="X24" s="1300"/>
      <c r="Y24" s="1299">
        <v>2024</v>
      </c>
      <c r="Z24" s="1300"/>
      <c r="AA24" s="1300"/>
      <c r="AB24" s="1301"/>
      <c r="AC24" s="306">
        <v>2025</v>
      </c>
    </row>
    <row r="25" spans="2:29" x14ac:dyDescent="0.3">
      <c r="B25" s="1335"/>
      <c r="C25" s="1361"/>
      <c r="D25" s="156" t="s">
        <v>352</v>
      </c>
      <c r="E25" s="156" t="s">
        <v>353</v>
      </c>
      <c r="F25" s="139" t="s">
        <v>354</v>
      </c>
      <c r="G25" s="139" t="s">
        <v>253</v>
      </c>
      <c r="H25" s="146" t="s">
        <v>352</v>
      </c>
      <c r="I25" s="140" t="s">
        <v>353</v>
      </c>
      <c r="J25" s="140" t="s">
        <v>354</v>
      </c>
      <c r="K25" s="140" t="s">
        <v>253</v>
      </c>
      <c r="L25" s="140" t="s">
        <v>352</v>
      </c>
      <c r="M25" s="151" t="s">
        <v>353</v>
      </c>
      <c r="N25" s="773" t="s">
        <v>354</v>
      </c>
      <c r="O25" s="773" t="s">
        <v>253</v>
      </c>
      <c r="P25" s="146" t="s">
        <v>352</v>
      </c>
      <c r="Q25" s="826" t="s">
        <v>353</v>
      </c>
      <c r="R25" s="898" t="s">
        <v>354</v>
      </c>
      <c r="S25" s="898" t="s">
        <v>253</v>
      </c>
      <c r="T25" s="898" t="s">
        <v>352</v>
      </c>
      <c r="U25" s="897" t="s">
        <v>353</v>
      </c>
      <c r="V25" s="898" t="s">
        <v>354</v>
      </c>
      <c r="W25" s="898" t="s">
        <v>253</v>
      </c>
      <c r="X25" s="898" t="s">
        <v>352</v>
      </c>
      <c r="Y25" s="897" t="s">
        <v>353</v>
      </c>
      <c r="Z25" s="874" t="s">
        <v>354</v>
      </c>
      <c r="AA25" s="898" t="s">
        <v>253</v>
      </c>
      <c r="AB25" s="381" t="s">
        <v>352</v>
      </c>
      <c r="AC25" s="63" t="s">
        <v>353</v>
      </c>
    </row>
    <row r="26" spans="2:29" ht="19.5" customHeight="1" x14ac:dyDescent="0.35">
      <c r="B26" s="739" t="s">
        <v>535</v>
      </c>
      <c r="C26" s="740"/>
      <c r="D26" s="927">
        <f t="shared" ref="D26:G26" si="7">D9</f>
        <v>589.5</v>
      </c>
      <c r="E26" s="928">
        <f t="shared" si="7"/>
        <v>598.79999999999995</v>
      </c>
      <c r="F26" s="928">
        <f t="shared" si="7"/>
        <v>614.5</v>
      </c>
      <c r="G26" s="928">
        <f t="shared" si="7"/>
        <v>622.4</v>
      </c>
      <c r="H26" s="928">
        <f t="shared" ref="H26:N26" si="8">H9</f>
        <v>620.5</v>
      </c>
      <c r="I26" s="928">
        <f t="shared" si="8"/>
        <v>606.20000000000005</v>
      </c>
      <c r="J26" s="928">
        <f t="shared" si="8"/>
        <v>654.20000000000005</v>
      </c>
      <c r="K26" s="928">
        <f t="shared" si="8"/>
        <v>690.4</v>
      </c>
      <c r="L26" s="928">
        <f t="shared" si="8"/>
        <v>678.3</v>
      </c>
      <c r="M26" s="928">
        <f t="shared" si="8"/>
        <v>695.9</v>
      </c>
      <c r="N26" s="928">
        <f t="shared" si="8"/>
        <v>730.5</v>
      </c>
      <c r="O26" s="928">
        <f>O9</f>
        <v>775</v>
      </c>
      <c r="P26" s="928">
        <f>P9</f>
        <v>782.9</v>
      </c>
      <c r="Q26" s="535">
        <f>P26*(1+$E$20)^0.25+Q29</f>
        <v>803.76869830289672</v>
      </c>
      <c r="R26" s="535">
        <f>Q26*(1+$E$20)^0.25</f>
        <v>814.92710868374513</v>
      </c>
      <c r="S26" s="535">
        <f>R26*(1+$E$20)^0.25+S29</f>
        <v>816.24042696594665</v>
      </c>
      <c r="T26" s="535">
        <f>S26*(1+$F$20)^0.25</f>
        <v>805.440393020128</v>
      </c>
      <c r="U26" s="535">
        <f>T26*(1+$F$20)^0.25</f>
        <v>794.78325904517249</v>
      </c>
      <c r="V26" s="535">
        <f>U26*(1+$F$20)^0.25</f>
        <v>784.26713426909055</v>
      </c>
      <c r="W26" s="535">
        <f>V26*(1+$F$20)^0.25</f>
        <v>773.89015293752323</v>
      </c>
      <c r="X26" s="535">
        <f t="shared" ref="X26:AC26" si="9">W26*(1+$G$20)^0.25</f>
        <v>784.54284331607403</v>
      </c>
      <c r="Y26" s="535">
        <f t="shared" si="9"/>
        <v>795.34216924990426</v>
      </c>
      <c r="Z26" s="535">
        <f t="shared" si="9"/>
        <v>806.29014919494455</v>
      </c>
      <c r="AA26" s="535">
        <f t="shared" si="9"/>
        <v>817.38882939141251</v>
      </c>
      <c r="AB26" s="535">
        <f t="shared" si="9"/>
        <v>828.64028424626679</v>
      </c>
      <c r="AC26" s="741">
        <f t="shared" si="9"/>
        <v>840.04661672092539</v>
      </c>
    </row>
    <row r="27" spans="2:29" ht="19.149999999999999" customHeight="1" x14ac:dyDescent="0.35">
      <c r="B27" s="131" t="s">
        <v>221</v>
      </c>
      <c r="C27" s="132"/>
      <c r="D27" s="816">
        <f t="shared" ref="D27:G27" si="10">D26*D12</f>
        <v>390.86599999999999</v>
      </c>
      <c r="E27" s="854">
        <f t="shared" si="10"/>
        <v>408.75599999999997</v>
      </c>
      <c r="F27" s="854">
        <f t="shared" si="10"/>
        <v>413.34399999999999</v>
      </c>
      <c r="G27" s="854">
        <f t="shared" si="10"/>
        <v>418.529</v>
      </c>
      <c r="H27" s="854">
        <f t="shared" ref="H27:AC27" si="11">H26*H12</f>
        <v>413.80599999999998</v>
      </c>
      <c r="I27" s="854">
        <f t="shared" si="11"/>
        <v>428.11799999999999</v>
      </c>
      <c r="J27" s="854">
        <f t="shared" si="11"/>
        <v>502.49</v>
      </c>
      <c r="K27" s="854">
        <f t="shared" si="11"/>
        <v>481.71699999999998</v>
      </c>
      <c r="L27" s="854">
        <f t="shared" si="11"/>
        <v>507.83699999999993</v>
      </c>
      <c r="M27" s="854">
        <f>M26*M12</f>
        <v>511.34500000000003</v>
      </c>
      <c r="N27" s="854">
        <f t="shared" si="11"/>
        <v>527.61726124443169</v>
      </c>
      <c r="O27" s="854">
        <f>O26*O12</f>
        <v>530.82100000000003</v>
      </c>
      <c r="P27" s="856">
        <f>P26*P12</f>
        <v>541.83299999999997</v>
      </c>
      <c r="Q27" s="310">
        <f t="shared" si="11"/>
        <v>556.27590382878202</v>
      </c>
      <c r="R27" s="310">
        <f>R26*R12</f>
        <v>563.99846733866354</v>
      </c>
      <c r="S27" s="310">
        <f>S26*S12</f>
        <v>555.31215047777141</v>
      </c>
      <c r="T27" s="310">
        <f t="shared" si="11"/>
        <v>545.77939561629398</v>
      </c>
      <c r="U27" s="310">
        <f t="shared" si="11"/>
        <v>538.55794982060513</v>
      </c>
      <c r="V27" s="310">
        <f t="shared" si="11"/>
        <v>531.43205413142277</v>
      </c>
      <c r="W27" s="310">
        <f t="shared" si="11"/>
        <v>524.40044428351337</v>
      </c>
      <c r="X27" s="310">
        <f t="shared" si="11"/>
        <v>531.61887902663864</v>
      </c>
      <c r="Y27" s="310">
        <f t="shared" si="11"/>
        <v>538.93667638607883</v>
      </c>
      <c r="Z27" s="310">
        <f t="shared" si="11"/>
        <v>546.35520410011429</v>
      </c>
      <c r="AA27" s="310">
        <f t="shared" si="11"/>
        <v>553.87584873410572</v>
      </c>
      <c r="AB27" s="310">
        <f t="shared" si="11"/>
        <v>561.50001593965203</v>
      </c>
      <c r="AC27" s="311">
        <f t="shared" si="11"/>
        <v>569.22913071731398</v>
      </c>
    </row>
    <row r="28" spans="2:29" ht="19.149999999999999" customHeight="1" x14ac:dyDescent="0.3">
      <c r="B28" s="129" t="s">
        <v>536</v>
      </c>
      <c r="C28" s="35"/>
      <c r="D28" s="929">
        <f t="shared" ref="D28:G28" si="12">D26-D27</f>
        <v>198.63400000000001</v>
      </c>
      <c r="E28" s="930">
        <f t="shared" si="12"/>
        <v>190.04399999999998</v>
      </c>
      <c r="F28" s="930">
        <f t="shared" si="12"/>
        <v>201.15600000000001</v>
      </c>
      <c r="G28" s="930">
        <f t="shared" si="12"/>
        <v>203.87099999999998</v>
      </c>
      <c r="H28" s="930">
        <f t="shared" ref="H28:AC28" si="13">H26-H27</f>
        <v>206.69400000000002</v>
      </c>
      <c r="I28" s="930">
        <f t="shared" si="13"/>
        <v>178.08200000000005</v>
      </c>
      <c r="J28" s="930">
        <f t="shared" si="13"/>
        <v>151.71000000000004</v>
      </c>
      <c r="K28" s="930">
        <f t="shared" si="13"/>
        <v>208.68299999999999</v>
      </c>
      <c r="L28" s="930">
        <f t="shared" si="13"/>
        <v>170.46300000000002</v>
      </c>
      <c r="M28" s="930">
        <f t="shared" si="13"/>
        <v>184.55499999999995</v>
      </c>
      <c r="N28" s="930">
        <f t="shared" si="13"/>
        <v>202.88273875556831</v>
      </c>
      <c r="O28" s="930">
        <f>O26-O27</f>
        <v>244.17899999999997</v>
      </c>
      <c r="P28" s="931">
        <f>P26-P27</f>
        <v>241.06700000000001</v>
      </c>
      <c r="Q28" s="533">
        <f t="shared" si="13"/>
        <v>247.4927944741147</v>
      </c>
      <c r="R28" s="533">
        <f t="shared" si="13"/>
        <v>250.92864134508159</v>
      </c>
      <c r="S28" s="533">
        <f t="shared" si="13"/>
        <v>260.92827648817524</v>
      </c>
      <c r="T28" s="533">
        <f t="shared" si="13"/>
        <v>259.66099740383402</v>
      </c>
      <c r="U28" s="533">
        <f t="shared" si="13"/>
        <v>256.22530922456735</v>
      </c>
      <c r="V28" s="533">
        <f t="shared" si="13"/>
        <v>252.83508013766777</v>
      </c>
      <c r="W28" s="533">
        <f t="shared" si="13"/>
        <v>249.48970865400986</v>
      </c>
      <c r="X28" s="533">
        <f t="shared" si="13"/>
        <v>252.92396428943539</v>
      </c>
      <c r="Y28" s="533">
        <f t="shared" si="13"/>
        <v>256.40549286382543</v>
      </c>
      <c r="Z28" s="533">
        <f t="shared" si="13"/>
        <v>259.93494509483025</v>
      </c>
      <c r="AA28" s="533">
        <f t="shared" si="13"/>
        <v>263.5129806573068</v>
      </c>
      <c r="AB28" s="533">
        <f t="shared" si="13"/>
        <v>267.14026830661476</v>
      </c>
      <c r="AC28" s="534">
        <f t="shared" si="13"/>
        <v>270.81748600361141</v>
      </c>
    </row>
    <row r="29" spans="2:29" x14ac:dyDescent="0.3">
      <c r="B29" s="27" t="s">
        <v>1218</v>
      </c>
      <c r="H29" s="162"/>
      <c r="I29" s="162"/>
      <c r="J29" s="162"/>
      <c r="K29" s="162"/>
      <c r="L29" s="162"/>
      <c r="M29" s="217"/>
      <c r="N29" s="162"/>
      <c r="O29" s="162"/>
      <c r="P29" s="162"/>
      <c r="Q29" s="162">
        <v>10</v>
      </c>
      <c r="R29" s="1198"/>
      <c r="S29" s="162">
        <v>-10</v>
      </c>
      <c r="T29" s="162"/>
      <c r="U29" s="162"/>
      <c r="V29" s="162"/>
      <c r="W29" s="162"/>
    </row>
    <row r="30" spans="2:29" x14ac:dyDescent="0.3">
      <c r="H30" s="162"/>
      <c r="I30" s="162"/>
      <c r="J30" s="162"/>
      <c r="K30" s="162"/>
      <c r="L30" s="162"/>
      <c r="M30" s="217"/>
      <c r="N30" s="162"/>
      <c r="O30" s="162"/>
      <c r="P30" s="162"/>
      <c r="Q30" s="162"/>
      <c r="R30" s="162"/>
      <c r="S30" s="162"/>
      <c r="T30" s="162"/>
      <c r="U30" s="162"/>
      <c r="V30" s="162"/>
      <c r="W30" s="162"/>
    </row>
    <row r="33" spans="2:17" x14ac:dyDescent="0.3">
      <c r="B33" s="317" t="s">
        <v>537</v>
      </c>
      <c r="C33" s="318"/>
      <c r="D33" s="318"/>
      <c r="E33" s="319"/>
      <c r="F33" s="320">
        <v>2021</v>
      </c>
      <c r="G33" s="320">
        <v>2022</v>
      </c>
      <c r="H33" s="320">
        <v>2023</v>
      </c>
      <c r="I33" s="320">
        <v>2024</v>
      </c>
      <c r="J33" s="320">
        <v>2025</v>
      </c>
      <c r="K33" s="320">
        <v>2025</v>
      </c>
      <c r="L33" s="320">
        <v>2027</v>
      </c>
      <c r="M33" s="320">
        <v>2028</v>
      </c>
      <c r="N33" s="320">
        <v>2029</v>
      </c>
      <c r="O33" s="320">
        <v>2030</v>
      </c>
      <c r="P33" s="321">
        <v>2031</v>
      </c>
    </row>
    <row r="34" spans="2:17" x14ac:dyDescent="0.3">
      <c r="B34" s="1367" t="s">
        <v>538</v>
      </c>
      <c r="C34" s="1368"/>
      <c r="D34" s="1368"/>
      <c r="E34" s="1369"/>
      <c r="F34" s="36">
        <v>287</v>
      </c>
      <c r="G34" s="36">
        <v>534</v>
      </c>
      <c r="H34" s="36">
        <v>247</v>
      </c>
      <c r="I34" s="36">
        <v>63</v>
      </c>
      <c r="J34" s="36"/>
      <c r="K34" s="36"/>
      <c r="L34" s="36"/>
      <c r="M34" s="36"/>
      <c r="N34" s="36"/>
      <c r="O34" s="36"/>
      <c r="P34" s="250"/>
    </row>
    <row r="35" spans="2:17" x14ac:dyDescent="0.3">
      <c r="B35" s="1367" t="s">
        <v>539</v>
      </c>
      <c r="C35" s="1368"/>
      <c r="D35" s="1368"/>
      <c r="E35" s="1369"/>
      <c r="F35" s="36">
        <v>0</v>
      </c>
      <c r="G35" s="36">
        <v>0</v>
      </c>
      <c r="H35" s="36">
        <v>756</v>
      </c>
      <c r="I35" s="36">
        <v>1249</v>
      </c>
      <c r="J35" s="36">
        <v>1417</v>
      </c>
      <c r="K35" s="36">
        <v>1522</v>
      </c>
      <c r="L35" s="36">
        <v>1107</v>
      </c>
      <c r="M35" s="36"/>
      <c r="N35" s="36"/>
      <c r="O35" s="36"/>
      <c r="P35" s="250"/>
    </row>
    <row r="36" spans="2:17" x14ac:dyDescent="0.3">
      <c r="B36" s="1367" t="s">
        <v>540</v>
      </c>
      <c r="C36" s="1368"/>
      <c r="D36" s="1368"/>
      <c r="E36" s="1369"/>
      <c r="F36" s="36">
        <v>0</v>
      </c>
      <c r="G36" s="36">
        <v>5</v>
      </c>
      <c r="H36" s="36">
        <v>77</v>
      </c>
      <c r="I36" s="36">
        <v>307</v>
      </c>
      <c r="J36" s="36">
        <v>332</v>
      </c>
      <c r="K36" s="36">
        <v>270</v>
      </c>
      <c r="L36" s="36">
        <v>25</v>
      </c>
      <c r="M36" s="36">
        <v>32</v>
      </c>
      <c r="N36" s="36">
        <v>40</v>
      </c>
      <c r="O36" s="36">
        <v>49</v>
      </c>
      <c r="P36" s="250">
        <v>58</v>
      </c>
    </row>
    <row r="37" spans="2:17" ht="32.65" customHeight="1" x14ac:dyDescent="0.3">
      <c r="B37" s="1379" t="s">
        <v>541</v>
      </c>
      <c r="C37" s="1380"/>
      <c r="D37" s="1380"/>
      <c r="E37" s="1381"/>
      <c r="F37" s="36">
        <v>0</v>
      </c>
      <c r="G37" s="36">
        <v>0</v>
      </c>
      <c r="H37" s="36">
        <v>3768</v>
      </c>
      <c r="I37" s="36">
        <v>3428</v>
      </c>
      <c r="J37" s="36">
        <v>2176</v>
      </c>
      <c r="K37" s="36">
        <v>2304</v>
      </c>
      <c r="L37" s="36">
        <v>2129</v>
      </c>
      <c r="M37" s="36">
        <v>1335</v>
      </c>
      <c r="N37" s="36">
        <v>478</v>
      </c>
      <c r="O37" s="36">
        <v>531</v>
      </c>
      <c r="P37" s="250">
        <v>212</v>
      </c>
    </row>
    <row r="38" spans="2:17" ht="32.65" customHeight="1" x14ac:dyDescent="0.3">
      <c r="B38" s="1379" t="s">
        <v>542</v>
      </c>
      <c r="C38" s="1380"/>
      <c r="D38" s="1380"/>
      <c r="E38" s="1381"/>
      <c r="F38" s="36">
        <v>38</v>
      </c>
      <c r="G38" s="36">
        <v>81</v>
      </c>
      <c r="H38" s="36">
        <v>43</v>
      </c>
      <c r="I38" s="36"/>
      <c r="J38" s="36"/>
      <c r="K38" s="36"/>
      <c r="L38" s="36"/>
      <c r="M38" s="36"/>
      <c r="N38" s="36"/>
      <c r="O38" s="36"/>
      <c r="P38" s="250"/>
    </row>
    <row r="39" spans="2:17" x14ac:dyDescent="0.3">
      <c r="B39" s="1367" t="s">
        <v>543</v>
      </c>
      <c r="C39" s="1368"/>
      <c r="D39" s="1368"/>
      <c r="E39" s="1369"/>
      <c r="F39" s="36"/>
      <c r="G39" s="36"/>
      <c r="H39" s="36"/>
      <c r="I39" s="36">
        <v>-184</v>
      </c>
      <c r="J39" s="36">
        <v>-1830</v>
      </c>
      <c r="K39" s="36">
        <v>-2406</v>
      </c>
      <c r="L39" s="36">
        <v>-2419</v>
      </c>
      <c r="M39" s="36">
        <v>-2467</v>
      </c>
      <c r="N39" s="36">
        <v>-2531</v>
      </c>
      <c r="O39" s="36">
        <v>-2667</v>
      </c>
      <c r="P39" s="250">
        <v>-2809</v>
      </c>
    </row>
    <row r="40" spans="2:17" ht="15.75" customHeight="1" x14ac:dyDescent="0.3">
      <c r="B40" s="1373" t="s">
        <v>544</v>
      </c>
      <c r="C40" s="1374"/>
      <c r="D40" s="1374"/>
      <c r="E40" s="1375"/>
      <c r="F40" s="36">
        <v>6524</v>
      </c>
      <c r="G40" s="36">
        <v>6143</v>
      </c>
      <c r="H40" s="36"/>
      <c r="I40" s="36"/>
      <c r="J40" s="36"/>
      <c r="K40" s="36"/>
      <c r="L40" s="36"/>
      <c r="M40" s="36"/>
      <c r="N40" s="36"/>
      <c r="O40" s="36"/>
      <c r="P40" s="250"/>
    </row>
    <row r="41" spans="2:17" x14ac:dyDescent="0.3">
      <c r="B41" s="1367" t="s">
        <v>545</v>
      </c>
      <c r="C41" s="1368"/>
      <c r="D41" s="1368"/>
      <c r="E41" s="1369"/>
      <c r="F41" s="36">
        <v>50</v>
      </c>
      <c r="G41" s="36">
        <v>175</v>
      </c>
      <c r="H41" s="36">
        <v>25</v>
      </c>
      <c r="I41" s="36"/>
      <c r="J41" s="36"/>
      <c r="K41" s="36"/>
      <c r="L41" s="36"/>
      <c r="M41" s="36"/>
      <c r="N41" s="36"/>
      <c r="O41" s="36"/>
      <c r="P41" s="250"/>
    </row>
    <row r="42" spans="2:17" x14ac:dyDescent="0.3">
      <c r="B42" s="1367" t="s">
        <v>546</v>
      </c>
      <c r="C42" s="1368"/>
      <c r="D42" s="1368"/>
      <c r="E42" s="1369"/>
      <c r="F42" s="36">
        <v>829</v>
      </c>
      <c r="G42" s="36">
        <v>844</v>
      </c>
      <c r="H42" s="36"/>
      <c r="I42" s="36"/>
      <c r="J42" s="36"/>
      <c r="K42" s="36"/>
      <c r="L42" s="36"/>
      <c r="M42" s="36"/>
      <c r="N42" s="36"/>
      <c r="O42" s="36"/>
      <c r="P42" s="250"/>
    </row>
    <row r="43" spans="2:17" x14ac:dyDescent="0.3">
      <c r="B43" s="1376" t="s">
        <v>547</v>
      </c>
      <c r="C43" s="1377"/>
      <c r="D43" s="1377"/>
      <c r="E43" s="1378"/>
      <c r="F43" s="36">
        <f t="shared" ref="F43:P43" si="14">SUM(F34:F42)</f>
        <v>7728</v>
      </c>
      <c r="G43" s="36">
        <f t="shared" si="14"/>
        <v>7782</v>
      </c>
      <c r="H43" s="36">
        <f t="shared" si="14"/>
        <v>4916</v>
      </c>
      <c r="I43" s="36">
        <f t="shared" si="14"/>
        <v>4863</v>
      </c>
      <c r="J43" s="36">
        <f t="shared" si="14"/>
        <v>2095</v>
      </c>
      <c r="K43" s="36">
        <f t="shared" si="14"/>
        <v>1690</v>
      </c>
      <c r="L43" s="36">
        <f t="shared" si="14"/>
        <v>842</v>
      </c>
      <c r="M43" s="36">
        <f t="shared" si="14"/>
        <v>-1100</v>
      </c>
      <c r="N43" s="36">
        <f t="shared" si="14"/>
        <v>-2013</v>
      </c>
      <c r="O43" s="36">
        <f t="shared" si="14"/>
        <v>-2087</v>
      </c>
      <c r="P43" s="250">
        <f t="shared" si="14"/>
        <v>-2539</v>
      </c>
    </row>
    <row r="44" spans="2:17" x14ac:dyDescent="0.3">
      <c r="B44" s="1373" t="s">
        <v>548</v>
      </c>
      <c r="C44" s="1374"/>
      <c r="D44" s="1374"/>
      <c r="E44" s="1375"/>
      <c r="F44" s="36">
        <f t="shared" ref="F44:P44" si="15">F40+F38+F37</f>
        <v>6562</v>
      </c>
      <c r="G44" s="36">
        <f t="shared" si="15"/>
        <v>6224</v>
      </c>
      <c r="H44" s="36">
        <f t="shared" si="15"/>
        <v>3811</v>
      </c>
      <c r="I44" s="36">
        <f t="shared" si="15"/>
        <v>3428</v>
      </c>
      <c r="J44" s="36">
        <f t="shared" si="15"/>
        <v>2176</v>
      </c>
      <c r="K44" s="36">
        <f t="shared" si="15"/>
        <v>2304</v>
      </c>
      <c r="L44" s="36">
        <f t="shared" si="15"/>
        <v>2129</v>
      </c>
      <c r="M44" s="36">
        <f t="shared" si="15"/>
        <v>1335</v>
      </c>
      <c r="N44" s="36">
        <f t="shared" si="15"/>
        <v>478</v>
      </c>
      <c r="O44" s="36">
        <f t="shared" si="15"/>
        <v>531</v>
      </c>
      <c r="P44" s="250">
        <f t="shared" si="15"/>
        <v>212</v>
      </c>
      <c r="Q44" s="27" t="s">
        <v>549</v>
      </c>
    </row>
    <row r="45" spans="2:17" x14ac:dyDescent="0.3">
      <c r="B45" s="1367" t="s">
        <v>550</v>
      </c>
      <c r="C45" s="1368"/>
      <c r="D45" s="1368"/>
      <c r="E45" s="1369"/>
      <c r="F45" s="36">
        <f>(F44/1000)/M26</f>
        <v>9.4295157350194007E-3</v>
      </c>
      <c r="G45" s="36">
        <f>(G44/1000)/R26</f>
        <v>7.6374928919138389E-3</v>
      </c>
      <c r="H45" s="36">
        <f>(H44/1000)/W26</f>
        <v>4.9244714970648621E-3</v>
      </c>
      <c r="I45" s="36">
        <f>(I44/1000)/X26</f>
        <v>4.369423581140155E-3</v>
      </c>
      <c r="J45" s="36"/>
      <c r="K45" s="36"/>
      <c r="L45" s="36"/>
      <c r="M45" s="36"/>
      <c r="N45" s="36"/>
      <c r="O45" s="36"/>
      <c r="P45" s="250"/>
      <c r="Q45" s="27" t="s">
        <v>551</v>
      </c>
    </row>
    <row r="46" spans="2:17" x14ac:dyDescent="0.3">
      <c r="B46" s="1370" t="s">
        <v>552</v>
      </c>
      <c r="C46" s="1371"/>
      <c r="D46" s="1371"/>
      <c r="E46" s="1372"/>
      <c r="F46" s="136">
        <f t="shared" ref="F46:P46" si="16">F43-F44</f>
        <v>1166</v>
      </c>
      <c r="G46" s="136">
        <f t="shared" si="16"/>
        <v>1558</v>
      </c>
      <c r="H46" s="136">
        <f t="shared" si="16"/>
        <v>1105</v>
      </c>
      <c r="I46" s="136">
        <f t="shared" si="16"/>
        <v>1435</v>
      </c>
      <c r="J46" s="136">
        <f t="shared" si="16"/>
        <v>-81</v>
      </c>
      <c r="K46" s="136">
        <f t="shared" si="16"/>
        <v>-614</v>
      </c>
      <c r="L46" s="136">
        <f t="shared" si="16"/>
        <v>-1287</v>
      </c>
      <c r="M46" s="136">
        <f t="shared" si="16"/>
        <v>-2435</v>
      </c>
      <c r="N46" s="136">
        <f t="shared" si="16"/>
        <v>-2491</v>
      </c>
      <c r="O46" s="136">
        <f t="shared" si="16"/>
        <v>-2618</v>
      </c>
      <c r="P46" s="163">
        <f t="shared" si="16"/>
        <v>-2751</v>
      </c>
    </row>
  </sheetData>
  <mergeCells count="33">
    <mergeCell ref="B1:AC1"/>
    <mergeCell ref="B46:E46"/>
    <mergeCell ref="B40:E40"/>
    <mergeCell ref="B41:E41"/>
    <mergeCell ref="B42:E42"/>
    <mergeCell ref="B43:E43"/>
    <mergeCell ref="B44:E44"/>
    <mergeCell ref="B45:E45"/>
    <mergeCell ref="B39:E39"/>
    <mergeCell ref="E7:H7"/>
    <mergeCell ref="B6:C8"/>
    <mergeCell ref="I7:L7"/>
    <mergeCell ref="Q7:T7"/>
    <mergeCell ref="B37:E37"/>
    <mergeCell ref="B38:E38"/>
    <mergeCell ref="U24:X24"/>
    <mergeCell ref="B35:E35"/>
    <mergeCell ref="B36:E36"/>
    <mergeCell ref="B34:E34"/>
    <mergeCell ref="Y24:AB24"/>
    <mergeCell ref="I24:L24"/>
    <mergeCell ref="Q24:T24"/>
    <mergeCell ref="B23:C25"/>
    <mergeCell ref="E24:H24"/>
    <mergeCell ref="D23:P23"/>
    <mergeCell ref="Q23:AC23"/>
    <mergeCell ref="M24:P24"/>
    <mergeCell ref="B2:AC4"/>
    <mergeCell ref="Y7:AB7"/>
    <mergeCell ref="U7:X7"/>
    <mergeCell ref="D6:P6"/>
    <mergeCell ref="Q6:AC6"/>
    <mergeCell ref="M7:P7"/>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32"/>
  <sheetViews>
    <sheetView topLeftCell="B1" zoomScale="60" zoomScaleNormal="60" workbookViewId="0">
      <selection activeCell="R15" sqref="R15"/>
    </sheetView>
  </sheetViews>
  <sheetFormatPr defaultColWidth="8.7265625" defaultRowHeight="14" x14ac:dyDescent="0.3"/>
  <cols>
    <col min="1" max="1" width="8.7265625" style="27"/>
    <col min="2" max="2" width="42.7265625" style="27" customWidth="1"/>
    <col min="3" max="3" width="7.453125" style="27" bestFit="1" customWidth="1"/>
    <col min="4" max="4" width="8.7265625" style="27" customWidth="1"/>
    <col min="5" max="5" width="9" style="27" customWidth="1"/>
    <col min="6" max="13" width="8.7265625" style="27" bestFit="1" customWidth="1"/>
    <col min="14" max="14" width="9.1796875" style="27" bestFit="1" customWidth="1"/>
    <col min="15" max="19" width="8.7265625" style="27" bestFit="1" customWidth="1"/>
    <col min="20" max="22" width="9.1796875" style="27" bestFit="1" customWidth="1"/>
    <col min="23" max="16384" width="8.7265625" style="27"/>
  </cols>
  <sheetData>
    <row r="1" spans="2:29" x14ac:dyDescent="0.3">
      <c r="B1" s="1290" t="s">
        <v>55</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29" ht="14.25" customHeight="1" x14ac:dyDescent="0.3">
      <c r="B2" s="1291" t="s">
        <v>1258</v>
      </c>
      <c r="C2" s="1291"/>
      <c r="D2" s="1291"/>
      <c r="E2" s="1291"/>
      <c r="F2" s="1291"/>
      <c r="G2" s="1291"/>
      <c r="H2" s="1291"/>
      <c r="I2" s="1291"/>
      <c r="J2" s="1291"/>
      <c r="K2" s="1291"/>
      <c r="L2" s="1291"/>
      <c r="M2" s="1291"/>
      <c r="N2" s="1291"/>
      <c r="O2" s="1291"/>
      <c r="P2" s="1291"/>
      <c r="Q2" s="1291"/>
      <c r="R2" s="1291"/>
      <c r="S2" s="1291"/>
      <c r="T2" s="1291"/>
      <c r="U2" s="1291"/>
      <c r="V2" s="1291"/>
      <c r="W2" s="1291"/>
      <c r="X2" s="1291"/>
      <c r="Y2" s="1291"/>
      <c r="Z2" s="1291"/>
      <c r="AA2" s="1291"/>
      <c r="AB2" s="1291"/>
      <c r="AC2" s="1291"/>
    </row>
    <row r="3" spans="2:29" x14ac:dyDescent="0.3">
      <c r="B3" s="1291"/>
      <c r="C3" s="1291"/>
      <c r="D3" s="1291"/>
      <c r="E3" s="1291"/>
      <c r="F3" s="1291"/>
      <c r="G3" s="1291"/>
      <c r="H3" s="1291"/>
      <c r="I3" s="1291"/>
      <c r="J3" s="1291"/>
      <c r="K3" s="1291"/>
      <c r="L3" s="1291"/>
      <c r="M3" s="1291"/>
      <c r="N3" s="1291"/>
      <c r="O3" s="1291"/>
      <c r="P3" s="1291"/>
      <c r="Q3" s="1291"/>
      <c r="R3" s="1291"/>
      <c r="S3" s="1291"/>
      <c r="T3" s="1291"/>
      <c r="U3" s="1291"/>
      <c r="V3" s="1291"/>
      <c r="W3" s="1291"/>
      <c r="X3" s="1291"/>
      <c r="Y3" s="1291"/>
      <c r="Z3" s="1291"/>
      <c r="AA3" s="1291"/>
      <c r="AB3" s="1291"/>
      <c r="AC3" s="1291"/>
    </row>
    <row r="4" spans="2:29" x14ac:dyDescent="0.3">
      <c r="B4" s="1291"/>
      <c r="C4" s="1291"/>
      <c r="D4" s="1291"/>
      <c r="E4" s="1291"/>
      <c r="F4" s="1291"/>
      <c r="G4" s="1291"/>
      <c r="H4" s="1291"/>
      <c r="I4" s="1291"/>
      <c r="J4" s="1291"/>
      <c r="K4" s="1291"/>
      <c r="L4" s="1291"/>
      <c r="M4" s="1291"/>
      <c r="N4" s="1291"/>
      <c r="O4" s="1291"/>
      <c r="P4" s="1291"/>
      <c r="Q4" s="1291"/>
      <c r="R4" s="1291"/>
      <c r="S4" s="1291"/>
      <c r="T4" s="1291"/>
      <c r="U4" s="1291"/>
      <c r="V4" s="1291"/>
      <c r="W4" s="1291"/>
      <c r="X4" s="1291"/>
      <c r="Y4" s="1291"/>
      <c r="Z4" s="1291"/>
      <c r="AA4" s="1291"/>
      <c r="AB4" s="1291"/>
      <c r="AC4" s="1291"/>
    </row>
    <row r="6" spans="2:29" x14ac:dyDescent="0.3">
      <c r="B6" s="44" t="s">
        <v>406</v>
      </c>
    </row>
    <row r="7" spans="2:29" ht="14.65" customHeight="1" x14ac:dyDescent="0.3">
      <c r="B7" s="1295" t="s">
        <v>498</v>
      </c>
      <c r="C7" s="1359"/>
      <c r="D7" s="1307" t="s">
        <v>350</v>
      </c>
      <c r="E7" s="1308"/>
      <c r="F7" s="1308"/>
      <c r="G7" s="1308"/>
      <c r="H7" s="1308"/>
      <c r="I7" s="1308"/>
      <c r="J7" s="1308"/>
      <c r="K7" s="1308"/>
      <c r="L7" s="1308"/>
      <c r="M7" s="1308"/>
      <c r="N7" s="1308"/>
      <c r="O7" s="1308"/>
      <c r="P7" s="1309"/>
      <c r="Q7" s="1304" t="s">
        <v>351</v>
      </c>
      <c r="R7" s="1305"/>
      <c r="S7" s="1305"/>
      <c r="T7" s="1305"/>
      <c r="U7" s="1305"/>
      <c r="V7" s="1305"/>
      <c r="W7" s="1305"/>
      <c r="X7" s="1305"/>
      <c r="Y7" s="1305"/>
      <c r="Z7" s="1305"/>
      <c r="AA7" s="1305"/>
      <c r="AB7" s="1305"/>
      <c r="AC7" s="1306"/>
    </row>
    <row r="8" spans="2:29" x14ac:dyDescent="0.3">
      <c r="B8" s="1297"/>
      <c r="C8" s="1360"/>
      <c r="D8" s="455">
        <v>2018</v>
      </c>
      <c r="E8" s="1292">
        <v>2019</v>
      </c>
      <c r="F8" s="1293"/>
      <c r="G8" s="1293"/>
      <c r="H8" s="1294"/>
      <c r="I8" s="1292">
        <v>2020</v>
      </c>
      <c r="J8" s="1293"/>
      <c r="K8" s="1293"/>
      <c r="L8" s="1293"/>
      <c r="M8" s="1302">
        <v>2021</v>
      </c>
      <c r="N8" s="1293"/>
      <c r="O8" s="1293"/>
      <c r="P8" s="1303"/>
      <c r="Q8" s="1300">
        <v>2022</v>
      </c>
      <c r="R8" s="1300"/>
      <c r="S8" s="1300"/>
      <c r="T8" s="1301"/>
      <c r="U8" s="1299">
        <v>2023</v>
      </c>
      <c r="V8" s="1300"/>
      <c r="W8" s="1300"/>
      <c r="X8" s="1300"/>
      <c r="Y8" s="1299">
        <v>2024</v>
      </c>
      <c r="Z8" s="1300"/>
      <c r="AA8" s="1300"/>
      <c r="AB8" s="1301"/>
      <c r="AC8" s="306">
        <v>2025</v>
      </c>
    </row>
    <row r="9" spans="2:29" x14ac:dyDescent="0.3">
      <c r="B9" s="1297"/>
      <c r="C9" s="1360"/>
      <c r="D9" s="156" t="s">
        <v>352</v>
      </c>
      <c r="E9" s="156" t="s">
        <v>353</v>
      </c>
      <c r="F9" s="139" t="s">
        <v>354</v>
      </c>
      <c r="G9" s="139" t="s">
        <v>253</v>
      </c>
      <c r="H9" s="146" t="s">
        <v>352</v>
      </c>
      <c r="I9" s="140" t="s">
        <v>353</v>
      </c>
      <c r="J9" s="140" t="s">
        <v>354</v>
      </c>
      <c r="K9" s="140" t="s">
        <v>253</v>
      </c>
      <c r="L9" s="140" t="s">
        <v>352</v>
      </c>
      <c r="M9" s="151" t="s">
        <v>353</v>
      </c>
      <c r="N9" s="773" t="s">
        <v>354</v>
      </c>
      <c r="O9" s="773" t="s">
        <v>253</v>
      </c>
      <c r="P9" s="146" t="s">
        <v>352</v>
      </c>
      <c r="Q9" s="826" t="s">
        <v>353</v>
      </c>
      <c r="R9" s="898" t="s">
        <v>354</v>
      </c>
      <c r="S9" s="898" t="s">
        <v>253</v>
      </c>
      <c r="T9" s="898" t="s">
        <v>352</v>
      </c>
      <c r="U9" s="897" t="s">
        <v>353</v>
      </c>
      <c r="V9" s="898" t="s">
        <v>354</v>
      </c>
      <c r="W9" s="898" t="s">
        <v>253</v>
      </c>
      <c r="X9" s="898" t="s">
        <v>352</v>
      </c>
      <c r="Y9" s="897" t="s">
        <v>353</v>
      </c>
      <c r="Z9" s="874" t="s">
        <v>354</v>
      </c>
      <c r="AA9" s="898" t="s">
        <v>253</v>
      </c>
      <c r="AB9" s="381" t="s">
        <v>352</v>
      </c>
      <c r="AC9" s="63" t="s">
        <v>353</v>
      </c>
    </row>
    <row r="10" spans="2:29" ht="14.5" x14ac:dyDescent="0.35">
      <c r="B10" s="145" t="s">
        <v>553</v>
      </c>
      <c r="C10" s="742"/>
      <c r="D10" s="987">
        <f>D11 +D13</f>
        <v>754.2</v>
      </c>
      <c r="E10" s="709">
        <f t="shared" ref="E10:AC10" si="0">E11 +E13</f>
        <v>768.3</v>
      </c>
      <c r="F10" s="709">
        <f t="shared" si="0"/>
        <v>781.1</v>
      </c>
      <c r="G10" s="709">
        <f t="shared" si="0"/>
        <v>792.1</v>
      </c>
      <c r="H10" s="709">
        <f t="shared" si="0"/>
        <v>801.3</v>
      </c>
      <c r="I10" s="709">
        <f t="shared" si="0"/>
        <v>808.5</v>
      </c>
      <c r="J10" s="709">
        <f t="shared" si="0"/>
        <v>821.6</v>
      </c>
      <c r="K10" s="709">
        <f t="shared" si="0"/>
        <v>825.8</v>
      </c>
      <c r="L10" s="709">
        <f t="shared" si="0"/>
        <v>821</v>
      </c>
      <c r="M10" s="709">
        <f t="shared" si="0"/>
        <v>814.1</v>
      </c>
      <c r="N10" s="709">
        <f t="shared" si="0"/>
        <v>815.3</v>
      </c>
      <c r="O10" s="709">
        <f t="shared" si="0"/>
        <v>826.5</v>
      </c>
      <c r="P10" s="988">
        <f t="shared" si="0"/>
        <v>847.9</v>
      </c>
      <c r="Q10" s="532">
        <f t="shared" si="0"/>
        <v>871.88090535292895</v>
      </c>
      <c r="R10" s="532">
        <f t="shared" si="0"/>
        <v>878.75313989296569</v>
      </c>
      <c r="S10" s="532">
        <f t="shared" si="0"/>
        <v>880.92215084498832</v>
      </c>
      <c r="T10" s="532">
        <f t="shared" si="0"/>
        <v>897.39348728518314</v>
      </c>
      <c r="U10" s="532">
        <f t="shared" si="0"/>
        <v>898.14736293954718</v>
      </c>
      <c r="V10" s="532">
        <f t="shared" si="0"/>
        <v>915.21402485035151</v>
      </c>
      <c r="W10" s="532">
        <f t="shared" si="0"/>
        <v>932.59931257640858</v>
      </c>
      <c r="X10" s="532">
        <f t="shared" si="0"/>
        <v>950.30917469809549</v>
      </c>
      <c r="Y10" s="532">
        <f t="shared" si="0"/>
        <v>968.09159552506367</v>
      </c>
      <c r="Z10" s="532">
        <f t="shared" si="0"/>
        <v>986.20125580990646</v>
      </c>
      <c r="AA10" s="532">
        <f t="shared" si="0"/>
        <v>1004.6441775483819</v>
      </c>
      <c r="AB10" s="532">
        <f t="shared" si="0"/>
        <v>1023.4264935555032</v>
      </c>
      <c r="AC10" s="743">
        <f t="shared" si="0"/>
        <v>1042.55444950488</v>
      </c>
    </row>
    <row r="11" spans="2:29" x14ac:dyDescent="0.3">
      <c r="B11" s="73" t="s">
        <v>55</v>
      </c>
      <c r="C11" s="155" t="s">
        <v>554</v>
      </c>
      <c r="D11" s="871">
        <f>'Haver Pivoted'!GO12</f>
        <v>754.2</v>
      </c>
      <c r="E11" s="983">
        <f>'Haver Pivoted'!GP12</f>
        <v>768.3</v>
      </c>
      <c r="F11" s="983">
        <f>'Haver Pivoted'!GQ12</f>
        <v>781.1</v>
      </c>
      <c r="G11" s="983">
        <f>'Haver Pivoted'!GR12</f>
        <v>792.1</v>
      </c>
      <c r="H11" s="983">
        <f>'Haver Pivoted'!GS12</f>
        <v>801.3</v>
      </c>
      <c r="I11" s="983">
        <f>'Haver Pivoted'!GT12</f>
        <v>808.5</v>
      </c>
      <c r="J11" s="983">
        <f>'Haver Pivoted'!GU12</f>
        <v>821.6</v>
      </c>
      <c r="K11" s="983">
        <f>'Haver Pivoted'!GV12</f>
        <v>825.8</v>
      </c>
      <c r="L11" s="983">
        <f>'Haver Pivoted'!GW12</f>
        <v>821</v>
      </c>
      <c r="M11" s="983">
        <f>'Haver Pivoted'!GX12</f>
        <v>814.1</v>
      </c>
      <c r="N11" s="983">
        <f>'Haver Pivoted'!GY12</f>
        <v>815.3</v>
      </c>
      <c r="O11" s="983">
        <f>'Haver Pivoted'!GZ12</f>
        <v>826.5</v>
      </c>
      <c r="P11" s="738">
        <f>'Haver Pivoted'!HA12</f>
        <v>847.9</v>
      </c>
      <c r="Q11" s="153">
        <f t="shared" ref="Q11:AC11" si="1">Q12+Q14</f>
        <v>871.88090535292895</v>
      </c>
      <c r="R11" s="153">
        <f t="shared" si="1"/>
        <v>878.75313989296569</v>
      </c>
      <c r="S11" s="153">
        <f t="shared" si="1"/>
        <v>880.92215084498832</v>
      </c>
      <c r="T11" s="153">
        <f t="shared" si="1"/>
        <v>897.39348728518314</v>
      </c>
      <c r="U11" s="153">
        <f t="shared" si="1"/>
        <v>914.14736293954718</v>
      </c>
      <c r="V11" s="153">
        <f t="shared" si="1"/>
        <v>931.21402485035151</v>
      </c>
      <c r="W11" s="153">
        <f t="shared" si="1"/>
        <v>948.59931257640858</v>
      </c>
      <c r="X11" s="153">
        <f t="shared" si="1"/>
        <v>966.30917469809549</v>
      </c>
      <c r="Y11" s="153">
        <f t="shared" si="1"/>
        <v>984.09159552506367</v>
      </c>
      <c r="Z11" s="153">
        <f t="shared" si="1"/>
        <v>1002.2012558099065</v>
      </c>
      <c r="AA11" s="153">
        <f t="shared" si="1"/>
        <v>1020.6441775483819</v>
      </c>
      <c r="AB11" s="153">
        <f t="shared" si="1"/>
        <v>1039.4264935555032</v>
      </c>
      <c r="AC11" s="519">
        <f t="shared" si="1"/>
        <v>1058.55444950488</v>
      </c>
    </row>
    <row r="12" spans="2:29" x14ac:dyDescent="0.3">
      <c r="B12" s="73" t="s">
        <v>555</v>
      </c>
      <c r="C12" s="155"/>
      <c r="D12" s="871"/>
      <c r="E12" s="983"/>
      <c r="F12" s="983"/>
      <c r="G12" s="983"/>
      <c r="H12" s="983"/>
      <c r="I12" s="983"/>
      <c r="J12" s="983">
        <f>J11-J14</f>
        <v>812</v>
      </c>
      <c r="K12" s="983">
        <f t="shared" ref="K12:P12" si="2">K11-K14</f>
        <v>811.4</v>
      </c>
      <c r="L12" s="983">
        <f t="shared" si="2"/>
        <v>806.7</v>
      </c>
      <c r="M12" s="983">
        <f t="shared" si="2"/>
        <v>799.9</v>
      </c>
      <c r="N12" s="983">
        <f t="shared" si="2"/>
        <v>801.19999999999993</v>
      </c>
      <c r="O12" s="983">
        <f t="shared" si="2"/>
        <v>812.2</v>
      </c>
      <c r="P12" s="738">
        <f t="shared" si="2"/>
        <v>833.3</v>
      </c>
      <c r="Q12" s="153">
        <f>P12*(1+P15)</f>
        <v>848.88090535292895</v>
      </c>
      <c r="R12" s="153">
        <f t="shared" ref="Q12:AC12" si="3">Q12*(1+Q15)</f>
        <v>864.75313989296569</v>
      </c>
      <c r="S12" s="153">
        <f t="shared" si="3"/>
        <v>880.92215084498832</v>
      </c>
      <c r="T12" s="153">
        <f t="shared" si="3"/>
        <v>897.39348728518314</v>
      </c>
      <c r="U12" s="153">
        <f t="shared" si="3"/>
        <v>914.14736293954718</v>
      </c>
      <c r="V12" s="153">
        <f t="shared" si="3"/>
        <v>931.21402485035151</v>
      </c>
      <c r="W12" s="153">
        <f t="shared" si="3"/>
        <v>948.59931257640858</v>
      </c>
      <c r="X12" s="153">
        <f t="shared" si="3"/>
        <v>966.30917469809549</v>
      </c>
      <c r="Y12" s="153">
        <f t="shared" si="3"/>
        <v>984.09159552506367</v>
      </c>
      <c r="Z12" s="153">
        <f t="shared" si="3"/>
        <v>1002.2012558099065</v>
      </c>
      <c r="AA12" s="153">
        <f t="shared" si="3"/>
        <v>1020.6441775483819</v>
      </c>
      <c r="AB12" s="153">
        <f t="shared" si="3"/>
        <v>1039.4264935555032</v>
      </c>
      <c r="AC12" s="519">
        <f t="shared" si="3"/>
        <v>1058.55444950488</v>
      </c>
    </row>
    <row r="13" spans="2:29" x14ac:dyDescent="0.3">
      <c r="B13" s="170" t="s">
        <v>556</v>
      </c>
      <c r="C13" s="171"/>
      <c r="D13" s="871"/>
      <c r="E13" s="983"/>
      <c r="F13" s="983"/>
      <c r="G13" s="983"/>
      <c r="H13" s="983"/>
      <c r="I13" s="983"/>
      <c r="J13" s="983"/>
      <c r="K13" s="983"/>
      <c r="L13" s="983"/>
      <c r="M13" s="983"/>
      <c r="N13" s="986"/>
      <c r="O13" s="986"/>
      <c r="P13" s="989"/>
      <c r="Q13" s="160"/>
      <c r="R13" s="160"/>
      <c r="S13" s="160"/>
      <c r="T13" s="160"/>
      <c r="U13" s="160">
        <v>-16</v>
      </c>
      <c r="V13" s="160">
        <f t="shared" ref="V13:Y13" si="4">U13</f>
        <v>-16</v>
      </c>
      <c r="W13" s="160">
        <f t="shared" si="4"/>
        <v>-16</v>
      </c>
      <c r="X13" s="160">
        <f t="shared" si="4"/>
        <v>-16</v>
      </c>
      <c r="Y13" s="160">
        <f t="shared" si="4"/>
        <v>-16</v>
      </c>
      <c r="Z13" s="160">
        <f t="shared" ref="Z13" si="5">Y13</f>
        <v>-16</v>
      </c>
      <c r="AA13" s="160">
        <f t="shared" ref="AA13" si="6">Z13</f>
        <v>-16</v>
      </c>
      <c r="AB13" s="160">
        <f t="shared" ref="AB13" si="7">AA13</f>
        <v>-16</v>
      </c>
      <c r="AC13" s="520">
        <f t="shared" ref="AC13" si="8">AB13</f>
        <v>-16</v>
      </c>
    </row>
    <row r="14" spans="2:29" x14ac:dyDescent="0.3">
      <c r="B14" s="170" t="s">
        <v>557</v>
      </c>
      <c r="C14" s="531" t="s">
        <v>870</v>
      </c>
      <c r="D14" s="871"/>
      <c r="E14" s="983"/>
      <c r="F14" s="983"/>
      <c r="G14" s="983"/>
      <c r="H14" s="983"/>
      <c r="I14" s="983"/>
      <c r="J14" s="1093">
        <f>'Haver Pivoted'!GU46</f>
        <v>9.6</v>
      </c>
      <c r="K14" s="1093">
        <f>'Haver Pivoted'!GV46</f>
        <v>14.4</v>
      </c>
      <c r="L14" s="1093">
        <f>'Haver Pivoted'!GW46</f>
        <v>14.3</v>
      </c>
      <c r="M14" s="1093">
        <f>'Haver Pivoted'!GX46</f>
        <v>14.2</v>
      </c>
      <c r="N14" s="1093">
        <f>'Haver Pivoted'!GY46</f>
        <v>14.1</v>
      </c>
      <c r="O14" s="1093">
        <f>'Haver Pivoted'!GZ46</f>
        <v>14.3</v>
      </c>
      <c r="P14" s="989">
        <f>'Haver Pivoted'!HA46</f>
        <v>14.6</v>
      </c>
      <c r="Q14" s="160">
        <v>23</v>
      </c>
      <c r="R14" s="160">
        <v>14</v>
      </c>
      <c r="S14" s="160"/>
      <c r="T14" s="160"/>
      <c r="U14" s="160"/>
      <c r="V14" s="160"/>
      <c r="W14" s="160"/>
      <c r="X14" s="160"/>
      <c r="Y14" s="160"/>
      <c r="Z14" s="160"/>
      <c r="AA14" s="160"/>
      <c r="AB14" s="160"/>
      <c r="AC14" s="520"/>
    </row>
    <row r="15" spans="2:29" x14ac:dyDescent="0.3">
      <c r="B15" s="150" t="s">
        <v>558</v>
      </c>
      <c r="C15" s="142"/>
      <c r="D15" s="483"/>
      <c r="E15" s="484"/>
      <c r="F15" s="484"/>
      <c r="G15" s="484"/>
      <c r="H15" s="484"/>
      <c r="I15" s="484"/>
      <c r="J15" s="485"/>
      <c r="K15" s="485"/>
      <c r="L15" s="485"/>
      <c r="M15" s="485"/>
      <c r="N15" s="485">
        <f>(1 + $E$24)^0.25-1</f>
        <v>1.7727048047339489E-2</v>
      </c>
      <c r="O15" s="485">
        <f>(1 + $E$24)^0.25-1</f>
        <v>1.7727048047339489E-2</v>
      </c>
      <c r="P15" s="1152">
        <f>(1 + $F$24)^0.25-1</f>
        <v>1.8697834336888208E-2</v>
      </c>
      <c r="Q15" s="1153">
        <f>(1 +$F$24)^0.25-1</f>
        <v>1.8697834336888208E-2</v>
      </c>
      <c r="R15" s="1153">
        <f>(1 +$F$24)^0.25-1</f>
        <v>1.8697834336888208E-2</v>
      </c>
      <c r="S15" s="1153">
        <f>(1 +$F$24)^0.25-1</f>
        <v>1.8697834336888208E-2</v>
      </c>
      <c r="T15" s="1153">
        <f>(1 +$G$24)^0.25-1</f>
        <v>1.8669486564971915E-2</v>
      </c>
      <c r="U15" s="1153">
        <f>(1 +$G$24)^0.25-1</f>
        <v>1.8669486564971915E-2</v>
      </c>
      <c r="V15" s="1153">
        <f>(1 +$G$24)^0.25-1</f>
        <v>1.8669486564971915E-2</v>
      </c>
      <c r="W15" s="1153">
        <f>(1 +$G$24)^0.25-1</f>
        <v>1.8669486564971915E-2</v>
      </c>
      <c r="X15" s="1153">
        <f>(1 +$H$24)^0.25-1</f>
        <v>1.8402413319240196E-2</v>
      </c>
      <c r="Y15" s="1153">
        <f>(1 +$H$24)^0.25-1</f>
        <v>1.8402413319240196E-2</v>
      </c>
      <c r="Z15" s="1153">
        <f t="shared" ref="Z15:AC15" si="9">(1 +$H$24)^0.25-1</f>
        <v>1.8402413319240196E-2</v>
      </c>
      <c r="AA15" s="1153">
        <f t="shared" si="9"/>
        <v>1.8402413319240196E-2</v>
      </c>
      <c r="AB15" s="1153">
        <f t="shared" si="9"/>
        <v>1.8402413319240196E-2</v>
      </c>
      <c r="AC15" s="1154">
        <f t="shared" si="9"/>
        <v>1.8402413319240196E-2</v>
      </c>
    </row>
    <row r="16" spans="2:29" x14ac:dyDescent="0.3">
      <c r="B16" s="528"/>
      <c r="C16" s="468"/>
      <c r="D16" s="529"/>
      <c r="E16" s="529"/>
      <c r="F16" s="529"/>
      <c r="G16" s="529"/>
      <c r="H16" s="529"/>
      <c r="I16" s="529"/>
      <c r="J16" s="530"/>
      <c r="K16" s="530"/>
      <c r="L16" s="530"/>
      <c r="M16" s="530"/>
      <c r="N16" s="530"/>
      <c r="O16" s="530"/>
      <c r="P16" s="1099"/>
      <c r="Q16" s="1099"/>
      <c r="R16" s="1099"/>
      <c r="S16" s="1099"/>
      <c r="T16" s="1099"/>
      <c r="U16" s="1099"/>
      <c r="V16" s="1099"/>
      <c r="W16" s="1099"/>
      <c r="X16" s="1099"/>
      <c r="Y16" s="1099"/>
      <c r="Z16" s="1099"/>
      <c r="AA16" s="1099"/>
      <c r="AB16" s="1099"/>
      <c r="AC16" s="1099"/>
    </row>
    <row r="17" spans="2:29" ht="14.5" x14ac:dyDescent="0.35">
      <c r="B17" s="44" t="s">
        <v>425</v>
      </c>
      <c r="P17" s="812"/>
      <c r="Q17" s="812"/>
      <c r="R17" s="812"/>
      <c r="S17" s="812"/>
      <c r="T17" s="812"/>
      <c r="U17" s="812"/>
      <c r="V17" s="812"/>
      <c r="W17" s="812"/>
      <c r="X17" s="812"/>
      <c r="Y17" s="812"/>
      <c r="Z17" s="812"/>
      <c r="AA17" s="812"/>
      <c r="AB17" s="812"/>
      <c r="AC17" s="812"/>
    </row>
    <row r="18" spans="2:29" x14ac:dyDescent="0.3">
      <c r="B18" s="415" t="s">
        <v>529</v>
      </c>
      <c r="C18" s="415">
        <v>2019</v>
      </c>
      <c r="D18" s="416">
        <v>2020</v>
      </c>
      <c r="E18" s="416">
        <v>2021</v>
      </c>
      <c r="F18" s="416">
        <v>2022</v>
      </c>
      <c r="G18" s="416">
        <v>2023</v>
      </c>
      <c r="H18" s="417">
        <v>2024</v>
      </c>
      <c r="I18" s="417">
        <v>2025</v>
      </c>
      <c r="J18" s="417">
        <v>2026</v>
      </c>
      <c r="P18" s="1093"/>
      <c r="Q18" s="1093"/>
      <c r="R18" s="1093"/>
      <c r="S18" s="1093"/>
      <c r="T18" s="1093"/>
      <c r="U18" s="1093"/>
      <c r="V18" s="1093"/>
      <c r="W18" s="1093"/>
      <c r="X18" s="1093"/>
      <c r="Y18" s="1093"/>
      <c r="Z18" s="1093"/>
      <c r="AA18" s="1093"/>
      <c r="AB18" s="1093"/>
      <c r="AC18" s="1093"/>
    </row>
    <row r="19" spans="2:29" ht="21" customHeight="1" x14ac:dyDescent="0.3">
      <c r="B19" s="130" t="s">
        <v>559</v>
      </c>
      <c r="C19" s="422">
        <v>775</v>
      </c>
      <c r="D19" s="419">
        <v>912.11599999999999</v>
      </c>
      <c r="E19" s="419">
        <v>831.48500000000001</v>
      </c>
      <c r="F19" s="419">
        <v>862.72400000000005</v>
      </c>
      <c r="G19" s="419">
        <v>1007.266</v>
      </c>
      <c r="H19" s="419">
        <v>1088.671</v>
      </c>
      <c r="I19" s="419">
        <v>1171.1110000000001</v>
      </c>
      <c r="J19" s="420">
        <v>1258.2270000000001</v>
      </c>
      <c r="K19" s="159"/>
      <c r="L19" s="159"/>
      <c r="M19" s="159"/>
      <c r="N19" s="159"/>
      <c r="O19" s="159"/>
      <c r="P19" s="1093"/>
      <c r="Q19" s="1093"/>
      <c r="R19" s="1093"/>
      <c r="S19" s="1093"/>
      <c r="T19" s="1093"/>
      <c r="U19" s="1093"/>
      <c r="V19" s="1093"/>
      <c r="W19" s="1093"/>
      <c r="X19" s="1093"/>
      <c r="Y19" s="1093"/>
      <c r="Z19" s="1093"/>
      <c r="AA19" s="1093"/>
      <c r="AB19" s="1093"/>
      <c r="AC19" s="1093"/>
    </row>
    <row r="20" spans="2:29" x14ac:dyDescent="0.3">
      <c r="B20" s="34" t="s">
        <v>560</v>
      </c>
      <c r="C20" s="34"/>
      <c r="D20" s="27">
        <v>47</v>
      </c>
      <c r="E20" s="27">
        <v>-46</v>
      </c>
      <c r="J20" s="33"/>
      <c r="N20" s="378"/>
      <c r="O20" s="217"/>
      <c r="P20" s="1093"/>
      <c r="Q20" s="1093"/>
      <c r="R20" s="1093"/>
      <c r="S20" s="1093"/>
      <c r="T20" s="1093"/>
      <c r="U20" s="1093"/>
      <c r="V20" s="1093"/>
      <c r="W20" s="1093"/>
      <c r="X20" s="1093"/>
      <c r="Y20" s="1093"/>
      <c r="Z20" s="1093"/>
      <c r="AA20" s="1093"/>
      <c r="AB20" s="1093"/>
      <c r="AC20" s="1093"/>
    </row>
    <row r="21" spans="2:29" x14ac:dyDescent="0.3">
      <c r="B21" s="34" t="s">
        <v>561</v>
      </c>
      <c r="C21" s="423">
        <f>C19-C20</f>
        <v>775</v>
      </c>
      <c r="D21" s="418">
        <f t="shared" ref="D21:H21" si="10">D19-D20</f>
        <v>865.11599999999999</v>
      </c>
      <c r="E21" s="418">
        <f t="shared" si="10"/>
        <v>877.48500000000001</v>
      </c>
      <c r="F21" s="418">
        <f t="shared" si="10"/>
        <v>862.72400000000005</v>
      </c>
      <c r="G21" s="418">
        <f t="shared" si="10"/>
        <v>1007.266</v>
      </c>
      <c r="H21" s="418">
        <f t="shared" si="10"/>
        <v>1088.671</v>
      </c>
      <c r="J21" s="33"/>
      <c r="K21" s="27" t="s">
        <v>562</v>
      </c>
      <c r="P21" s="1093"/>
      <c r="Q21" s="1093"/>
      <c r="R21" s="1093"/>
      <c r="S21" s="1093"/>
      <c r="T21" s="1093"/>
      <c r="U21" s="1093"/>
      <c r="V21" s="1093"/>
      <c r="W21" s="1093"/>
      <c r="X21" s="1093"/>
      <c r="Y21" s="1093"/>
      <c r="Z21" s="1093"/>
      <c r="AA21" s="1093"/>
      <c r="AB21" s="1093"/>
      <c r="AC21" s="1093"/>
    </row>
    <row r="22" spans="2:29" x14ac:dyDescent="0.3">
      <c r="B22" s="34" t="s">
        <v>563</v>
      </c>
      <c r="C22" s="424">
        <f>AVERAGE(D10:G10)</f>
        <v>773.92499999999995</v>
      </c>
      <c r="D22" s="162">
        <f>AVERAGE(H10:K10)</f>
        <v>814.3</v>
      </c>
      <c r="E22" s="418">
        <f>AVERAGE(L10:O10)</f>
        <v>819.22499999999991</v>
      </c>
      <c r="J22" s="33"/>
      <c r="K22" s="27" t="s">
        <v>564</v>
      </c>
      <c r="P22" s="530"/>
      <c r="Q22" s="530"/>
      <c r="R22" s="530"/>
      <c r="S22" s="530"/>
      <c r="T22" s="530"/>
      <c r="U22" s="530"/>
      <c r="V22" s="530"/>
      <c r="W22" s="530"/>
      <c r="X22" s="530"/>
      <c r="Y22" s="530"/>
      <c r="Z22" s="530"/>
      <c r="AA22" s="530"/>
      <c r="AB22" s="530"/>
      <c r="AC22" s="530"/>
    </row>
    <row r="23" spans="2:29" x14ac:dyDescent="0.3">
      <c r="B23" s="34" t="s">
        <v>565</v>
      </c>
      <c r="C23" s="425">
        <v>775.32100000000003</v>
      </c>
      <c r="D23" s="313">
        <v>834.85699999999997</v>
      </c>
      <c r="E23" s="313">
        <v>895.64800000000002</v>
      </c>
      <c r="F23" s="313">
        <v>964.53700000000003</v>
      </c>
      <c r="G23" s="313">
        <v>1038.6089999999999</v>
      </c>
      <c r="H23" s="313">
        <v>1117.1969999999999</v>
      </c>
      <c r="I23" s="313">
        <v>1200.6600000000001</v>
      </c>
      <c r="J23" s="314">
        <v>1286.6790000000001</v>
      </c>
      <c r="P23" s="817"/>
      <c r="Q23" s="817"/>
      <c r="R23" s="817"/>
      <c r="S23" s="817"/>
      <c r="T23" s="817"/>
      <c r="U23" s="817"/>
      <c r="V23" s="817"/>
      <c r="W23" s="817"/>
      <c r="X23" s="817"/>
      <c r="Y23" s="817"/>
      <c r="Z23" s="817"/>
      <c r="AA23" s="817"/>
      <c r="AB23" s="817"/>
      <c r="AC23" s="817"/>
    </row>
    <row r="24" spans="2:29" x14ac:dyDescent="0.3">
      <c r="B24" s="421" t="s">
        <v>566</v>
      </c>
      <c r="C24" s="129"/>
      <c r="D24" s="35">
        <f>D23/C23-1</f>
        <v>7.6788839719290403E-2</v>
      </c>
      <c r="E24" s="35">
        <f>E23/D23-1</f>
        <v>7.2816063110209273E-2</v>
      </c>
      <c r="F24" s="35">
        <f>F23/E23-1</f>
        <v>7.6915261352674236E-2</v>
      </c>
      <c r="G24" s="35">
        <f t="shared" ref="G24:J24" si="11">G23/F23-1</f>
        <v>7.6795395096300068E-2</v>
      </c>
      <c r="H24" s="35">
        <f t="shared" si="11"/>
        <v>7.5666588677741009E-2</v>
      </c>
      <c r="I24" s="35">
        <f t="shared" si="11"/>
        <v>7.4707504585135975E-2</v>
      </c>
      <c r="J24" s="46">
        <f t="shared" si="11"/>
        <v>7.164309629703669E-2</v>
      </c>
      <c r="P24" s="1155"/>
      <c r="Q24" s="1155"/>
      <c r="R24" s="1155"/>
      <c r="S24" s="1155"/>
      <c r="T24" s="1155"/>
      <c r="U24" s="1155"/>
      <c r="V24" s="1155"/>
      <c r="W24" s="1155"/>
      <c r="X24" s="1155"/>
      <c r="Y24" s="1155"/>
      <c r="Z24" s="1155"/>
      <c r="AA24" s="1155"/>
      <c r="AB24" s="817"/>
      <c r="AC24" s="817"/>
    </row>
    <row r="25" spans="2:29" x14ac:dyDescent="0.3">
      <c r="P25" s="817"/>
      <c r="Q25" s="817"/>
      <c r="R25" s="817"/>
      <c r="S25" s="817"/>
      <c r="T25" s="817"/>
      <c r="U25" s="817"/>
      <c r="V25" s="817"/>
      <c r="W25" s="817"/>
      <c r="X25" s="817"/>
      <c r="Y25" s="817"/>
      <c r="Z25" s="817"/>
      <c r="AA25" s="817"/>
      <c r="AB25" s="817"/>
      <c r="AC25" s="817"/>
    </row>
    <row r="26" spans="2:29" x14ac:dyDescent="0.3">
      <c r="C26" s="313"/>
      <c r="D26" s="313"/>
      <c r="E26" s="313"/>
      <c r="F26" s="313"/>
      <c r="G26" s="313"/>
      <c r="H26" s="313"/>
      <c r="I26" s="313"/>
      <c r="J26" s="313"/>
      <c r="K26" s="313"/>
      <c r="L26" s="313"/>
      <c r="M26" s="313"/>
      <c r="N26" s="313"/>
      <c r="P26" s="817"/>
      <c r="Q26" s="817"/>
      <c r="R26" s="817"/>
      <c r="S26" s="817"/>
      <c r="T26" s="817"/>
      <c r="U26" s="817"/>
      <c r="V26" s="817"/>
      <c r="W26" s="817"/>
      <c r="X26" s="817"/>
      <c r="Y26" s="817"/>
      <c r="Z26" s="817"/>
      <c r="AA26" s="817"/>
      <c r="AB26" s="817"/>
      <c r="AC26" s="817"/>
    </row>
    <row r="27" spans="2:29" x14ac:dyDescent="0.3">
      <c r="P27" s="817"/>
      <c r="Q27" s="817"/>
      <c r="R27" s="817"/>
      <c r="S27" s="817"/>
      <c r="T27" s="817"/>
      <c r="U27" s="817"/>
      <c r="V27" s="817"/>
      <c r="W27" s="817"/>
      <c r="X27" s="817"/>
      <c r="Y27" s="817"/>
      <c r="Z27" s="817"/>
      <c r="AA27" s="817"/>
      <c r="AB27" s="817"/>
      <c r="AC27" s="817"/>
    </row>
    <row r="28" spans="2:29" x14ac:dyDescent="0.3">
      <c r="P28" s="817"/>
      <c r="Q28" s="817"/>
      <c r="R28" s="817"/>
      <c r="S28" s="817"/>
      <c r="T28" s="817"/>
      <c r="U28" s="817"/>
      <c r="V28" s="817"/>
      <c r="W28" s="817"/>
      <c r="X28" s="817"/>
      <c r="Y28" s="817"/>
      <c r="Z28" s="817"/>
      <c r="AA28" s="817"/>
      <c r="AB28" s="817"/>
      <c r="AC28" s="817"/>
    </row>
    <row r="29" spans="2:29" x14ac:dyDescent="0.3">
      <c r="P29" s="817"/>
      <c r="Q29" s="817"/>
      <c r="R29" s="817"/>
      <c r="S29" s="817"/>
      <c r="T29" s="817"/>
      <c r="U29" s="817"/>
      <c r="V29" s="817"/>
      <c r="W29" s="817"/>
      <c r="X29" s="817"/>
      <c r="Y29" s="817"/>
      <c r="Z29" s="817"/>
      <c r="AA29" s="817"/>
      <c r="AB29" s="817"/>
      <c r="AC29" s="817"/>
    </row>
    <row r="30" spans="2:29" x14ac:dyDescent="0.3">
      <c r="P30" s="817"/>
      <c r="Q30" s="817"/>
      <c r="R30" s="817"/>
      <c r="S30" s="817"/>
      <c r="T30" s="817"/>
      <c r="U30" s="817"/>
      <c r="V30" s="817"/>
      <c r="W30" s="817"/>
      <c r="X30" s="817"/>
      <c r="Y30" s="817"/>
      <c r="Z30" s="817"/>
      <c r="AA30" s="817"/>
      <c r="AB30" s="817"/>
      <c r="AC30" s="817"/>
    </row>
    <row r="31" spans="2:29" x14ac:dyDescent="0.3">
      <c r="P31" s="817"/>
      <c r="Q31" s="817"/>
      <c r="R31" s="817"/>
      <c r="S31" s="817"/>
      <c r="T31" s="817"/>
      <c r="U31" s="817"/>
      <c r="V31" s="817"/>
      <c r="W31" s="817"/>
      <c r="X31" s="817"/>
      <c r="Y31" s="817"/>
      <c r="Z31" s="817"/>
      <c r="AA31" s="817"/>
      <c r="AB31" s="817"/>
      <c r="AC31" s="817"/>
    </row>
    <row r="32" spans="2:29" x14ac:dyDescent="0.3">
      <c r="P32" s="817"/>
      <c r="Q32" s="817"/>
      <c r="R32" s="817"/>
      <c r="S32" s="817"/>
      <c r="T32" s="817"/>
      <c r="U32" s="817"/>
      <c r="V32" s="817"/>
      <c r="W32" s="817"/>
      <c r="X32" s="817"/>
      <c r="Y32" s="817"/>
      <c r="Z32" s="817"/>
      <c r="AA32" s="817"/>
      <c r="AB32" s="817"/>
      <c r="AC32" s="817"/>
    </row>
  </sheetData>
  <mergeCells count="11">
    <mergeCell ref="B2:AC4"/>
    <mergeCell ref="B1:AC1"/>
    <mergeCell ref="B7:C9"/>
    <mergeCell ref="E8:H8"/>
    <mergeCell ref="I8:L8"/>
    <mergeCell ref="Q8:T8"/>
    <mergeCell ref="U8:X8"/>
    <mergeCell ref="Y8:AB8"/>
    <mergeCell ref="D7:P7"/>
    <mergeCell ref="Q7:AC7"/>
    <mergeCell ref="M8:P8"/>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topLeftCell="F1" zoomScale="90" zoomScaleNormal="90" workbookViewId="0">
      <selection activeCell="S14" sqref="S14"/>
    </sheetView>
  </sheetViews>
  <sheetFormatPr defaultColWidth="8.7265625" defaultRowHeight="14.5" x14ac:dyDescent="0.35"/>
  <cols>
    <col min="1" max="1" width="6" customWidth="1"/>
    <col min="2" max="2" width="29.453125" customWidth="1"/>
    <col min="3" max="7" width="10.453125" customWidth="1"/>
  </cols>
  <sheetData>
    <row r="1" spans="1:29" x14ac:dyDescent="0.35">
      <c r="B1" s="1290" t="s">
        <v>56</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1:29" ht="14.65" customHeight="1" x14ac:dyDescent="0.35">
      <c r="B2" s="1291" t="s">
        <v>567</v>
      </c>
      <c r="C2" s="1291"/>
      <c r="D2" s="1291"/>
      <c r="E2" s="1291"/>
      <c r="F2" s="1291"/>
      <c r="G2" s="1291"/>
      <c r="H2" s="1291"/>
      <c r="I2" s="1291"/>
      <c r="J2" s="1291"/>
      <c r="K2" s="1291"/>
      <c r="L2" s="1291"/>
      <c r="M2" s="1291"/>
      <c r="N2" s="1291"/>
      <c r="O2" s="1291"/>
      <c r="P2" s="1291"/>
      <c r="Q2" s="1291"/>
      <c r="R2" s="1291"/>
      <c r="S2" s="1291"/>
      <c r="T2" s="1291"/>
      <c r="U2" s="1291"/>
      <c r="V2" s="1291"/>
      <c r="W2" s="1291"/>
      <c r="X2" s="1291"/>
      <c r="Y2" s="1291"/>
      <c r="Z2" s="1291"/>
      <c r="AA2" s="1291"/>
      <c r="AB2" s="1291"/>
      <c r="AC2" s="1291"/>
    </row>
    <row r="3" spans="1:29" x14ac:dyDescent="0.35">
      <c r="B3" s="1291"/>
      <c r="C3" s="1291"/>
      <c r="D3" s="1291"/>
      <c r="E3" s="1291"/>
      <c r="F3" s="1291"/>
      <c r="G3" s="1291"/>
      <c r="H3" s="1291"/>
      <c r="I3" s="1291"/>
      <c r="J3" s="1291"/>
      <c r="K3" s="1291"/>
      <c r="L3" s="1291"/>
      <c r="M3" s="1291"/>
      <c r="N3" s="1291"/>
      <c r="O3" s="1291"/>
      <c r="P3" s="1291"/>
      <c r="Q3" s="1291"/>
      <c r="R3" s="1291"/>
      <c r="S3" s="1291"/>
      <c r="T3" s="1291"/>
      <c r="U3" s="1291"/>
      <c r="V3" s="1291"/>
      <c r="W3" s="1291"/>
      <c r="X3" s="1291"/>
      <c r="Y3" s="1291"/>
      <c r="Z3" s="1291"/>
      <c r="AA3" s="1291"/>
      <c r="AB3" s="1291"/>
      <c r="AC3" s="1291"/>
    </row>
    <row r="4" spans="1:29" x14ac:dyDescent="0.35">
      <c r="B4" s="1291"/>
      <c r="C4" s="1291"/>
      <c r="D4" s="1291"/>
      <c r="E4" s="1291"/>
      <c r="F4" s="1291"/>
      <c r="G4" s="1291"/>
      <c r="H4" s="1291"/>
      <c r="I4" s="1291"/>
      <c r="J4" s="1291"/>
      <c r="K4" s="1291"/>
      <c r="L4" s="1291"/>
      <c r="M4" s="1291"/>
      <c r="N4" s="1291"/>
      <c r="O4" s="1291"/>
      <c r="P4" s="1291"/>
      <c r="Q4" s="1291"/>
      <c r="R4" s="1291"/>
      <c r="S4" s="1291"/>
      <c r="T4" s="1291"/>
      <c r="U4" s="1291"/>
      <c r="V4" s="1291"/>
      <c r="W4" s="1291"/>
      <c r="X4" s="1291"/>
      <c r="Y4" s="1291"/>
      <c r="Z4" s="1291"/>
      <c r="AA4" s="1291"/>
      <c r="AB4" s="1291"/>
      <c r="AC4" s="1291"/>
    </row>
    <row r="5" spans="1:29" x14ac:dyDescent="0.35">
      <c r="B5" s="125"/>
      <c r="C5" s="27"/>
      <c r="D5" s="27"/>
      <c r="E5" s="27"/>
      <c r="F5" s="27"/>
      <c r="G5" s="27"/>
      <c r="H5" s="27"/>
      <c r="I5" s="27"/>
      <c r="J5" s="27"/>
      <c r="K5" s="27"/>
      <c r="L5" s="27"/>
      <c r="M5" s="27"/>
      <c r="N5" s="27"/>
      <c r="O5" s="27"/>
      <c r="P5" s="27"/>
      <c r="Q5" s="27"/>
      <c r="R5" s="27"/>
      <c r="S5" s="27"/>
      <c r="T5" s="27"/>
      <c r="U5" s="27"/>
      <c r="V5" s="27"/>
      <c r="W5" s="27"/>
      <c r="X5" s="27"/>
      <c r="Y5" s="27"/>
    </row>
    <row r="6" spans="1:29" x14ac:dyDescent="0.35">
      <c r="B6" s="1295" t="s">
        <v>498</v>
      </c>
      <c r="C6" s="1296"/>
      <c r="D6" s="1307" t="s">
        <v>350</v>
      </c>
      <c r="E6" s="1308"/>
      <c r="F6" s="1308"/>
      <c r="G6" s="1308"/>
      <c r="H6" s="1308"/>
      <c r="I6" s="1308"/>
      <c r="J6" s="1308"/>
      <c r="K6" s="1308"/>
      <c r="L6" s="1308"/>
      <c r="M6" s="1308"/>
      <c r="N6" s="1308"/>
      <c r="O6" s="1308"/>
      <c r="P6" s="1309"/>
      <c r="Q6" s="1304" t="s">
        <v>351</v>
      </c>
      <c r="R6" s="1305"/>
      <c r="S6" s="1305"/>
      <c r="T6" s="1305"/>
      <c r="U6" s="1305"/>
      <c r="V6" s="1305"/>
      <c r="W6" s="1305"/>
      <c r="X6" s="1305"/>
      <c r="Y6" s="1305"/>
      <c r="Z6" s="1305"/>
      <c r="AA6" s="1305"/>
      <c r="AB6" s="1305"/>
      <c r="AC6" s="1306"/>
    </row>
    <row r="7" spans="1:29" x14ac:dyDescent="0.35">
      <c r="B7" s="1297"/>
      <c r="C7" s="1298"/>
      <c r="D7" s="455">
        <v>2018</v>
      </c>
      <c r="E7" s="1292">
        <v>2019</v>
      </c>
      <c r="F7" s="1293"/>
      <c r="G7" s="1293"/>
      <c r="H7" s="1294"/>
      <c r="I7" s="1292">
        <v>2020</v>
      </c>
      <c r="J7" s="1293"/>
      <c r="K7" s="1293"/>
      <c r="L7" s="1293"/>
      <c r="M7" s="1302">
        <v>2021</v>
      </c>
      <c r="N7" s="1293"/>
      <c r="O7" s="1293"/>
      <c r="P7" s="1303"/>
      <c r="Q7" s="1300">
        <v>2022</v>
      </c>
      <c r="R7" s="1300"/>
      <c r="S7" s="1300"/>
      <c r="T7" s="1301"/>
      <c r="U7" s="1299">
        <v>2023</v>
      </c>
      <c r="V7" s="1300"/>
      <c r="W7" s="1300"/>
      <c r="X7" s="1300"/>
      <c r="Y7" s="1299">
        <v>2024</v>
      </c>
      <c r="Z7" s="1300"/>
      <c r="AA7" s="1300"/>
      <c r="AB7" s="1301"/>
      <c r="AC7" s="306">
        <v>2025</v>
      </c>
    </row>
    <row r="8" spans="1:29" x14ac:dyDescent="0.35">
      <c r="B8" s="1335"/>
      <c r="C8" s="1336"/>
      <c r="D8" s="156" t="s">
        <v>352</v>
      </c>
      <c r="E8" s="156" t="s">
        <v>353</v>
      </c>
      <c r="F8" s="139" t="s">
        <v>354</v>
      </c>
      <c r="G8" s="139" t="s">
        <v>253</v>
      </c>
      <c r="H8" s="146" t="s">
        <v>352</v>
      </c>
      <c r="I8" s="140" t="s">
        <v>353</v>
      </c>
      <c r="J8" s="140" t="s">
        <v>354</v>
      </c>
      <c r="K8" s="140" t="s">
        <v>253</v>
      </c>
      <c r="L8" s="140" t="s">
        <v>352</v>
      </c>
      <c r="M8" s="151" t="s">
        <v>353</v>
      </c>
      <c r="N8" s="773" t="s">
        <v>354</v>
      </c>
      <c r="O8" s="773" t="s">
        <v>253</v>
      </c>
      <c r="P8" s="146" t="s">
        <v>352</v>
      </c>
      <c r="Q8" s="826" t="s">
        <v>353</v>
      </c>
      <c r="R8" s="898" t="s">
        <v>354</v>
      </c>
      <c r="S8" s="898" t="s">
        <v>253</v>
      </c>
      <c r="T8" s="898" t="s">
        <v>352</v>
      </c>
      <c r="U8" s="897" t="s">
        <v>353</v>
      </c>
      <c r="V8" s="898" t="s">
        <v>354</v>
      </c>
      <c r="W8" s="898" t="s">
        <v>253</v>
      </c>
      <c r="X8" s="898" t="s">
        <v>352</v>
      </c>
      <c r="Y8" s="897" t="s">
        <v>353</v>
      </c>
      <c r="Z8" s="874" t="s">
        <v>354</v>
      </c>
      <c r="AA8" s="898" t="s">
        <v>253</v>
      </c>
      <c r="AB8" s="381" t="s">
        <v>352</v>
      </c>
      <c r="AC8" s="63" t="s">
        <v>353</v>
      </c>
    </row>
    <row r="9" spans="1:29" x14ac:dyDescent="0.35">
      <c r="B9" s="130" t="s">
        <v>56</v>
      </c>
      <c r="C9" s="216" t="s">
        <v>568</v>
      </c>
      <c r="D9" s="830"/>
      <c r="E9" s="216"/>
      <c r="F9" s="216"/>
      <c r="G9" s="216"/>
      <c r="H9" s="216"/>
      <c r="I9" s="216"/>
      <c r="J9" s="631">
        <f>'Haver Pivoted'!GU45</f>
        <v>1078.0999999999999</v>
      </c>
      <c r="K9" s="631">
        <f>'Haver Pivoted'!GV45</f>
        <v>15.6</v>
      </c>
      <c r="L9" s="631">
        <f>'Haver Pivoted'!GW45</f>
        <v>5</v>
      </c>
      <c r="M9" s="631">
        <f>'Haver Pivoted'!GX45</f>
        <v>1933.7</v>
      </c>
      <c r="N9" s="631">
        <f>'Haver Pivoted'!GY45</f>
        <v>290.10000000000002</v>
      </c>
      <c r="O9" s="631">
        <f>'Haver Pivoted'!GZ45</f>
        <v>38.9</v>
      </c>
      <c r="P9" s="991">
        <f>'Haver Pivoted'!HA45</f>
        <v>14.2</v>
      </c>
      <c r="Q9" s="557"/>
      <c r="R9" s="557"/>
      <c r="S9" s="557"/>
      <c r="T9" s="557"/>
      <c r="U9" s="557"/>
      <c r="V9" s="557"/>
      <c r="W9" s="557"/>
      <c r="X9" s="557"/>
      <c r="Y9" s="557"/>
      <c r="Z9" s="557"/>
      <c r="AA9" s="557"/>
      <c r="AB9" s="557"/>
      <c r="AC9" s="470"/>
    </row>
    <row r="10" spans="1:29" x14ac:dyDescent="0.35">
      <c r="B10" s="131" t="s">
        <v>228</v>
      </c>
      <c r="C10" s="132"/>
      <c r="D10" s="131"/>
      <c r="E10" s="828"/>
      <c r="F10" s="828"/>
      <c r="G10" s="828"/>
      <c r="H10" s="828"/>
      <c r="I10" s="828"/>
      <c r="J10" s="990"/>
      <c r="K10" s="990"/>
      <c r="L10" s="990"/>
      <c r="M10" s="990">
        <f>M9-M11</f>
        <v>1348.1</v>
      </c>
      <c r="N10" s="990">
        <f>N9-N11</f>
        <v>290.10000000000002</v>
      </c>
      <c r="O10" s="852">
        <f>O9-O11</f>
        <v>38.9</v>
      </c>
      <c r="P10" s="786">
        <f>P9-P11</f>
        <v>14.2</v>
      </c>
      <c r="Q10" s="389">
        <v>0</v>
      </c>
      <c r="R10" s="169">
        <v>0</v>
      </c>
      <c r="S10" s="389"/>
      <c r="T10" s="389"/>
      <c r="U10" s="389"/>
      <c r="V10" s="389"/>
      <c r="W10" s="389"/>
      <c r="X10" s="389"/>
      <c r="Y10" s="389"/>
      <c r="Z10" s="389"/>
      <c r="AA10" s="389"/>
      <c r="AB10" s="389"/>
      <c r="AC10" s="521"/>
    </row>
    <row r="11" spans="1:29" x14ac:dyDescent="0.35">
      <c r="B11" s="133" t="s">
        <v>569</v>
      </c>
      <c r="C11" s="134"/>
      <c r="D11" s="133"/>
      <c r="E11" s="134"/>
      <c r="F11" s="134"/>
      <c r="G11" s="134"/>
      <c r="H11" s="134"/>
      <c r="I11" s="134"/>
      <c r="J11" s="482">
        <f t="shared" ref="J11:L11" si="0">J9-J10</f>
        <v>1078.0999999999999</v>
      </c>
      <c r="K11" s="482">
        <f t="shared" si="0"/>
        <v>15.6</v>
      </c>
      <c r="L11" s="482">
        <f t="shared" si="0"/>
        <v>5</v>
      </c>
      <c r="M11" s="482">
        <f>SUM(C17:D17)/12*4</f>
        <v>585.6</v>
      </c>
      <c r="N11" s="482">
        <v>0</v>
      </c>
      <c r="O11" s="990">
        <v>0</v>
      </c>
      <c r="P11" s="1156">
        <v>0</v>
      </c>
      <c r="Q11" s="882"/>
      <c r="R11" s="882"/>
      <c r="S11" s="882"/>
      <c r="T11" s="882"/>
      <c r="U11" s="882"/>
      <c r="V11" s="882"/>
      <c r="W11" s="882"/>
      <c r="X11" s="882"/>
      <c r="Y11" s="882"/>
      <c r="Z11" s="882"/>
      <c r="AA11" s="882"/>
      <c r="AB11" s="882"/>
      <c r="AC11" s="877"/>
    </row>
    <row r="12" spans="1:29" x14ac:dyDescent="0.35">
      <c r="B12" s="27"/>
      <c r="C12" s="27"/>
      <c r="D12" s="27"/>
      <c r="E12" s="27"/>
      <c r="F12" s="27"/>
      <c r="G12" s="27"/>
      <c r="H12" s="27"/>
      <c r="I12" s="27"/>
      <c r="J12" s="27"/>
      <c r="K12" s="27"/>
      <c r="L12" s="27"/>
      <c r="M12" s="27"/>
      <c r="N12" s="27"/>
      <c r="O12" s="817"/>
      <c r="P12" s="817"/>
      <c r="Q12" s="817"/>
      <c r="R12" s="817"/>
      <c r="S12" s="817"/>
      <c r="T12" s="817"/>
      <c r="U12" s="817"/>
      <c r="V12" s="817"/>
      <c r="W12" s="817"/>
      <c r="X12" s="817"/>
      <c r="Y12" s="817"/>
      <c r="Z12" s="1090"/>
      <c r="AA12" s="1090"/>
      <c r="AB12" s="1090"/>
      <c r="AC12" s="1090"/>
    </row>
    <row r="13" spans="1:29" x14ac:dyDescent="0.35">
      <c r="A13" s="782"/>
      <c r="B13" s="782"/>
      <c r="C13" s="782"/>
      <c r="D13" s="782"/>
      <c r="E13" s="782"/>
      <c r="F13" s="782"/>
      <c r="G13" s="782"/>
      <c r="H13" s="782"/>
      <c r="I13" s="782"/>
      <c r="J13" s="782"/>
      <c r="K13" s="782"/>
      <c r="L13" s="281"/>
      <c r="M13" s="281"/>
      <c r="N13" s="281"/>
      <c r="O13" s="1090"/>
      <c r="P13" s="1099"/>
      <c r="Q13" s="1099"/>
      <c r="R13" s="1099"/>
      <c r="S13" s="1099"/>
      <c r="T13" s="1099"/>
      <c r="U13" s="1099"/>
      <c r="V13" s="1099"/>
      <c r="W13" s="1099"/>
      <c r="X13" s="1099"/>
      <c r="Y13" s="1099"/>
      <c r="Z13" s="1099"/>
      <c r="AA13" s="1099"/>
      <c r="AB13" s="1099"/>
      <c r="AC13" s="1099"/>
    </row>
    <row r="14" spans="1:29" x14ac:dyDescent="0.35">
      <c r="A14" s="256"/>
      <c r="N14" s="781"/>
      <c r="O14" s="1157"/>
      <c r="P14" s="920"/>
      <c r="Q14" s="920"/>
      <c r="R14" s="920"/>
      <c r="S14" s="920"/>
      <c r="T14" s="920"/>
      <c r="U14" s="920"/>
      <c r="V14" s="920"/>
      <c r="W14" s="920"/>
      <c r="X14" s="920"/>
      <c r="Y14" s="920"/>
      <c r="Z14" s="920"/>
      <c r="AA14" s="920"/>
      <c r="AB14" s="920"/>
      <c r="AC14" s="920"/>
    </row>
    <row r="15" spans="1:29" x14ac:dyDescent="0.35">
      <c r="A15" s="203"/>
      <c r="B15" s="1382" t="s">
        <v>570</v>
      </c>
      <c r="C15" s="1327">
        <v>2021</v>
      </c>
      <c r="D15" s="1328"/>
      <c r="E15" s="1328"/>
      <c r="F15" s="1328"/>
      <c r="G15" s="385"/>
      <c r="K15" s="1384"/>
      <c r="L15" s="1384"/>
      <c r="M15" s="781"/>
      <c r="N15" s="781"/>
      <c r="O15" s="1157"/>
      <c r="P15" s="852"/>
      <c r="Q15" s="852"/>
      <c r="R15" s="1090"/>
      <c r="S15" s="852"/>
      <c r="T15" s="852"/>
      <c r="U15" s="852"/>
      <c r="V15" s="852"/>
      <c r="W15" s="852"/>
      <c r="X15" s="852"/>
      <c r="Y15" s="852"/>
      <c r="Z15" s="852"/>
      <c r="AA15" s="852"/>
      <c r="AB15" s="852"/>
      <c r="AC15" s="852"/>
    </row>
    <row r="16" spans="1:29" x14ac:dyDescent="0.35">
      <c r="B16" s="1383"/>
      <c r="C16" s="284" t="s">
        <v>248</v>
      </c>
      <c r="D16" s="285" t="s">
        <v>249</v>
      </c>
      <c r="E16" s="285" t="s">
        <v>250</v>
      </c>
      <c r="F16" s="285" t="s">
        <v>251</v>
      </c>
      <c r="G16" s="386"/>
      <c r="H16" s="203"/>
      <c r="I16" s="203"/>
      <c r="J16" s="203"/>
      <c r="K16" s="203"/>
      <c r="L16" s="203"/>
      <c r="M16" s="203"/>
      <c r="N16" s="203"/>
      <c r="O16" s="889"/>
      <c r="P16" s="852"/>
      <c r="Q16" s="852"/>
      <c r="R16" s="852"/>
      <c r="S16" s="852"/>
      <c r="T16" s="852"/>
      <c r="U16" s="852"/>
      <c r="V16" s="852"/>
      <c r="W16" s="852"/>
      <c r="X16" s="852"/>
      <c r="Y16" s="852"/>
      <c r="Z16" s="852"/>
      <c r="AA16" s="852"/>
      <c r="AB16" s="852"/>
      <c r="AC16" s="852"/>
    </row>
    <row r="17" spans="2:29" ht="16.5" x14ac:dyDescent="0.35">
      <c r="B17" s="283" t="s">
        <v>571</v>
      </c>
      <c r="C17" s="387">
        <v>1660.9</v>
      </c>
      <c r="D17" s="387">
        <v>95.9</v>
      </c>
      <c r="E17" s="387">
        <v>4044.2</v>
      </c>
      <c r="F17" s="388">
        <v>688</v>
      </c>
      <c r="G17" s="282"/>
      <c r="H17" s="282"/>
      <c r="I17" s="282"/>
      <c r="J17" s="282"/>
      <c r="K17" s="282"/>
      <c r="L17" s="282"/>
      <c r="M17" s="27"/>
      <c r="N17" s="27"/>
      <c r="O17" s="817"/>
      <c r="P17" s="817"/>
      <c r="Q17" s="817"/>
      <c r="R17" s="817"/>
      <c r="S17" s="1090"/>
      <c r="T17" s="1090"/>
      <c r="U17" s="1090"/>
      <c r="V17" s="1090"/>
      <c r="W17" s="1090"/>
      <c r="X17" s="1090"/>
      <c r="Y17" s="1090"/>
      <c r="Z17" s="1090"/>
      <c r="AA17" s="1090"/>
      <c r="AB17" s="1090"/>
      <c r="AC17" s="1090"/>
    </row>
    <row r="18" spans="2:29" x14ac:dyDescent="0.35">
      <c r="B18" s="286" t="s">
        <v>572</v>
      </c>
      <c r="C18" s="27"/>
      <c r="D18" s="27"/>
      <c r="E18" s="27"/>
      <c r="F18" s="27"/>
      <c r="G18" s="27"/>
      <c r="H18" s="27"/>
      <c r="I18" s="27"/>
      <c r="J18" s="27"/>
      <c r="K18" s="27"/>
      <c r="L18" s="27"/>
      <c r="M18" s="27"/>
      <c r="N18" s="27"/>
      <c r="O18" s="817"/>
      <c r="P18" s="1155"/>
      <c r="Q18" s="1155"/>
      <c r="R18" s="1155"/>
      <c r="S18" s="1155"/>
      <c r="T18" s="1155"/>
      <c r="U18" s="1155"/>
      <c r="V18" s="1155"/>
      <c r="W18" s="1155"/>
      <c r="X18" s="1155"/>
      <c r="Y18" s="817"/>
      <c r="Z18" s="1090"/>
      <c r="AA18" s="1090"/>
      <c r="AB18" s="1090"/>
      <c r="AC18" s="1090"/>
    </row>
    <row r="19" spans="2:29" x14ac:dyDescent="0.35">
      <c r="B19" s="27"/>
      <c r="C19" s="27"/>
      <c r="D19" s="27"/>
      <c r="E19" s="27"/>
      <c r="F19" s="27"/>
      <c r="G19" s="27"/>
      <c r="H19" s="27"/>
      <c r="I19" s="27"/>
      <c r="J19" s="27"/>
      <c r="K19" s="27"/>
      <c r="L19" s="27"/>
      <c r="M19" s="27"/>
      <c r="N19" s="27"/>
      <c r="O19" s="817"/>
      <c r="P19" s="817"/>
      <c r="Q19" s="817"/>
      <c r="R19" s="817"/>
      <c r="S19" s="817"/>
      <c r="T19" s="817"/>
      <c r="U19" s="817"/>
      <c r="V19" s="817"/>
      <c r="W19" s="817"/>
      <c r="X19" s="817"/>
      <c r="Y19" s="817"/>
      <c r="Z19" s="1090"/>
      <c r="AA19" s="1090"/>
      <c r="AB19" s="1090"/>
      <c r="AC19" s="1090"/>
    </row>
    <row r="20" spans="2:29" x14ac:dyDescent="0.35">
      <c r="B20" s="196"/>
      <c r="C20" s="27"/>
      <c r="D20" s="27"/>
      <c r="E20" s="27"/>
      <c r="F20" s="27"/>
      <c r="G20" s="27"/>
      <c r="H20" s="27"/>
      <c r="I20" s="27"/>
      <c r="J20" s="27"/>
      <c r="K20" s="27"/>
      <c r="L20" s="27"/>
      <c r="M20" s="27"/>
      <c r="N20" s="27"/>
      <c r="O20" s="27"/>
      <c r="P20" s="27"/>
      <c r="Q20" s="27"/>
      <c r="R20" s="27"/>
      <c r="S20" s="27"/>
      <c r="T20" s="27"/>
      <c r="U20" s="27"/>
      <c r="V20" s="27"/>
      <c r="W20" s="27"/>
      <c r="X20" s="27"/>
      <c r="Y20" s="27"/>
    </row>
    <row r="21" spans="2:29" x14ac:dyDescent="0.35">
      <c r="B21" s="27"/>
      <c r="C21" s="27"/>
      <c r="D21" s="27"/>
      <c r="E21" s="27"/>
      <c r="F21" s="27"/>
      <c r="G21" s="27"/>
      <c r="H21" s="27"/>
      <c r="I21" s="27"/>
      <c r="J21" s="27"/>
      <c r="K21" s="27"/>
      <c r="L21" s="27"/>
      <c r="M21" s="27"/>
      <c r="N21" s="27"/>
      <c r="O21" s="27"/>
      <c r="P21" s="27"/>
      <c r="Q21" s="27"/>
      <c r="R21" s="27"/>
      <c r="S21" s="27"/>
      <c r="T21" s="27"/>
      <c r="U21" s="27"/>
      <c r="V21" s="27"/>
      <c r="W21" s="27"/>
      <c r="X21" s="27"/>
      <c r="Y21" s="27"/>
    </row>
    <row r="22" spans="2:29" x14ac:dyDescent="0.35">
      <c r="B22" s="27"/>
      <c r="C22" s="27"/>
      <c r="D22" s="27"/>
      <c r="E22" s="27"/>
      <c r="F22" s="27"/>
      <c r="G22" s="27"/>
      <c r="H22" s="27"/>
      <c r="I22" s="27"/>
      <c r="J22" s="27"/>
      <c r="K22" s="27"/>
      <c r="L22" s="27"/>
      <c r="M22" s="27"/>
      <c r="N22" s="27"/>
      <c r="O22" s="27"/>
      <c r="P22" s="27"/>
      <c r="Q22" s="27"/>
      <c r="R22" s="27"/>
      <c r="S22" s="27"/>
      <c r="T22" s="27"/>
      <c r="U22" s="27"/>
      <c r="V22" s="27"/>
      <c r="W22" s="27"/>
      <c r="X22" s="27"/>
      <c r="Y22" s="27"/>
    </row>
    <row r="23" spans="2:29" x14ac:dyDescent="0.35">
      <c r="B23" s="27"/>
      <c r="C23" s="27"/>
      <c r="D23" s="27"/>
      <c r="E23" s="27"/>
      <c r="F23" s="27"/>
      <c r="G23" s="27"/>
      <c r="H23" s="27"/>
      <c r="I23" s="27"/>
      <c r="J23" s="27"/>
      <c r="K23" s="27"/>
      <c r="L23" s="27"/>
      <c r="M23" s="27"/>
      <c r="N23" s="27"/>
      <c r="O23" s="27"/>
      <c r="P23" s="27"/>
      <c r="Q23" s="27"/>
      <c r="R23" s="27"/>
      <c r="S23" s="27"/>
      <c r="T23" s="27"/>
      <c r="U23" s="27"/>
      <c r="V23" s="27"/>
      <c r="W23" s="27"/>
      <c r="X23" s="27"/>
      <c r="Y23" s="27"/>
    </row>
    <row r="24" spans="2:29" x14ac:dyDescent="0.35">
      <c r="B24" s="27"/>
      <c r="C24" s="27"/>
      <c r="D24" s="27"/>
      <c r="E24" s="27"/>
      <c r="F24" s="27"/>
      <c r="G24" s="27"/>
      <c r="H24" s="27"/>
      <c r="I24" s="27"/>
      <c r="J24" s="27"/>
      <c r="K24" s="27"/>
      <c r="L24" s="27"/>
      <c r="M24" s="27"/>
      <c r="N24" s="27"/>
      <c r="O24" s="27"/>
      <c r="P24" s="27"/>
      <c r="Q24" s="27"/>
      <c r="R24" s="27"/>
      <c r="S24" s="27"/>
      <c r="T24" s="27"/>
      <c r="U24" s="27"/>
      <c r="V24" s="27"/>
      <c r="W24" s="27"/>
      <c r="X24" s="27"/>
      <c r="Y24" s="27"/>
    </row>
    <row r="25" spans="2:29" x14ac:dyDescent="0.35">
      <c r="B25" s="27"/>
      <c r="C25" s="27"/>
      <c r="D25" s="27"/>
      <c r="E25" s="27"/>
      <c r="F25" s="27"/>
      <c r="G25" s="27"/>
      <c r="H25" s="27"/>
      <c r="I25" s="27"/>
      <c r="J25" s="27"/>
      <c r="K25" s="27"/>
      <c r="L25" s="27"/>
      <c r="M25" s="27"/>
      <c r="N25" s="27"/>
      <c r="O25" s="27"/>
      <c r="P25" s="27"/>
      <c r="Q25" s="27"/>
      <c r="R25" s="27"/>
      <c r="S25" s="27"/>
      <c r="T25" s="27"/>
      <c r="U25" s="27"/>
      <c r="V25" s="27"/>
      <c r="W25" s="27"/>
      <c r="X25" s="27"/>
      <c r="Y25" s="27"/>
    </row>
    <row r="26" spans="2:29" x14ac:dyDescent="0.35">
      <c r="B26" s="27"/>
      <c r="C26" s="27"/>
      <c r="D26" s="27"/>
      <c r="E26" s="27"/>
      <c r="F26" s="27"/>
      <c r="G26" s="27"/>
      <c r="H26" s="27"/>
      <c r="I26" s="27"/>
      <c r="J26" s="27"/>
      <c r="K26" s="27"/>
      <c r="L26" s="27"/>
      <c r="M26" s="27"/>
      <c r="N26" s="27"/>
      <c r="O26" s="27"/>
      <c r="P26" s="27"/>
      <c r="Q26" s="27"/>
      <c r="R26" s="27"/>
      <c r="S26" s="27"/>
      <c r="T26" s="27"/>
      <c r="U26" s="27"/>
      <c r="V26" s="27"/>
      <c r="W26" s="27"/>
      <c r="X26" s="27"/>
      <c r="Y26" s="27"/>
    </row>
    <row r="27" spans="2:29" x14ac:dyDescent="0.35">
      <c r="B27" s="27"/>
      <c r="C27" s="27"/>
      <c r="D27" s="27"/>
      <c r="E27" s="27"/>
      <c r="F27" s="27"/>
      <c r="G27" s="27"/>
      <c r="H27" s="27"/>
      <c r="I27" s="27"/>
      <c r="J27" s="27"/>
      <c r="K27" s="27"/>
      <c r="L27" s="27"/>
      <c r="M27" s="27"/>
      <c r="N27" s="27"/>
      <c r="O27" s="27"/>
      <c r="P27" s="27"/>
      <c r="Q27" s="27"/>
      <c r="R27" s="27"/>
      <c r="S27" s="27"/>
      <c r="T27" s="27"/>
      <c r="U27" s="27"/>
      <c r="V27" s="27"/>
      <c r="W27" s="27"/>
      <c r="X27" s="27"/>
      <c r="Y27" s="27"/>
    </row>
    <row r="28" spans="2:29" x14ac:dyDescent="0.35">
      <c r="B28" s="27"/>
      <c r="C28" s="27"/>
      <c r="D28" s="27"/>
      <c r="E28" s="27"/>
      <c r="F28" s="27"/>
      <c r="G28" s="27"/>
      <c r="H28" s="27"/>
      <c r="I28" s="27"/>
      <c r="J28" s="27"/>
      <c r="K28" s="27"/>
      <c r="L28" s="27"/>
      <c r="M28" s="27"/>
      <c r="N28" s="27"/>
      <c r="O28" s="27"/>
      <c r="P28" s="27"/>
      <c r="Q28" s="27"/>
      <c r="R28" s="27" t="s">
        <v>848</v>
      </c>
      <c r="S28" s="27"/>
      <c r="T28" s="27"/>
      <c r="U28" s="27"/>
      <c r="V28" s="27"/>
      <c r="W28" s="27"/>
      <c r="X28" s="27"/>
      <c r="Y28" s="27"/>
    </row>
    <row r="29" spans="2:29" x14ac:dyDescent="0.35">
      <c r="B29" s="27"/>
      <c r="C29" s="27"/>
      <c r="D29" s="27"/>
      <c r="E29" s="27"/>
      <c r="F29" s="27"/>
      <c r="G29" s="27"/>
      <c r="H29" s="27"/>
      <c r="I29" s="27"/>
      <c r="J29" s="27"/>
      <c r="K29" s="27"/>
      <c r="L29" s="27"/>
      <c r="M29" s="27"/>
      <c r="N29" s="27"/>
      <c r="O29" s="27"/>
      <c r="P29" s="27"/>
      <c r="Q29" s="27"/>
      <c r="R29" s="27"/>
      <c r="S29" s="27"/>
      <c r="T29" s="27"/>
      <c r="U29" s="27"/>
      <c r="V29" s="27"/>
      <c r="W29" s="27"/>
      <c r="X29" s="27"/>
      <c r="Y29" s="27"/>
    </row>
    <row r="30" spans="2:29" x14ac:dyDescent="0.35">
      <c r="B30" s="27"/>
      <c r="C30" s="27"/>
      <c r="D30" s="27"/>
      <c r="E30" s="27"/>
      <c r="F30" s="27"/>
      <c r="G30" s="27"/>
      <c r="H30" s="27"/>
      <c r="I30" s="27"/>
      <c r="J30" s="27"/>
      <c r="K30" s="27"/>
      <c r="L30" s="27"/>
      <c r="M30" s="27"/>
      <c r="N30" s="27"/>
      <c r="O30" s="27"/>
      <c r="P30" s="27"/>
      <c r="Q30" s="27"/>
      <c r="R30" s="27"/>
      <c r="S30" s="27"/>
      <c r="T30" s="27"/>
      <c r="U30" s="27"/>
      <c r="V30" s="27"/>
      <c r="W30" s="27"/>
      <c r="X30" s="27"/>
      <c r="Y30" s="27"/>
    </row>
    <row r="31" spans="2:29" x14ac:dyDescent="0.35">
      <c r="B31" s="27"/>
      <c r="C31" s="27"/>
      <c r="D31" s="27"/>
      <c r="E31" s="27"/>
      <c r="F31" s="27"/>
      <c r="G31" s="27"/>
      <c r="H31" s="27"/>
      <c r="I31" s="27"/>
      <c r="J31" s="27"/>
      <c r="K31" s="27"/>
      <c r="L31" s="27"/>
      <c r="M31" s="27"/>
      <c r="N31" s="27"/>
      <c r="O31" s="27"/>
      <c r="P31" s="27"/>
      <c r="Q31" s="27"/>
      <c r="R31" s="27"/>
      <c r="S31" s="27"/>
      <c r="T31" s="27"/>
      <c r="U31" s="27"/>
      <c r="V31" s="27"/>
      <c r="W31" s="27"/>
      <c r="X31" s="27"/>
      <c r="Y31" s="27"/>
    </row>
    <row r="32" spans="2:29" x14ac:dyDescent="0.35">
      <c r="B32" s="27"/>
      <c r="C32" s="27"/>
      <c r="D32" s="27"/>
      <c r="E32" s="27"/>
      <c r="F32" s="27"/>
      <c r="G32" s="27"/>
      <c r="H32" s="27"/>
      <c r="I32" s="27"/>
      <c r="J32" s="27"/>
      <c r="K32" s="27"/>
      <c r="L32" s="27"/>
      <c r="M32" s="27"/>
      <c r="N32" s="27"/>
      <c r="O32" s="27"/>
      <c r="P32" s="27"/>
      <c r="Q32" s="27"/>
      <c r="R32" s="27"/>
      <c r="S32" s="27"/>
      <c r="T32" s="27"/>
      <c r="U32" s="27"/>
      <c r="V32" s="27"/>
      <c r="W32" s="27"/>
      <c r="X32" s="27"/>
      <c r="Y32" s="27"/>
    </row>
    <row r="33" spans="2:25" x14ac:dyDescent="0.35">
      <c r="B33" s="27"/>
      <c r="C33" s="27"/>
      <c r="D33" s="27"/>
      <c r="E33" s="27"/>
      <c r="F33" s="27"/>
      <c r="G33" s="27"/>
      <c r="H33" s="27"/>
      <c r="I33" s="27"/>
      <c r="J33" s="27"/>
      <c r="K33" s="27"/>
      <c r="L33" s="27"/>
      <c r="M33" s="27"/>
      <c r="N33" s="27"/>
      <c r="O33" s="27"/>
      <c r="P33" s="27"/>
      <c r="Q33" s="27"/>
      <c r="R33" s="27"/>
      <c r="S33" s="27"/>
      <c r="T33" s="27"/>
      <c r="U33" s="27"/>
      <c r="V33" s="27"/>
      <c r="W33" s="27"/>
      <c r="X33" s="27"/>
      <c r="Y33" s="27"/>
    </row>
    <row r="34" spans="2:25" x14ac:dyDescent="0.35">
      <c r="B34" s="27"/>
      <c r="C34" s="27"/>
      <c r="D34" s="27"/>
      <c r="E34" s="27"/>
      <c r="F34" s="27"/>
      <c r="G34" s="27"/>
      <c r="H34" s="27"/>
      <c r="I34" s="27"/>
      <c r="J34" s="27"/>
      <c r="K34" s="27"/>
      <c r="L34" s="27"/>
      <c r="M34" s="27"/>
      <c r="N34" s="27"/>
      <c r="O34" s="27"/>
      <c r="P34" s="27"/>
      <c r="Q34" s="27"/>
      <c r="R34" s="27"/>
      <c r="S34" s="27"/>
      <c r="T34" s="27"/>
      <c r="U34" s="27"/>
      <c r="V34" s="27"/>
      <c r="W34" s="27"/>
      <c r="X34" s="27"/>
      <c r="Y34" s="27"/>
    </row>
    <row r="35" spans="2:25" x14ac:dyDescent="0.35">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2:25" x14ac:dyDescent="0.35">
      <c r="B36" s="27"/>
      <c r="C36" s="27"/>
      <c r="D36" s="27"/>
      <c r="E36" s="27"/>
      <c r="F36" s="27"/>
      <c r="G36" s="27"/>
      <c r="H36" s="27"/>
      <c r="I36" s="27"/>
      <c r="J36" s="27"/>
      <c r="K36" s="27"/>
      <c r="L36" s="27"/>
      <c r="M36" s="27"/>
      <c r="N36" s="27"/>
      <c r="O36" s="27"/>
      <c r="P36" s="27"/>
      <c r="Q36" s="27"/>
      <c r="R36" s="27"/>
      <c r="S36" s="27"/>
      <c r="T36" s="27"/>
      <c r="U36" s="27"/>
      <c r="V36" s="27"/>
      <c r="W36" s="27"/>
      <c r="X36" s="27"/>
      <c r="Y36" s="27"/>
    </row>
    <row r="37" spans="2:25" x14ac:dyDescent="0.35">
      <c r="B37" s="27"/>
      <c r="C37" s="27"/>
      <c r="D37" s="27"/>
      <c r="E37" s="27"/>
      <c r="F37" s="27"/>
      <c r="G37" s="27"/>
      <c r="H37" s="27"/>
      <c r="I37" s="27"/>
      <c r="J37" s="27"/>
      <c r="K37" s="27"/>
      <c r="L37" s="27"/>
      <c r="M37" s="27"/>
      <c r="N37" s="27"/>
      <c r="O37" s="27"/>
      <c r="P37" s="27"/>
      <c r="Q37" s="27"/>
      <c r="R37" s="27"/>
      <c r="S37" s="27"/>
      <c r="T37" s="27"/>
      <c r="U37" s="27"/>
      <c r="V37" s="27"/>
      <c r="W37" s="27"/>
      <c r="X37" s="27"/>
      <c r="Y37" s="27"/>
    </row>
    <row r="38" spans="2:25" x14ac:dyDescent="0.35">
      <c r="B38" s="27"/>
      <c r="C38" s="27"/>
      <c r="D38" s="27"/>
      <c r="E38" s="27"/>
      <c r="F38" s="27"/>
      <c r="G38" s="27"/>
      <c r="H38" s="27"/>
      <c r="I38" s="27"/>
      <c r="J38" s="27"/>
      <c r="K38" s="27"/>
      <c r="L38" s="27"/>
      <c r="M38" s="27"/>
      <c r="N38" s="27"/>
      <c r="O38" s="27"/>
      <c r="P38" s="27"/>
      <c r="Q38" s="27"/>
      <c r="R38" s="27"/>
      <c r="S38" s="27"/>
      <c r="T38" s="27"/>
      <c r="U38" s="27"/>
      <c r="V38" s="27"/>
      <c r="W38" s="27"/>
      <c r="X38" s="27"/>
      <c r="Y38" s="27"/>
    </row>
    <row r="39" spans="2:25" x14ac:dyDescent="0.35">
      <c r="B39" s="27"/>
      <c r="C39" s="27"/>
      <c r="D39" s="27"/>
      <c r="E39" s="27"/>
      <c r="F39" s="27"/>
      <c r="G39" s="27"/>
      <c r="H39" s="27"/>
      <c r="I39" s="27"/>
      <c r="J39" s="27"/>
      <c r="K39" s="27"/>
      <c r="L39" s="27"/>
      <c r="M39" s="27"/>
      <c r="N39" s="27"/>
      <c r="O39" s="27"/>
      <c r="P39" s="27"/>
      <c r="Q39" s="27"/>
      <c r="R39" s="27"/>
      <c r="S39" s="27"/>
      <c r="T39" s="27"/>
      <c r="U39" s="27"/>
      <c r="V39" s="27"/>
      <c r="W39" s="27"/>
      <c r="X39" s="27"/>
      <c r="Y39" s="27"/>
    </row>
    <row r="40" spans="2:25" x14ac:dyDescent="0.35">
      <c r="B40" s="27"/>
      <c r="C40" s="27"/>
      <c r="D40" s="27"/>
      <c r="E40" s="27"/>
      <c r="F40" s="27"/>
      <c r="G40" s="27"/>
      <c r="H40" s="27"/>
      <c r="I40" s="27"/>
      <c r="J40" s="27"/>
      <c r="K40" s="27"/>
      <c r="L40" s="27"/>
      <c r="M40" s="27"/>
      <c r="N40" s="27"/>
      <c r="O40" s="27"/>
      <c r="P40" s="27"/>
      <c r="Q40" s="27"/>
      <c r="R40" s="27"/>
      <c r="S40" s="27"/>
      <c r="T40" s="27"/>
      <c r="U40" s="27"/>
      <c r="V40" s="27"/>
      <c r="W40" s="27"/>
      <c r="X40" s="27"/>
      <c r="Y40" s="27"/>
    </row>
    <row r="41" spans="2:25" x14ac:dyDescent="0.35">
      <c r="B41" s="27"/>
      <c r="C41" s="27"/>
      <c r="D41" s="27"/>
      <c r="E41" s="27"/>
      <c r="F41" s="27"/>
      <c r="G41" s="27"/>
      <c r="H41" s="27"/>
      <c r="I41" s="27"/>
      <c r="J41" s="27"/>
      <c r="K41" s="27"/>
      <c r="L41" s="27"/>
      <c r="M41" s="27"/>
      <c r="N41" s="27"/>
      <c r="O41" s="27"/>
      <c r="P41" s="27"/>
      <c r="Q41" s="27"/>
      <c r="R41" s="27"/>
      <c r="S41" s="27"/>
      <c r="T41" s="27"/>
      <c r="U41" s="27"/>
      <c r="V41" s="27"/>
      <c r="W41" s="27"/>
      <c r="X41" s="27"/>
      <c r="Y41" s="27"/>
    </row>
    <row r="42" spans="2:25" x14ac:dyDescent="0.35">
      <c r="B42" s="27"/>
      <c r="C42" s="27"/>
      <c r="D42" s="27"/>
      <c r="E42" s="27"/>
      <c r="F42" s="27"/>
      <c r="G42" s="27"/>
      <c r="H42" s="27"/>
      <c r="I42" s="27"/>
      <c r="J42" s="27"/>
      <c r="K42" s="27"/>
      <c r="L42" s="27"/>
      <c r="M42" s="27"/>
      <c r="N42" s="27"/>
      <c r="O42" s="27"/>
      <c r="P42" s="27"/>
      <c r="Q42" s="27"/>
      <c r="R42" s="27"/>
      <c r="S42" s="27"/>
      <c r="T42" s="27"/>
      <c r="U42" s="27"/>
      <c r="V42" s="27"/>
      <c r="W42" s="27"/>
      <c r="X42" s="27"/>
      <c r="Y42" s="27"/>
    </row>
    <row r="43" spans="2:25" x14ac:dyDescent="0.35">
      <c r="B43" s="27"/>
      <c r="C43" s="27"/>
      <c r="D43" s="27"/>
      <c r="E43" s="27"/>
      <c r="F43" s="27"/>
      <c r="G43" s="27"/>
      <c r="H43" s="27"/>
      <c r="I43" s="27"/>
      <c r="J43" s="27"/>
      <c r="K43" s="27"/>
      <c r="L43" s="27"/>
      <c r="M43" s="27"/>
      <c r="N43" s="27"/>
      <c r="O43" s="27"/>
      <c r="P43" s="27"/>
      <c r="Q43" s="27"/>
      <c r="R43" s="27"/>
      <c r="S43" s="27"/>
      <c r="T43" s="27"/>
      <c r="U43" s="27"/>
      <c r="V43" s="27"/>
      <c r="W43" s="27"/>
      <c r="X43" s="27"/>
      <c r="Y43" s="27"/>
    </row>
    <row r="44" spans="2:25" x14ac:dyDescent="0.35">
      <c r="B44" s="27"/>
      <c r="C44" s="27"/>
      <c r="D44" s="27"/>
      <c r="E44" s="27"/>
      <c r="F44" s="27"/>
      <c r="G44" s="27"/>
      <c r="H44" s="27"/>
      <c r="I44" s="27"/>
      <c r="J44" s="27"/>
      <c r="K44" s="27"/>
      <c r="L44" s="27"/>
      <c r="M44" s="27"/>
      <c r="N44" s="27"/>
      <c r="O44" s="27"/>
      <c r="P44" s="27"/>
      <c r="Q44" s="27"/>
      <c r="R44" s="27"/>
      <c r="S44" s="27"/>
      <c r="T44" s="27"/>
      <c r="U44" s="27"/>
      <c r="V44" s="27"/>
      <c r="W44" s="27"/>
      <c r="X44" s="27"/>
      <c r="Y44" s="27"/>
    </row>
    <row r="45" spans="2:25" x14ac:dyDescent="0.35">
      <c r="B45" s="27"/>
      <c r="C45" s="27"/>
      <c r="D45" s="27"/>
      <c r="E45" s="27"/>
      <c r="F45" s="27"/>
      <c r="G45" s="27"/>
      <c r="H45" s="27"/>
      <c r="I45" s="27"/>
      <c r="J45" s="27"/>
      <c r="K45" s="27"/>
      <c r="L45" s="27"/>
      <c r="M45" s="27"/>
      <c r="N45" s="27"/>
      <c r="O45" s="27"/>
      <c r="P45" s="27"/>
      <c r="Q45" s="27"/>
      <c r="R45" s="27"/>
      <c r="S45" s="27"/>
      <c r="T45" s="27"/>
      <c r="U45" s="27"/>
      <c r="V45" s="27"/>
      <c r="W45" s="27"/>
      <c r="X45" s="27"/>
      <c r="Y45" s="27"/>
    </row>
    <row r="46" spans="2:25" x14ac:dyDescent="0.35">
      <c r="B46" s="27"/>
      <c r="C46" s="27"/>
      <c r="D46" s="27"/>
      <c r="E46" s="27"/>
      <c r="F46" s="27"/>
      <c r="G46" s="27"/>
      <c r="H46" s="27"/>
      <c r="I46" s="27"/>
      <c r="J46" s="27"/>
      <c r="K46" s="27"/>
      <c r="L46" s="27"/>
      <c r="M46" s="27"/>
      <c r="N46" s="27"/>
      <c r="O46" s="27"/>
      <c r="P46" s="27"/>
      <c r="Q46" s="27"/>
      <c r="R46" s="27"/>
      <c r="S46" s="27"/>
      <c r="T46" s="27"/>
      <c r="U46" s="27"/>
      <c r="V46" s="27"/>
      <c r="W46" s="27"/>
      <c r="X46" s="27"/>
      <c r="Y46" s="27"/>
    </row>
    <row r="47" spans="2:25" x14ac:dyDescent="0.35">
      <c r="B47" s="27"/>
      <c r="C47" s="27"/>
      <c r="D47" s="27"/>
      <c r="E47" s="27"/>
      <c r="F47" s="27"/>
      <c r="G47" s="27"/>
      <c r="H47" s="27"/>
      <c r="I47" s="27"/>
      <c r="J47" s="27"/>
      <c r="K47" s="27"/>
      <c r="L47" s="27"/>
      <c r="M47" s="27"/>
      <c r="N47" s="27"/>
      <c r="O47" s="27"/>
      <c r="P47" s="27"/>
      <c r="Q47" s="27"/>
      <c r="R47" s="27"/>
      <c r="S47" s="27"/>
      <c r="T47" s="27"/>
      <c r="U47" s="27"/>
      <c r="V47" s="27"/>
      <c r="W47" s="27"/>
      <c r="X47" s="27"/>
      <c r="Y47" s="27"/>
    </row>
    <row r="48" spans="2:25" x14ac:dyDescent="0.35">
      <c r="B48" s="27"/>
      <c r="C48" s="27"/>
      <c r="D48" s="27"/>
      <c r="E48" s="27"/>
      <c r="F48" s="27"/>
      <c r="G48" s="27"/>
      <c r="H48" s="27"/>
      <c r="I48" s="27"/>
      <c r="J48" s="27"/>
      <c r="K48" s="27"/>
      <c r="L48" s="27"/>
      <c r="M48" s="27"/>
      <c r="N48" s="27"/>
      <c r="O48" s="27"/>
      <c r="P48" s="27"/>
      <c r="Q48" s="27"/>
      <c r="R48" s="27"/>
      <c r="S48" s="27"/>
      <c r="T48" s="27"/>
      <c r="U48" s="27"/>
      <c r="V48" s="27"/>
      <c r="W48" s="27"/>
      <c r="X48" s="27"/>
      <c r="Y48" s="27"/>
    </row>
    <row r="49" spans="2:25" x14ac:dyDescent="0.35">
      <c r="B49" s="27"/>
      <c r="C49" s="27"/>
      <c r="D49" s="27"/>
      <c r="E49" s="27"/>
      <c r="F49" s="27"/>
      <c r="G49" s="27"/>
      <c r="H49" s="27"/>
      <c r="I49" s="27"/>
      <c r="J49" s="27"/>
      <c r="K49" s="27"/>
      <c r="L49" s="27"/>
      <c r="M49" s="27"/>
      <c r="N49" s="27"/>
      <c r="O49" s="27"/>
      <c r="P49" s="27"/>
      <c r="Q49" s="27"/>
      <c r="R49" s="27"/>
      <c r="S49" s="27"/>
      <c r="T49" s="27"/>
      <c r="U49" s="27"/>
      <c r="V49" s="27"/>
      <c r="W49" s="27"/>
      <c r="X49" s="27"/>
      <c r="Y49" s="27"/>
    </row>
    <row r="50" spans="2:25" x14ac:dyDescent="0.35">
      <c r="B50" s="27"/>
      <c r="C50" s="27"/>
      <c r="D50" s="27"/>
      <c r="E50" s="27"/>
      <c r="F50" s="27"/>
      <c r="G50" s="27"/>
      <c r="H50" s="27"/>
      <c r="I50" s="27"/>
      <c r="J50" s="27"/>
      <c r="K50" s="27"/>
      <c r="L50" s="27"/>
      <c r="M50" s="27"/>
      <c r="N50" s="27"/>
      <c r="O50" s="27"/>
      <c r="P50" s="27"/>
      <c r="Q50" s="27"/>
      <c r="R50" s="27"/>
      <c r="S50" s="27"/>
      <c r="T50" s="27"/>
      <c r="U50" s="27"/>
      <c r="V50" s="27"/>
      <c r="W50" s="27"/>
      <c r="X50" s="27"/>
      <c r="Y50" s="27"/>
    </row>
    <row r="51" spans="2:25" x14ac:dyDescent="0.35">
      <c r="B51" s="27"/>
      <c r="C51" s="27"/>
      <c r="D51" s="27"/>
      <c r="E51" s="27"/>
      <c r="F51" s="27"/>
      <c r="G51" s="27"/>
      <c r="H51" s="27"/>
      <c r="I51" s="27"/>
      <c r="J51" s="27"/>
      <c r="K51" s="27"/>
      <c r="L51" s="27"/>
      <c r="M51" s="27"/>
      <c r="N51" s="27"/>
      <c r="O51" s="27"/>
      <c r="P51" s="27"/>
      <c r="Q51" s="27"/>
      <c r="R51" s="27"/>
      <c r="S51" s="27"/>
      <c r="T51" s="27"/>
      <c r="U51" s="27"/>
      <c r="V51" s="27"/>
      <c r="W51" s="27"/>
      <c r="X51" s="27"/>
      <c r="Y51" s="27"/>
    </row>
    <row r="52" spans="2:25" x14ac:dyDescent="0.35">
      <c r="B52" s="27"/>
      <c r="C52" s="27"/>
      <c r="D52" s="27"/>
      <c r="E52" s="27"/>
      <c r="F52" s="27"/>
      <c r="G52" s="27"/>
      <c r="H52" s="27"/>
      <c r="I52" s="27"/>
      <c r="J52" s="27"/>
      <c r="K52" s="27"/>
      <c r="L52" s="27"/>
      <c r="M52" s="27"/>
      <c r="N52" s="27"/>
      <c r="O52" s="27"/>
      <c r="P52" s="27"/>
      <c r="Q52" s="27"/>
      <c r="R52" s="27"/>
      <c r="S52" s="27"/>
      <c r="T52" s="27"/>
      <c r="U52" s="27"/>
      <c r="V52" s="27"/>
      <c r="W52" s="27"/>
      <c r="X52" s="27"/>
      <c r="Y52" s="27"/>
    </row>
    <row r="53" spans="2:25" x14ac:dyDescent="0.35">
      <c r="B53" s="27"/>
      <c r="C53" s="27"/>
      <c r="D53" s="27"/>
      <c r="E53" s="27"/>
      <c r="F53" s="27"/>
      <c r="G53" s="27"/>
      <c r="H53" s="27"/>
      <c r="I53" s="27"/>
      <c r="J53" s="27"/>
      <c r="K53" s="27"/>
      <c r="L53" s="27"/>
      <c r="M53" s="27"/>
      <c r="N53" s="27"/>
      <c r="O53" s="27"/>
      <c r="P53" s="27"/>
      <c r="Q53" s="27"/>
      <c r="R53" s="27"/>
      <c r="S53" s="27"/>
      <c r="T53" s="27"/>
      <c r="U53" s="27"/>
      <c r="V53" s="27"/>
      <c r="W53" s="27"/>
      <c r="X53" s="27"/>
      <c r="Y53" s="27"/>
    </row>
    <row r="54" spans="2:25" x14ac:dyDescent="0.35">
      <c r="B54" s="27"/>
      <c r="C54" s="27"/>
      <c r="D54" s="27"/>
      <c r="E54" s="27"/>
      <c r="F54" s="27"/>
      <c r="G54" s="27"/>
      <c r="H54" s="27"/>
      <c r="I54" s="27"/>
      <c r="J54" s="27"/>
      <c r="K54" s="27"/>
      <c r="L54" s="27"/>
      <c r="M54" s="27"/>
      <c r="N54" s="27"/>
      <c r="O54" s="27"/>
      <c r="P54" s="27"/>
      <c r="Q54" s="27"/>
      <c r="R54" s="27"/>
      <c r="S54" s="27"/>
      <c r="T54" s="27"/>
      <c r="U54" s="27"/>
      <c r="V54" s="27"/>
      <c r="W54" s="27"/>
      <c r="X54" s="27"/>
      <c r="Y54" s="27"/>
    </row>
    <row r="55" spans="2:25" x14ac:dyDescent="0.35">
      <c r="B55" s="27"/>
      <c r="C55" s="27"/>
      <c r="D55" s="27"/>
      <c r="E55" s="27"/>
      <c r="F55" s="27"/>
      <c r="G55" s="27"/>
      <c r="H55" s="27"/>
      <c r="I55" s="27"/>
      <c r="J55" s="27"/>
      <c r="K55" s="27"/>
      <c r="L55" s="27"/>
      <c r="M55" s="27"/>
      <c r="N55" s="27"/>
      <c r="O55" s="27"/>
      <c r="P55" s="27"/>
      <c r="Q55" s="27"/>
      <c r="R55" s="27"/>
      <c r="S55" s="27"/>
      <c r="T55" s="27"/>
      <c r="U55" s="27"/>
      <c r="V55" s="27"/>
      <c r="W55" s="27"/>
      <c r="X55" s="27"/>
      <c r="Y55" s="27"/>
    </row>
  </sheetData>
  <mergeCells count="14">
    <mergeCell ref="B1:AC1"/>
    <mergeCell ref="B2:AC4"/>
    <mergeCell ref="B6:C8"/>
    <mergeCell ref="I7:L7"/>
    <mergeCell ref="Q7:T7"/>
    <mergeCell ref="U7:X7"/>
    <mergeCell ref="E7:H7"/>
    <mergeCell ref="D6:P6"/>
    <mergeCell ref="Q6:AC6"/>
    <mergeCell ref="B15:B16"/>
    <mergeCell ref="K15:L15"/>
    <mergeCell ref="C15:F15"/>
    <mergeCell ref="Y7:AB7"/>
    <mergeCell ref="M7:P7"/>
  </mergeCells>
  <hyperlinks>
    <hyperlink ref="B18" r:id="rId1" xr:uid="{AB55EA7F-CA6C-40DD-BB1F-AFF1906C946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25"/>
  <sheetViews>
    <sheetView zoomScale="60" zoomScaleNormal="60" workbookViewId="0">
      <selection activeCell="F14" sqref="F14"/>
    </sheetView>
  </sheetViews>
  <sheetFormatPr defaultColWidth="8.7265625" defaultRowHeight="14.5" x14ac:dyDescent="0.35"/>
  <cols>
    <col min="1" max="1" width="44.1796875" customWidth="1"/>
    <col min="2" max="2" width="58.7265625" customWidth="1"/>
    <col min="3" max="3" width="56.453125" customWidth="1"/>
    <col min="5" max="5" width="42.7265625" style="1090" customWidth="1"/>
    <col min="6" max="6" width="21.453125" style="1090" customWidth="1"/>
  </cols>
  <sheetData>
    <row r="1" spans="1:7" s="457" customFormat="1" ht="47.65" customHeight="1" x14ac:dyDescent="0.35">
      <c r="A1" s="1245" t="s">
        <v>33</v>
      </c>
      <c r="B1" s="1246" t="s">
        <v>34</v>
      </c>
      <c r="C1" s="1246" t="s">
        <v>35</v>
      </c>
      <c r="D1" s="1247" t="s">
        <v>36</v>
      </c>
      <c r="E1" s="1209"/>
      <c r="F1" s="1209"/>
    </row>
    <row r="2" spans="1:7" s="457" customFormat="1" ht="16.5" customHeight="1" x14ac:dyDescent="0.35">
      <c r="A2" s="1264" t="s">
        <v>37</v>
      </c>
      <c r="B2" s="1265"/>
      <c r="C2" s="1265"/>
      <c r="D2" s="1266"/>
      <c r="E2" s="1209"/>
      <c r="F2" s="1209"/>
    </row>
    <row r="3" spans="1:7" s="1101" customFormat="1" ht="69.5" customHeight="1" x14ac:dyDescent="0.35">
      <c r="A3" s="1212" t="s">
        <v>1229</v>
      </c>
      <c r="B3" s="1213" t="s">
        <v>1230</v>
      </c>
      <c r="C3" s="1213" t="s">
        <v>1231</v>
      </c>
      <c r="D3" s="1223"/>
      <c r="E3" s="1209"/>
      <c r="F3" s="1209"/>
    </row>
    <row r="4" spans="1:7" s="458" customFormat="1" ht="158.5" customHeight="1" x14ac:dyDescent="0.35">
      <c r="A4" s="1215" t="s">
        <v>1228</v>
      </c>
      <c r="B4" s="1218" t="s">
        <v>1232</v>
      </c>
      <c r="C4" s="1232" t="s">
        <v>1233</v>
      </c>
      <c r="D4" s="1224"/>
      <c r="E4" s="1210"/>
      <c r="F4" s="1210"/>
    </row>
    <row r="5" spans="1:7" s="458" customFormat="1" ht="99.5" customHeight="1" x14ac:dyDescent="0.35">
      <c r="A5" s="1215" t="s">
        <v>1234</v>
      </c>
      <c r="B5" s="1218" t="s">
        <v>38</v>
      </c>
      <c r="C5" s="1218" t="s">
        <v>39</v>
      </c>
      <c r="D5" s="1224"/>
      <c r="E5" s="1210"/>
      <c r="F5" s="1210"/>
    </row>
    <row r="6" spans="1:7" s="458" customFormat="1" ht="85.5" customHeight="1" x14ac:dyDescent="0.35">
      <c r="A6" s="1215" t="s">
        <v>1235</v>
      </c>
      <c r="B6" s="1218" t="s">
        <v>40</v>
      </c>
      <c r="C6" s="1218" t="s">
        <v>1237</v>
      </c>
      <c r="D6" s="1224"/>
      <c r="E6" s="1210"/>
      <c r="F6" s="1210"/>
    </row>
    <row r="7" spans="1:7" s="458" customFormat="1" ht="61.5" customHeight="1" x14ac:dyDescent="0.35">
      <c r="A7" s="1215" t="s">
        <v>1236</v>
      </c>
      <c r="B7" s="1218" t="s">
        <v>1202</v>
      </c>
      <c r="C7" s="1218" t="s">
        <v>1203</v>
      </c>
      <c r="D7" s="1224"/>
      <c r="E7" s="1210"/>
      <c r="F7" s="1210"/>
    </row>
    <row r="8" spans="1:7" s="458" customFormat="1" ht="100" customHeight="1" x14ac:dyDescent="0.35">
      <c r="A8" s="1215" t="s">
        <v>42</v>
      </c>
      <c r="B8" s="1218" t="s">
        <v>43</v>
      </c>
      <c r="C8" s="459" t="s">
        <v>44</v>
      </c>
      <c r="D8" s="1224"/>
      <c r="E8" s="1211"/>
      <c r="F8" s="1210"/>
      <c r="G8" s="510"/>
    </row>
    <row r="9" spans="1:7" s="458" customFormat="1" ht="78" customHeight="1" x14ac:dyDescent="0.35">
      <c r="A9" s="1215" t="s">
        <v>45</v>
      </c>
      <c r="B9" s="1218" t="s">
        <v>46</v>
      </c>
      <c r="C9" s="1218" t="s">
        <v>1238</v>
      </c>
      <c r="D9" s="1224"/>
      <c r="E9" s="1210"/>
      <c r="F9" s="1210"/>
    </row>
    <row r="10" spans="1:7" s="1094" customFormat="1" ht="67.5" customHeight="1" x14ac:dyDescent="0.35">
      <c r="A10" s="1216" t="s">
        <v>1192</v>
      </c>
      <c r="B10" s="1220" t="s">
        <v>1205</v>
      </c>
      <c r="C10" s="1220" t="s">
        <v>1239</v>
      </c>
      <c r="D10" s="1225"/>
      <c r="E10" s="1119"/>
      <c r="F10" s="1119"/>
    </row>
    <row r="11" spans="1:7" s="458" customFormat="1" ht="63.5" customHeight="1" x14ac:dyDescent="0.35">
      <c r="A11" s="1215" t="s">
        <v>47</v>
      </c>
      <c r="B11" s="1218" t="s">
        <v>48</v>
      </c>
      <c r="C11" s="1218" t="s">
        <v>1240</v>
      </c>
      <c r="D11" s="1226"/>
      <c r="E11" s="1210"/>
      <c r="F11" s="1210"/>
    </row>
    <row r="12" spans="1:7" s="458" customFormat="1" ht="15" customHeight="1" x14ac:dyDescent="0.35">
      <c r="A12" s="1264" t="s">
        <v>1241</v>
      </c>
      <c r="B12" s="1265"/>
      <c r="C12" s="1265"/>
      <c r="D12" s="1266"/>
      <c r="E12" s="1209"/>
      <c r="F12" s="1210"/>
    </row>
    <row r="13" spans="1:7" s="1100" customFormat="1" ht="29.5" customHeight="1" x14ac:dyDescent="0.35">
      <c r="A13" s="1219" t="s">
        <v>9</v>
      </c>
      <c r="B13" s="1270" t="s">
        <v>1243</v>
      </c>
      <c r="C13" s="1270"/>
      <c r="D13" s="1227"/>
      <c r="E13" s="1209"/>
      <c r="F13" s="1210"/>
    </row>
    <row r="14" spans="1:7" s="1100" customFormat="1" ht="48.5" customHeight="1" x14ac:dyDescent="0.35">
      <c r="A14" s="1212" t="s">
        <v>1242</v>
      </c>
      <c r="B14" s="1270" t="s">
        <v>1254</v>
      </c>
      <c r="C14" s="1270"/>
      <c r="D14" s="1224"/>
      <c r="E14" s="1209"/>
      <c r="F14" s="1210"/>
    </row>
    <row r="15" spans="1:7" s="1100" customFormat="1" ht="48.5" customHeight="1" x14ac:dyDescent="0.35">
      <c r="A15" s="1212" t="s">
        <v>1244</v>
      </c>
      <c r="B15" s="1270" t="s">
        <v>1245</v>
      </c>
      <c r="C15" s="1270"/>
      <c r="D15" s="1226"/>
      <c r="E15" s="1209"/>
      <c r="F15" s="1210"/>
    </row>
    <row r="16" spans="1:7" s="1" customFormat="1" x14ac:dyDescent="0.35">
      <c r="A16" s="1267" t="s">
        <v>59</v>
      </c>
      <c r="B16" s="1268"/>
      <c r="C16" s="1268"/>
      <c r="D16" s="1269"/>
      <c r="E16" s="1119"/>
      <c r="F16" s="1119"/>
    </row>
    <row r="17" spans="1:6" s="902" customFormat="1" ht="23" customHeight="1" x14ac:dyDescent="0.35">
      <c r="A17" s="1262" t="s">
        <v>1246</v>
      </c>
      <c r="B17" s="1263"/>
      <c r="C17" s="1263"/>
      <c r="D17" s="1228"/>
      <c r="E17" s="1119"/>
      <c r="F17" s="1119"/>
    </row>
    <row r="18" spans="1:6" s="1" customFormat="1" ht="42.5" customHeight="1" x14ac:dyDescent="0.35">
      <c r="A18" s="1216" t="s">
        <v>60</v>
      </c>
      <c r="B18" s="1220" t="s">
        <v>61</v>
      </c>
      <c r="C18" s="1220" t="s">
        <v>62</v>
      </c>
      <c r="D18" s="1225"/>
      <c r="E18" s="1119"/>
      <c r="F18" s="1119"/>
    </row>
    <row r="19" spans="1:6" s="1" customFormat="1" ht="63.5" customHeight="1" x14ac:dyDescent="0.35">
      <c r="A19" s="1216" t="s">
        <v>63</v>
      </c>
      <c r="B19" s="1220" t="s">
        <v>64</v>
      </c>
      <c r="C19" s="1220" t="s">
        <v>65</v>
      </c>
      <c r="D19" s="1225"/>
      <c r="E19" s="1119"/>
      <c r="F19" s="1119"/>
    </row>
    <row r="20" spans="1:6" s="1" customFormat="1" ht="34" customHeight="1" x14ac:dyDescent="0.35">
      <c r="A20" s="1262" t="s">
        <v>1199</v>
      </c>
      <c r="B20" s="1263"/>
      <c r="C20" s="1263"/>
      <c r="D20" s="1229"/>
      <c r="E20" s="1119"/>
      <c r="F20" s="1119"/>
    </row>
    <row r="21" spans="1:6" s="1" customFormat="1" x14ac:dyDescent="0.35">
      <c r="A21" s="1267" t="s">
        <v>66</v>
      </c>
      <c r="B21" s="1268"/>
      <c r="C21" s="1268"/>
      <c r="D21" s="1269"/>
      <c r="E21" s="1119"/>
      <c r="F21" s="1119"/>
    </row>
    <row r="22" spans="1:6" s="1" customFormat="1" ht="29" x14ac:dyDescent="0.35">
      <c r="A22" s="1216" t="s">
        <v>67</v>
      </c>
      <c r="B22" s="1220"/>
      <c r="C22" s="1220" t="s">
        <v>68</v>
      </c>
      <c r="D22" s="1228"/>
      <c r="E22" s="1119"/>
      <c r="F22" s="1119"/>
    </row>
    <row r="23" spans="1:6" s="1" customFormat="1" ht="58" x14ac:dyDescent="0.35">
      <c r="A23" s="1216" t="s">
        <v>69</v>
      </c>
      <c r="B23" s="1220" t="s">
        <v>70</v>
      </c>
      <c r="C23" s="1220" t="s">
        <v>71</v>
      </c>
      <c r="D23" s="1225"/>
      <c r="E23" s="1119"/>
      <c r="F23" s="1119"/>
    </row>
    <row r="24" spans="1:6" s="1" customFormat="1" ht="29" x14ac:dyDescent="0.35">
      <c r="A24" s="1216" t="s">
        <v>72</v>
      </c>
      <c r="B24" s="1220" t="s">
        <v>73</v>
      </c>
      <c r="C24" s="1220" t="s">
        <v>74</v>
      </c>
      <c r="D24" s="1230"/>
      <c r="E24" s="1119"/>
      <c r="F24" s="1119"/>
    </row>
    <row r="25" spans="1:6" s="1" customFormat="1" ht="87" x14ac:dyDescent="0.35">
      <c r="A25" s="1221" t="s">
        <v>75</v>
      </c>
      <c r="B25" s="1222" t="s">
        <v>76</v>
      </c>
      <c r="C25" s="1222" t="s">
        <v>77</v>
      </c>
      <c r="D25" s="1231"/>
      <c r="E25" s="1119"/>
      <c r="F25" s="1119"/>
    </row>
  </sheetData>
  <mergeCells count="9">
    <mergeCell ref="A20:C20"/>
    <mergeCell ref="A12:D12"/>
    <mergeCell ref="A16:D16"/>
    <mergeCell ref="A21:D21"/>
    <mergeCell ref="A2:D2"/>
    <mergeCell ref="B13:C13"/>
    <mergeCell ref="B14:C14"/>
    <mergeCell ref="B15:C15"/>
    <mergeCell ref="A17:C17"/>
  </mergeCells>
  <conditionalFormatting sqref="D17:D19">
    <cfRule type="containsText" dxfId="10" priority="2" operator="containsText" text="Yes">
      <formula>NOT(ISERROR(SEARCH("Yes",D17)))</formula>
    </cfRule>
  </conditionalFormatting>
  <conditionalFormatting sqref="D4:D11 D13:D15">
    <cfRule type="containsText" dxfId="9" priority="5" operator="containsText" text="Yes">
      <formula>NOT(ISERROR(SEARCH("Yes",D4)))</formula>
    </cfRule>
  </conditionalFormatting>
  <conditionalFormatting sqref="D20 D22:D25">
    <cfRule type="containsText" dxfId="8" priority="3" operator="containsText" text="Yes">
      <formula>NOT(ISERROR(SEARCH("Yes",D20)))</formula>
    </cfRule>
  </conditionalFormatting>
  <conditionalFormatting sqref="D10">
    <cfRule type="containsText" dxfId="7" priority="1" operator="containsText" text="Yes">
      <formula>NOT(ISERROR(SEARCH("Yes",D10)))</formula>
    </cfRule>
  </conditionalFormatting>
  <hyperlinks>
    <hyperlink ref="C8"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B1:CW64"/>
  <sheetViews>
    <sheetView zoomScale="80" zoomScaleNormal="80" workbookViewId="0">
      <selection activeCell="C13" sqref="C13"/>
    </sheetView>
  </sheetViews>
  <sheetFormatPr defaultColWidth="8.7265625" defaultRowHeight="14" x14ac:dyDescent="0.3"/>
  <cols>
    <col min="1" max="1" width="8.7265625" style="27"/>
    <col min="2" max="2" width="37.26953125" style="27" customWidth="1"/>
    <col min="3" max="5" width="8.7265625" style="27"/>
    <col min="6" max="6" width="12.26953125" style="27" customWidth="1"/>
    <col min="7" max="7" width="10.453125" style="27" customWidth="1"/>
    <col min="8" max="16384" width="8.7265625" style="27"/>
  </cols>
  <sheetData>
    <row r="1" spans="2:29" ht="18" customHeight="1" x14ac:dyDescent="0.3">
      <c r="B1" s="1394" t="s">
        <v>573</v>
      </c>
      <c r="C1" s="1394"/>
      <c r="D1" s="1394"/>
      <c r="E1" s="1394"/>
      <c r="F1" s="1394"/>
      <c r="G1" s="1394"/>
      <c r="H1" s="1394"/>
      <c r="I1" s="1394"/>
      <c r="J1" s="1394"/>
      <c r="K1" s="1394"/>
      <c r="L1" s="1394"/>
      <c r="M1" s="1394"/>
      <c r="N1" s="1394"/>
      <c r="O1" s="1394"/>
      <c r="P1" s="1394"/>
      <c r="Q1" s="1394"/>
      <c r="R1" s="1394"/>
      <c r="S1" s="1394"/>
      <c r="T1" s="1394"/>
      <c r="U1" s="1394"/>
      <c r="V1" s="1394"/>
      <c r="W1" s="1394"/>
      <c r="X1" s="1394"/>
      <c r="Y1" s="1394"/>
      <c r="Z1" s="1394"/>
      <c r="AA1" s="1394"/>
      <c r="AB1" s="1394"/>
      <c r="AC1" s="1394"/>
    </row>
    <row r="2" spans="2:29" ht="34.5" customHeight="1" x14ac:dyDescent="0.3">
      <c r="B2" s="1291" t="s">
        <v>1260</v>
      </c>
      <c r="C2" s="1311"/>
      <c r="D2" s="1311"/>
      <c r="E2" s="1311"/>
      <c r="F2" s="1311"/>
      <c r="G2" s="1311"/>
      <c r="H2" s="1311"/>
      <c r="I2" s="1311"/>
      <c r="J2" s="1311"/>
      <c r="K2" s="1311"/>
      <c r="L2" s="1311"/>
      <c r="M2" s="1311"/>
      <c r="N2" s="1311"/>
      <c r="O2" s="1311"/>
      <c r="P2" s="1311"/>
      <c r="Q2" s="1311"/>
      <c r="R2" s="1311"/>
      <c r="S2" s="1311"/>
      <c r="T2" s="1311"/>
      <c r="U2" s="1311"/>
      <c r="V2" s="1311"/>
      <c r="W2" s="1311"/>
      <c r="X2" s="1311"/>
      <c r="Y2" s="1311"/>
      <c r="Z2" s="1311"/>
      <c r="AA2" s="1311"/>
      <c r="AB2" s="1311"/>
      <c r="AC2" s="1311"/>
    </row>
    <row r="3" spans="2:29" ht="3" customHeight="1" x14ac:dyDescent="0.3">
      <c r="B3" s="1311"/>
      <c r="C3" s="1311"/>
      <c r="D3" s="1311"/>
      <c r="E3" s="1311"/>
      <c r="F3" s="1311"/>
      <c r="G3" s="1311"/>
      <c r="H3" s="1311"/>
      <c r="I3" s="1311"/>
      <c r="J3" s="1311"/>
      <c r="K3" s="1311"/>
      <c r="L3" s="1311"/>
      <c r="M3" s="1311"/>
      <c r="N3" s="1311"/>
      <c r="O3" s="1311"/>
      <c r="P3" s="1311"/>
      <c r="Q3" s="1311"/>
      <c r="R3" s="1311"/>
      <c r="S3" s="1311"/>
      <c r="T3" s="1311"/>
      <c r="U3" s="1311"/>
      <c r="V3" s="1311"/>
      <c r="W3" s="1311"/>
      <c r="X3" s="1311"/>
      <c r="Y3" s="1311"/>
      <c r="Z3" s="1311"/>
      <c r="AA3" s="1311"/>
      <c r="AB3" s="1311"/>
      <c r="AC3" s="1311"/>
    </row>
    <row r="4" spans="2:29" ht="10.15" hidden="1" customHeight="1" x14ac:dyDescent="0.3">
      <c r="B4" s="1311"/>
      <c r="C4" s="1311"/>
      <c r="D4" s="1311"/>
      <c r="E4" s="1311"/>
      <c r="F4" s="1311"/>
      <c r="G4" s="1311"/>
      <c r="H4" s="1311"/>
      <c r="I4" s="1311"/>
      <c r="J4" s="1311"/>
      <c r="K4" s="1311"/>
      <c r="L4" s="1311"/>
      <c r="M4" s="1311"/>
      <c r="N4" s="1311"/>
      <c r="O4" s="1311"/>
      <c r="P4" s="1311"/>
      <c r="Q4" s="1311"/>
      <c r="R4" s="1311"/>
      <c r="S4" s="1311"/>
      <c r="T4" s="1311"/>
      <c r="U4" s="1311"/>
      <c r="V4" s="1311"/>
      <c r="W4" s="1311"/>
      <c r="X4" s="1311"/>
      <c r="Y4" s="1311"/>
      <c r="Z4" s="1311"/>
      <c r="AA4" s="1311"/>
      <c r="AB4" s="1311"/>
      <c r="AC4" s="1311"/>
    </row>
    <row r="5" spans="2:29" ht="14.25" hidden="1" customHeight="1" x14ac:dyDescent="0.3">
      <c r="B5" s="1311"/>
      <c r="C5" s="1311"/>
      <c r="D5" s="1311"/>
      <c r="E5" s="1311"/>
      <c r="F5" s="1311"/>
      <c r="G5" s="1311"/>
      <c r="H5" s="1311"/>
      <c r="I5" s="1311"/>
      <c r="J5" s="1311"/>
      <c r="K5" s="1311"/>
      <c r="L5" s="1311"/>
      <c r="M5" s="1311"/>
      <c r="N5" s="1311"/>
      <c r="O5" s="1311"/>
      <c r="P5" s="1311"/>
      <c r="Q5" s="1311"/>
      <c r="R5" s="1311"/>
      <c r="S5" s="1311"/>
      <c r="T5" s="1311"/>
      <c r="U5" s="1311"/>
      <c r="V5" s="1311"/>
      <c r="W5" s="1311"/>
      <c r="X5" s="1311"/>
      <c r="Y5" s="1311"/>
      <c r="Z5" s="1311"/>
      <c r="AA5" s="1311"/>
      <c r="AB5" s="1311"/>
      <c r="AC5" s="1311"/>
    </row>
    <row r="6" spans="2:29" ht="14.25" hidden="1" customHeight="1" x14ac:dyDescent="0.3">
      <c r="B6" s="1311"/>
      <c r="C6" s="1311"/>
      <c r="D6" s="1311"/>
      <c r="E6" s="1311"/>
      <c r="F6" s="1311"/>
      <c r="G6" s="1311"/>
      <c r="H6" s="1311"/>
      <c r="I6" s="1311"/>
      <c r="J6" s="1311"/>
      <c r="K6" s="1311"/>
      <c r="L6" s="1311"/>
      <c r="M6" s="1311"/>
      <c r="N6" s="1311"/>
      <c r="O6" s="1311"/>
      <c r="P6" s="1311"/>
      <c r="Q6" s="1311"/>
      <c r="R6" s="1311"/>
      <c r="S6" s="1311"/>
      <c r="T6" s="1311"/>
      <c r="U6" s="1311"/>
      <c r="V6" s="1311"/>
      <c r="W6" s="1311"/>
      <c r="X6" s="1311"/>
      <c r="Y6" s="1311"/>
      <c r="Z6" s="1311"/>
      <c r="AA6" s="1311"/>
      <c r="AB6" s="1311"/>
      <c r="AC6" s="1311"/>
    </row>
    <row r="7" spans="2:29" x14ac:dyDescent="0.3">
      <c r="B7" s="332" t="s">
        <v>406</v>
      </c>
      <c r="C7" s="38"/>
      <c r="D7" s="38"/>
      <c r="E7" s="38"/>
      <c r="F7" s="38"/>
      <c r="G7" s="38"/>
      <c r="H7" s="39"/>
      <c r="I7" s="39"/>
      <c r="J7" s="39"/>
      <c r="K7" s="39"/>
      <c r="L7" s="39"/>
      <c r="M7" s="39"/>
      <c r="N7" s="39"/>
      <c r="O7" s="39"/>
      <c r="P7" s="39"/>
      <c r="Q7" s="39"/>
      <c r="R7" s="39"/>
      <c r="S7" s="39"/>
      <c r="T7" s="39"/>
      <c r="U7" s="39"/>
    </row>
    <row r="8" spans="2:29" ht="14.65" customHeight="1" x14ac:dyDescent="0.3">
      <c r="B8" s="1295" t="s">
        <v>377</v>
      </c>
      <c r="C8" s="1296"/>
      <c r="D8" s="1307" t="s">
        <v>350</v>
      </c>
      <c r="E8" s="1308"/>
      <c r="F8" s="1308"/>
      <c r="G8" s="1308"/>
      <c r="H8" s="1308"/>
      <c r="I8" s="1308"/>
      <c r="J8" s="1308"/>
      <c r="K8" s="1308"/>
      <c r="L8" s="1308"/>
      <c r="M8" s="1308"/>
      <c r="N8" s="1308"/>
      <c r="O8" s="1308"/>
      <c r="P8" s="1309"/>
      <c r="Q8" s="1304" t="s">
        <v>351</v>
      </c>
      <c r="R8" s="1305"/>
      <c r="S8" s="1305"/>
      <c r="T8" s="1305"/>
      <c r="U8" s="1305"/>
      <c r="V8" s="1305"/>
      <c r="W8" s="1305"/>
      <c r="X8" s="1305"/>
      <c r="Y8" s="1305"/>
      <c r="Z8" s="1305"/>
      <c r="AA8" s="1305"/>
      <c r="AB8" s="1305"/>
      <c r="AC8" s="1306"/>
    </row>
    <row r="9" spans="2:29" ht="14.65" customHeight="1" x14ac:dyDescent="0.3">
      <c r="B9" s="1297"/>
      <c r="C9" s="1360"/>
      <c r="D9" s="455">
        <v>2018</v>
      </c>
      <c r="E9" s="1292">
        <v>2019</v>
      </c>
      <c r="F9" s="1293"/>
      <c r="G9" s="1293"/>
      <c r="H9" s="1294"/>
      <c r="I9" s="1292">
        <v>2020</v>
      </c>
      <c r="J9" s="1293"/>
      <c r="K9" s="1293"/>
      <c r="L9" s="1293"/>
      <c r="M9" s="1302">
        <v>2021</v>
      </c>
      <c r="N9" s="1293"/>
      <c r="O9" s="1293"/>
      <c r="P9" s="1303"/>
      <c r="Q9" s="1300">
        <v>2022</v>
      </c>
      <c r="R9" s="1300"/>
      <c r="S9" s="1300"/>
      <c r="T9" s="1301"/>
      <c r="U9" s="1299">
        <v>2023</v>
      </c>
      <c r="V9" s="1300"/>
      <c r="W9" s="1300"/>
      <c r="X9" s="1300"/>
      <c r="Y9" s="1299">
        <v>2024</v>
      </c>
      <c r="Z9" s="1300"/>
      <c r="AA9" s="1300"/>
      <c r="AB9" s="1301"/>
      <c r="AC9" s="306">
        <v>2025</v>
      </c>
    </row>
    <row r="10" spans="2:29" x14ac:dyDescent="0.3">
      <c r="B10" s="1297"/>
      <c r="C10" s="1360"/>
      <c r="D10" s="156" t="s">
        <v>352</v>
      </c>
      <c r="E10" s="156" t="s">
        <v>353</v>
      </c>
      <c r="F10" s="139" t="s">
        <v>354</v>
      </c>
      <c r="G10" s="139" t="s">
        <v>253</v>
      </c>
      <c r="H10" s="146" t="s">
        <v>352</v>
      </c>
      <c r="I10" s="140" t="s">
        <v>353</v>
      </c>
      <c r="J10" s="140" t="s">
        <v>354</v>
      </c>
      <c r="K10" s="140" t="s">
        <v>253</v>
      </c>
      <c r="L10" s="140" t="s">
        <v>352</v>
      </c>
      <c r="M10" s="151" t="s">
        <v>353</v>
      </c>
      <c r="N10" s="773" t="s">
        <v>354</v>
      </c>
      <c r="O10" s="773" t="s">
        <v>253</v>
      </c>
      <c r="P10" s="146" t="s">
        <v>352</v>
      </c>
      <c r="Q10" s="826" t="s">
        <v>353</v>
      </c>
      <c r="R10" s="898" t="s">
        <v>354</v>
      </c>
      <c r="S10" s="898" t="s">
        <v>253</v>
      </c>
      <c r="T10" s="898" t="s">
        <v>352</v>
      </c>
      <c r="U10" s="897" t="s">
        <v>353</v>
      </c>
      <c r="V10" s="898" t="s">
        <v>354</v>
      </c>
      <c r="W10" s="898" t="s">
        <v>253</v>
      </c>
      <c r="X10" s="898" t="s">
        <v>352</v>
      </c>
      <c r="Y10" s="897" t="s">
        <v>353</v>
      </c>
      <c r="Z10" s="874" t="s">
        <v>354</v>
      </c>
      <c r="AA10" s="898" t="s">
        <v>253</v>
      </c>
      <c r="AB10" s="381" t="s">
        <v>352</v>
      </c>
      <c r="AC10" s="63" t="s">
        <v>353</v>
      </c>
    </row>
    <row r="11" spans="2:29" x14ac:dyDescent="0.3">
      <c r="B11" s="1391" t="s">
        <v>574</v>
      </c>
      <c r="C11" s="1392"/>
      <c r="D11" s="992"/>
      <c r="E11" s="993"/>
      <c r="F11" s="993"/>
      <c r="G11" s="993"/>
      <c r="H11" s="907"/>
      <c r="I11" s="907"/>
      <c r="J11" s="907"/>
      <c r="K11" s="907"/>
      <c r="L11" s="907"/>
      <c r="M11" s="994"/>
      <c r="N11" s="994"/>
      <c r="O11" s="994"/>
      <c r="P11" s="907"/>
      <c r="Q11" s="996"/>
      <c r="R11" s="903"/>
      <c r="S11" s="903"/>
      <c r="T11" s="903"/>
      <c r="U11" s="903"/>
      <c r="V11" s="903"/>
      <c r="W11" s="903"/>
      <c r="X11" s="903"/>
      <c r="Y11" s="903"/>
      <c r="Z11" s="903"/>
      <c r="AA11" s="903"/>
      <c r="AB11" s="903"/>
      <c r="AC11" s="825"/>
    </row>
    <row r="12" spans="2:29" ht="16.899999999999999" customHeight="1" x14ac:dyDescent="0.3">
      <c r="B12" s="797" t="s">
        <v>575</v>
      </c>
      <c r="C12" s="803" t="s">
        <v>576</v>
      </c>
      <c r="D12" s="798">
        <f>'Haver Pivoted'!GO31</f>
        <v>2222.3000000000002</v>
      </c>
      <c r="E12" s="808">
        <f>'Haver Pivoted'!GP31</f>
        <v>2298.1</v>
      </c>
      <c r="F12" s="808">
        <f>'Haver Pivoted'!GQ31</f>
        <v>2315.5</v>
      </c>
      <c r="G12" s="808">
        <f>'Haver Pivoted'!GR31</f>
        <v>2333.1999999999998</v>
      </c>
      <c r="H12" s="808">
        <f>'Haver Pivoted'!GS31</f>
        <v>2350.8000000000002</v>
      </c>
      <c r="I12" s="808">
        <f>'Haver Pivoted'!GT31</f>
        <v>2417.9</v>
      </c>
      <c r="J12" s="808">
        <f>'Haver Pivoted'!GU31</f>
        <v>4766.7</v>
      </c>
      <c r="K12" s="808">
        <f>'Haver Pivoted'!GV31</f>
        <v>3468.3</v>
      </c>
      <c r="L12" s="808">
        <f>'Haver Pivoted'!GW31</f>
        <v>2839.1</v>
      </c>
      <c r="M12" s="808">
        <f>'Haver Pivoted'!GX31</f>
        <v>5070.6000000000004</v>
      </c>
      <c r="N12" s="808">
        <f>'Haver Pivoted'!GY31</f>
        <v>3372.3</v>
      </c>
      <c r="O12" s="808">
        <f>'Haver Pivoted'!GZ31</f>
        <v>3136.3</v>
      </c>
      <c r="P12" s="808">
        <f>'Haver Pivoted'!HA31</f>
        <v>2936.3</v>
      </c>
      <c r="Q12" s="997">
        <f t="shared" ref="Q12:AC12" si="0">SUM(Q14:Q25)-Q24</f>
        <v>2879.1754886963022</v>
      </c>
      <c r="R12" s="879">
        <f t="shared" si="0"/>
        <v>2813.1444707608189</v>
      </c>
      <c r="S12" s="879">
        <f>SUM(S14:S25)-S24</f>
        <v>2737.5487456481396</v>
      </c>
      <c r="T12" s="879">
        <f t="shared" si="0"/>
        <v>2761.7709482300661</v>
      </c>
      <c r="U12" s="879">
        <f>SUM(U14:U25)-U24</f>
        <v>2816.4601338056905</v>
      </c>
      <c r="V12" s="879">
        <f t="shared" si="0"/>
        <v>2840.9866067401172</v>
      </c>
      <c r="W12" s="879">
        <f t="shared" si="0"/>
        <v>2865.8381306866468</v>
      </c>
      <c r="X12" s="879">
        <f t="shared" si="0"/>
        <v>2903.318504619358</v>
      </c>
      <c r="Y12" s="879">
        <f t="shared" si="0"/>
        <v>2952.6601552101056</v>
      </c>
      <c r="Z12" s="879">
        <f t="shared" si="0"/>
        <v>2978.2681776996728</v>
      </c>
      <c r="AA12" s="879">
        <f t="shared" si="0"/>
        <v>3004.1259340838178</v>
      </c>
      <c r="AB12" s="879">
        <f t="shared" si="0"/>
        <v>3048.7011870988131</v>
      </c>
      <c r="AC12" s="880">
        <f t="shared" si="0"/>
        <v>3099.9255696623632</v>
      </c>
    </row>
    <row r="13" spans="2:29" x14ac:dyDescent="0.3">
      <c r="B13" s="797"/>
      <c r="C13" s="803"/>
      <c r="D13" s="798"/>
      <c r="E13" s="808"/>
      <c r="F13" s="808"/>
      <c r="G13" s="808"/>
      <c r="H13" s="808"/>
      <c r="I13" s="808"/>
      <c r="J13" s="808"/>
      <c r="K13" s="808"/>
      <c r="L13" s="808"/>
      <c r="M13" s="808"/>
      <c r="N13" s="808"/>
      <c r="O13" s="808"/>
      <c r="P13" s="817"/>
      <c r="Q13" s="906"/>
      <c r="R13" s="826"/>
      <c r="S13" s="826"/>
      <c r="T13" s="826"/>
      <c r="U13" s="826"/>
      <c r="V13" s="826"/>
      <c r="W13" s="826"/>
      <c r="X13" s="826"/>
      <c r="Y13" s="826"/>
      <c r="Z13" s="826"/>
      <c r="AA13" s="826"/>
      <c r="AB13" s="826"/>
      <c r="AC13" s="381"/>
    </row>
    <row r="14" spans="2:29" ht="35.65" customHeight="1" x14ac:dyDescent="0.3">
      <c r="B14" s="802" t="s">
        <v>577</v>
      </c>
      <c r="C14" s="803"/>
      <c r="D14" s="798">
        <f>'Unemployment Insurance'!D20+'Unemployment Insurance'!D19</f>
        <v>27.1</v>
      </c>
      <c r="E14" s="808">
        <f>'Unemployment Insurance'!E20+'Unemployment Insurance'!E19</f>
        <v>28.4</v>
      </c>
      <c r="F14" s="808">
        <f>'Unemployment Insurance'!F20+'Unemployment Insurance'!F19</f>
        <v>27.8</v>
      </c>
      <c r="G14" s="808">
        <f>'Unemployment Insurance'!G20+'Unemployment Insurance'!G19</f>
        <v>27.4</v>
      </c>
      <c r="H14" s="808">
        <f>'Unemployment Insurance'!H20+'Unemployment Insurance'!H19</f>
        <v>26.8</v>
      </c>
      <c r="I14" s="808">
        <f>'Unemployment Insurance'!I20+'Unemployment Insurance'!I19</f>
        <v>39.5</v>
      </c>
      <c r="J14" s="808">
        <f>'Unemployment Insurance'!J20+'Unemployment Insurance'!J19</f>
        <v>1039.4000000000001</v>
      </c>
      <c r="K14" s="808">
        <f>'Unemployment Insurance'!K20+'Unemployment Insurance'!K19</f>
        <v>767.8</v>
      </c>
      <c r="L14" s="808">
        <f>'Unemployment Insurance'!L20+'Unemployment Insurance'!L19</f>
        <v>299.89999999999998</v>
      </c>
      <c r="M14" s="808">
        <f>'Unemployment Insurance'!M20+'Unemployment Insurance'!M19</f>
        <v>565.79999999999995</v>
      </c>
      <c r="N14" s="808">
        <f>'Unemployment Insurance'!N20+'Unemployment Insurance'!N19</f>
        <v>480.4</v>
      </c>
      <c r="O14" s="808">
        <f>'Unemployment Insurance'!O20+'Unemployment Insurance'!O19</f>
        <v>272.3</v>
      </c>
      <c r="P14" s="808">
        <f>'Unemployment Insurance'!P20+'Unemployment Insurance'!P19</f>
        <v>37.700000000000003</v>
      </c>
      <c r="Q14" s="997">
        <f>'Unemployment Insurance'!Q20+'Unemployment Insurance'!Q19</f>
        <v>26.36900787401575</v>
      </c>
      <c r="R14" s="879">
        <f>'Unemployment Insurance'!R20+'Unemployment Insurance'!R19</f>
        <v>24.537826771653545</v>
      </c>
      <c r="S14" s="879">
        <f>'Unemployment Insurance'!S20+'Unemployment Insurance'!S19</f>
        <v>23.657574803149608</v>
      </c>
      <c r="T14" s="879">
        <f>'Unemployment Insurance'!T20+'Unemployment Insurance'!T19</f>
        <v>23.36844094488189</v>
      </c>
      <c r="U14" s="879">
        <f>'Unemployment Insurance'!U20+'Unemployment Insurance'!U19</f>
        <v>23.529070866141733</v>
      </c>
      <c r="V14" s="879">
        <f>'Unemployment Insurance'!V20+'Unemployment Insurance'!V19</f>
        <v>23.88888188976378</v>
      </c>
      <c r="W14" s="879">
        <f>'Unemployment Insurance'!W20+'Unemployment Insurance'!W19</f>
        <v>24.255118110236221</v>
      </c>
      <c r="X14" s="879">
        <f>'Unemployment Insurance'!X20+'Unemployment Insurance'!X19</f>
        <v>24.640629921259844</v>
      </c>
      <c r="Y14" s="879">
        <f>'Unemployment Insurance'!Y20+'Unemployment Insurance'!Y19</f>
        <v>25.122519685039375</v>
      </c>
      <c r="Z14" s="879">
        <f>'Unemployment Insurance'!Z20+'Unemployment Insurance'!Z19</f>
        <v>25.520881889763785</v>
      </c>
      <c r="AA14" s="879">
        <f>'Unemployment Insurance'!AA20+'Unemployment Insurance'!AA19</f>
        <v>25.835716535433075</v>
      </c>
      <c r="AB14" s="879">
        <f>'Unemployment Insurance'!AB20+'Unemployment Insurance'!AB19</f>
        <v>26.227653543307088</v>
      </c>
      <c r="AC14" s="880">
        <f>'Unemployment Insurance'!AC20+'Unemployment Insurance'!AC19</f>
        <v>26.606740157480321</v>
      </c>
    </row>
    <row r="15" spans="2:29" ht="17.649999999999999" customHeight="1" x14ac:dyDescent="0.3">
      <c r="B15" s="802" t="s">
        <v>55</v>
      </c>
      <c r="C15" s="803"/>
      <c r="D15" s="798">
        <f>Medicare!D10</f>
        <v>754.2</v>
      </c>
      <c r="E15" s="808">
        <f>Medicare!E10</f>
        <v>768.3</v>
      </c>
      <c r="F15" s="808">
        <f>Medicare!F10</f>
        <v>781.1</v>
      </c>
      <c r="G15" s="808">
        <f>Medicare!G10</f>
        <v>792.1</v>
      </c>
      <c r="H15" s="808">
        <f>Medicare!H10</f>
        <v>801.3</v>
      </c>
      <c r="I15" s="808">
        <f>Medicare!I10</f>
        <v>808.5</v>
      </c>
      <c r="J15" s="808">
        <f>Medicare!J10</f>
        <v>821.6</v>
      </c>
      <c r="K15" s="808">
        <f>Medicare!K10</f>
        <v>825.8</v>
      </c>
      <c r="L15" s="808">
        <f>Medicare!L10</f>
        <v>821</v>
      </c>
      <c r="M15" s="808">
        <f>Medicare!M10</f>
        <v>814.1</v>
      </c>
      <c r="N15" s="808">
        <f>Medicare!N10</f>
        <v>815.3</v>
      </c>
      <c r="O15" s="808">
        <f>Medicare!O10</f>
        <v>826.5</v>
      </c>
      <c r="P15" s="808">
        <f>Medicare!P10</f>
        <v>847.9</v>
      </c>
      <c r="Q15" s="997">
        <f>Medicare!Q10</f>
        <v>871.88090535292895</v>
      </c>
      <c r="R15" s="879">
        <f>Medicare!R10</f>
        <v>878.75313989296569</v>
      </c>
      <c r="S15" s="879">
        <f>Medicare!S10</f>
        <v>880.92215084498832</v>
      </c>
      <c r="T15" s="879">
        <f>Medicare!T10</f>
        <v>897.39348728518314</v>
      </c>
      <c r="U15" s="879">
        <f>Medicare!U10</f>
        <v>898.14736293954718</v>
      </c>
      <c r="V15" s="879">
        <f>Medicare!V10</f>
        <v>915.21402485035151</v>
      </c>
      <c r="W15" s="879">
        <f>Medicare!W10</f>
        <v>932.59931257640858</v>
      </c>
      <c r="X15" s="879">
        <f>Medicare!X10</f>
        <v>950.30917469809549</v>
      </c>
      <c r="Y15" s="879">
        <f>Medicare!Y10</f>
        <v>968.09159552506367</v>
      </c>
      <c r="Z15" s="879">
        <f>Medicare!Z10</f>
        <v>986.20125580990646</v>
      </c>
      <c r="AA15" s="879">
        <f>Medicare!AA10</f>
        <v>1004.6441775483819</v>
      </c>
      <c r="AB15" s="879">
        <f>Medicare!AB10</f>
        <v>1023.4264935555032</v>
      </c>
      <c r="AC15" s="880">
        <f>Medicare!AC10</f>
        <v>1042.55444950488</v>
      </c>
    </row>
    <row r="16" spans="2:29" ht="18" customHeight="1" x14ac:dyDescent="0.3">
      <c r="B16" s="797" t="s">
        <v>578</v>
      </c>
      <c r="C16" s="803"/>
      <c r="D16" s="804"/>
      <c r="E16" s="806"/>
      <c r="F16" s="806"/>
      <c r="G16" s="806"/>
      <c r="H16" s="808">
        <f>'Rebate Checks'!H10 +'Rebate Checks'!H11</f>
        <v>0</v>
      </c>
      <c r="I16" s="808">
        <f>'Rebate Checks'!I10 +'Rebate Checks'!I11</f>
        <v>0</v>
      </c>
      <c r="J16" s="808">
        <f>'Rebate Checks'!J10 +'Rebate Checks'!J11</f>
        <v>1078.0999999999999</v>
      </c>
      <c r="K16" s="808">
        <f>'Rebate Checks'!K10 +'Rebate Checks'!K11</f>
        <v>15.6</v>
      </c>
      <c r="L16" s="808">
        <f>'Rebate Checks'!L10 +'Rebate Checks'!L11</f>
        <v>5</v>
      </c>
      <c r="M16" s="808">
        <f>'Rebate Checks'!M10 +'Rebate Checks'!M11</f>
        <v>1933.6999999999998</v>
      </c>
      <c r="N16" s="808">
        <f>'Rebate Checks'!N10 +'Rebate Checks'!N11</f>
        <v>290.10000000000002</v>
      </c>
      <c r="O16" s="808">
        <f>'Rebate Checks'!O10 +'Rebate Checks'!O11</f>
        <v>38.9</v>
      </c>
      <c r="P16" s="808">
        <f>'Rebate Checks'!P10 +'Rebate Checks'!P11</f>
        <v>14.2</v>
      </c>
      <c r="Q16" s="997">
        <f>'Rebate Checks'!P10 +'Rebate Checks'!Q11</f>
        <v>14.2</v>
      </c>
      <c r="R16" s="879">
        <f>'Rebate Checks'!Q10 +'Rebate Checks'!R11</f>
        <v>0</v>
      </c>
      <c r="S16" s="879">
        <f>'Rebate Checks'!S10 +'Rebate Checks'!S11</f>
        <v>0</v>
      </c>
      <c r="T16" s="879">
        <f>'Rebate Checks'!T10 +'Rebate Checks'!T11</f>
        <v>0</v>
      </c>
      <c r="U16" s="879">
        <f>'Rebate Checks'!U10 +'Rebate Checks'!U11</f>
        <v>0</v>
      </c>
      <c r="V16" s="879">
        <f>'Rebate Checks'!V10 +'Rebate Checks'!V11</f>
        <v>0</v>
      </c>
      <c r="W16" s="879">
        <f>'Rebate Checks'!W10 +'Rebate Checks'!W11</f>
        <v>0</v>
      </c>
      <c r="X16" s="879">
        <f>'Rebate Checks'!X10 +'Rebate Checks'!X11</f>
        <v>0</v>
      </c>
      <c r="Y16" s="879">
        <f>'Rebate Checks'!Y10 +'Rebate Checks'!Y11</f>
        <v>0</v>
      </c>
      <c r="Z16" s="879">
        <f>'Rebate Checks'!Z10 +'Rebate Checks'!Z11</f>
        <v>0</v>
      </c>
      <c r="AA16" s="879">
        <f>'Rebate Checks'!AA10 +'Rebate Checks'!AA11</f>
        <v>0</v>
      </c>
      <c r="AB16" s="879">
        <f>'Rebate Checks'!AB10 +'Rebate Checks'!AB11</f>
        <v>0</v>
      </c>
      <c r="AC16" s="880">
        <f>'Rebate Checks'!AC10 +'Rebate Checks'!AC11</f>
        <v>0</v>
      </c>
    </row>
    <row r="17" spans="2:101" s="132" customFormat="1" ht="19.899999999999999" customHeight="1" x14ac:dyDescent="0.35">
      <c r="B17" s="799" t="s">
        <v>581</v>
      </c>
      <c r="C17" s="801"/>
      <c r="D17" s="845"/>
      <c r="E17" s="811"/>
      <c r="F17" s="811"/>
      <c r="G17" s="811"/>
      <c r="H17" s="812"/>
      <c r="I17" s="812"/>
      <c r="J17" s="812"/>
      <c r="K17" s="812"/>
      <c r="L17" s="812"/>
      <c r="M17" s="812">
        <f>'ARP Quarterly'!C5</f>
        <v>0</v>
      </c>
      <c r="N17" s="812">
        <f>'ARP Quarterly'!D5</f>
        <v>33.921840000000024</v>
      </c>
      <c r="O17" s="812">
        <f>'ARP Quarterly'!E5</f>
        <v>44.966160000000031</v>
      </c>
      <c r="P17" s="812">
        <f>'ARP Quarterly'!F5</f>
        <v>52.756999999999998</v>
      </c>
      <c r="Q17" s="998">
        <f>'ARP Quarterly'!G5</f>
        <v>52.756999999999998</v>
      </c>
      <c r="R17" s="819">
        <f>'ARP Quarterly'!H5</f>
        <v>52.756999999999998</v>
      </c>
      <c r="S17" s="819">
        <f>'ARP Quarterly'!I5</f>
        <v>52.756999999999998</v>
      </c>
      <c r="T17" s="819">
        <f>'ARP Quarterly'!J5</f>
        <v>12</v>
      </c>
      <c r="U17" s="819">
        <f>'ARP Quarterly'!K5</f>
        <v>12</v>
      </c>
      <c r="V17" s="819">
        <f>'ARP Quarterly'!L5</f>
        <v>12</v>
      </c>
      <c r="W17" s="819">
        <f>'ARP Quarterly'!M5</f>
        <v>12</v>
      </c>
      <c r="X17" s="819">
        <f>'ARP Quarterly'!N5</f>
        <v>4.2219999999999995</v>
      </c>
      <c r="Y17" s="819">
        <f>'ARP Quarterly'!O5</f>
        <v>4.2219999999999995</v>
      </c>
      <c r="Z17" s="819">
        <f>'ARP Quarterly'!P5</f>
        <v>4.2219999999999995</v>
      </c>
      <c r="AA17" s="819">
        <f>'ARP Quarterly'!Q5</f>
        <v>4.2219999999999995</v>
      </c>
      <c r="AB17" s="819">
        <f>'ARP Quarterly'!R5</f>
        <v>2.3719999999999999</v>
      </c>
      <c r="AC17" s="820">
        <f>'ARP Quarterly'!S5</f>
        <v>2.3719999999999999</v>
      </c>
    </row>
    <row r="18" spans="2:101" s="800" customFormat="1" ht="22.15" customHeight="1" x14ac:dyDescent="0.3">
      <c r="B18" s="810" t="s">
        <v>232</v>
      </c>
      <c r="C18" s="807"/>
      <c r="D18" s="805"/>
      <c r="E18" s="809"/>
      <c r="F18" s="809"/>
      <c r="G18" s="809"/>
      <c r="H18" s="809"/>
      <c r="I18" s="809"/>
      <c r="J18" s="809"/>
      <c r="K18" s="809"/>
      <c r="L18" s="809"/>
      <c r="M18" s="808">
        <f>'ARP Quarterly'!C4</f>
        <v>0</v>
      </c>
      <c r="N18" s="808">
        <f>'ARP Quarterly'!D4</f>
        <v>0</v>
      </c>
      <c r="O18" s="808">
        <f>'ARP Quarterly'!E4</f>
        <v>3.1040000000000418</v>
      </c>
      <c r="P18" s="808">
        <f>'ARP Quarterly'!F4</f>
        <v>19.719000000000005</v>
      </c>
      <c r="Q18" s="997">
        <f>'ARP Quarterly'!G4</f>
        <v>19.719000000000005</v>
      </c>
      <c r="R18" s="879">
        <f>'ARP Quarterly'!H4</f>
        <v>19.719000000000005</v>
      </c>
      <c r="S18" s="879">
        <f>'ARP Quarterly'!I4</f>
        <v>19.719000000000005</v>
      </c>
      <c r="T18" s="879">
        <f>'ARP Quarterly'!J4</f>
        <v>1.4159999999999999</v>
      </c>
      <c r="U18" s="879">
        <f>'ARP Quarterly'!K4</f>
        <v>1.4159999999999999</v>
      </c>
      <c r="V18" s="879">
        <f>'ARP Quarterly'!L4</f>
        <v>1.4159999999999999</v>
      </c>
      <c r="W18" s="879">
        <f>'ARP Quarterly'!M4</f>
        <v>1.4159999999999999</v>
      </c>
      <c r="X18" s="879">
        <f>'ARP Quarterly'!N4</f>
        <v>1.4790000000000001</v>
      </c>
      <c r="Y18" s="879">
        <f>'ARP Quarterly'!O4</f>
        <v>1.4790000000000001</v>
      </c>
      <c r="Z18" s="879">
        <f>'ARP Quarterly'!P4</f>
        <v>1.4790000000000001</v>
      </c>
      <c r="AA18" s="879">
        <f>'ARP Quarterly'!Q4</f>
        <v>1.4790000000000001</v>
      </c>
      <c r="AB18" s="879">
        <f>'ARP Quarterly'!R4</f>
        <v>1.63</v>
      </c>
      <c r="AC18" s="880">
        <f>'ARP Quarterly'!S4</f>
        <v>1.63</v>
      </c>
      <c r="AD18" s="807"/>
      <c r="AE18" s="807"/>
      <c r="AF18" s="807"/>
      <c r="AG18" s="807"/>
      <c r="AH18" s="807"/>
      <c r="AI18" s="807"/>
      <c r="AJ18" s="807"/>
      <c r="AK18" s="807"/>
      <c r="AL18" s="807"/>
      <c r="AM18" s="807"/>
      <c r="AN18" s="807"/>
      <c r="AO18" s="807"/>
      <c r="AP18" s="807"/>
      <c r="AQ18" s="807"/>
      <c r="AR18" s="807"/>
      <c r="AS18" s="807"/>
      <c r="AT18" s="807"/>
      <c r="AU18" s="807"/>
      <c r="AV18" s="807"/>
      <c r="AW18" s="807"/>
      <c r="AX18" s="807"/>
      <c r="AY18" s="807"/>
      <c r="AZ18" s="807"/>
      <c r="BA18" s="807"/>
      <c r="BB18" s="807"/>
      <c r="BC18" s="807"/>
      <c r="BD18" s="807"/>
      <c r="BE18" s="807"/>
      <c r="BF18" s="807"/>
      <c r="BG18" s="807"/>
      <c r="BH18" s="807"/>
      <c r="BI18" s="807"/>
      <c r="BJ18" s="807"/>
      <c r="BK18" s="807"/>
      <c r="BL18" s="807"/>
      <c r="BM18" s="807"/>
      <c r="BN18" s="807"/>
      <c r="BO18" s="807"/>
      <c r="BP18" s="807"/>
      <c r="BQ18" s="807"/>
      <c r="BR18" s="807"/>
      <c r="BS18" s="807"/>
      <c r="BT18" s="807"/>
      <c r="BU18" s="807"/>
      <c r="BV18" s="807"/>
      <c r="BW18" s="807"/>
      <c r="BX18" s="807"/>
      <c r="BY18" s="807"/>
      <c r="BZ18" s="807"/>
      <c r="CA18" s="807"/>
      <c r="CB18" s="807"/>
      <c r="CC18" s="807"/>
      <c r="CD18" s="807"/>
      <c r="CE18" s="807"/>
      <c r="CF18" s="807"/>
      <c r="CG18" s="807"/>
      <c r="CH18" s="807"/>
      <c r="CI18" s="807"/>
      <c r="CJ18" s="807"/>
      <c r="CK18" s="807"/>
      <c r="CL18" s="807"/>
      <c r="CM18" s="807"/>
      <c r="CN18" s="807"/>
      <c r="CO18" s="807"/>
      <c r="CP18" s="807"/>
      <c r="CQ18" s="807"/>
      <c r="CR18" s="807"/>
      <c r="CS18" s="807"/>
      <c r="CT18" s="807"/>
      <c r="CU18" s="807"/>
      <c r="CV18" s="807"/>
      <c r="CW18" s="807"/>
    </row>
    <row r="19" spans="2:101" s="800" customFormat="1" ht="19.5" customHeight="1" x14ac:dyDescent="0.3">
      <c r="B19" s="810" t="s">
        <v>49</v>
      </c>
      <c r="C19" s="807"/>
      <c r="D19" s="805">
        <f>'Provider Relief'!D11</f>
        <v>0</v>
      </c>
      <c r="E19" s="809">
        <f>'Provider Relief'!E11</f>
        <v>0</v>
      </c>
      <c r="F19" s="809">
        <f>'Provider Relief'!F11</f>
        <v>0</v>
      </c>
      <c r="G19" s="809">
        <f>'Provider Relief'!G11</f>
        <v>0</v>
      </c>
      <c r="H19" s="809">
        <f>'Provider Relief'!H11</f>
        <v>0</v>
      </c>
      <c r="I19" s="809">
        <f>'Provider Relief'!I11</f>
        <v>0</v>
      </c>
      <c r="J19" s="809">
        <f>'Provider Relief'!J11</f>
        <v>160.9</v>
      </c>
      <c r="K19" s="809">
        <f>'Provider Relief'!K11</f>
        <v>58.4</v>
      </c>
      <c r="L19" s="809">
        <f>'Provider Relief'!L11</f>
        <v>34.5</v>
      </c>
      <c r="M19" s="809">
        <f>'Provider Relief'!M11</f>
        <v>42.8</v>
      </c>
      <c r="N19" s="809">
        <f>'Provider Relief'!N11</f>
        <v>26.6</v>
      </c>
      <c r="O19" s="809">
        <f>'Provider Relief'!O11</f>
        <v>37.4</v>
      </c>
      <c r="P19" s="809">
        <f>'Provider Relief'!P11</f>
        <v>64.400000000000006</v>
      </c>
      <c r="Q19" s="999">
        <f>'Provider Relief'!Q11</f>
        <v>55.95655546935609</v>
      </c>
      <c r="R19" s="821">
        <f>'Provider Relief'!R11</f>
        <v>19.984484096198607</v>
      </c>
      <c r="S19" s="821">
        <f>'Provider Relief'!S11</f>
        <v>0</v>
      </c>
      <c r="T19" s="821">
        <f>'Provider Relief'!T11</f>
        <v>0</v>
      </c>
      <c r="U19" s="821">
        <f>'Provider Relief'!U11</f>
        <v>0</v>
      </c>
      <c r="V19" s="821">
        <f>'Provider Relief'!V11</f>
        <v>0</v>
      </c>
      <c r="W19" s="821">
        <f>'Provider Relief'!W11</f>
        <v>0</v>
      </c>
      <c r="X19" s="821">
        <f>'Provider Relief'!X11</f>
        <v>0</v>
      </c>
      <c r="Y19" s="821">
        <f>'Provider Relief'!Y11</f>
        <v>0</v>
      </c>
      <c r="Z19" s="821">
        <f>'Provider Relief'!Z11</f>
        <v>0</v>
      </c>
      <c r="AA19" s="821">
        <f>'Provider Relief'!AA11</f>
        <v>0</v>
      </c>
      <c r="AB19" s="821">
        <f>'Provider Relief'!AB11</f>
        <v>0</v>
      </c>
      <c r="AC19" s="822">
        <f>'Provider Relief'!AC11</f>
        <v>0</v>
      </c>
      <c r="AD19" s="807"/>
      <c r="AE19" s="807"/>
      <c r="AF19" s="807"/>
      <c r="AG19" s="807"/>
      <c r="AH19" s="807"/>
      <c r="AI19" s="807"/>
      <c r="AJ19" s="807"/>
      <c r="AK19" s="807"/>
      <c r="AL19" s="807"/>
      <c r="AM19" s="807"/>
      <c r="AN19" s="807"/>
      <c r="AO19" s="807"/>
      <c r="AP19" s="807"/>
      <c r="AQ19" s="807"/>
      <c r="AR19" s="807"/>
      <c r="AS19" s="807"/>
      <c r="AT19" s="807"/>
      <c r="AU19" s="807"/>
      <c r="AV19" s="807"/>
      <c r="AW19" s="807"/>
      <c r="AX19" s="807"/>
      <c r="AY19" s="807"/>
      <c r="AZ19" s="807"/>
      <c r="BA19" s="807"/>
      <c r="BB19" s="807"/>
      <c r="BC19" s="807"/>
      <c r="BD19" s="807"/>
      <c r="BE19" s="807"/>
      <c r="BF19" s="807"/>
      <c r="BG19" s="807"/>
      <c r="BH19" s="807"/>
      <c r="BI19" s="807"/>
      <c r="BJ19" s="807"/>
      <c r="BK19" s="807"/>
      <c r="BL19" s="807"/>
      <c r="BM19" s="807"/>
      <c r="BN19" s="807"/>
      <c r="BO19" s="807"/>
      <c r="BP19" s="807"/>
      <c r="BQ19" s="807"/>
      <c r="BR19" s="807"/>
      <c r="BS19" s="807"/>
      <c r="BT19" s="807"/>
      <c r="BU19" s="807"/>
      <c r="BV19" s="807"/>
      <c r="BW19" s="807"/>
      <c r="BX19" s="807"/>
      <c r="BY19" s="807"/>
      <c r="BZ19" s="807"/>
      <c r="CA19" s="807"/>
      <c r="CB19" s="807"/>
      <c r="CC19" s="807"/>
      <c r="CD19" s="807"/>
      <c r="CE19" s="807"/>
      <c r="CF19" s="807"/>
      <c r="CG19" s="807"/>
      <c r="CH19" s="807"/>
      <c r="CI19" s="807"/>
      <c r="CJ19" s="807"/>
      <c r="CK19" s="807"/>
      <c r="CL19" s="807"/>
      <c r="CM19" s="807"/>
      <c r="CN19" s="807"/>
      <c r="CO19" s="807"/>
      <c r="CP19" s="807"/>
      <c r="CQ19" s="807"/>
      <c r="CR19" s="807"/>
      <c r="CS19" s="807"/>
      <c r="CT19" s="807"/>
      <c r="CU19" s="807"/>
      <c r="CV19" s="807"/>
      <c r="CW19" s="807"/>
    </row>
    <row r="20" spans="2:101" ht="36.4" customHeight="1" x14ac:dyDescent="0.3">
      <c r="B20" s="802" t="s">
        <v>1164</v>
      </c>
      <c r="C20" s="803"/>
      <c r="D20" s="804">
        <f>D41</f>
        <v>0</v>
      </c>
      <c r="E20" s="806">
        <f t="shared" ref="E20:AC20" si="1">E41</f>
        <v>0</v>
      </c>
      <c r="F20" s="806">
        <f t="shared" si="1"/>
        <v>0</v>
      </c>
      <c r="G20" s="806">
        <f t="shared" si="1"/>
        <v>0</v>
      </c>
      <c r="H20" s="806">
        <f t="shared" si="1"/>
        <v>0</v>
      </c>
      <c r="I20" s="806">
        <f t="shared" si="1"/>
        <v>2.5817499999999995</v>
      </c>
      <c r="J20" s="806">
        <f t="shared" si="1"/>
        <v>37.358750000000001</v>
      </c>
      <c r="K20" s="806">
        <f t="shared" si="1"/>
        <v>38.026749999999993</v>
      </c>
      <c r="L20" s="806">
        <f t="shared" si="1"/>
        <v>38.350750000000005</v>
      </c>
      <c r="M20" s="806">
        <f t="shared" si="1"/>
        <v>54.966750000000005</v>
      </c>
      <c r="N20" s="806">
        <f t="shared" si="1"/>
        <v>74.252749999999992</v>
      </c>
      <c r="O20" s="806">
        <f t="shared" si="1"/>
        <v>80.97475</v>
      </c>
      <c r="P20" s="806">
        <f t="shared" si="1"/>
        <v>85.163749999999993</v>
      </c>
      <c r="Q20" s="1000">
        <f t="shared" si="1"/>
        <v>25</v>
      </c>
      <c r="R20" s="823">
        <f t="shared" si="1"/>
        <v>20</v>
      </c>
      <c r="S20" s="823">
        <f t="shared" si="1"/>
        <v>5</v>
      </c>
      <c r="T20" s="823">
        <f t="shared" si="1"/>
        <v>0</v>
      </c>
      <c r="U20" s="823">
        <f t="shared" si="1"/>
        <v>0</v>
      </c>
      <c r="V20" s="823">
        <f t="shared" si="1"/>
        <v>0</v>
      </c>
      <c r="W20" s="823">
        <f t="shared" si="1"/>
        <v>0</v>
      </c>
      <c r="X20" s="823">
        <f t="shared" si="1"/>
        <v>0</v>
      </c>
      <c r="Y20" s="823">
        <f t="shared" si="1"/>
        <v>0</v>
      </c>
      <c r="Z20" s="823">
        <f t="shared" si="1"/>
        <v>0</v>
      </c>
      <c r="AA20" s="823">
        <f t="shared" si="1"/>
        <v>0</v>
      </c>
      <c r="AB20" s="823">
        <f t="shared" si="1"/>
        <v>0</v>
      </c>
      <c r="AC20" s="824">
        <f t="shared" si="1"/>
        <v>0</v>
      </c>
      <c r="AE20" s="827"/>
      <c r="AF20" s="827"/>
      <c r="AG20" s="827"/>
      <c r="AH20" s="827"/>
      <c r="AI20" s="827"/>
      <c r="AJ20" s="827"/>
      <c r="AK20" s="827"/>
      <c r="AL20" s="827"/>
      <c r="AM20" s="827"/>
      <c r="AN20" s="827"/>
      <c r="AO20" s="827"/>
      <c r="AP20" s="827"/>
      <c r="AQ20" s="827"/>
      <c r="AR20" s="827"/>
      <c r="AS20" s="827"/>
      <c r="AT20" s="827"/>
      <c r="AU20" s="827"/>
      <c r="AV20" s="827"/>
      <c r="AW20" s="827"/>
      <c r="AX20" s="827"/>
      <c r="AY20" s="827"/>
      <c r="AZ20" s="827"/>
      <c r="BA20" s="827"/>
      <c r="BB20" s="827"/>
      <c r="BC20" s="827"/>
      <c r="BD20" s="827"/>
      <c r="BE20" s="827"/>
      <c r="BF20" s="827"/>
      <c r="BG20" s="827"/>
      <c r="BH20" s="827"/>
      <c r="BI20" s="827"/>
      <c r="BJ20" s="827"/>
      <c r="BK20" s="827"/>
      <c r="BL20" s="827"/>
      <c r="BM20" s="827"/>
      <c r="BN20" s="827"/>
      <c r="BO20" s="827"/>
      <c r="BP20" s="827"/>
      <c r="BQ20" s="827"/>
      <c r="BR20" s="827"/>
      <c r="BS20" s="827"/>
      <c r="BT20" s="827"/>
      <c r="BU20" s="827"/>
      <c r="BV20" s="827"/>
      <c r="BW20" s="827"/>
      <c r="BX20" s="827"/>
      <c r="BY20" s="827"/>
      <c r="BZ20" s="827"/>
      <c r="CA20" s="827"/>
      <c r="CB20" s="827"/>
      <c r="CC20" s="827"/>
      <c r="CD20" s="827"/>
      <c r="CE20" s="827"/>
      <c r="CF20" s="827"/>
      <c r="CG20" s="827"/>
      <c r="CH20" s="827"/>
      <c r="CI20" s="827"/>
      <c r="CJ20" s="827"/>
      <c r="CK20" s="827"/>
      <c r="CL20" s="827"/>
      <c r="CM20" s="827"/>
      <c r="CN20" s="827"/>
      <c r="CO20" s="827"/>
      <c r="CP20" s="827"/>
      <c r="CQ20" s="827"/>
      <c r="CR20" s="827"/>
      <c r="CS20" s="827"/>
      <c r="CT20" s="827"/>
      <c r="CU20" s="827"/>
      <c r="CV20" s="827"/>
    </row>
    <row r="21" spans="2:101" s="787" customFormat="1" ht="15.4" customHeight="1" x14ac:dyDescent="0.3">
      <c r="B21" s="802" t="s">
        <v>1162</v>
      </c>
      <c r="C21" s="803" t="s">
        <v>1201</v>
      </c>
      <c r="D21" s="1071">
        <v>30</v>
      </c>
      <c r="E21" s="1072">
        <v>30</v>
      </c>
      <c r="F21" s="1072">
        <v>30</v>
      </c>
      <c r="G21" s="1072">
        <v>30</v>
      </c>
      <c r="H21" s="1072">
        <v>30</v>
      </c>
      <c r="I21" s="1072">
        <v>30</v>
      </c>
      <c r="J21" s="1072">
        <v>30</v>
      </c>
      <c r="K21" s="1073">
        <v>30.2</v>
      </c>
      <c r="L21" s="1073">
        <v>30.2</v>
      </c>
      <c r="M21" s="1073">
        <f>'Haver Pivoted'!GX89</f>
        <v>34.4</v>
      </c>
      <c r="N21" s="1073">
        <f>'Haver Pivoted'!GY89</f>
        <v>34.4</v>
      </c>
      <c r="O21" s="1073">
        <f>'Haver Pivoted'!GZ89</f>
        <v>218.933333333333</v>
      </c>
      <c r="P21" s="1073">
        <f>'Haver Pivoted'!HA89</f>
        <v>223.13333333333301</v>
      </c>
      <c r="Q21" s="1001">
        <f>8*4 + 34 + 17+23</f>
        <v>106</v>
      </c>
      <c r="R21" s="883">
        <f>8*4 + 34 + 17</f>
        <v>83</v>
      </c>
      <c r="S21" s="883">
        <v>34</v>
      </c>
      <c r="T21" s="883">
        <v>34</v>
      </c>
      <c r="U21" s="883">
        <v>34</v>
      </c>
      <c r="V21" s="883">
        <v>34</v>
      </c>
      <c r="W21" s="883">
        <v>34</v>
      </c>
      <c r="X21" s="883">
        <v>34</v>
      </c>
      <c r="Y21" s="883">
        <v>34</v>
      </c>
      <c r="Z21" s="883">
        <v>34</v>
      </c>
      <c r="AA21" s="883">
        <v>34</v>
      </c>
      <c r="AB21" s="883">
        <v>34</v>
      </c>
      <c r="AC21" s="876">
        <v>34</v>
      </c>
    </row>
    <row r="22" spans="2:101" ht="21.4" customHeight="1" x14ac:dyDescent="0.3">
      <c r="B22" s="802" t="s">
        <v>579</v>
      </c>
      <c r="C22" s="803"/>
      <c r="D22" s="804"/>
      <c r="E22" s="806"/>
      <c r="F22" s="806"/>
      <c r="G22" s="806"/>
      <c r="H22" s="808"/>
      <c r="I22" s="808"/>
      <c r="J22" s="808">
        <f>PPP!J53</f>
        <v>57.2</v>
      </c>
      <c r="K22" s="808">
        <f>PPP!K53</f>
        <v>81.2</v>
      </c>
      <c r="L22" s="808">
        <f>PPP!L53</f>
        <v>24.4</v>
      </c>
      <c r="M22" s="808">
        <f>PPP!M53</f>
        <v>10.8</v>
      </c>
      <c r="N22" s="808">
        <f>PPP!N53</f>
        <v>24.7</v>
      </c>
      <c r="O22" s="808">
        <f>PPP!O53</f>
        <v>14</v>
      </c>
      <c r="P22" s="808">
        <f>PPP!P53</f>
        <v>2</v>
      </c>
      <c r="Q22" s="997">
        <f>PPP!Q53</f>
        <v>0</v>
      </c>
      <c r="R22" s="879">
        <f>PPP!Q61</f>
        <v>0</v>
      </c>
      <c r="S22" s="879">
        <f>PPP!S53</f>
        <v>0</v>
      </c>
      <c r="T22" s="879">
        <f>PPP!T53</f>
        <v>0</v>
      </c>
      <c r="U22" s="879">
        <f>PPP!U53</f>
        <v>0</v>
      </c>
      <c r="V22" s="879">
        <f>PPP!V53</f>
        <v>0</v>
      </c>
      <c r="W22" s="879">
        <f>PPP!W53</f>
        <v>0</v>
      </c>
      <c r="X22" s="879">
        <f>PPP!X53</f>
        <v>0</v>
      </c>
      <c r="Y22" s="879">
        <f>PPP!Y53</f>
        <v>0</v>
      </c>
      <c r="Z22" s="879">
        <f>PPP!Z53</f>
        <v>0</v>
      </c>
      <c r="AA22" s="879">
        <f>PPP!AA53</f>
        <v>0</v>
      </c>
      <c r="AB22" s="879">
        <f>PPP!AB53</f>
        <v>0</v>
      </c>
      <c r="AC22" s="880">
        <f>PPP!AC53</f>
        <v>0</v>
      </c>
    </row>
    <row r="23" spans="2:101" ht="21.4" customHeight="1" x14ac:dyDescent="0.3">
      <c r="B23" s="813" t="s">
        <v>1163</v>
      </c>
      <c r="C23" s="817"/>
      <c r="D23" s="814">
        <f t="shared" ref="D23:AC23" si="2">D54</f>
        <v>0</v>
      </c>
      <c r="E23" s="815">
        <f t="shared" si="2"/>
        <v>0</v>
      </c>
      <c r="F23" s="815">
        <f t="shared" si="2"/>
        <v>0</v>
      </c>
      <c r="G23" s="815">
        <f t="shared" si="2"/>
        <v>0</v>
      </c>
      <c r="H23" s="815">
        <f t="shared" si="2"/>
        <v>0</v>
      </c>
      <c r="I23" s="815">
        <f t="shared" si="2"/>
        <v>-2.5817500000000564</v>
      </c>
      <c r="J23" s="815">
        <f t="shared" si="2"/>
        <v>-4.8587500000001</v>
      </c>
      <c r="K23" s="815">
        <f t="shared" si="2"/>
        <v>97.173249999999825</v>
      </c>
      <c r="L23" s="815">
        <f t="shared" si="2"/>
        <v>24.54924999999912</v>
      </c>
      <c r="M23" s="815">
        <f t="shared" si="2"/>
        <v>28.23224999999934</v>
      </c>
      <c r="N23" s="815">
        <f t="shared" si="2"/>
        <v>-0.27559000000042033</v>
      </c>
      <c r="O23" s="815">
        <f t="shared" si="2"/>
        <v>-0.77924333333385221</v>
      </c>
      <c r="P23" s="815">
        <f t="shared" si="2"/>
        <v>-17.77408333333392</v>
      </c>
      <c r="Q23" s="1001">
        <f t="shared" si="2"/>
        <v>25</v>
      </c>
      <c r="R23" s="883">
        <f t="shared" si="2"/>
        <v>25</v>
      </c>
      <c r="S23" s="883">
        <f t="shared" si="2"/>
        <v>25</v>
      </c>
      <c r="T23" s="883">
        <f t="shared" si="2"/>
        <v>90</v>
      </c>
      <c r="U23" s="883">
        <f t="shared" si="2"/>
        <v>90</v>
      </c>
      <c r="V23" s="883">
        <f t="shared" si="2"/>
        <v>90</v>
      </c>
      <c r="W23" s="883">
        <f t="shared" si="2"/>
        <v>90</v>
      </c>
      <c r="X23" s="883">
        <f t="shared" si="2"/>
        <v>110</v>
      </c>
      <c r="Y23" s="883">
        <f t="shared" si="2"/>
        <v>110</v>
      </c>
      <c r="Z23" s="883">
        <f t="shared" si="2"/>
        <v>110</v>
      </c>
      <c r="AA23" s="883">
        <f t="shared" si="2"/>
        <v>110</v>
      </c>
      <c r="AB23" s="883">
        <f t="shared" si="2"/>
        <v>130</v>
      </c>
      <c r="AC23" s="876">
        <f t="shared" si="2"/>
        <v>130</v>
      </c>
    </row>
    <row r="24" spans="2:101" s="132" customFormat="1" ht="21" customHeight="1" x14ac:dyDescent="0.35">
      <c r="B24" s="799" t="s">
        <v>1160</v>
      </c>
      <c r="C24" s="850"/>
      <c r="D24" s="851">
        <f t="shared" ref="D24:AC24" si="3">D18+D19</f>
        <v>0</v>
      </c>
      <c r="E24" s="852">
        <f t="shared" si="3"/>
        <v>0</v>
      </c>
      <c r="F24" s="852">
        <f t="shared" si="3"/>
        <v>0</v>
      </c>
      <c r="G24" s="852">
        <f t="shared" si="3"/>
        <v>0</v>
      </c>
      <c r="H24" s="852">
        <f t="shared" si="3"/>
        <v>0</v>
      </c>
      <c r="I24" s="852">
        <f t="shared" si="3"/>
        <v>0</v>
      </c>
      <c r="J24" s="852">
        <f t="shared" si="3"/>
        <v>160.9</v>
      </c>
      <c r="K24" s="852">
        <f t="shared" si="3"/>
        <v>58.4</v>
      </c>
      <c r="L24" s="852">
        <f t="shared" si="3"/>
        <v>34.5</v>
      </c>
      <c r="M24" s="852">
        <f t="shared" si="3"/>
        <v>42.8</v>
      </c>
      <c r="N24" s="852">
        <f t="shared" si="3"/>
        <v>26.6</v>
      </c>
      <c r="O24" s="852">
        <f t="shared" si="3"/>
        <v>40.50400000000004</v>
      </c>
      <c r="P24" s="854">
        <f>P18+P19</f>
        <v>84.119000000000014</v>
      </c>
      <c r="Q24" s="1002">
        <f t="shared" si="3"/>
        <v>75.675555469356098</v>
      </c>
      <c r="R24" s="882">
        <f t="shared" si="3"/>
        <v>39.703484096198608</v>
      </c>
      <c r="S24" s="882">
        <f t="shared" si="3"/>
        <v>19.719000000000005</v>
      </c>
      <c r="T24" s="882">
        <f t="shared" si="3"/>
        <v>1.4159999999999999</v>
      </c>
      <c r="U24" s="882">
        <f t="shared" si="3"/>
        <v>1.4159999999999999</v>
      </c>
      <c r="V24" s="882">
        <f t="shared" si="3"/>
        <v>1.4159999999999999</v>
      </c>
      <c r="W24" s="882">
        <f t="shared" si="3"/>
        <v>1.4159999999999999</v>
      </c>
      <c r="X24" s="882">
        <f t="shared" si="3"/>
        <v>1.4790000000000001</v>
      </c>
      <c r="Y24" s="882">
        <f t="shared" si="3"/>
        <v>1.4790000000000001</v>
      </c>
      <c r="Z24" s="882">
        <f t="shared" si="3"/>
        <v>1.4790000000000001</v>
      </c>
      <c r="AA24" s="882">
        <f t="shared" si="3"/>
        <v>1.4790000000000001</v>
      </c>
      <c r="AB24" s="882">
        <f t="shared" si="3"/>
        <v>1.63</v>
      </c>
      <c r="AC24" s="877">
        <f t="shared" si="3"/>
        <v>1.63</v>
      </c>
    </row>
    <row r="25" spans="2:101" ht="44.65" customHeight="1" x14ac:dyDescent="0.3">
      <c r="B25" s="810" t="s">
        <v>1169</v>
      </c>
      <c r="C25" s="817"/>
      <c r="D25" s="814">
        <f t="shared" ref="D25:AC25" si="4">D52</f>
        <v>1411.0000000000002</v>
      </c>
      <c r="E25" s="815">
        <f t="shared" si="4"/>
        <v>1471.3999999999999</v>
      </c>
      <c r="F25" s="815">
        <f t="shared" si="4"/>
        <v>1476.6</v>
      </c>
      <c r="G25" s="815">
        <f t="shared" si="4"/>
        <v>1483.6999999999998</v>
      </c>
      <c r="H25" s="815">
        <f t="shared" si="4"/>
        <v>1492.7</v>
      </c>
      <c r="I25" s="815">
        <f t="shared" si="4"/>
        <v>1539.9</v>
      </c>
      <c r="J25" s="815">
        <f t="shared" si="4"/>
        <v>1547.0000000000002</v>
      </c>
      <c r="K25" s="815">
        <f t="shared" si="4"/>
        <v>1554.1000000000004</v>
      </c>
      <c r="L25" s="815">
        <f t="shared" si="4"/>
        <v>1561.2000000000005</v>
      </c>
      <c r="M25" s="815">
        <f t="shared" si="4"/>
        <v>1585.8010000000006</v>
      </c>
      <c r="N25" s="815">
        <f t="shared" si="4"/>
        <v>1592.9010000000007</v>
      </c>
      <c r="O25" s="815">
        <f t="shared" si="4"/>
        <v>1600.0010000000009</v>
      </c>
      <c r="P25" s="815">
        <f>P52</f>
        <v>1607.101000000001</v>
      </c>
      <c r="Q25" s="1001">
        <f t="shared" si="4"/>
        <v>1682.2930200000012</v>
      </c>
      <c r="R25" s="883">
        <f t="shared" si="4"/>
        <v>1689.3930200000013</v>
      </c>
      <c r="S25" s="883">
        <f t="shared" si="4"/>
        <v>1696.4930200000015</v>
      </c>
      <c r="T25" s="883">
        <f t="shared" si="4"/>
        <v>1703.5930200000016</v>
      </c>
      <c r="U25" s="883">
        <f t="shared" si="4"/>
        <v>1757.3677000000018</v>
      </c>
      <c r="V25" s="883">
        <f t="shared" si="4"/>
        <v>1764.467700000002</v>
      </c>
      <c r="W25" s="883">
        <f t="shared" si="4"/>
        <v>1771.5677000000021</v>
      </c>
      <c r="X25" s="883">
        <f t="shared" si="4"/>
        <v>1778.6677000000022</v>
      </c>
      <c r="Y25" s="883">
        <f t="shared" si="4"/>
        <v>1809.7450400000023</v>
      </c>
      <c r="Z25" s="883">
        <f t="shared" si="4"/>
        <v>1816.8450400000024</v>
      </c>
      <c r="AA25" s="883">
        <f t="shared" si="4"/>
        <v>1823.9450400000026</v>
      </c>
      <c r="AB25" s="883">
        <f t="shared" si="4"/>
        <v>1831.0450400000027</v>
      </c>
      <c r="AC25" s="876">
        <f t="shared" si="4"/>
        <v>1862.7623800000028</v>
      </c>
    </row>
    <row r="26" spans="2:101" s="868" customFormat="1" ht="44.65" customHeight="1" x14ac:dyDescent="0.3">
      <c r="B26" s="870" t="s">
        <v>1185</v>
      </c>
      <c r="D26" s="871"/>
      <c r="E26" s="983"/>
      <c r="F26" s="983"/>
      <c r="G26" s="983"/>
      <c r="H26" s="983"/>
      <c r="I26" s="983"/>
      <c r="J26" s="983"/>
      <c r="K26" s="983"/>
      <c r="L26" s="983"/>
      <c r="M26" s="983"/>
      <c r="N26" s="983"/>
      <c r="O26" s="983"/>
      <c r="P26" s="808"/>
      <c r="Q26" s="997">
        <v>-2.5</v>
      </c>
      <c r="R26" s="879">
        <v>-2.5</v>
      </c>
      <c r="S26" s="879">
        <v>-2.5</v>
      </c>
      <c r="T26" s="879">
        <v>-6</v>
      </c>
      <c r="U26" s="879">
        <v>-6</v>
      </c>
      <c r="V26" s="879">
        <v>-6</v>
      </c>
      <c r="W26" s="879">
        <v>-6</v>
      </c>
      <c r="X26" s="879">
        <v>-4.3</v>
      </c>
      <c r="Y26" s="879">
        <v>-4.3</v>
      </c>
      <c r="Z26" s="879">
        <v>-4.3</v>
      </c>
      <c r="AA26" s="879">
        <v>-4.3</v>
      </c>
      <c r="AB26" s="879">
        <v>-4.8</v>
      </c>
      <c r="AC26" s="880">
        <v>-4.8</v>
      </c>
    </row>
    <row r="27" spans="2:101" s="132" customFormat="1" ht="31.15" customHeight="1" x14ac:dyDescent="0.35">
      <c r="B27" s="853" t="s">
        <v>1165</v>
      </c>
      <c r="C27" s="850"/>
      <c r="D27" s="936">
        <f>D25+SUM(D20:D23) + D26</f>
        <v>1441.0000000000002</v>
      </c>
      <c r="E27" s="867">
        <f t="shared" ref="E27:O27" si="5">E25+SUM(E20:E23) + E26</f>
        <v>1501.3999999999999</v>
      </c>
      <c r="F27" s="867">
        <f t="shared" si="5"/>
        <v>1506.6</v>
      </c>
      <c r="G27" s="867">
        <f t="shared" si="5"/>
        <v>1513.6999999999998</v>
      </c>
      <c r="H27" s="867">
        <f t="shared" si="5"/>
        <v>1522.7</v>
      </c>
      <c r="I27" s="867">
        <f t="shared" si="5"/>
        <v>1569.9</v>
      </c>
      <c r="J27" s="867">
        <f t="shared" si="5"/>
        <v>1666.7</v>
      </c>
      <c r="K27" s="867">
        <f>K25+SUM(K20:K23) + K26</f>
        <v>1800.7000000000003</v>
      </c>
      <c r="L27" s="867">
        <f t="shared" si="5"/>
        <v>1678.6999999999996</v>
      </c>
      <c r="M27" s="867">
        <f t="shared" si="5"/>
        <v>1714.1999999999998</v>
      </c>
      <c r="N27" s="867">
        <f t="shared" si="5"/>
        <v>1725.9781600000003</v>
      </c>
      <c r="O27" s="867">
        <f t="shared" si="5"/>
        <v>1913.1298400000001</v>
      </c>
      <c r="P27" s="867">
        <f>P25+SUM(P20:P23) + P26</f>
        <v>1899.6240000000003</v>
      </c>
      <c r="Q27" s="1003">
        <f>Q25+SUM(Q20:Q23) + Q26</f>
        <v>1835.7930200000012</v>
      </c>
      <c r="R27" s="885">
        <f t="shared" ref="R27" si="6">R25+SUM(R20:R23) + R26</f>
        <v>1814.8930200000013</v>
      </c>
      <c r="S27" s="885">
        <f t="shared" ref="S27" si="7">S25+SUM(S20:S23) + S26</f>
        <v>1757.9930200000015</v>
      </c>
      <c r="T27" s="885">
        <f t="shared" ref="T27" si="8">T25+SUM(T20:T23) + T26</f>
        <v>1821.5930200000016</v>
      </c>
      <c r="U27" s="885">
        <f t="shared" ref="U27" si="9">U25+SUM(U20:U23) + U26</f>
        <v>1875.3677000000018</v>
      </c>
      <c r="V27" s="885">
        <f t="shared" ref="V27" si="10">V25+SUM(V20:V23) + V26</f>
        <v>1882.467700000002</v>
      </c>
      <c r="W27" s="885">
        <f t="shared" ref="W27" si="11">W25+SUM(W20:W23) + W26</f>
        <v>1889.5677000000021</v>
      </c>
      <c r="X27" s="885">
        <f t="shared" ref="X27" si="12">X25+SUM(X20:X23) + X26</f>
        <v>1918.3677000000023</v>
      </c>
      <c r="Y27" s="885">
        <f t="shared" ref="Y27" si="13">Y25+SUM(Y20:Y23) + Y26</f>
        <v>1949.4450400000023</v>
      </c>
      <c r="Z27" s="885">
        <f t="shared" ref="Z27" si="14">Z25+SUM(Z20:Z23) + Z26</f>
        <v>1956.5450400000025</v>
      </c>
      <c r="AA27" s="885">
        <f t="shared" ref="AA27" si="15">AA25+SUM(AA20:AA23) + AA26</f>
        <v>1963.6450400000026</v>
      </c>
      <c r="AB27" s="885">
        <f t="shared" ref="AB27" si="16">AB25+SUM(AB20:AB23) + AB26</f>
        <v>1990.2450400000027</v>
      </c>
      <c r="AC27" s="311">
        <f t="shared" ref="AC27" si="17">AC25+SUM(AC20:AC23) + AC26</f>
        <v>2021.9623800000029</v>
      </c>
    </row>
    <row r="28" spans="2:101" s="132" customFormat="1" ht="31.15" customHeight="1" x14ac:dyDescent="0.35">
      <c r="B28" s="1385" t="s">
        <v>582</v>
      </c>
      <c r="C28" s="1386"/>
      <c r="D28" s="493"/>
      <c r="E28" s="884"/>
      <c r="F28" s="884"/>
      <c r="G28" s="884"/>
      <c r="H28" s="884"/>
      <c r="I28" s="884"/>
      <c r="J28" s="884"/>
      <c r="K28" s="884"/>
      <c r="L28" s="884"/>
      <c r="M28" s="884"/>
      <c r="N28" s="854"/>
      <c r="O28" s="854"/>
      <c r="P28" s="854"/>
      <c r="Q28" s="1003"/>
      <c r="R28" s="885"/>
      <c r="S28" s="885"/>
      <c r="T28" s="885"/>
      <c r="U28" s="885"/>
      <c r="V28" s="885"/>
      <c r="W28" s="885"/>
      <c r="X28" s="885"/>
      <c r="Y28" s="885"/>
      <c r="Z28" s="885"/>
      <c r="AA28" s="885"/>
      <c r="AB28" s="885"/>
      <c r="AC28" s="311"/>
    </row>
    <row r="29" spans="2:101" x14ac:dyDescent="0.3">
      <c r="B29" s="148" t="s">
        <v>1171</v>
      </c>
      <c r="C29" s="827" t="s">
        <v>583</v>
      </c>
      <c r="D29" s="869">
        <f>'Haver Pivoted'!GO37</f>
        <v>731.6</v>
      </c>
      <c r="E29" s="827">
        <f>'Haver Pivoted'!GP37</f>
        <v>741.5</v>
      </c>
      <c r="F29" s="827">
        <f>'Haver Pivoted'!GQ37</f>
        <v>758.6</v>
      </c>
      <c r="G29" s="827">
        <f>'Haver Pivoted'!GR37</f>
        <v>767.8</v>
      </c>
      <c r="H29" s="827">
        <f>'Haver Pivoted'!GS37</f>
        <v>767.1</v>
      </c>
      <c r="I29" s="827">
        <f>'Haver Pivoted'!GT37</f>
        <v>755.9</v>
      </c>
      <c r="J29" s="827">
        <f>'Haver Pivoted'!GU37</f>
        <v>803.8</v>
      </c>
      <c r="K29" s="827">
        <f>'Haver Pivoted'!GV37</f>
        <v>842.2</v>
      </c>
      <c r="L29" s="827">
        <f>'Haver Pivoted'!GW37</f>
        <v>831.1</v>
      </c>
      <c r="M29" s="827">
        <f>'Haver Pivoted'!GX37</f>
        <v>850</v>
      </c>
      <c r="N29" s="817">
        <f>'Haver Pivoted'!GY37</f>
        <v>885.5</v>
      </c>
      <c r="O29" s="817">
        <f>'Haver Pivoted'!GZ37</f>
        <v>933.2</v>
      </c>
      <c r="P29" s="817">
        <f>'Haver Pivoted'!HA37</f>
        <v>939.2</v>
      </c>
      <c r="Q29" s="1004"/>
      <c r="R29" s="881"/>
      <c r="S29" s="881"/>
      <c r="T29" s="881"/>
      <c r="U29" s="881"/>
      <c r="V29" s="881"/>
      <c r="W29" s="881"/>
      <c r="X29" s="881"/>
      <c r="Y29" s="881"/>
      <c r="Z29" s="881"/>
      <c r="AA29" s="881"/>
      <c r="AB29" s="881"/>
      <c r="AC29" s="878"/>
    </row>
    <row r="30" spans="2:101" x14ac:dyDescent="0.3">
      <c r="B30" s="34" t="s">
        <v>223</v>
      </c>
      <c r="C30" s="827"/>
      <c r="D30" s="814">
        <f>Medicaid!D26</f>
        <v>589.5</v>
      </c>
      <c r="E30" s="815">
        <f>Medicaid!E26</f>
        <v>598.79999999999995</v>
      </c>
      <c r="F30" s="815">
        <f>Medicaid!F26</f>
        <v>614.5</v>
      </c>
      <c r="G30" s="815">
        <f>Medicaid!G26</f>
        <v>622.4</v>
      </c>
      <c r="H30" s="815">
        <f>Medicaid!H26</f>
        <v>620.5</v>
      </c>
      <c r="I30" s="815">
        <f>Medicaid!I26</f>
        <v>606.20000000000005</v>
      </c>
      <c r="J30" s="815">
        <f>Medicaid!J26</f>
        <v>654.20000000000005</v>
      </c>
      <c r="K30" s="815">
        <f>Medicaid!K26</f>
        <v>690.4</v>
      </c>
      <c r="L30" s="815">
        <f>Medicaid!L26</f>
        <v>678.3</v>
      </c>
      <c r="M30" s="815">
        <f>Medicaid!M26</f>
        <v>695.9</v>
      </c>
      <c r="N30" s="815">
        <f>Medicaid!N26</f>
        <v>730.5</v>
      </c>
      <c r="O30" s="815">
        <f>Medicaid!O26</f>
        <v>775</v>
      </c>
      <c r="P30" s="815">
        <f>Medicaid!P26</f>
        <v>782.9</v>
      </c>
      <c r="Q30" s="1001">
        <f>Medicaid!Q26</f>
        <v>803.76869830289672</v>
      </c>
      <c r="R30" s="883">
        <f>Medicaid!R26</f>
        <v>814.92710868374513</v>
      </c>
      <c r="S30" s="883">
        <f>Medicaid!S26</f>
        <v>816.24042696594665</v>
      </c>
      <c r="T30" s="883">
        <f>Medicaid!T26</f>
        <v>805.440393020128</v>
      </c>
      <c r="U30" s="883">
        <f>Medicaid!U26</f>
        <v>794.78325904517249</v>
      </c>
      <c r="V30" s="883">
        <f>Medicaid!V26</f>
        <v>784.26713426909055</v>
      </c>
      <c r="W30" s="883">
        <f>Medicaid!W26</f>
        <v>773.89015293752323</v>
      </c>
      <c r="X30" s="883">
        <f>Medicaid!X26</f>
        <v>784.54284331607403</v>
      </c>
      <c r="Y30" s="883">
        <f>Medicaid!Y26</f>
        <v>795.34216924990426</v>
      </c>
      <c r="Z30" s="883">
        <f>Medicaid!Z26</f>
        <v>806.29014919494455</v>
      </c>
      <c r="AA30" s="883">
        <f>Medicaid!AA26</f>
        <v>817.38882939141251</v>
      </c>
      <c r="AB30" s="883">
        <f>Medicaid!AB26</f>
        <v>828.64028424626679</v>
      </c>
      <c r="AC30" s="876">
        <f>Medicaid!AC26</f>
        <v>840.04661672092539</v>
      </c>
    </row>
    <row r="31" spans="2:101" s="132" customFormat="1" ht="14.5" x14ac:dyDescent="0.35">
      <c r="B31" s="131" t="s">
        <v>1172</v>
      </c>
      <c r="C31" s="828"/>
      <c r="D31" s="493">
        <f>D29-D30</f>
        <v>142.10000000000002</v>
      </c>
      <c r="E31" s="884">
        <f t="shared" ref="E31:O31" si="18">E29-E30</f>
        <v>142.70000000000005</v>
      </c>
      <c r="F31" s="884">
        <f t="shared" si="18"/>
        <v>144.10000000000002</v>
      </c>
      <c r="G31" s="884">
        <f t="shared" si="18"/>
        <v>145.39999999999998</v>
      </c>
      <c r="H31" s="884">
        <f t="shared" si="18"/>
        <v>146.60000000000002</v>
      </c>
      <c r="I31" s="884">
        <f t="shared" si="18"/>
        <v>149.69999999999993</v>
      </c>
      <c r="J31" s="884">
        <f t="shared" si="18"/>
        <v>149.59999999999991</v>
      </c>
      <c r="K31" s="884">
        <f t="shared" si="18"/>
        <v>151.80000000000007</v>
      </c>
      <c r="L31" s="884">
        <f t="shared" si="18"/>
        <v>152.80000000000007</v>
      </c>
      <c r="M31" s="884">
        <f t="shared" si="18"/>
        <v>154.10000000000002</v>
      </c>
      <c r="N31" s="884">
        <f t="shared" si="18"/>
        <v>155</v>
      </c>
      <c r="O31" s="884">
        <f t="shared" si="18"/>
        <v>158.20000000000005</v>
      </c>
      <c r="P31" s="884">
        <f>P29-P30</f>
        <v>156.30000000000007</v>
      </c>
      <c r="Q31" s="1003">
        <f>P31*(1+AVERAGE($F$32:$I$32))</f>
        <v>158.18464098060005</v>
      </c>
      <c r="R31" s="885">
        <f>Q31*(1+AVERAGE($F$32:$I$32))</f>
        <v>160.0920066676988</v>
      </c>
      <c r="S31" s="885">
        <f t="shared" ref="S31:AC31" si="19">R31*(1+AVERAGE($F$32:$I$32))</f>
        <v>162.02237107225687</v>
      </c>
      <c r="T31" s="885">
        <f t="shared" si="19"/>
        <v>163.97601150921625</v>
      </c>
      <c r="U31" s="885">
        <f t="shared" si="19"/>
        <v>165.95320863733909</v>
      </c>
      <c r="V31" s="885">
        <f t="shared" si="19"/>
        <v>167.9542464995271</v>
      </c>
      <c r="W31" s="885">
        <f t="shared" si="19"/>
        <v>169.97941256362691</v>
      </c>
      <c r="X31" s="885">
        <f t="shared" si="19"/>
        <v>172.02899776372749</v>
      </c>
      <c r="Y31" s="885">
        <f t="shared" si="19"/>
        <v>174.10329654195564</v>
      </c>
      <c r="Z31" s="885">
        <f t="shared" si="19"/>
        <v>176.20260689077534</v>
      </c>
      <c r="AA31" s="885">
        <f t="shared" si="19"/>
        <v>178.3272303957971</v>
      </c>
      <c r="AB31" s="885">
        <f t="shared" si="19"/>
        <v>180.47747227910364</v>
      </c>
      <c r="AC31" s="311">
        <f t="shared" si="19"/>
        <v>182.65364144309783</v>
      </c>
    </row>
    <row r="32" spans="2:101" x14ac:dyDescent="0.3">
      <c r="B32" s="421" t="s">
        <v>1173</v>
      </c>
      <c r="C32" s="35"/>
      <c r="D32" s="707"/>
      <c r="E32" s="172">
        <f>E31/D31-1</f>
        <v>4.2223786066151181E-3</v>
      </c>
      <c r="F32" s="172">
        <f t="shared" ref="F32:N32" si="20">F31/E31-1</f>
        <v>9.8107918710579334E-3</v>
      </c>
      <c r="G32" s="172">
        <f t="shared" si="20"/>
        <v>9.0215128383064336E-3</v>
      </c>
      <c r="H32" s="172">
        <f t="shared" si="20"/>
        <v>8.253094910591896E-3</v>
      </c>
      <c r="I32" s="172">
        <f t="shared" si="20"/>
        <v>2.1145975443382703E-2</v>
      </c>
      <c r="J32" s="172">
        <f t="shared" si="20"/>
        <v>-6.6800267201083674E-4</v>
      </c>
      <c r="K32" s="172">
        <f t="shared" si="20"/>
        <v>1.4705882352942234E-2</v>
      </c>
      <c r="L32" s="172">
        <f t="shared" si="20"/>
        <v>6.5876152832673451E-3</v>
      </c>
      <c r="M32" s="172">
        <f t="shared" si="20"/>
        <v>8.5078534031410857E-3</v>
      </c>
      <c r="N32" s="172">
        <f t="shared" si="20"/>
        <v>5.8403634003891813E-3</v>
      </c>
      <c r="O32" s="172">
        <f>O31/N31-1</f>
        <v>2.06451612903229E-2</v>
      </c>
      <c r="P32" s="984">
        <f t="shared" ref="P32" si="21">P31/O31-1</f>
        <v>-1.2010113780025145E-2</v>
      </c>
      <c r="Q32" s="1158"/>
      <c r="R32" s="883"/>
      <c r="S32" s="883"/>
      <c r="T32" s="883"/>
      <c r="U32" s="883"/>
      <c r="V32" s="883"/>
      <c r="W32" s="883"/>
      <c r="X32" s="883"/>
      <c r="Y32" s="883"/>
      <c r="Z32" s="883"/>
      <c r="AA32" s="883"/>
      <c r="AB32" s="883"/>
      <c r="AC32" s="876"/>
    </row>
    <row r="33" spans="2:29" s="868" customFormat="1" x14ac:dyDescent="0.3">
      <c r="P33" s="1099"/>
      <c r="Q33" s="1099"/>
      <c r="R33" s="1099"/>
      <c r="S33" s="1099"/>
      <c r="T33" s="1099"/>
      <c r="U33" s="1099"/>
      <c r="V33" s="1099"/>
      <c r="W33" s="1099"/>
      <c r="X33" s="1099"/>
      <c r="Y33" s="1099"/>
      <c r="Z33" s="1099"/>
      <c r="AA33" s="1099"/>
      <c r="AB33" s="1099"/>
      <c r="AC33" s="1099"/>
    </row>
    <row r="34" spans="2:29" s="868" customFormat="1" x14ac:dyDescent="0.3"/>
    <row r="35" spans="2:29" x14ac:dyDescent="0.3">
      <c r="B35" s="44"/>
      <c r="D35" s="147"/>
      <c r="E35" s="147"/>
      <c r="F35" s="147"/>
      <c r="G35" s="147"/>
      <c r="H35" s="147"/>
      <c r="I35" s="147"/>
      <c r="J35" s="147"/>
      <c r="K35" s="147"/>
      <c r="L35" s="147"/>
      <c r="M35" s="147"/>
      <c r="N35" s="147"/>
      <c r="O35" s="147"/>
      <c r="P35" s="147"/>
      <c r="Q35" s="147"/>
      <c r="R35" s="147"/>
      <c r="S35" s="147"/>
      <c r="T35" s="147"/>
      <c r="U35" s="147"/>
      <c r="V35" s="147"/>
      <c r="W35" s="147"/>
      <c r="X35" s="147"/>
      <c r="Y35" s="147"/>
      <c r="Z35" s="147"/>
      <c r="AA35" s="147"/>
      <c r="AB35" s="147"/>
      <c r="AC35" s="147"/>
    </row>
    <row r="36" spans="2:29" x14ac:dyDescent="0.3">
      <c r="B36" s="44" t="s">
        <v>425</v>
      </c>
      <c r="D36" s="147"/>
      <c r="E36" s="147"/>
      <c r="F36" s="147"/>
      <c r="G36" s="147"/>
      <c r="H36" s="147"/>
      <c r="I36" s="147"/>
      <c r="J36" s="147"/>
      <c r="K36" s="147"/>
      <c r="L36" s="147"/>
      <c r="M36" s="147"/>
      <c r="N36" s="147"/>
      <c r="O36" s="147"/>
      <c r="P36" s="147"/>
      <c r="Q36" s="147"/>
      <c r="R36" s="147"/>
      <c r="S36" s="147"/>
      <c r="T36" s="147"/>
      <c r="U36" s="147"/>
      <c r="V36" s="147"/>
      <c r="W36" s="147"/>
      <c r="X36" s="147"/>
      <c r="Y36" s="147"/>
      <c r="Z36" s="147"/>
      <c r="AA36" s="147"/>
      <c r="AB36" s="147"/>
      <c r="AC36" s="147"/>
    </row>
    <row r="37" spans="2:29" ht="45.75" customHeight="1" x14ac:dyDescent="0.3">
      <c r="B37" s="1393" t="s">
        <v>586</v>
      </c>
      <c r="C37" s="1393"/>
      <c r="D37" s="1393"/>
      <c r="E37" s="1393"/>
      <c r="F37" s="1393"/>
      <c r="G37" s="1393"/>
      <c r="H37" s="1393"/>
      <c r="I37" s="1393"/>
      <c r="J37" s="1393"/>
      <c r="K37" s="1393"/>
      <c r="L37" s="1393"/>
      <c r="M37" s="1393"/>
      <c r="N37" s="1393"/>
      <c r="O37" s="1393"/>
      <c r="P37" s="1393"/>
      <c r="Q37" s="1393"/>
      <c r="R37" s="1393"/>
      <c r="S37" s="1393"/>
      <c r="T37" s="1393"/>
      <c r="U37" s="1393"/>
      <c r="V37" s="1393"/>
      <c r="W37" s="1393"/>
      <c r="X37" s="1393"/>
      <c r="Y37" s="1393"/>
      <c r="Z37" s="1393"/>
      <c r="AA37" s="1393"/>
      <c r="AB37" s="1393"/>
      <c r="AC37" s="1393"/>
    </row>
    <row r="38" spans="2:29" ht="14.65" customHeight="1" x14ac:dyDescent="0.3">
      <c r="B38" s="1297" t="s">
        <v>587</v>
      </c>
      <c r="C38" s="1298"/>
      <c r="D38" s="1307" t="s">
        <v>350</v>
      </c>
      <c r="E38" s="1308"/>
      <c r="F38" s="1308"/>
      <c r="G38" s="1308"/>
      <c r="H38" s="1308"/>
      <c r="I38" s="1308"/>
      <c r="J38" s="1308"/>
      <c r="K38" s="1308"/>
      <c r="L38" s="1308"/>
      <c r="M38" s="1308"/>
      <c r="N38" s="1308"/>
      <c r="O38" s="1308"/>
      <c r="P38" s="1309"/>
      <c r="Q38" s="1304" t="s">
        <v>351</v>
      </c>
      <c r="R38" s="1305"/>
      <c r="S38" s="1305"/>
      <c r="T38" s="1305"/>
      <c r="U38" s="1305"/>
      <c r="V38" s="1305"/>
      <c r="W38" s="1305"/>
      <c r="X38" s="1305"/>
      <c r="Y38" s="1305"/>
      <c r="Z38" s="1305"/>
      <c r="AA38" s="1305"/>
      <c r="AB38" s="1305"/>
      <c r="AC38" s="1306"/>
    </row>
    <row r="39" spans="2:29" x14ac:dyDescent="0.3">
      <c r="B39" s="1297"/>
      <c r="C39" s="1298"/>
      <c r="D39" s="455">
        <v>2018</v>
      </c>
      <c r="E39" s="1292">
        <v>2019</v>
      </c>
      <c r="F39" s="1293"/>
      <c r="G39" s="1293"/>
      <c r="H39" s="1294"/>
      <c r="I39" s="1292">
        <v>2020</v>
      </c>
      <c r="J39" s="1293"/>
      <c r="K39" s="1293"/>
      <c r="L39" s="1293"/>
      <c r="M39" s="1302">
        <v>2021</v>
      </c>
      <c r="N39" s="1293"/>
      <c r="O39" s="1293"/>
      <c r="P39" s="1303"/>
      <c r="Q39" s="1300">
        <v>2022</v>
      </c>
      <c r="R39" s="1300"/>
      <c r="S39" s="1300"/>
      <c r="T39" s="1301"/>
      <c r="U39" s="1299">
        <v>2023</v>
      </c>
      <c r="V39" s="1300"/>
      <c r="W39" s="1300"/>
      <c r="X39" s="1300"/>
      <c r="Y39" s="1299">
        <v>2024</v>
      </c>
      <c r="Z39" s="1300"/>
      <c r="AA39" s="1300"/>
      <c r="AB39" s="1301"/>
      <c r="AC39" s="306">
        <v>2025</v>
      </c>
    </row>
    <row r="40" spans="2:29" x14ac:dyDescent="0.3">
      <c r="B40" s="1335"/>
      <c r="C40" s="1336"/>
      <c r="D40" s="156" t="s">
        <v>352</v>
      </c>
      <c r="E40" s="156" t="s">
        <v>353</v>
      </c>
      <c r="F40" s="139" t="s">
        <v>354</v>
      </c>
      <c r="G40" s="139" t="s">
        <v>253</v>
      </c>
      <c r="H40" s="146" t="s">
        <v>352</v>
      </c>
      <c r="I40" s="140" t="s">
        <v>353</v>
      </c>
      <c r="J40" s="140" t="s">
        <v>354</v>
      </c>
      <c r="K40" s="140" t="s">
        <v>253</v>
      </c>
      <c r="L40" s="140" t="s">
        <v>352</v>
      </c>
      <c r="M40" s="151" t="s">
        <v>353</v>
      </c>
      <c r="N40" s="773" t="s">
        <v>354</v>
      </c>
      <c r="O40" s="773" t="s">
        <v>253</v>
      </c>
      <c r="P40" s="146" t="s">
        <v>352</v>
      </c>
      <c r="Q40" s="826" t="s">
        <v>353</v>
      </c>
      <c r="R40" s="898" t="s">
        <v>354</v>
      </c>
      <c r="S40" s="898" t="s">
        <v>253</v>
      </c>
      <c r="T40" s="898" t="s">
        <v>352</v>
      </c>
      <c r="U40" s="897" t="s">
        <v>353</v>
      </c>
      <c r="V40" s="898" t="s">
        <v>354</v>
      </c>
      <c r="W40" s="898" t="s">
        <v>253</v>
      </c>
      <c r="X40" s="898" t="s">
        <v>352</v>
      </c>
      <c r="Y40" s="897" t="s">
        <v>353</v>
      </c>
      <c r="Z40" s="874" t="s">
        <v>354</v>
      </c>
      <c r="AA40" s="898" t="s">
        <v>253</v>
      </c>
      <c r="AB40" s="381" t="s">
        <v>352</v>
      </c>
      <c r="AC40" s="63" t="s">
        <v>353</v>
      </c>
    </row>
    <row r="41" spans="2:29" x14ac:dyDescent="0.3">
      <c r="B41" s="34" t="s">
        <v>588</v>
      </c>
      <c r="D41" s="1005"/>
      <c r="E41" s="631"/>
      <c r="F41" s="631"/>
      <c r="G41" s="631"/>
      <c r="H41" s="631"/>
      <c r="I41" s="233">
        <f>(I42-AVERAGE($E42:$H42))</f>
        <v>2.5817499999999995</v>
      </c>
      <c r="J41" s="233">
        <f t="shared" ref="J41:N41" si="22">(J42-AVERAGE($E42:$H42))</f>
        <v>37.358750000000001</v>
      </c>
      <c r="K41" s="233">
        <f t="shared" si="22"/>
        <v>38.026749999999993</v>
      </c>
      <c r="L41" s="233">
        <f t="shared" si="22"/>
        <v>38.350750000000005</v>
      </c>
      <c r="M41" s="233">
        <f t="shared" si="22"/>
        <v>54.966750000000005</v>
      </c>
      <c r="N41" s="233">
        <f t="shared" si="22"/>
        <v>74.252749999999992</v>
      </c>
      <c r="O41" s="233">
        <f>(O42-AVERAGE($E42:$H42))</f>
        <v>80.97475</v>
      </c>
      <c r="P41" s="864">
        <f>(P42-AVERAGE($E42:$H42))</f>
        <v>85.163749999999993</v>
      </c>
      <c r="Q41" s="1111">
        <v>25</v>
      </c>
      <c r="R41" s="737">
        <v>20</v>
      </c>
      <c r="S41" s="737">
        <v>5</v>
      </c>
      <c r="T41" s="737">
        <v>0</v>
      </c>
      <c r="U41" s="1111"/>
      <c r="V41" s="796"/>
      <c r="W41" s="796"/>
      <c r="X41" s="796"/>
      <c r="Y41" s="796"/>
      <c r="Z41" s="796"/>
      <c r="AA41" s="796"/>
      <c r="AB41" s="796"/>
      <c r="AC41" s="825"/>
    </row>
    <row r="42" spans="2:29" x14ac:dyDescent="0.3">
      <c r="B42" s="34" t="s">
        <v>174</v>
      </c>
      <c r="C42" s="27" t="s">
        <v>589</v>
      </c>
      <c r="D42" s="137">
        <f>'Haver Pivoted'!GO66</f>
        <v>57.116</v>
      </c>
      <c r="E42" s="790">
        <f>'Haver Pivoted'!GP66</f>
        <v>55.898000000000003</v>
      </c>
      <c r="F42" s="790">
        <f>'Haver Pivoted'!GQ66</f>
        <v>54.478000000000002</v>
      </c>
      <c r="G42" s="790">
        <f>'Haver Pivoted'!GR66</f>
        <v>54.216000000000001</v>
      </c>
      <c r="H42" s="790">
        <f>'Haver Pivoted'!GS66</f>
        <v>54.152999999999999</v>
      </c>
      <c r="I42" s="790">
        <f>'Haver Pivoted'!GT66</f>
        <v>57.268000000000001</v>
      </c>
      <c r="J42" s="790">
        <f>'Haver Pivoted'!GU66</f>
        <v>92.045000000000002</v>
      </c>
      <c r="K42" s="790">
        <f>'Haver Pivoted'!GV66</f>
        <v>92.712999999999994</v>
      </c>
      <c r="L42" s="790">
        <f>'Haver Pivoted'!GW66</f>
        <v>93.037000000000006</v>
      </c>
      <c r="M42" s="790">
        <f>'Haver Pivoted'!GX66</f>
        <v>109.65300000000001</v>
      </c>
      <c r="N42" s="790">
        <f>'Haver Pivoted'!GY66</f>
        <v>128.93899999999999</v>
      </c>
      <c r="O42" s="790">
        <f>'Haver Pivoted'!GZ66</f>
        <v>135.661</v>
      </c>
      <c r="P42" s="250">
        <f>'Haver Pivoted'!HA66</f>
        <v>139.85</v>
      </c>
      <c r="Q42" s="826"/>
      <c r="R42" s="826"/>
      <c r="S42" s="826"/>
      <c r="T42" s="826"/>
      <c r="U42" s="826"/>
      <c r="V42" s="826"/>
      <c r="W42" s="826"/>
      <c r="X42" s="826"/>
      <c r="Y42" s="826"/>
      <c r="Z42" s="826"/>
      <c r="AA42" s="826"/>
      <c r="AB42" s="826"/>
      <c r="AC42" s="381"/>
    </row>
    <row r="43" spans="2:29" ht="28.9" customHeight="1" x14ac:dyDescent="0.3">
      <c r="B43" s="129" t="s">
        <v>590</v>
      </c>
      <c r="C43" s="35"/>
      <c r="D43" s="138"/>
      <c r="E43" s="136"/>
      <c r="F43" s="136"/>
      <c r="G43" s="136"/>
      <c r="H43" s="136"/>
      <c r="I43" s="136"/>
      <c r="J43" s="136">
        <f t="shared" ref="J43:P43" si="23">J42-$H42</f>
        <v>37.892000000000003</v>
      </c>
      <c r="K43" s="136">
        <f t="shared" si="23"/>
        <v>38.559999999999995</v>
      </c>
      <c r="L43" s="136">
        <f t="shared" si="23"/>
        <v>38.884000000000007</v>
      </c>
      <c r="M43" s="136">
        <f t="shared" si="23"/>
        <v>55.500000000000007</v>
      </c>
      <c r="N43" s="136">
        <f>N42-$H42</f>
        <v>74.786000000000001</v>
      </c>
      <c r="O43" s="136">
        <f>O42-$H42</f>
        <v>81.50800000000001</v>
      </c>
      <c r="P43" s="163">
        <f t="shared" si="23"/>
        <v>85.697000000000003</v>
      </c>
      <c r="Q43" s="51"/>
      <c r="R43" s="51"/>
      <c r="S43" s="51"/>
      <c r="T43" s="51"/>
      <c r="U43" s="51"/>
      <c r="V43" s="51"/>
      <c r="W43" s="51"/>
      <c r="X43" s="51"/>
      <c r="Y43" s="51"/>
      <c r="Z43" s="51"/>
      <c r="AA43" s="51"/>
      <c r="AB43" s="51"/>
      <c r="AC43" s="52"/>
    </row>
    <row r="44" spans="2:29" ht="35.65" customHeight="1" x14ac:dyDescent="0.3"/>
    <row r="45" spans="2:29" x14ac:dyDescent="0.3">
      <c r="B45" s="818" t="s">
        <v>438</v>
      </c>
    </row>
    <row r="46" spans="2:29" x14ac:dyDescent="0.3">
      <c r="B46" s="1387" t="s">
        <v>1170</v>
      </c>
      <c r="C46" s="1388"/>
      <c r="D46" s="1307" t="s">
        <v>350</v>
      </c>
      <c r="E46" s="1308"/>
      <c r="F46" s="1308"/>
      <c r="G46" s="1308"/>
      <c r="H46" s="1308"/>
      <c r="I46" s="1308"/>
      <c r="J46" s="1308"/>
      <c r="K46" s="1308"/>
      <c r="L46" s="1308"/>
      <c r="M46" s="1308"/>
      <c r="N46" s="1308"/>
      <c r="O46" s="1308"/>
      <c r="P46" s="1309"/>
      <c r="Q46" s="1304" t="s">
        <v>351</v>
      </c>
      <c r="R46" s="1305"/>
      <c r="S46" s="1305"/>
      <c r="T46" s="1305"/>
      <c r="U46" s="1305"/>
      <c r="V46" s="1305"/>
      <c r="W46" s="1305"/>
      <c r="X46" s="1305"/>
      <c r="Y46" s="1305"/>
      <c r="Z46" s="1305"/>
      <c r="AA46" s="1305"/>
      <c r="AB46" s="1305"/>
      <c r="AC46" s="1306"/>
    </row>
    <row r="47" spans="2:29" x14ac:dyDescent="0.3">
      <c r="B47" s="1389"/>
      <c r="C47" s="1390"/>
      <c r="D47" s="455">
        <v>2018</v>
      </c>
      <c r="E47" s="1292">
        <v>2019</v>
      </c>
      <c r="F47" s="1293"/>
      <c r="G47" s="1293"/>
      <c r="H47" s="1294"/>
      <c r="I47" s="1292">
        <v>2020</v>
      </c>
      <c r="J47" s="1293"/>
      <c r="K47" s="1293"/>
      <c r="L47" s="1293"/>
      <c r="M47" s="1302">
        <v>2021</v>
      </c>
      <c r="N47" s="1293"/>
      <c r="O47" s="1293"/>
      <c r="P47" s="1303"/>
      <c r="Q47" s="1300">
        <v>2022</v>
      </c>
      <c r="R47" s="1300"/>
      <c r="S47" s="1300"/>
      <c r="T47" s="1301"/>
      <c r="U47" s="1299">
        <v>2023</v>
      </c>
      <c r="V47" s="1300"/>
      <c r="W47" s="1300"/>
      <c r="X47" s="1300"/>
      <c r="Y47" s="1299">
        <v>2024</v>
      </c>
      <c r="Z47" s="1300"/>
      <c r="AA47" s="1300"/>
      <c r="AB47" s="1301"/>
      <c r="AC47" s="306">
        <v>2025</v>
      </c>
    </row>
    <row r="48" spans="2:29" x14ac:dyDescent="0.3">
      <c r="B48" s="1389"/>
      <c r="C48" s="1390"/>
      <c r="D48" s="156" t="s">
        <v>352</v>
      </c>
      <c r="E48" s="156" t="s">
        <v>353</v>
      </c>
      <c r="F48" s="139" t="s">
        <v>354</v>
      </c>
      <c r="G48" s="139" t="s">
        <v>253</v>
      </c>
      <c r="H48" s="146" t="s">
        <v>352</v>
      </c>
      <c r="I48" s="140" t="s">
        <v>353</v>
      </c>
      <c r="J48" s="140" t="s">
        <v>354</v>
      </c>
      <c r="K48" s="140" t="s">
        <v>253</v>
      </c>
      <c r="L48" s="140" t="s">
        <v>352</v>
      </c>
      <c r="M48" s="151" t="s">
        <v>353</v>
      </c>
      <c r="N48" s="773" t="s">
        <v>354</v>
      </c>
      <c r="O48" s="773" t="s">
        <v>253</v>
      </c>
      <c r="P48" s="146" t="s">
        <v>352</v>
      </c>
      <c r="Q48" s="826" t="s">
        <v>353</v>
      </c>
      <c r="R48" s="898" t="s">
        <v>354</v>
      </c>
      <c r="S48" s="898" t="s">
        <v>253</v>
      </c>
      <c r="T48" s="898" t="s">
        <v>352</v>
      </c>
      <c r="U48" s="897" t="s">
        <v>353</v>
      </c>
      <c r="V48" s="898" t="s">
        <v>354</v>
      </c>
      <c r="W48" s="898" t="s">
        <v>253</v>
      </c>
      <c r="X48" s="898" t="s">
        <v>352</v>
      </c>
      <c r="Y48" s="897" t="s">
        <v>353</v>
      </c>
      <c r="Z48" s="874" t="s">
        <v>354</v>
      </c>
      <c r="AA48" s="898" t="s">
        <v>253</v>
      </c>
      <c r="AB48" s="381" t="s">
        <v>352</v>
      </c>
      <c r="AC48" s="63" t="s">
        <v>353</v>
      </c>
    </row>
    <row r="49" spans="2:29" x14ac:dyDescent="0.3">
      <c r="B49" s="830" t="s">
        <v>575</v>
      </c>
      <c r="C49" s="831" t="s">
        <v>576</v>
      </c>
      <c r="D49" s="846">
        <f>'Haver Pivoted'!GO31</f>
        <v>2222.3000000000002</v>
      </c>
      <c r="E49" s="832">
        <f>'Haver Pivoted'!GP31</f>
        <v>2298.1</v>
      </c>
      <c r="F49" s="832">
        <f>'Haver Pivoted'!GQ31</f>
        <v>2315.5</v>
      </c>
      <c r="G49" s="832">
        <f>'Haver Pivoted'!GR31</f>
        <v>2333.1999999999998</v>
      </c>
      <c r="H49" s="832">
        <f>'Haver Pivoted'!GS31</f>
        <v>2350.8000000000002</v>
      </c>
      <c r="I49" s="832">
        <f>'Haver Pivoted'!GT31</f>
        <v>2417.9</v>
      </c>
      <c r="J49" s="832">
        <f>'Haver Pivoted'!GU31</f>
        <v>4766.7</v>
      </c>
      <c r="K49" s="832">
        <f>'Haver Pivoted'!GV31</f>
        <v>3468.3</v>
      </c>
      <c r="L49" s="832">
        <f>'Haver Pivoted'!GW31</f>
        <v>2839.1</v>
      </c>
      <c r="M49" s="832">
        <f>'Haver Pivoted'!GX31</f>
        <v>5070.6000000000004</v>
      </c>
      <c r="N49" s="832">
        <f>'Haver Pivoted'!GY31</f>
        <v>3372.3</v>
      </c>
      <c r="O49" s="832">
        <f>'Haver Pivoted'!GZ31</f>
        <v>3136.3</v>
      </c>
      <c r="P49" s="1006">
        <f>'Haver Pivoted'!HA31</f>
        <v>2936.3</v>
      </c>
      <c r="Q49" s="476"/>
      <c r="R49" s="476"/>
      <c r="S49" s="476"/>
      <c r="T49" s="476"/>
      <c r="U49" s="476"/>
      <c r="V49" s="476"/>
      <c r="W49" s="476"/>
      <c r="X49" s="476"/>
      <c r="Y49" s="476"/>
      <c r="Z49" s="476"/>
      <c r="AA49" s="476"/>
      <c r="AB49" s="476"/>
      <c r="AC49" s="833"/>
    </row>
    <row r="50" spans="2:29" ht="28" x14ac:dyDescent="0.3">
      <c r="B50" s="48" t="s">
        <v>1166</v>
      </c>
      <c r="C50" s="827"/>
      <c r="D50" s="424">
        <f t="shared" ref="D50:P50" si="24">SUM(D14:D22)</f>
        <v>811.30000000000007</v>
      </c>
      <c r="E50" s="834">
        <f t="shared" si="24"/>
        <v>826.69999999999993</v>
      </c>
      <c r="F50" s="834">
        <f t="shared" si="24"/>
        <v>838.9</v>
      </c>
      <c r="G50" s="834">
        <f t="shared" si="24"/>
        <v>849.5</v>
      </c>
      <c r="H50" s="834">
        <f t="shared" si="24"/>
        <v>858.09999999999991</v>
      </c>
      <c r="I50" s="834">
        <f t="shared" si="24"/>
        <v>880.58175000000006</v>
      </c>
      <c r="J50" s="835">
        <f t="shared" si="24"/>
        <v>3224.5587499999997</v>
      </c>
      <c r="K50" s="835">
        <f t="shared" si="24"/>
        <v>1817.02675</v>
      </c>
      <c r="L50" s="835">
        <f t="shared" si="24"/>
        <v>1253.3507500000003</v>
      </c>
      <c r="M50" s="835">
        <f t="shared" si="24"/>
        <v>3456.5667500000004</v>
      </c>
      <c r="N50" s="835">
        <f t="shared" si="24"/>
        <v>1779.6745899999999</v>
      </c>
      <c r="O50" s="835">
        <f t="shared" si="24"/>
        <v>1537.0782433333331</v>
      </c>
      <c r="P50" s="1007">
        <f t="shared" si="24"/>
        <v>1346.9730833333331</v>
      </c>
      <c r="Q50" s="881"/>
      <c r="R50" s="881"/>
      <c r="S50" s="881"/>
      <c r="T50" s="881"/>
      <c r="U50" s="881"/>
      <c r="V50" s="881"/>
      <c r="W50" s="881"/>
      <c r="X50" s="881"/>
      <c r="Y50" s="881"/>
      <c r="Z50" s="881"/>
      <c r="AA50" s="881"/>
      <c r="AB50" s="881"/>
      <c r="AC50" s="878"/>
    </row>
    <row r="51" spans="2:29" ht="28" x14ac:dyDescent="0.3">
      <c r="B51" s="48" t="s">
        <v>1167</v>
      </c>
      <c r="C51" s="827"/>
      <c r="D51" s="847">
        <f>D49-D50</f>
        <v>1411</v>
      </c>
      <c r="E51" s="835">
        <f t="shared" ref="E51:O51" si="25">E49-E50</f>
        <v>1471.4</v>
      </c>
      <c r="F51" s="835">
        <f t="shared" si="25"/>
        <v>1476.6</v>
      </c>
      <c r="G51" s="835">
        <f t="shared" si="25"/>
        <v>1483.6999999999998</v>
      </c>
      <c r="H51" s="835">
        <f t="shared" si="25"/>
        <v>1492.7000000000003</v>
      </c>
      <c r="I51" s="835">
        <f t="shared" si="25"/>
        <v>1537.31825</v>
      </c>
      <c r="J51" s="835">
        <f t="shared" si="25"/>
        <v>1542.1412500000001</v>
      </c>
      <c r="K51" s="835">
        <f t="shared" si="25"/>
        <v>1651.2732500000002</v>
      </c>
      <c r="L51" s="835">
        <f t="shared" si="25"/>
        <v>1585.7492499999996</v>
      </c>
      <c r="M51" s="835">
        <f t="shared" si="25"/>
        <v>1614.03325</v>
      </c>
      <c r="N51" s="835">
        <f t="shared" si="25"/>
        <v>1592.6254100000003</v>
      </c>
      <c r="O51" s="835">
        <f t="shared" si="25"/>
        <v>1599.221756666667</v>
      </c>
      <c r="P51" s="1007">
        <f>P49-P50</f>
        <v>1589.3269166666671</v>
      </c>
      <c r="Q51" s="881"/>
      <c r="R51" s="881"/>
      <c r="S51" s="881"/>
      <c r="T51" s="881"/>
      <c r="U51" s="881"/>
      <c r="V51" s="881"/>
      <c r="W51" s="881"/>
      <c r="X51" s="881"/>
      <c r="Y51" s="881"/>
      <c r="Z51" s="881"/>
      <c r="AA51" s="881"/>
      <c r="AB51" s="881"/>
      <c r="AC51" s="878"/>
    </row>
    <row r="52" spans="2:29" ht="24" customHeight="1" x14ac:dyDescent="0.3">
      <c r="B52" s="34" t="s">
        <v>1168</v>
      </c>
      <c r="C52" s="827"/>
      <c r="D52" s="847">
        <f t="shared" ref="D52:I52" si="26">D12-D14-D15-D21</f>
        <v>1411.0000000000002</v>
      </c>
      <c r="E52" s="835">
        <f t="shared" si="26"/>
        <v>1471.3999999999999</v>
      </c>
      <c r="F52" s="835">
        <f t="shared" si="26"/>
        <v>1476.6</v>
      </c>
      <c r="G52" s="835">
        <f t="shared" si="26"/>
        <v>1483.6999999999998</v>
      </c>
      <c r="H52" s="835">
        <f t="shared" si="26"/>
        <v>1492.7</v>
      </c>
      <c r="I52" s="835">
        <f t="shared" si="26"/>
        <v>1539.9</v>
      </c>
      <c r="J52" s="836">
        <f>I52+($H$52-$E$52)/3</f>
        <v>1547.0000000000002</v>
      </c>
      <c r="K52" s="836">
        <f>J52+($H$52-$E$52)/3</f>
        <v>1554.1000000000004</v>
      </c>
      <c r="L52" s="836">
        <f>K52+($H$52-$E$52)/3</f>
        <v>1561.2000000000005</v>
      </c>
      <c r="M52" s="837">
        <f>L52+($H$52-$E$52)/3 +(M53-L53)</f>
        <v>1585.8010000000006</v>
      </c>
      <c r="N52" s="836">
        <f>M52+($H$52-$E$52)/3</f>
        <v>1592.9010000000007</v>
      </c>
      <c r="O52" s="836">
        <f>N52+($H$52-$E$52)/3</f>
        <v>1600.0010000000009</v>
      </c>
      <c r="P52" s="1008">
        <f>O52+($H$52-$E$52)/3</f>
        <v>1607.101000000001</v>
      </c>
      <c r="Q52" s="839">
        <f>P52+($H$52-$E$52)/3 + 0.06*Q53</f>
        <v>1682.2930200000012</v>
      </c>
      <c r="R52" s="838">
        <f>Q52+($H$52-$E$52)/3</f>
        <v>1689.3930200000013</v>
      </c>
      <c r="S52" s="838">
        <f>R52+($H$52-$E$52)/3</f>
        <v>1696.4930200000015</v>
      </c>
      <c r="T52" s="838">
        <f>S52+($H$52-$E$52)/3</f>
        <v>1703.5930200000016</v>
      </c>
      <c r="U52" s="839">
        <f>T52+($H$52-$E$52)/3 + 0.04 *U53</f>
        <v>1757.3677000000018</v>
      </c>
      <c r="V52" s="838">
        <f>U52+($H$52-$E$52)/3</f>
        <v>1764.467700000002</v>
      </c>
      <c r="W52" s="838">
        <f>V52+($H$52-$E$52)/3</f>
        <v>1771.5677000000021</v>
      </c>
      <c r="X52" s="838">
        <f>W52+($H$52-$E$52)/3</f>
        <v>1778.6677000000022</v>
      </c>
      <c r="Y52" s="839">
        <f>X52+($H$52-$E$52)/3 + 0.02*Y53</f>
        <v>1809.7450400000023</v>
      </c>
      <c r="Z52" s="838">
        <f>Y52+($H$52-$E$52)/3</f>
        <v>1816.8450400000024</v>
      </c>
      <c r="AA52" s="838">
        <f>Z52+($H$52-$E$52)/3</f>
        <v>1823.9450400000026</v>
      </c>
      <c r="AB52" s="838">
        <f>AA52+($H$52-$E$52)/3</f>
        <v>1831.0450400000027</v>
      </c>
      <c r="AC52" s="840">
        <f>AB52+($H$52-$E$52)/3 + 0.02*AC53</f>
        <v>1862.7623800000028</v>
      </c>
    </row>
    <row r="53" spans="2:29" x14ac:dyDescent="0.3">
      <c r="B53" s="34" t="s">
        <v>584</v>
      </c>
      <c r="C53" s="827" t="s">
        <v>585</v>
      </c>
      <c r="D53" s="848">
        <f>'Haver Pivoted'!GO88/1000</f>
        <v>983.95899999999995</v>
      </c>
      <c r="E53" s="841">
        <f>'Haver Pivoted'!GP88/1000</f>
        <v>1019.419</v>
      </c>
      <c r="F53" s="841">
        <f>'Haver Pivoted'!GQ88/1000</f>
        <v>1026.4179999999999</v>
      </c>
      <c r="G53" s="841">
        <f>'Haver Pivoted'!GR88/1000</f>
        <v>1034.2080000000001</v>
      </c>
      <c r="H53" s="841">
        <f>'Haver Pivoted'!GS88/1000</f>
        <v>1042.9269999999999</v>
      </c>
      <c r="I53" s="841">
        <f>'Haver Pivoted'!GT88/1000</f>
        <v>1067.885</v>
      </c>
      <c r="J53" s="841">
        <f>'Haver Pivoted'!GU88/1000</f>
        <v>1074.7909999999999</v>
      </c>
      <c r="K53" s="841">
        <f>'Haver Pivoted'!GV88/1000</f>
        <v>1080.221</v>
      </c>
      <c r="L53" s="841">
        <f>'Haver Pivoted'!GW88/1000</f>
        <v>1088.8150000000001</v>
      </c>
      <c r="M53" s="841">
        <f>'Haver Pivoted'!GX88/1000</f>
        <v>1106.316</v>
      </c>
      <c r="N53" s="841">
        <f>'Haver Pivoted'!GY88/1000</f>
        <v>1109.664</v>
      </c>
      <c r="O53" s="841">
        <f>'Haver Pivoted'!GZ88/1000</f>
        <v>1117.202</v>
      </c>
      <c r="P53" s="1009">
        <f>'Haver Pivoted'!HA88/1000</f>
        <v>1126.867</v>
      </c>
      <c r="Q53" s="881">
        <f t="shared" ref="Q53:AC53" si="27">P53+8</f>
        <v>1134.867</v>
      </c>
      <c r="R53" s="881">
        <f t="shared" si="27"/>
        <v>1142.867</v>
      </c>
      <c r="S53" s="881">
        <f t="shared" si="27"/>
        <v>1150.867</v>
      </c>
      <c r="T53" s="881">
        <f t="shared" si="27"/>
        <v>1158.867</v>
      </c>
      <c r="U53" s="881">
        <f t="shared" si="27"/>
        <v>1166.867</v>
      </c>
      <c r="V53" s="881">
        <f t="shared" si="27"/>
        <v>1174.867</v>
      </c>
      <c r="W53" s="881">
        <f t="shared" si="27"/>
        <v>1182.867</v>
      </c>
      <c r="X53" s="881">
        <f t="shared" si="27"/>
        <v>1190.867</v>
      </c>
      <c r="Y53" s="881">
        <f t="shared" si="27"/>
        <v>1198.867</v>
      </c>
      <c r="Z53" s="881">
        <f t="shared" si="27"/>
        <v>1206.867</v>
      </c>
      <c r="AA53" s="881">
        <f t="shared" si="27"/>
        <v>1214.867</v>
      </c>
      <c r="AB53" s="881">
        <f t="shared" si="27"/>
        <v>1222.867</v>
      </c>
      <c r="AC53" s="878">
        <f t="shared" si="27"/>
        <v>1230.867</v>
      </c>
    </row>
    <row r="54" spans="2:29" ht="70" x14ac:dyDescent="0.3">
      <c r="B54" s="937" t="s">
        <v>1183</v>
      </c>
      <c r="C54" s="35"/>
      <c r="D54" s="849">
        <f>D51-D52</f>
        <v>0</v>
      </c>
      <c r="E54" s="842">
        <f t="shared" ref="E54:O54" si="28">E51-E52</f>
        <v>0</v>
      </c>
      <c r="F54" s="842">
        <f t="shared" si="28"/>
        <v>0</v>
      </c>
      <c r="G54" s="842">
        <f t="shared" si="28"/>
        <v>0</v>
      </c>
      <c r="H54" s="842">
        <f t="shared" si="28"/>
        <v>0</v>
      </c>
      <c r="I54" s="842">
        <f t="shared" si="28"/>
        <v>-2.5817500000000564</v>
      </c>
      <c r="J54" s="842">
        <f t="shared" si="28"/>
        <v>-4.8587500000001</v>
      </c>
      <c r="K54" s="842">
        <f t="shared" si="28"/>
        <v>97.173249999999825</v>
      </c>
      <c r="L54" s="842">
        <f t="shared" si="28"/>
        <v>24.54924999999912</v>
      </c>
      <c r="M54" s="842">
        <f t="shared" si="28"/>
        <v>28.23224999999934</v>
      </c>
      <c r="N54" s="842">
        <f t="shared" si="28"/>
        <v>-0.27559000000042033</v>
      </c>
      <c r="O54" s="842">
        <f t="shared" si="28"/>
        <v>-0.77924333333385221</v>
      </c>
      <c r="P54" s="1010">
        <f>P51-P52</f>
        <v>-17.77408333333392</v>
      </c>
      <c r="Q54" s="843">
        <v>25</v>
      </c>
      <c r="R54" s="843">
        <v>25</v>
      </c>
      <c r="S54" s="843">
        <v>25</v>
      </c>
      <c r="T54" s="843">
        <v>90</v>
      </c>
      <c r="U54" s="843">
        <v>90</v>
      </c>
      <c r="V54" s="843">
        <v>90</v>
      </c>
      <c r="W54" s="843">
        <v>90</v>
      </c>
      <c r="X54" s="843">
        <v>110</v>
      </c>
      <c r="Y54" s="843">
        <v>110</v>
      </c>
      <c r="Z54" s="843">
        <v>110</v>
      </c>
      <c r="AA54" s="843">
        <v>110</v>
      </c>
      <c r="AB54" s="843">
        <v>130</v>
      </c>
      <c r="AC54" s="844">
        <v>130</v>
      </c>
    </row>
    <row r="55" spans="2:29" x14ac:dyDescent="0.3">
      <c r="D55" s="787"/>
      <c r="E55" s="787"/>
      <c r="F55" s="787"/>
      <c r="G55" s="787"/>
      <c r="H55" s="787"/>
      <c r="I55" s="787"/>
      <c r="J55" s="787"/>
      <c r="K55" s="787"/>
      <c r="L55" s="787"/>
      <c r="M55" s="829"/>
      <c r="N55" s="829"/>
      <c r="O55" s="829"/>
      <c r="P55" s="787"/>
    </row>
    <row r="56" spans="2:29" x14ac:dyDescent="0.3">
      <c r="B56" s="830" t="s">
        <v>1176</v>
      </c>
      <c r="C56" s="1018"/>
      <c r="D56" s="862">
        <v>2021</v>
      </c>
      <c r="E56" s="862">
        <v>2022</v>
      </c>
      <c r="F56" s="862">
        <v>2023</v>
      </c>
      <c r="G56" s="863">
        <v>2024</v>
      </c>
    </row>
    <row r="57" spans="2:29" x14ac:dyDescent="0.3">
      <c r="B57" s="860" t="s">
        <v>1177</v>
      </c>
      <c r="C57" s="1014"/>
      <c r="D57" s="1015">
        <v>3605.8330000000001</v>
      </c>
      <c r="E57" s="1015">
        <v>2832.5949999999998</v>
      </c>
      <c r="F57" s="1015">
        <v>2833.72</v>
      </c>
      <c r="G57" s="1016">
        <v>2976.7339999999999</v>
      </c>
    </row>
    <row r="58" spans="2:29" x14ac:dyDescent="0.3">
      <c r="B58" s="860" t="s">
        <v>1180</v>
      </c>
      <c r="C58" s="1017"/>
      <c r="D58" s="1011">
        <f>AVERAGE(Medicare!L10:O10)</f>
        <v>819.22499999999991</v>
      </c>
      <c r="E58" s="1011">
        <f>AVERAGE(Medicare!P10:S10)</f>
        <v>869.86404902272079</v>
      </c>
      <c r="F58" s="1011">
        <f>AVERAGE(Medicare!T10:W10)</f>
        <v>910.83854691287263</v>
      </c>
      <c r="G58" s="1012">
        <f>AVERAGE(Medicare!X10:AA10)</f>
        <v>977.31155089536185</v>
      </c>
    </row>
    <row r="59" spans="2:29" ht="13.15" customHeight="1" x14ac:dyDescent="0.3">
      <c r="B59" s="860" t="s">
        <v>1178</v>
      </c>
      <c r="C59" s="1017"/>
      <c r="D59" s="1011">
        <f>D57-D58</f>
        <v>2786.6080000000002</v>
      </c>
      <c r="E59" s="1011">
        <f t="shared" ref="E59:G59" si="29">E57-E58</f>
        <v>1962.730950977279</v>
      </c>
      <c r="F59" s="1011">
        <f t="shared" si="29"/>
        <v>1922.8814530871273</v>
      </c>
      <c r="G59" s="1012">
        <f t="shared" si="29"/>
        <v>1999.422449104638</v>
      </c>
    </row>
    <row r="60" spans="2:29" x14ac:dyDescent="0.3">
      <c r="B60" s="860" t="s">
        <v>1181</v>
      </c>
      <c r="C60" s="1017"/>
      <c r="D60" s="1011">
        <f>AVERAGE(L12:O12)</f>
        <v>3604.5749999999998</v>
      </c>
      <c r="E60" s="1011">
        <f>AVERAGE(P12:S12)</f>
        <v>2841.5421762763153</v>
      </c>
      <c r="F60" s="1011">
        <f>AVERAGE(T12:W12)</f>
        <v>2821.2639548656298</v>
      </c>
      <c r="G60" s="1012">
        <f>AVERAGE(X12:AA12)</f>
        <v>2959.5931929032386</v>
      </c>
    </row>
    <row r="61" spans="2:29" x14ac:dyDescent="0.3">
      <c r="B61" s="860" t="s">
        <v>1180</v>
      </c>
      <c r="C61" s="1017"/>
      <c r="D61" s="1011">
        <f>AVERAGE(Medicare!L10:O10)</f>
        <v>819.22499999999991</v>
      </c>
      <c r="E61" s="1011">
        <f>AVERAGE(Medicare!P10:S10)</f>
        <v>869.86404902272079</v>
      </c>
      <c r="F61" s="1011">
        <f>AVERAGE(Medicare!T10:W10)</f>
        <v>910.83854691287263</v>
      </c>
      <c r="G61" s="1012">
        <f>AVERAGE(Medicare!X10:AA10)</f>
        <v>977.31155089536185</v>
      </c>
    </row>
    <row r="62" spans="2:29" x14ac:dyDescent="0.3">
      <c r="B62" s="860" t="s">
        <v>895</v>
      </c>
      <c r="C62" s="1017"/>
      <c r="D62" s="1011">
        <f>AVERAGE(L25:O25)</f>
        <v>1584.9757500000007</v>
      </c>
      <c r="E62" s="1011">
        <f>AVERAGE(P25:S25)</f>
        <v>1668.8200150000014</v>
      </c>
      <c r="F62" s="1011">
        <f>AVERAGE(T25:W25)</f>
        <v>1749.249030000002</v>
      </c>
      <c r="G62" s="1012">
        <f>AVERAGE(X25:AA25)</f>
        <v>1807.3007050000024</v>
      </c>
    </row>
    <row r="63" spans="2:29" ht="28" x14ac:dyDescent="0.3">
      <c r="B63" s="1019" t="s">
        <v>1179</v>
      </c>
      <c r="C63" s="129"/>
      <c r="D63" s="861"/>
      <c r="E63" s="865">
        <v>1.157</v>
      </c>
      <c r="F63" s="865">
        <v>1.0109999999999999</v>
      </c>
      <c r="G63" s="1013">
        <v>1.0529999999999999</v>
      </c>
    </row>
    <row r="64" spans="2:29" x14ac:dyDescent="0.3">
      <c r="B64" s="27" t="s">
        <v>1182</v>
      </c>
      <c r="D64" s="866">
        <f>D60-D57</f>
        <v>-1.2580000000002656</v>
      </c>
      <c r="E64" s="866">
        <f>E60-E57</f>
        <v>8.9471762763155311</v>
      </c>
      <c r="F64" s="866">
        <f>F60-F57</f>
        <v>-12.456045134370015</v>
      </c>
      <c r="G64" s="866">
        <f t="shared" ref="G64" si="30">G60-G57</f>
        <v>-17.140807096761364</v>
      </c>
    </row>
  </sheetData>
  <mergeCells count="32">
    <mergeCell ref="B1:AC1"/>
    <mergeCell ref="B2:AC6"/>
    <mergeCell ref="B8:C10"/>
    <mergeCell ref="E9:H9"/>
    <mergeCell ref="I9:L9"/>
    <mergeCell ref="Q9:T9"/>
    <mergeCell ref="U9:X9"/>
    <mergeCell ref="Y9:AB9"/>
    <mergeCell ref="D8:P8"/>
    <mergeCell ref="Q8:AC8"/>
    <mergeCell ref="M9:P9"/>
    <mergeCell ref="B11:C11"/>
    <mergeCell ref="B37:AC37"/>
    <mergeCell ref="B38:C40"/>
    <mergeCell ref="E39:H39"/>
    <mergeCell ref="I39:L39"/>
    <mergeCell ref="Q39:T39"/>
    <mergeCell ref="Q46:AC46"/>
    <mergeCell ref="M47:P47"/>
    <mergeCell ref="Y47:AB47"/>
    <mergeCell ref="B28:C28"/>
    <mergeCell ref="U39:X39"/>
    <mergeCell ref="Y39:AB39"/>
    <mergeCell ref="B46:C48"/>
    <mergeCell ref="E47:H47"/>
    <mergeCell ref="I47:L47"/>
    <mergeCell ref="Q47:T47"/>
    <mergeCell ref="U47:X47"/>
    <mergeCell ref="D38:P38"/>
    <mergeCell ref="Q38:AC38"/>
    <mergeCell ref="M39:P39"/>
    <mergeCell ref="D46:P46"/>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21"/>
  <sheetViews>
    <sheetView tabSelected="1" topLeftCell="C1" zoomScale="70" zoomScaleNormal="88" workbookViewId="0">
      <selection activeCell="F5" sqref="F5:P5"/>
    </sheetView>
  </sheetViews>
  <sheetFormatPr defaultColWidth="10.7265625" defaultRowHeight="14" x14ac:dyDescent="0.3"/>
  <cols>
    <col min="1" max="2" width="0" style="27" hidden="1" customWidth="1"/>
    <col min="3" max="3" width="10.7265625" style="27"/>
    <col min="4" max="4" width="45.1796875" style="27" customWidth="1"/>
    <col min="5" max="5" width="11.1796875" style="27" bestFit="1" customWidth="1"/>
    <col min="6" max="12" width="10.7265625" style="27"/>
    <col min="13" max="13" width="12.453125" style="27" customWidth="1"/>
    <col min="14" max="15" width="13.453125" style="27" customWidth="1"/>
    <col min="16" max="16" width="11.1796875" style="27" customWidth="1"/>
    <col min="17" max="16384" width="10.7265625" style="27"/>
  </cols>
  <sheetData>
    <row r="1" spans="4:56" x14ac:dyDescent="0.3">
      <c r="D1" s="1290" t="s">
        <v>58</v>
      </c>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4:56" ht="14.25" customHeight="1" x14ac:dyDescent="0.3">
      <c r="D2" s="1291" t="s">
        <v>1259</v>
      </c>
      <c r="E2" s="1311"/>
      <c r="F2" s="1311"/>
      <c r="G2" s="1311"/>
      <c r="H2" s="1311"/>
      <c r="I2" s="1311"/>
      <c r="J2" s="1311"/>
      <c r="K2" s="1311"/>
      <c r="L2" s="1311"/>
      <c r="M2" s="1311"/>
      <c r="N2" s="1311"/>
      <c r="O2" s="1311"/>
      <c r="P2" s="1311"/>
      <c r="Q2" s="1311"/>
      <c r="R2" s="1311"/>
      <c r="S2" s="1311"/>
      <c r="T2" s="1311"/>
      <c r="U2" s="1311"/>
      <c r="V2" s="1311"/>
      <c r="W2" s="1311"/>
      <c r="X2" s="1311"/>
      <c r="Y2" s="1311"/>
      <c r="Z2" s="1311"/>
      <c r="AA2" s="1311"/>
      <c r="AB2" s="1311"/>
      <c r="AC2" s="1311"/>
    </row>
    <row r="3" spans="4:56" ht="28.5" customHeight="1" x14ac:dyDescent="0.3">
      <c r="D3" s="1311"/>
      <c r="E3" s="1311"/>
      <c r="F3" s="1311"/>
      <c r="G3" s="1311"/>
      <c r="H3" s="1311"/>
      <c r="I3" s="1311"/>
      <c r="J3" s="1311"/>
      <c r="K3" s="1311"/>
      <c r="L3" s="1311"/>
      <c r="M3" s="1311"/>
      <c r="N3" s="1311"/>
      <c r="O3" s="1311"/>
      <c r="P3" s="1311"/>
      <c r="Q3" s="1311"/>
      <c r="R3" s="1311"/>
      <c r="S3" s="1311"/>
      <c r="T3" s="1311"/>
      <c r="U3" s="1311"/>
      <c r="V3" s="1311"/>
      <c r="W3" s="1311"/>
      <c r="X3" s="1311"/>
      <c r="Y3" s="1311"/>
      <c r="Z3" s="1311"/>
      <c r="AA3" s="1311"/>
      <c r="AB3" s="1311"/>
      <c r="AC3" s="1311"/>
    </row>
    <row r="4" spans="4:56" x14ac:dyDescent="0.3">
      <c r="D4" s="639" t="s">
        <v>406</v>
      </c>
    </row>
    <row r="5" spans="4:56" x14ac:dyDescent="0.3">
      <c r="D5" s="1295" t="s">
        <v>498</v>
      </c>
      <c r="E5" s="1296"/>
      <c r="F5" s="1405" t="s">
        <v>350</v>
      </c>
      <c r="G5" s="1406"/>
      <c r="H5" s="1406"/>
      <c r="I5" s="1406"/>
      <c r="J5" s="1406"/>
      <c r="K5" s="1406"/>
      <c r="L5" s="1406"/>
      <c r="M5" s="1407"/>
      <c r="N5" s="1407"/>
      <c r="O5" s="1407"/>
      <c r="P5" s="1408"/>
      <c r="Q5" s="1304" t="s">
        <v>351</v>
      </c>
      <c r="R5" s="1305"/>
      <c r="S5" s="1305"/>
      <c r="T5" s="1305"/>
      <c r="U5" s="1305"/>
      <c r="V5" s="1305"/>
      <c r="W5" s="1305"/>
      <c r="X5" s="1305"/>
      <c r="Y5" s="1305"/>
      <c r="Z5" s="1305"/>
      <c r="AA5" s="1305"/>
      <c r="AB5" s="1305"/>
      <c r="AC5" s="1306"/>
      <c r="AD5" s="154"/>
      <c r="AE5" s="154"/>
      <c r="AF5" s="154"/>
      <c r="AG5" s="154"/>
      <c r="AH5" s="154"/>
      <c r="AI5" s="154"/>
      <c r="AJ5" s="154"/>
      <c r="AK5" s="154"/>
      <c r="AL5" s="154"/>
      <c r="AM5" s="154"/>
      <c r="AN5" s="154"/>
      <c r="AO5" s="154"/>
      <c r="AP5" s="154"/>
      <c r="AQ5" s="154"/>
      <c r="AR5" s="154"/>
      <c r="AS5" s="154"/>
      <c r="AT5" s="154"/>
      <c r="AU5" s="154"/>
      <c r="AV5" s="154"/>
      <c r="AW5" s="154"/>
      <c r="AX5" s="154"/>
      <c r="AY5" s="154"/>
      <c r="AZ5" s="154"/>
      <c r="BA5" s="154"/>
      <c r="BB5" s="154"/>
      <c r="BC5" s="154"/>
      <c r="BD5" s="154"/>
    </row>
    <row r="6" spans="4:56" x14ac:dyDescent="0.3">
      <c r="D6" s="1297"/>
      <c r="E6" s="1360"/>
      <c r="F6" s="1402">
        <v>2019</v>
      </c>
      <c r="G6" s="1403"/>
      <c r="H6" s="1404"/>
      <c r="I6" s="1403">
        <v>2020</v>
      </c>
      <c r="J6" s="1403"/>
      <c r="K6" s="1403"/>
      <c r="L6" s="1403"/>
      <c r="M6" s="1302">
        <v>2021</v>
      </c>
      <c r="N6" s="1293"/>
      <c r="O6" s="1293"/>
      <c r="P6" s="1303"/>
      <c r="Q6" s="1300">
        <v>2022</v>
      </c>
      <c r="R6" s="1300"/>
      <c r="S6" s="1300"/>
      <c r="T6" s="1301"/>
      <c r="U6" s="1400">
        <v>2023</v>
      </c>
      <c r="V6" s="1401"/>
      <c r="W6" s="1401"/>
      <c r="X6" s="1401"/>
      <c r="Y6" s="1299">
        <v>2024</v>
      </c>
      <c r="Z6" s="1300"/>
      <c r="AA6" s="1300"/>
      <c r="AB6" s="1300"/>
      <c r="AC6" s="306">
        <v>2025</v>
      </c>
      <c r="AD6" s="143"/>
      <c r="AE6" s="143"/>
      <c r="AF6" s="143"/>
      <c r="AG6" s="191"/>
      <c r="AH6" s="191"/>
      <c r="AI6" s="191"/>
      <c r="AJ6" s="191"/>
      <c r="AK6" s="191"/>
      <c r="AL6" s="191"/>
      <c r="AM6" s="191"/>
      <c r="AN6" s="191"/>
      <c r="AO6" s="191"/>
      <c r="AP6" s="191"/>
      <c r="AQ6" s="191"/>
      <c r="AR6" s="191"/>
      <c r="AS6" s="191"/>
      <c r="AT6" s="191"/>
      <c r="AU6" s="191"/>
      <c r="AV6" s="191"/>
      <c r="AW6" s="191"/>
      <c r="AX6" s="191"/>
      <c r="AY6" s="191"/>
      <c r="AZ6" s="191"/>
      <c r="BA6" s="191"/>
      <c r="BB6" s="191"/>
      <c r="BC6" s="191"/>
    </row>
    <row r="7" spans="4:56" x14ac:dyDescent="0.3">
      <c r="D7" s="1335"/>
      <c r="E7" s="1361"/>
      <c r="F7" s="156" t="s">
        <v>354</v>
      </c>
      <c r="G7" s="139" t="s">
        <v>253</v>
      </c>
      <c r="H7" s="146" t="s">
        <v>352</v>
      </c>
      <c r="I7" s="140" t="s">
        <v>353</v>
      </c>
      <c r="J7" s="140" t="s">
        <v>354</v>
      </c>
      <c r="K7" s="140" t="s">
        <v>253</v>
      </c>
      <c r="L7" s="140" t="s">
        <v>352</v>
      </c>
      <c r="M7" s="28" t="s">
        <v>353</v>
      </c>
      <c r="N7" s="29" t="s">
        <v>354</v>
      </c>
      <c r="O7" s="29" t="s">
        <v>253</v>
      </c>
      <c r="P7" s="30" t="s">
        <v>352</v>
      </c>
      <c r="Q7" s="51" t="s">
        <v>353</v>
      </c>
      <c r="R7" s="51" t="s">
        <v>354</v>
      </c>
      <c r="S7" s="51" t="s">
        <v>253</v>
      </c>
      <c r="T7" s="51" t="s">
        <v>352</v>
      </c>
      <c r="U7" s="50" t="s">
        <v>353</v>
      </c>
      <c r="V7" s="51" t="s">
        <v>354</v>
      </c>
      <c r="W7" s="51" t="s">
        <v>253</v>
      </c>
      <c r="X7" s="51" t="s">
        <v>352</v>
      </c>
      <c r="Y7" s="50" t="s">
        <v>353</v>
      </c>
      <c r="Z7" s="402" t="s">
        <v>354</v>
      </c>
      <c r="AA7" s="51" t="s">
        <v>253</v>
      </c>
      <c r="AB7" s="51" t="s">
        <v>352</v>
      </c>
      <c r="AC7" s="53" t="s">
        <v>353</v>
      </c>
      <c r="AD7" s="149"/>
      <c r="AE7" s="149"/>
      <c r="AF7" s="149"/>
      <c r="AG7" s="149"/>
      <c r="AH7" s="149"/>
      <c r="AI7" s="149"/>
      <c r="AJ7" s="149"/>
      <c r="AK7" s="149"/>
      <c r="AL7" s="149"/>
      <c r="AM7" s="149"/>
      <c r="AN7" s="149"/>
      <c r="AO7" s="149"/>
      <c r="AP7" s="149"/>
      <c r="AQ7" s="149"/>
      <c r="AR7" s="149"/>
      <c r="AS7" s="149"/>
      <c r="AT7" s="149"/>
      <c r="AU7" s="149"/>
      <c r="AV7" s="149"/>
      <c r="AW7" s="149"/>
      <c r="AX7" s="149"/>
      <c r="AY7" s="149"/>
      <c r="AZ7" s="149"/>
      <c r="BA7" s="149"/>
      <c r="BB7" s="149"/>
      <c r="BC7" s="149"/>
    </row>
    <row r="8" spans="4:56" x14ac:dyDescent="0.3">
      <c r="D8" s="252" t="s">
        <v>574</v>
      </c>
      <c r="E8" s="87"/>
      <c r="F8" s="1025"/>
      <c r="G8" s="640"/>
      <c r="H8" s="641"/>
      <c r="I8" s="641"/>
      <c r="J8" s="641"/>
      <c r="K8" s="641"/>
      <c r="L8" s="641"/>
      <c r="M8" s="641"/>
      <c r="N8" s="641"/>
      <c r="O8" s="641"/>
      <c r="P8" s="1026"/>
      <c r="Q8" s="297"/>
      <c r="R8" s="297"/>
      <c r="S8" s="296"/>
      <c r="T8" s="297"/>
      <c r="U8" s="297"/>
      <c r="V8" s="297"/>
      <c r="W8" s="296"/>
      <c r="X8" s="297"/>
      <c r="Y8" s="297"/>
      <c r="Z8" s="297"/>
      <c r="AA8" s="297"/>
      <c r="AB8" s="297"/>
      <c r="AC8" s="745"/>
      <c r="AD8" s="144"/>
      <c r="AE8" s="144"/>
      <c r="AF8" s="144"/>
      <c r="AG8" s="144"/>
      <c r="AH8" s="144"/>
      <c r="AI8" s="144"/>
      <c r="AJ8" s="144"/>
      <c r="AK8" s="144"/>
      <c r="AL8" s="144"/>
      <c r="AM8" s="144"/>
      <c r="AN8" s="144"/>
      <c r="AO8" s="144"/>
      <c r="AP8" s="144"/>
      <c r="AQ8" s="144"/>
      <c r="AR8" s="144"/>
      <c r="AS8" s="144"/>
      <c r="AT8" s="144"/>
      <c r="AU8" s="144"/>
      <c r="AV8" s="144"/>
      <c r="AW8" s="144"/>
      <c r="AX8" s="144"/>
      <c r="AY8" s="144"/>
      <c r="AZ8" s="144"/>
      <c r="BA8" s="144"/>
      <c r="BB8" s="144"/>
      <c r="BC8" s="144"/>
    </row>
    <row r="9" spans="4:56" s="132" customFormat="1" ht="14.5" x14ac:dyDescent="0.35">
      <c r="D9" s="79" t="s">
        <v>591</v>
      </c>
      <c r="E9" s="488"/>
      <c r="F9" s="642">
        <f t="shared" ref="F9:P9" si="0">SUM(F10:F12)</f>
        <v>3273.3999999999996</v>
      </c>
      <c r="G9" s="1022">
        <f t="shared" si="0"/>
        <v>3290</v>
      </c>
      <c r="H9" s="1022">
        <f t="shared" si="0"/>
        <v>3332.9</v>
      </c>
      <c r="I9" s="1022">
        <f t="shared" si="0"/>
        <v>3380.8</v>
      </c>
      <c r="J9" s="1022">
        <f t="shared" si="0"/>
        <v>3111.4</v>
      </c>
      <c r="K9" s="1022">
        <f t="shared" si="0"/>
        <v>3257.3</v>
      </c>
      <c r="L9" s="1022">
        <f t="shared" si="0"/>
        <v>3379.5</v>
      </c>
      <c r="M9" s="1022">
        <f>SUM(M10:M12)</f>
        <v>3536</v>
      </c>
      <c r="N9" s="1022">
        <f t="shared" si="0"/>
        <v>3679.6000000000004</v>
      </c>
      <c r="O9" s="1022">
        <f t="shared" si="0"/>
        <v>3803.3</v>
      </c>
      <c r="P9" s="746">
        <f t="shared" si="0"/>
        <v>3924.2000000000003</v>
      </c>
      <c r="Q9" s="303">
        <f t="shared" ref="Q9:X9" si="1">SUM(Q10:Q12)</f>
        <v>4013.2230501561603</v>
      </c>
      <c r="R9" s="303">
        <f t="shared" si="1"/>
        <v>4104.8002848042397</v>
      </c>
      <c r="S9" s="303">
        <f t="shared" si="1"/>
        <v>4199.0128967738165</v>
      </c>
      <c r="T9" s="303">
        <f t="shared" si="1"/>
        <v>4204.6187019956105</v>
      </c>
      <c r="U9" s="303">
        <f t="shared" si="1"/>
        <v>4210.5239652534374</v>
      </c>
      <c r="V9" s="303">
        <f t="shared" si="1"/>
        <v>4216.7307318736248</v>
      </c>
      <c r="W9" s="303">
        <f t="shared" si="1"/>
        <v>4223.2410786421106</v>
      </c>
      <c r="X9" s="303">
        <f t="shared" si="1"/>
        <v>4276.5976352926946</v>
      </c>
      <c r="Y9" s="303">
        <f t="shared" ref="Y9:AC9" si="2">SUM(Y10:Y12)</f>
        <v>4330.7431863837164</v>
      </c>
      <c r="Z9" s="303">
        <f t="shared" si="2"/>
        <v>4385.6904769072362</v>
      </c>
      <c r="AA9" s="303">
        <f t="shared" si="2"/>
        <v>4441.452466492774</v>
      </c>
      <c r="AB9" s="303">
        <f t="shared" si="2"/>
        <v>4464.2173069307519</v>
      </c>
      <c r="AC9" s="747">
        <f t="shared" si="2"/>
        <v>4487.1390907689447</v>
      </c>
      <c r="AD9" s="304"/>
      <c r="AE9" s="304"/>
      <c r="AF9" s="304"/>
      <c r="AG9" s="304"/>
      <c r="AH9" s="304"/>
      <c r="AI9" s="304"/>
      <c r="AJ9" s="304"/>
      <c r="AK9" s="304"/>
      <c r="AL9" s="304"/>
      <c r="AM9" s="304"/>
      <c r="AN9" s="304"/>
      <c r="AO9" s="304"/>
      <c r="AP9" s="304"/>
      <c r="AQ9" s="304"/>
      <c r="AR9" s="304"/>
      <c r="AS9" s="304"/>
      <c r="AT9" s="304"/>
      <c r="AU9" s="304"/>
      <c r="AV9" s="304"/>
      <c r="AW9" s="304"/>
      <c r="AX9" s="304"/>
      <c r="AY9" s="304"/>
      <c r="AZ9" s="304"/>
      <c r="BA9" s="304"/>
      <c r="BB9" s="304"/>
      <c r="BC9" s="304"/>
    </row>
    <row r="10" spans="4:56" x14ac:dyDescent="0.3">
      <c r="D10" s="135" t="s">
        <v>592</v>
      </c>
      <c r="E10" s="240" t="s">
        <v>129</v>
      </c>
      <c r="F10" s="492">
        <f>'Haver Pivoted'!GQ27</f>
        <v>1701.9</v>
      </c>
      <c r="G10" s="1023">
        <f>'Haver Pivoted'!GR27</f>
        <v>1707.8</v>
      </c>
      <c r="H10" s="1023">
        <f>'Haver Pivoted'!GS27</f>
        <v>1728.6</v>
      </c>
      <c r="I10" s="1023">
        <f>'Haver Pivoted'!GT27</f>
        <v>1737.9</v>
      </c>
      <c r="J10" s="1023">
        <f>'Haver Pivoted'!GU27</f>
        <v>1581.5</v>
      </c>
      <c r="K10" s="1023">
        <f>'Haver Pivoted'!GV27</f>
        <v>1662.2</v>
      </c>
      <c r="L10" s="1023">
        <f>'Haver Pivoted'!GW27</f>
        <v>1736.9</v>
      </c>
      <c r="M10" s="1023">
        <f>'Haver Pivoted'!GX27</f>
        <v>1851.9</v>
      </c>
      <c r="N10" s="1023">
        <f>'Haver Pivoted'!GY27</f>
        <v>1946.1</v>
      </c>
      <c r="O10" s="1023">
        <f>'Haver Pivoted'!GZ27</f>
        <v>2036</v>
      </c>
      <c r="P10" s="744">
        <f>'Haver Pivoted'!HA27</f>
        <v>2115.8000000000002</v>
      </c>
      <c r="Q10" s="544">
        <f>P10*(1+$I30)^0.25</f>
        <v>2186.6126848611352</v>
      </c>
      <c r="R10" s="544">
        <f t="shared" ref="Q10:S13" si="3">Q10*(1+$I30)^0.25</f>
        <v>2259.795365155318</v>
      </c>
      <c r="S10" s="544">
        <f t="shared" si="3"/>
        <v>2335.4273611111726</v>
      </c>
      <c r="T10" s="544">
        <f t="shared" ref="T10:W13" si="4">S10*(1+$J30)^0.25</f>
        <v>2321.7739656088042</v>
      </c>
      <c r="U10" s="544">
        <f t="shared" si="4"/>
        <v>2308.2003907045191</v>
      </c>
      <c r="V10" s="544">
        <f t="shared" si="4"/>
        <v>2294.706169750451</v>
      </c>
      <c r="W10" s="544">
        <f t="shared" si="4"/>
        <v>2281.2908388268543</v>
      </c>
      <c r="X10" s="544">
        <f t="shared" ref="X10:AA13" si="5">W10*(1+$K30)^0.25</f>
        <v>2320.9770851505309</v>
      </c>
      <c r="Y10" s="544">
        <f t="shared" si="5"/>
        <v>2361.3537292614851</v>
      </c>
      <c r="Z10" s="544">
        <f t="shared" si="5"/>
        <v>2402.4327815952925</v>
      </c>
      <c r="AA10" s="544">
        <f t="shared" si="5"/>
        <v>2444.22646152586</v>
      </c>
      <c r="AB10" s="544">
        <f t="shared" ref="AB10:AC13" si="6">AA10*(1+$L30)^0.25</f>
        <v>2451.1726582744973</v>
      </c>
      <c r="AC10" s="544">
        <f t="shared" si="6"/>
        <v>2458.1385952763517</v>
      </c>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row>
    <row r="11" spans="4:56" x14ac:dyDescent="0.3">
      <c r="D11" s="135" t="s">
        <v>593</v>
      </c>
      <c r="E11" s="88" t="s">
        <v>135</v>
      </c>
      <c r="F11" s="492">
        <f>'Haver Pivoted'!GQ30</f>
        <v>1399.3</v>
      </c>
      <c r="G11" s="1023">
        <f>'Haver Pivoted'!GR30</f>
        <v>1406.9</v>
      </c>
      <c r="H11" s="1023">
        <f>'Haver Pivoted'!GS30</f>
        <v>1426.4</v>
      </c>
      <c r="I11" s="1023">
        <f>'Haver Pivoted'!GT30</f>
        <v>1457.1</v>
      </c>
      <c r="J11" s="1023">
        <f>'Haver Pivoted'!GU30</f>
        <v>1391.6</v>
      </c>
      <c r="K11" s="1023">
        <f>'Haver Pivoted'!GV30</f>
        <v>1443.8</v>
      </c>
      <c r="L11" s="1023">
        <f>'Haver Pivoted'!GW30</f>
        <v>1486</v>
      </c>
      <c r="M11" s="1023">
        <f>'Haver Pivoted'!GX30</f>
        <v>1517.9</v>
      </c>
      <c r="N11" s="1023">
        <f>'Haver Pivoted'!GY30</f>
        <v>1555.7</v>
      </c>
      <c r="O11" s="1023">
        <f>'Haver Pivoted'!GZ30</f>
        <v>1594.4</v>
      </c>
      <c r="P11" s="744">
        <f>'Haver Pivoted'!HA30</f>
        <v>1630.1</v>
      </c>
      <c r="Q11" s="544">
        <f t="shared" si="3"/>
        <v>1646.1534462548179</v>
      </c>
      <c r="R11" s="544">
        <f t="shared" si="3"/>
        <v>1662.3649890292704</v>
      </c>
      <c r="S11" s="544">
        <f t="shared" si="3"/>
        <v>1678.7361852793608</v>
      </c>
      <c r="T11" s="544">
        <f t="shared" si="4"/>
        <v>1697.9372964358581</v>
      </c>
      <c r="U11" s="544">
        <f t="shared" si="4"/>
        <v>1717.358026775451</v>
      </c>
      <c r="V11" s="544">
        <f t="shared" si="4"/>
        <v>1737.0008882665975</v>
      </c>
      <c r="W11" s="544">
        <f t="shared" si="4"/>
        <v>1756.868421609242</v>
      </c>
      <c r="X11" s="544">
        <f t="shared" si="5"/>
        <v>1768.6065878840218</v>
      </c>
      <c r="Y11" s="544">
        <f t="shared" si="5"/>
        <v>1780.4231803777486</v>
      </c>
      <c r="Z11" s="544">
        <f t="shared" si="5"/>
        <v>1792.3187230795768</v>
      </c>
      <c r="AA11" s="544">
        <f t="shared" si="5"/>
        <v>1804.2937434795895</v>
      </c>
      <c r="AB11" s="544">
        <f t="shared" si="6"/>
        <v>1820.0253664421739</v>
      </c>
      <c r="AC11" s="544">
        <f t="shared" si="6"/>
        <v>1835.8941533016744</v>
      </c>
      <c r="AD11" s="144"/>
      <c r="AE11" s="144"/>
      <c r="AF11" s="144"/>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row>
    <row r="12" spans="4:56" x14ac:dyDescent="0.3">
      <c r="D12" s="135" t="s">
        <v>594</v>
      </c>
      <c r="E12" s="240" t="s">
        <v>131</v>
      </c>
      <c r="F12" s="492">
        <f>'Haver Pivoted'!GQ28</f>
        <v>172.2</v>
      </c>
      <c r="G12" s="1023">
        <f>'Haver Pivoted'!GR28</f>
        <v>175.3</v>
      </c>
      <c r="H12" s="1023">
        <f>'Haver Pivoted'!GS28</f>
        <v>177.9</v>
      </c>
      <c r="I12" s="1023">
        <f>'Haver Pivoted'!GT28</f>
        <v>185.8</v>
      </c>
      <c r="J12" s="1023">
        <f>'Haver Pivoted'!GU28</f>
        <v>138.30000000000001</v>
      </c>
      <c r="K12" s="1023">
        <f>'Haver Pivoted'!GV28</f>
        <v>151.30000000000001</v>
      </c>
      <c r="L12" s="1023">
        <f>'Haver Pivoted'!GW28</f>
        <v>156.6</v>
      </c>
      <c r="M12" s="1023">
        <f>'Haver Pivoted'!GX28</f>
        <v>166.2</v>
      </c>
      <c r="N12" s="1023">
        <f>'Haver Pivoted'!GY28</f>
        <v>177.8</v>
      </c>
      <c r="O12" s="1023">
        <f>'Haver Pivoted'!GZ28</f>
        <v>172.9</v>
      </c>
      <c r="P12" s="744">
        <f>'Haver Pivoted'!HA28</f>
        <v>178.3</v>
      </c>
      <c r="Q12" s="544">
        <f t="shared" si="3"/>
        <v>180.45691904020711</v>
      </c>
      <c r="R12" s="544">
        <f t="shared" si="3"/>
        <v>182.63993061965149</v>
      </c>
      <c r="S12" s="544">
        <f t="shared" si="3"/>
        <v>184.84935038328376</v>
      </c>
      <c r="T12" s="544">
        <f t="shared" si="4"/>
        <v>184.9074399509486</v>
      </c>
      <c r="U12" s="544">
        <f t="shared" si="4"/>
        <v>184.96554777346728</v>
      </c>
      <c r="V12" s="544">
        <f t="shared" si="4"/>
        <v>185.02367385657644</v>
      </c>
      <c r="W12" s="544">
        <f t="shared" si="4"/>
        <v>185.08181820601453</v>
      </c>
      <c r="X12" s="544">
        <f t="shared" si="5"/>
        <v>187.01396225814182</v>
      </c>
      <c r="Y12" s="544">
        <f t="shared" si="5"/>
        <v>188.96627674448223</v>
      </c>
      <c r="Z12" s="544">
        <f t="shared" si="5"/>
        <v>190.93897223236687</v>
      </c>
      <c r="AA12" s="544">
        <f t="shared" si="5"/>
        <v>192.93226148732447</v>
      </c>
      <c r="AB12" s="544">
        <f t="shared" si="6"/>
        <v>193.01928221408102</v>
      </c>
      <c r="AC12" s="544">
        <f t="shared" si="6"/>
        <v>193.10634219091853</v>
      </c>
      <c r="AD12" s="144"/>
      <c r="AE12" s="144"/>
      <c r="AF12" s="144"/>
      <c r="AG12" s="144"/>
      <c r="AH12" s="144"/>
      <c r="AI12" s="144"/>
      <c r="AJ12" s="144"/>
      <c r="AK12" s="144"/>
      <c r="AL12" s="144"/>
      <c r="AM12" s="144"/>
      <c r="AN12" s="144"/>
      <c r="AO12" s="144"/>
      <c r="AP12" s="144"/>
      <c r="AQ12" s="144"/>
      <c r="AR12" s="144"/>
      <c r="AS12" s="144"/>
      <c r="AT12" s="144"/>
      <c r="AU12" s="144"/>
      <c r="AV12" s="144"/>
      <c r="AW12" s="144"/>
      <c r="AX12" s="144"/>
      <c r="AY12" s="144"/>
      <c r="AZ12" s="144"/>
      <c r="BA12" s="144"/>
      <c r="BB12" s="144"/>
      <c r="BC12" s="144"/>
    </row>
    <row r="13" spans="4:56" s="132" customFormat="1" ht="14.5" x14ac:dyDescent="0.35">
      <c r="D13" s="79" t="s">
        <v>595</v>
      </c>
      <c r="E13" s="489" t="s">
        <v>133</v>
      </c>
      <c r="F13" s="643">
        <f>'Haver Pivoted'!GQ29</f>
        <v>218.9</v>
      </c>
      <c r="G13" s="1024">
        <f>'Haver Pivoted'!GR29</f>
        <v>206.5</v>
      </c>
      <c r="H13" s="1024">
        <f>'Haver Pivoted'!GS29</f>
        <v>231.4</v>
      </c>
      <c r="I13" s="1024">
        <f>'Haver Pivoted'!GT29</f>
        <v>166.7</v>
      </c>
      <c r="J13" s="1024">
        <f>'Haver Pivoted'!GU29</f>
        <v>167.4</v>
      </c>
      <c r="K13" s="1024">
        <f>'Haver Pivoted'!GV29</f>
        <v>211.7</v>
      </c>
      <c r="L13" s="1024">
        <f>'Haver Pivoted'!GW29</f>
        <v>225.1</v>
      </c>
      <c r="M13" s="1024">
        <f>'Haver Pivoted'!GX29</f>
        <v>246.4</v>
      </c>
      <c r="N13" s="1024">
        <f>'Haver Pivoted'!GY29</f>
        <v>275.10000000000002</v>
      </c>
      <c r="O13" s="1024">
        <f>'Haver Pivoted'!GZ29</f>
        <v>285.89999999999998</v>
      </c>
      <c r="P13" s="1024">
        <f>'Haver Pivoted'!HA29</f>
        <v>281.2</v>
      </c>
      <c r="Q13" s="544">
        <f t="shared" si="3"/>
        <v>284.93290710306445</v>
      </c>
      <c r="R13" s="544">
        <f t="shared" si="3"/>
        <v>288.71536824396719</v>
      </c>
      <c r="S13" s="544">
        <f t="shared" si="3"/>
        <v>292.54804124852546</v>
      </c>
      <c r="T13" s="544">
        <f t="shared" si="4"/>
        <v>304.85448798368532</v>
      </c>
      <c r="U13" s="544">
        <f t="shared" si="4"/>
        <v>317.67862279017521</v>
      </c>
      <c r="V13" s="544">
        <f t="shared" si="4"/>
        <v>331.04222294822597</v>
      </c>
      <c r="W13" s="544">
        <f t="shared" si="4"/>
        <v>344.96798183013334</v>
      </c>
      <c r="X13" s="544">
        <f t="shared" si="5"/>
        <v>337.12647105048472</v>
      </c>
      <c r="Y13" s="544">
        <f t="shared" si="5"/>
        <v>329.4632066430969</v>
      </c>
      <c r="Z13" s="544">
        <f t="shared" si="5"/>
        <v>321.97413686716163</v>
      </c>
      <c r="AA13" s="544">
        <f t="shared" si="5"/>
        <v>314.65530208250289</v>
      </c>
      <c r="AB13" s="544">
        <f t="shared" si="6"/>
        <v>315.46843320951899</v>
      </c>
      <c r="AC13" s="544">
        <f t="shared" si="6"/>
        <v>316.28366562713899</v>
      </c>
      <c r="AD13" s="304"/>
      <c r="AE13" s="304"/>
      <c r="AF13" s="304"/>
      <c r="AG13" s="304"/>
      <c r="AH13" s="304"/>
      <c r="AI13" s="304"/>
      <c r="AJ13" s="304"/>
      <c r="AK13" s="304"/>
      <c r="AL13" s="304"/>
      <c r="AM13" s="304"/>
      <c r="AN13" s="304"/>
      <c r="AO13" s="304"/>
      <c r="AP13" s="304"/>
      <c r="AQ13" s="304"/>
      <c r="AR13" s="304"/>
      <c r="AS13" s="304"/>
      <c r="AT13" s="304"/>
      <c r="AU13" s="304"/>
      <c r="AV13" s="304"/>
      <c r="AW13" s="304"/>
      <c r="AX13" s="304"/>
      <c r="AY13" s="304"/>
      <c r="AZ13" s="304"/>
      <c r="BA13" s="304"/>
      <c r="BB13" s="304"/>
      <c r="BC13" s="304"/>
    </row>
    <row r="14" spans="4:56" x14ac:dyDescent="0.3">
      <c r="D14" s="252"/>
      <c r="E14" s="87"/>
      <c r="F14" s="486"/>
      <c r="G14" s="1021"/>
      <c r="H14" s="1020"/>
      <c r="I14" s="1020"/>
      <c r="J14" s="1020"/>
      <c r="K14" s="1020"/>
      <c r="L14" s="1020"/>
      <c r="M14" s="1020"/>
      <c r="N14" s="1021"/>
      <c r="O14" s="1021"/>
      <c r="P14" s="1027"/>
      <c r="Q14" s="299"/>
      <c r="R14" s="298"/>
      <c r="S14" s="298"/>
      <c r="T14" s="299"/>
      <c r="U14" s="300"/>
      <c r="V14" s="298"/>
      <c r="W14" s="298"/>
      <c r="X14" s="298"/>
      <c r="Y14" s="298"/>
      <c r="Z14" s="298"/>
      <c r="AA14" s="298"/>
      <c r="AB14" s="298"/>
      <c r="AC14" s="749"/>
      <c r="AD14" s="144"/>
      <c r="AE14" s="144"/>
      <c r="AF14" s="144"/>
      <c r="AG14" s="144"/>
      <c r="AH14" s="144"/>
      <c r="AI14" s="144"/>
      <c r="AJ14" s="144"/>
      <c r="AK14" s="144"/>
      <c r="AL14" s="144"/>
      <c r="AM14" s="144"/>
      <c r="AN14" s="144"/>
      <c r="AO14" s="144"/>
      <c r="AP14" s="144"/>
      <c r="AQ14" s="144"/>
      <c r="AR14" s="144"/>
      <c r="AS14" s="144"/>
      <c r="AT14" s="144"/>
      <c r="AU14" s="144"/>
      <c r="AV14" s="144"/>
      <c r="AW14" s="144"/>
      <c r="AX14" s="144"/>
      <c r="AY14" s="144"/>
      <c r="AZ14" s="144"/>
      <c r="BA14" s="144"/>
      <c r="BB14" s="144"/>
      <c r="BC14" s="144"/>
    </row>
    <row r="15" spans="4:56" x14ac:dyDescent="0.3">
      <c r="D15" s="253" t="s">
        <v>582</v>
      </c>
      <c r="E15" s="88"/>
      <c r="F15" s="491"/>
      <c r="G15" s="1020"/>
      <c r="H15" s="1021"/>
      <c r="I15" s="1021"/>
      <c r="J15" s="1021"/>
      <c r="K15" s="1021"/>
      <c r="L15" s="1021"/>
      <c r="M15" s="1021"/>
      <c r="N15" s="1021"/>
      <c r="O15" s="1021"/>
      <c r="P15" s="1027"/>
      <c r="Q15" s="297"/>
      <c r="R15" s="297"/>
      <c r="S15" s="297"/>
      <c r="T15" s="297"/>
      <c r="U15" s="297"/>
      <c r="V15" s="297"/>
      <c r="W15" s="297"/>
      <c r="X15" s="297"/>
      <c r="Y15" s="297"/>
      <c r="Z15" s="297"/>
      <c r="AA15" s="297"/>
      <c r="AB15" s="297"/>
      <c r="AC15" s="745"/>
    </row>
    <row r="16" spans="4:56" s="132" customFormat="1" ht="14.5" x14ac:dyDescent="0.35">
      <c r="D16" s="287" t="s">
        <v>591</v>
      </c>
      <c r="E16" s="412"/>
      <c r="F16" s="643">
        <f t="shared" ref="F16:P16" si="7">SUM(F18:F20)</f>
        <v>1890.1</v>
      </c>
      <c r="G16" s="1024">
        <f t="shared" si="7"/>
        <v>1889.7999999999997</v>
      </c>
      <c r="H16" s="1024">
        <f t="shared" si="7"/>
        <v>1893.3000000000002</v>
      </c>
      <c r="I16" s="1024">
        <f t="shared" si="7"/>
        <v>1915.1999999999998</v>
      </c>
      <c r="J16" s="1024">
        <f t="shared" si="7"/>
        <v>1858.8000000000002</v>
      </c>
      <c r="K16" s="1024">
        <f t="shared" si="7"/>
        <v>1932.2</v>
      </c>
      <c r="L16" s="1024">
        <f t="shared" si="7"/>
        <v>1943.7</v>
      </c>
      <c r="M16" s="1024">
        <f t="shared" si="7"/>
        <v>1995.3000000000002</v>
      </c>
      <c r="N16" s="1024">
        <f t="shared" si="7"/>
        <v>2066.8000000000002</v>
      </c>
      <c r="O16" s="1024">
        <f t="shared" si="7"/>
        <v>2109.4</v>
      </c>
      <c r="P16" s="748">
        <f t="shared" si="7"/>
        <v>2167.1</v>
      </c>
      <c r="Q16" s="302">
        <f>SUM(Q17:Q20)</f>
        <v>2176.9374694843818</v>
      </c>
      <c r="R16" s="302">
        <f t="shared" ref="R16:AC16" si="8">SUM(R17:R20)</f>
        <v>2205.2200592516465</v>
      </c>
      <c r="S16" s="302">
        <f t="shared" si="8"/>
        <v>2234.6290617271839</v>
      </c>
      <c r="T16" s="302">
        <f t="shared" si="8"/>
        <v>2261.5966985023424</v>
      </c>
      <c r="U16" s="302">
        <f t="shared" si="8"/>
        <v>2285.8025732437</v>
      </c>
      <c r="V16" s="302">
        <f t="shared" si="8"/>
        <v>2308.6761217963044</v>
      </c>
      <c r="W16" s="302">
        <f t="shared" si="8"/>
        <v>2331.446852121323</v>
      </c>
      <c r="X16" s="302">
        <f t="shared" si="8"/>
        <v>2353.0668149947428</v>
      </c>
      <c r="Y16" s="302">
        <f t="shared" si="8"/>
        <v>2373.6922541058202</v>
      </c>
      <c r="Z16" s="302">
        <f t="shared" si="8"/>
        <v>2394.282661369396</v>
      </c>
      <c r="AA16" s="302">
        <f t="shared" si="8"/>
        <v>2415.7714093315994</v>
      </c>
      <c r="AB16" s="302">
        <f t="shared" si="8"/>
        <v>2436.3470544868342</v>
      </c>
      <c r="AC16" s="302">
        <f t="shared" si="8"/>
        <v>2458.2777464261462</v>
      </c>
    </row>
    <row r="17" spans="4:40" s="132" customFormat="1" ht="42.5" x14ac:dyDescent="0.35">
      <c r="D17" s="1104" t="s">
        <v>1206</v>
      </c>
      <c r="E17" s="412"/>
      <c r="F17" s="643"/>
      <c r="G17" s="1024"/>
      <c r="H17" s="1024"/>
      <c r="I17" s="1024"/>
      <c r="J17" s="1024"/>
      <c r="K17" s="1024"/>
      <c r="L17" s="1024"/>
      <c r="M17" s="1024"/>
      <c r="N17" s="1024"/>
      <c r="O17" s="1024"/>
      <c r="P17" s="748"/>
      <c r="Q17" s="1105">
        <v>20</v>
      </c>
      <c r="R17" s="1105">
        <v>20</v>
      </c>
      <c r="S17" s="1105">
        <v>20</v>
      </c>
      <c r="T17" s="1105">
        <v>20</v>
      </c>
      <c r="U17" s="1105">
        <v>20</v>
      </c>
      <c r="V17" s="1105">
        <v>20</v>
      </c>
      <c r="W17" s="1105">
        <v>20</v>
      </c>
      <c r="X17" s="1105">
        <v>20</v>
      </c>
      <c r="Y17" s="1105">
        <v>20</v>
      </c>
      <c r="Z17" s="1105">
        <v>20</v>
      </c>
      <c r="AA17" s="1105">
        <v>20</v>
      </c>
      <c r="AB17" s="1105">
        <v>20</v>
      </c>
      <c r="AC17" s="1105">
        <v>20</v>
      </c>
    </row>
    <row r="18" spans="4:40" x14ac:dyDescent="0.3">
      <c r="D18" s="135" t="s">
        <v>596</v>
      </c>
      <c r="E18" s="88" t="s">
        <v>597</v>
      </c>
      <c r="F18" s="492">
        <f>'Haver Pivoted'!GQ33</f>
        <v>520.9</v>
      </c>
      <c r="G18" s="1023">
        <f>'Haver Pivoted'!GR33</f>
        <v>497.4</v>
      </c>
      <c r="H18" s="1023">
        <f>'Haver Pivoted'!GS33</f>
        <v>494.7</v>
      </c>
      <c r="I18" s="1023">
        <f>'Haver Pivoted'!GT33</f>
        <v>503.8</v>
      </c>
      <c r="J18" s="1023">
        <f>'Haver Pivoted'!GU33</f>
        <v>517.5</v>
      </c>
      <c r="K18" s="1023">
        <f>'Haver Pivoted'!GV33</f>
        <v>519.6</v>
      </c>
      <c r="L18" s="1023">
        <f>'Haver Pivoted'!GW33</f>
        <v>522.79999999999995</v>
      </c>
      <c r="M18" s="1023">
        <f>'Haver Pivoted'!GX33</f>
        <v>560.20000000000005</v>
      </c>
      <c r="N18" s="1023">
        <f>'Haver Pivoted'!GY33</f>
        <v>586.4</v>
      </c>
      <c r="O18" s="1023">
        <f>'Haver Pivoted'!GZ33</f>
        <v>605.1</v>
      </c>
      <c r="P18" s="744">
        <f>'Haver Pivoted'!HA33</f>
        <v>629.1</v>
      </c>
      <c r="Q18" s="301">
        <f>Q111*Q86</f>
        <v>623.27902276546979</v>
      </c>
      <c r="R18" s="301">
        <f t="shared" ref="R18:AC18" si="9">R111*R86</f>
        <v>631.96819618029031</v>
      </c>
      <c r="S18" s="301">
        <f>S111*S86</f>
        <v>639.95377723453021</v>
      </c>
      <c r="T18" s="301">
        <f>T111*T86</f>
        <v>647.37033277310934</v>
      </c>
      <c r="U18" s="301">
        <f>U111*U86</f>
        <v>654.36396394194037</v>
      </c>
      <c r="V18" s="301">
        <f>V111*V86</f>
        <v>661.14613292589775</v>
      </c>
      <c r="W18" s="301">
        <f>W111*W86</f>
        <v>667.72837402597418</v>
      </c>
      <c r="X18" s="301">
        <f t="shared" si="9"/>
        <v>673.99149946524062</v>
      </c>
      <c r="Y18" s="301">
        <f t="shared" si="9"/>
        <v>680.21233246753263</v>
      </c>
      <c r="Z18" s="301">
        <f t="shared" si="9"/>
        <v>686.09098120702834</v>
      </c>
      <c r="AA18" s="301">
        <f t="shared" si="9"/>
        <v>692.34257234530185</v>
      </c>
      <c r="AB18" s="301">
        <f t="shared" si="9"/>
        <v>698.70566172650888</v>
      </c>
      <c r="AC18" s="750">
        <f t="shared" si="9"/>
        <v>705.36479816653934</v>
      </c>
    </row>
    <row r="19" spans="4:40" x14ac:dyDescent="0.3">
      <c r="D19" s="135" t="s">
        <v>593</v>
      </c>
      <c r="E19" s="88" t="s">
        <v>598</v>
      </c>
      <c r="F19" s="492">
        <f>'Haver Pivoted'!GQ36</f>
        <v>20.5</v>
      </c>
      <c r="G19" s="1023">
        <f>'Haver Pivoted'!GR36</f>
        <v>20.3</v>
      </c>
      <c r="H19" s="1023">
        <f>'Haver Pivoted'!GS36</f>
        <v>20.2</v>
      </c>
      <c r="I19" s="1023">
        <f>'Haver Pivoted'!GT36</f>
        <v>20.100000000000001</v>
      </c>
      <c r="J19" s="1023">
        <f>'Haver Pivoted'!GU36</f>
        <v>19.100000000000001</v>
      </c>
      <c r="K19" s="1023">
        <f>'Haver Pivoted'!GV36</f>
        <v>19.899999999999999</v>
      </c>
      <c r="L19" s="1023">
        <f>'Haver Pivoted'!GW36</f>
        <v>20.5</v>
      </c>
      <c r="M19" s="1023">
        <f>'Haver Pivoted'!GX36</f>
        <v>21.2</v>
      </c>
      <c r="N19" s="1023">
        <f>'Haver Pivoted'!GY36</f>
        <v>21.9</v>
      </c>
      <c r="O19" s="1023">
        <f>'Haver Pivoted'!GZ36</f>
        <v>22.5</v>
      </c>
      <c r="P19" s="744">
        <f>'Haver Pivoted'!HA36</f>
        <v>22.8</v>
      </c>
      <c r="Q19" s="301">
        <f t="shared" ref="Q19:AC19" si="10">Q112*Q89</f>
        <v>22.192067736185383</v>
      </c>
      <c r="R19" s="301">
        <f t="shared" si="10"/>
        <v>22.467245989304811</v>
      </c>
      <c r="S19" s="301">
        <f t="shared" ref="S19:W21" si="11">S112*S89</f>
        <v>22.714906417112299</v>
      </c>
      <c r="T19" s="301">
        <f t="shared" si="11"/>
        <v>22.947749554367199</v>
      </c>
      <c r="U19" s="301">
        <f t="shared" si="11"/>
        <v>23.163658645276293</v>
      </c>
      <c r="V19" s="301">
        <f t="shared" si="11"/>
        <v>23.373217468805702</v>
      </c>
      <c r="W19" s="301">
        <f t="shared" si="11"/>
        <v>23.587009803921568</v>
      </c>
      <c r="X19" s="301">
        <f t="shared" si="10"/>
        <v>23.805035650623886</v>
      </c>
      <c r="Y19" s="301">
        <f t="shared" si="10"/>
        <v>24.008879233511585</v>
      </c>
      <c r="Z19" s="301">
        <f t="shared" si="10"/>
        <v>24.222671568627447</v>
      </c>
      <c r="AA19" s="301">
        <f t="shared" si="10"/>
        <v>24.441755793226378</v>
      </c>
      <c r="AB19" s="301">
        <f t="shared" si="10"/>
        <v>24.657876559714794</v>
      </c>
      <c r="AC19" s="750">
        <f t="shared" si="10"/>
        <v>24.874209001782532</v>
      </c>
    </row>
    <row r="20" spans="4:40" x14ac:dyDescent="0.3">
      <c r="D20" s="135" t="s">
        <v>594</v>
      </c>
      <c r="E20" s="88" t="s">
        <v>599</v>
      </c>
      <c r="F20" s="492">
        <f>'Haver Pivoted'!GQ34</f>
        <v>1348.7</v>
      </c>
      <c r="G20" s="1023">
        <f>'Haver Pivoted'!GR34</f>
        <v>1372.1</v>
      </c>
      <c r="H20" s="1023">
        <f>'Haver Pivoted'!GS34</f>
        <v>1378.4</v>
      </c>
      <c r="I20" s="1023">
        <f>'Haver Pivoted'!GT34</f>
        <v>1391.3</v>
      </c>
      <c r="J20" s="1023">
        <f>'Haver Pivoted'!GU34</f>
        <v>1322.2</v>
      </c>
      <c r="K20" s="1023">
        <f>'Haver Pivoted'!GV34</f>
        <v>1392.7</v>
      </c>
      <c r="L20" s="1023">
        <f>'Haver Pivoted'!GW34</f>
        <v>1400.4</v>
      </c>
      <c r="M20" s="1023">
        <f>'Haver Pivoted'!GX34</f>
        <v>1413.9</v>
      </c>
      <c r="N20" s="1023">
        <f>'Haver Pivoted'!GY34</f>
        <v>1458.5</v>
      </c>
      <c r="O20" s="1023">
        <f>'Haver Pivoted'!GZ34</f>
        <v>1481.8</v>
      </c>
      <c r="P20" s="744">
        <f>'Haver Pivoted'!HA34</f>
        <v>1515.2</v>
      </c>
      <c r="Q20" s="301">
        <f t="shared" ref="Q20:AC20" si="12">Q113*Q90</f>
        <v>1511.4663789827266</v>
      </c>
      <c r="R20" s="301">
        <f t="shared" si="12"/>
        <v>1530.7846170820512</v>
      </c>
      <c r="S20" s="301">
        <f t="shared" si="11"/>
        <v>1551.9603780755415</v>
      </c>
      <c r="T20" s="301">
        <f t="shared" si="11"/>
        <v>1571.2786161748661</v>
      </c>
      <c r="U20" s="301">
        <f t="shared" si="11"/>
        <v>1588.2749506564833</v>
      </c>
      <c r="V20" s="301">
        <f t="shared" si="11"/>
        <v>1604.156771401601</v>
      </c>
      <c r="W20" s="301">
        <f t="shared" si="11"/>
        <v>1620.1314682914272</v>
      </c>
      <c r="X20" s="301">
        <f t="shared" si="12"/>
        <v>1635.2702798788785</v>
      </c>
      <c r="Y20" s="301">
        <f t="shared" si="12"/>
        <v>1649.4710424047762</v>
      </c>
      <c r="Z20" s="301">
        <f t="shared" si="12"/>
        <v>1663.9690085937405</v>
      </c>
      <c r="AA20" s="301">
        <f t="shared" si="12"/>
        <v>1678.9870811930712</v>
      </c>
      <c r="AB20" s="301">
        <f t="shared" si="12"/>
        <v>1692.9835162006107</v>
      </c>
      <c r="AC20" s="750">
        <f t="shared" si="12"/>
        <v>1708.0387392578243</v>
      </c>
    </row>
    <row r="21" spans="4:40" s="132" customFormat="1" ht="14.5" x14ac:dyDescent="0.35">
      <c r="D21" s="305" t="s">
        <v>595</v>
      </c>
      <c r="E21" s="490" t="s">
        <v>600</v>
      </c>
      <c r="F21" s="644">
        <f>'Haver Pivoted'!GQ35</f>
        <v>72.8</v>
      </c>
      <c r="G21" s="487">
        <f>'Haver Pivoted'!GR35</f>
        <v>73.099999999999994</v>
      </c>
      <c r="H21" s="487">
        <f>'Haver Pivoted'!GS35</f>
        <v>72.400000000000006</v>
      </c>
      <c r="I21" s="487">
        <f>'Haver Pivoted'!GT35</f>
        <v>66.5</v>
      </c>
      <c r="J21" s="487">
        <f>'Haver Pivoted'!GU35</f>
        <v>61.9</v>
      </c>
      <c r="K21" s="487">
        <f>'Haver Pivoted'!GV35</f>
        <v>76.8</v>
      </c>
      <c r="L21" s="487">
        <f>'Haver Pivoted'!GW35</f>
        <v>78.8</v>
      </c>
      <c r="M21" s="487">
        <f>'Haver Pivoted'!GX35</f>
        <v>85.5</v>
      </c>
      <c r="N21" s="487">
        <f>'Haver Pivoted'!GY35</f>
        <v>91.9</v>
      </c>
      <c r="O21" s="487">
        <f>'Haver Pivoted'!GZ35</f>
        <v>95.3</v>
      </c>
      <c r="P21" s="487">
        <f>'Haver Pivoted'!HA35</f>
        <v>115.4</v>
      </c>
      <c r="Q21" s="612">
        <f>Q114*Q91</f>
        <v>114.32194311812333</v>
      </c>
      <c r="R21" s="612">
        <f t="shared" ref="R21:AC21" si="13">R114*R91</f>
        <v>115.99892048993151</v>
      </c>
      <c r="S21" s="612">
        <f t="shared" si="11"/>
        <v>115.85517957234795</v>
      </c>
      <c r="T21" s="612">
        <f t="shared" si="11"/>
        <v>115.13647498443015</v>
      </c>
      <c r="U21" s="612">
        <f t="shared" si="11"/>
        <v>113.74697944778909</v>
      </c>
      <c r="V21" s="612">
        <f t="shared" si="11"/>
        <v>111.92626115839735</v>
      </c>
      <c r="W21" s="612">
        <f t="shared" si="11"/>
        <v>110.63259290014533</v>
      </c>
      <c r="X21" s="612">
        <f t="shared" si="13"/>
        <v>110.10554286900562</v>
      </c>
      <c r="Y21" s="612">
        <f t="shared" si="13"/>
        <v>109.38683828108782</v>
      </c>
      <c r="Z21" s="612">
        <f t="shared" si="13"/>
        <v>109.67432011625495</v>
      </c>
      <c r="AA21" s="612">
        <f t="shared" si="13"/>
        <v>109.86597467303302</v>
      </c>
      <c r="AB21" s="612">
        <f t="shared" si="13"/>
        <v>110.29719742578369</v>
      </c>
      <c r="AC21" s="613">
        <f t="shared" si="13"/>
        <v>110.29719742578369</v>
      </c>
    </row>
    <row r="22" spans="4:40" s="132" customFormat="1" ht="14.5" x14ac:dyDescent="0.35">
      <c r="D22" s="411"/>
      <c r="E22" s="412"/>
      <c r="F22" s="413"/>
      <c r="G22" s="413"/>
      <c r="H22" s="414"/>
      <c r="I22" s="414"/>
      <c r="J22" s="414"/>
      <c r="K22" s="414"/>
      <c r="L22" s="414"/>
      <c r="M22" s="414"/>
      <c r="N22" s="414"/>
      <c r="O22" s="414"/>
      <c r="P22" s="414"/>
      <c r="Q22" s="414"/>
      <c r="R22" s="414"/>
      <c r="S22" s="414"/>
      <c r="T22" s="414"/>
      <c r="U22" s="414"/>
      <c r="V22" s="414"/>
      <c r="W22" s="414"/>
      <c r="X22" s="414"/>
      <c r="Y22" s="414"/>
    </row>
    <row r="23" spans="4:40" s="132" customFormat="1" ht="14.5" x14ac:dyDescent="0.35">
      <c r="D23" s="411"/>
      <c r="E23" s="412"/>
      <c r="F23" s="413"/>
      <c r="G23" s="413"/>
      <c r="H23" s="414"/>
      <c r="I23" s="414"/>
      <c r="J23" s="414"/>
      <c r="K23" s="414"/>
      <c r="L23" s="414"/>
      <c r="M23" s="414"/>
      <c r="N23" s="414"/>
      <c r="O23" s="414"/>
      <c r="P23" s="414"/>
      <c r="Q23" s="414"/>
      <c r="R23" s="414"/>
      <c r="S23" s="1159"/>
      <c r="T23" s="1159"/>
      <c r="U23" s="1159"/>
      <c r="V23" s="1159"/>
      <c r="W23" s="1159"/>
      <c r="X23" s="1099"/>
      <c r="Y23" s="1099"/>
      <c r="Z23" s="1099"/>
      <c r="AA23" s="1099"/>
      <c r="AB23" s="1099"/>
      <c r="AC23" s="1099"/>
      <c r="AD23" s="1099"/>
      <c r="AE23" s="1099"/>
      <c r="AF23" s="1099"/>
      <c r="AG23" s="1099"/>
      <c r="AH23" s="1099"/>
      <c r="AI23" s="1099"/>
      <c r="AJ23" s="1099"/>
      <c r="AK23" s="1099"/>
      <c r="AL23" s="850"/>
      <c r="AM23" s="850"/>
      <c r="AN23" s="850"/>
    </row>
    <row r="24" spans="4:40" s="132" customFormat="1" ht="14.5" x14ac:dyDescent="0.35">
      <c r="D24" s="1037"/>
      <c r="E24" s="1038"/>
      <c r="F24" s="1038"/>
      <c r="G24" s="1038"/>
      <c r="H24" s="1057"/>
      <c r="I24" s="1057"/>
      <c r="J24" s="1057"/>
      <c r="K24" s="1057"/>
      <c r="L24" s="1057"/>
      <c r="M24" s="1409" t="s">
        <v>1175</v>
      </c>
      <c r="N24" s="1410"/>
      <c r="O24" s="1410"/>
      <c r="P24" s="1410"/>
      <c r="Q24" s="1411"/>
      <c r="R24" s="1063"/>
      <c r="S24" s="1159"/>
      <c r="T24" s="1159"/>
      <c r="U24" s="1159"/>
      <c r="V24" s="1159"/>
      <c r="W24" s="1159"/>
      <c r="X24" s="1057"/>
      <c r="Y24" s="920"/>
      <c r="Z24" s="920"/>
      <c r="AA24" s="920"/>
      <c r="AB24" s="920"/>
      <c r="AC24" s="850"/>
      <c r="AD24" s="850"/>
      <c r="AE24" s="850"/>
      <c r="AF24" s="850"/>
      <c r="AG24" s="850"/>
      <c r="AH24" s="850"/>
      <c r="AI24" s="850"/>
      <c r="AJ24" s="850"/>
      <c r="AK24" s="850"/>
      <c r="AL24" s="850"/>
      <c r="AM24" s="850"/>
      <c r="AN24" s="850"/>
    </row>
    <row r="25" spans="4:40" s="132" customFormat="1" ht="14.5" x14ac:dyDescent="0.35">
      <c r="D25" s="1416" t="s">
        <v>1174</v>
      </c>
      <c r="E25" s="1417"/>
      <c r="F25" s="1418"/>
      <c r="G25" s="905">
        <v>2020</v>
      </c>
      <c r="H25" s="905">
        <v>2021</v>
      </c>
      <c r="I25" s="1049">
        <v>2022</v>
      </c>
      <c r="J25" s="562">
        <v>2023</v>
      </c>
      <c r="K25" s="562">
        <v>2024</v>
      </c>
      <c r="L25" s="563">
        <v>2025</v>
      </c>
      <c r="M25" s="904">
        <v>2021</v>
      </c>
      <c r="N25" s="1049">
        <v>2022</v>
      </c>
      <c r="O25" s="562">
        <v>2023</v>
      </c>
      <c r="P25" s="562">
        <v>2024</v>
      </c>
      <c r="Q25" s="563">
        <v>2025</v>
      </c>
      <c r="R25" s="1024"/>
      <c r="S25" s="1159"/>
      <c r="T25" s="1159"/>
      <c r="U25" s="1159"/>
      <c r="V25" s="1159"/>
      <c r="W25" s="1159"/>
      <c r="X25" s="1160"/>
      <c r="Y25" s="1160"/>
      <c r="Z25" s="1160"/>
      <c r="AA25" s="1160"/>
      <c r="AB25" s="1160"/>
      <c r="AC25" s="850"/>
      <c r="AD25" s="850"/>
      <c r="AE25" s="850"/>
      <c r="AF25" s="850"/>
      <c r="AG25" s="850"/>
      <c r="AH25" s="850"/>
      <c r="AI25" s="850"/>
      <c r="AJ25" s="850"/>
      <c r="AK25" s="850"/>
      <c r="AL25" s="850"/>
      <c r="AM25" s="850"/>
      <c r="AN25" s="850"/>
    </row>
    <row r="26" spans="4:40" s="132" customFormat="1" ht="14.5" x14ac:dyDescent="0.35">
      <c r="D26" s="1064" t="s">
        <v>602</v>
      </c>
      <c r="E26" s="631"/>
      <c r="F26" s="991"/>
      <c r="G26" s="1039">
        <f>AVERAGE(H10:K10)</f>
        <v>1677.55</v>
      </c>
      <c r="H26" s="1058">
        <v>1877.8879999999999</v>
      </c>
      <c r="I26" s="1058">
        <v>2166.6060000000002</v>
      </c>
      <c r="J26" s="1058">
        <v>2242.0459999999998</v>
      </c>
      <c r="K26" s="1058">
        <v>2321.4650000000001</v>
      </c>
      <c r="L26" s="1059">
        <v>2347.9670000000001</v>
      </c>
      <c r="M26" s="1050">
        <f>AVERAGE(L10:O10)</f>
        <v>1892.7249999999999</v>
      </c>
      <c r="N26" s="1040">
        <f>AVERAGE(P10:S10)</f>
        <v>2224.4088527819067</v>
      </c>
      <c r="O26" s="1040">
        <f>AVERAGE(T10:W10)</f>
        <v>2301.4928412226573</v>
      </c>
      <c r="P26" s="1040">
        <f t="shared" ref="P26:Q29" si="14">AVERAGE(X10:AA10)</f>
        <v>2382.2475143832926</v>
      </c>
      <c r="Q26" s="1051">
        <f t="shared" si="14"/>
        <v>2414.7964076642838</v>
      </c>
      <c r="R26" s="1024"/>
      <c r="S26" s="1159"/>
      <c r="T26" s="1159"/>
      <c r="U26" s="1159"/>
      <c r="V26" s="1159"/>
      <c r="W26" s="1159"/>
      <c r="X26" s="1161"/>
      <c r="Y26" s="1161"/>
      <c r="Z26" s="1161"/>
      <c r="AA26" s="1161"/>
      <c r="AB26" s="1161"/>
      <c r="AC26" s="850"/>
      <c r="AD26" s="850"/>
      <c r="AE26" s="850"/>
    </row>
    <row r="27" spans="4:40" s="132" customFormat="1" ht="14.5" x14ac:dyDescent="0.35">
      <c r="D27" s="608" t="s">
        <v>610</v>
      </c>
      <c r="E27" s="790"/>
      <c r="F27" s="250"/>
      <c r="G27" s="1039">
        <f>AVERAGE(H11:K11)</f>
        <v>1429.7250000000001</v>
      </c>
      <c r="H27" s="1058">
        <v>1529.57</v>
      </c>
      <c r="I27" s="1058">
        <v>1610.604</v>
      </c>
      <c r="J27" s="1058">
        <v>1682.3440000000001</v>
      </c>
      <c r="K27" s="1058">
        <v>1739.5340000000001</v>
      </c>
      <c r="L27" s="857">
        <v>1801</v>
      </c>
      <c r="M27" s="1050">
        <f>AVERAGE(L11:O11)</f>
        <v>1538.5</v>
      </c>
      <c r="N27" s="1040">
        <f>AVERAGE(P11:S11)</f>
        <v>1654.3386551408623</v>
      </c>
      <c r="O27" s="1040">
        <f>AVERAGE(T11:W11)</f>
        <v>1727.291158271787</v>
      </c>
      <c r="P27" s="1040">
        <f t="shared" si="14"/>
        <v>1786.4105587052341</v>
      </c>
      <c r="Q27" s="1051">
        <f t="shared" si="14"/>
        <v>1799.2652533447722</v>
      </c>
      <c r="R27" s="1024"/>
      <c r="S27" s="1159"/>
      <c r="T27" s="1159"/>
      <c r="U27" s="1159"/>
      <c r="V27" s="1159"/>
      <c r="W27" s="1159"/>
      <c r="X27" s="1161"/>
      <c r="Y27" s="1161"/>
      <c r="Z27" s="1161"/>
      <c r="AA27" s="1161"/>
      <c r="AB27" s="1161"/>
      <c r="AC27" s="850"/>
      <c r="AD27" s="850"/>
      <c r="AE27" s="850"/>
    </row>
    <row r="28" spans="4:40" s="132" customFormat="1" ht="14.5" x14ac:dyDescent="0.35">
      <c r="D28" s="608" t="s">
        <v>119</v>
      </c>
      <c r="E28" s="790"/>
      <c r="F28" s="250"/>
      <c r="G28" s="1039">
        <f>AVERAGE(H12:K12)</f>
        <v>163.32500000000002</v>
      </c>
      <c r="H28" s="1058">
        <v>168.43899999999999</v>
      </c>
      <c r="I28" s="1058">
        <v>178.423</v>
      </c>
      <c r="J28" s="1058">
        <v>181.85900000000001</v>
      </c>
      <c r="K28" s="1058">
        <v>186.66300000000001</v>
      </c>
      <c r="L28" s="1059">
        <v>187</v>
      </c>
      <c r="M28" s="1050">
        <f>AVERAGE(L12:O12)</f>
        <v>168.375</v>
      </c>
      <c r="N28" s="1040">
        <f>AVERAGE(P12:S12)</f>
        <v>181.5615500107856</v>
      </c>
      <c r="O28" s="1040">
        <f>AVERAGE(T12:W12)</f>
        <v>184.99461994675173</v>
      </c>
      <c r="P28" s="1040">
        <f t="shared" si="14"/>
        <v>189.96286818057885</v>
      </c>
      <c r="Q28" s="1051">
        <f t="shared" si="14"/>
        <v>191.46419816956364</v>
      </c>
      <c r="R28" s="1024"/>
      <c r="S28" s="1159"/>
      <c r="T28" s="1159"/>
      <c r="U28" s="1159"/>
      <c r="V28" s="1159"/>
      <c r="W28" s="1159"/>
      <c r="X28" s="1161"/>
      <c r="Y28" s="1161"/>
      <c r="Z28" s="1161"/>
      <c r="AA28" s="1161"/>
      <c r="AB28" s="1161"/>
      <c r="AC28" s="850"/>
      <c r="AD28" s="850"/>
      <c r="AE28" s="850"/>
    </row>
    <row r="29" spans="4:40" s="132" customFormat="1" ht="14.5" x14ac:dyDescent="0.35">
      <c r="D29" s="608" t="s">
        <v>328</v>
      </c>
      <c r="E29" s="790"/>
      <c r="F29" s="250"/>
      <c r="G29" s="1039">
        <f>AVERAGE(H13:K13)</f>
        <v>194.3</v>
      </c>
      <c r="H29" s="1058">
        <v>259.06299999999999</v>
      </c>
      <c r="I29" s="1058">
        <v>299.779</v>
      </c>
      <c r="J29" s="1058">
        <v>339.40499999999997</v>
      </c>
      <c r="K29" s="1058">
        <v>340.46699999999998</v>
      </c>
      <c r="L29" s="1060">
        <v>344</v>
      </c>
      <c r="M29" s="1050">
        <f>AVERAGE(L13:O13)</f>
        <v>258.125</v>
      </c>
      <c r="N29" s="1040">
        <f>AVERAGE(P13:S13)</f>
        <v>286.84907914888925</v>
      </c>
      <c r="O29" s="1040">
        <f>AVERAGE(T13:W13)</f>
        <v>324.63582888805496</v>
      </c>
      <c r="P29" s="1040">
        <f t="shared" si="14"/>
        <v>325.80477916081156</v>
      </c>
      <c r="Q29" s="1051">
        <f t="shared" si="14"/>
        <v>320.39026970057012</v>
      </c>
      <c r="R29" s="1024"/>
      <c r="S29" s="1159"/>
      <c r="T29" s="1159"/>
      <c r="U29" s="1159"/>
      <c r="V29" s="1159"/>
      <c r="W29" s="1159"/>
      <c r="X29" s="1161"/>
      <c r="Y29" s="1161"/>
      <c r="Z29" s="1161"/>
      <c r="AA29" s="1161"/>
      <c r="AB29" s="1161"/>
      <c r="AC29" s="850"/>
      <c r="AD29" s="850"/>
      <c r="AE29" s="850"/>
    </row>
    <row r="30" spans="4:40" s="132" customFormat="1" ht="14.5" x14ac:dyDescent="0.35">
      <c r="D30" s="608" t="s">
        <v>602</v>
      </c>
      <c r="E30" s="1041"/>
      <c r="F30" s="1065"/>
      <c r="G30" s="1042"/>
      <c r="H30" s="1061">
        <f>H26/G26-1+0.021</f>
        <v>0.140422968018837</v>
      </c>
      <c r="I30" s="1061">
        <f>I26/H26-1.013</f>
        <v>0.14074612330447844</v>
      </c>
      <c r="J30" s="1061">
        <f>J26/I26-1.058</f>
        <v>-2.3180563517317232E-2</v>
      </c>
      <c r="K30" s="1061">
        <f>K26/J26-1+0.036</f>
        <v>7.1422556004649501E-2</v>
      </c>
      <c r="L30" s="1062">
        <f t="shared" ref="L30:L33" si="15">L26/K26-1</f>
        <v>1.1416067009409891E-2</v>
      </c>
      <c r="M30" s="1052">
        <f>M26/H26</f>
        <v>1.0079008971781065</v>
      </c>
      <c r="N30" s="1044">
        <f t="shared" ref="N30:N33" si="16">N26/I26</f>
        <v>1.0266789867571244</v>
      </c>
      <c r="O30" s="1044">
        <f t="shared" ref="O30:O33" si="17">O26/J26</f>
        <v>1.0265145502022071</v>
      </c>
      <c r="P30" s="1044">
        <f t="shared" ref="P30:P33" si="18">P26/K26</f>
        <v>1.0261828260961472</v>
      </c>
      <c r="Q30" s="1053"/>
      <c r="R30" s="1024"/>
      <c r="S30" s="1159"/>
      <c r="T30" s="1159"/>
      <c r="U30" s="1159"/>
      <c r="V30" s="1159"/>
      <c r="W30" s="1159"/>
      <c r="X30" s="1162"/>
      <c r="Y30" s="1163"/>
      <c r="Z30" s="1162"/>
      <c r="AA30" s="1162"/>
      <c r="AB30" s="1163"/>
      <c r="AC30" s="850"/>
      <c r="AD30" s="850"/>
      <c r="AE30" s="850"/>
    </row>
    <row r="31" spans="4:40" s="132" customFormat="1" ht="14.5" x14ac:dyDescent="0.35">
      <c r="D31" s="608" t="s">
        <v>610</v>
      </c>
      <c r="E31" s="1041"/>
      <c r="F31" s="1065"/>
      <c r="G31" s="1042"/>
      <c r="H31" s="1043">
        <f>H27/G27-1.03</f>
        <v>3.9835108150168663E-2</v>
      </c>
      <c r="I31" s="1043">
        <f>I27/H27-1.013</f>
        <v>3.9978288015586338E-2</v>
      </c>
      <c r="J31" s="1043">
        <f>J27/I27-1+0.002</f>
        <v>4.6542295933699407E-2</v>
      </c>
      <c r="K31" s="1043">
        <f>K27/J27-1.007</f>
        <v>2.6994236612726263E-2</v>
      </c>
      <c r="L31" s="1045">
        <f t="shared" si="15"/>
        <v>3.5334750571129891E-2</v>
      </c>
      <c r="M31" s="1052">
        <f t="shared" ref="M31:M33" si="19">M27/H27</f>
        <v>1.0058382421203345</v>
      </c>
      <c r="N31" s="1044">
        <f t="shared" si="16"/>
        <v>1.0271541950354415</v>
      </c>
      <c r="O31" s="1044">
        <f t="shared" si="17"/>
        <v>1.0267169843217481</v>
      </c>
      <c r="P31" s="1044">
        <f t="shared" si="18"/>
        <v>1.0269477680259391</v>
      </c>
      <c r="Q31" s="1053"/>
      <c r="R31" s="1024"/>
      <c r="S31" s="1159"/>
      <c r="T31" s="1159"/>
      <c r="U31" s="1159"/>
      <c r="V31" s="1159"/>
      <c r="W31" s="1159"/>
      <c r="X31" s="1162"/>
      <c r="Y31" s="1162"/>
      <c r="Z31" s="1162"/>
      <c r="AA31" s="1162"/>
      <c r="AB31" s="1162"/>
      <c r="AC31" s="850"/>
      <c r="AD31" s="850"/>
      <c r="AE31" s="850"/>
    </row>
    <row r="32" spans="4:40" s="132" customFormat="1" ht="14.5" x14ac:dyDescent="0.35">
      <c r="D32" s="608" t="s">
        <v>119</v>
      </c>
      <c r="E32" s="1041"/>
      <c r="F32" s="1065"/>
      <c r="G32" s="1042"/>
      <c r="H32" s="1043">
        <f t="shared" ref="H32:H33" si="20">H28/G28-1</f>
        <v>3.1311801622531554E-2</v>
      </c>
      <c r="I32" s="1043">
        <f>I28/H28-1.01</f>
        <v>4.9273683648086264E-2</v>
      </c>
      <c r="J32" s="1043">
        <f>J28/I28-1.018</f>
        <v>1.2576069228742437E-3</v>
      </c>
      <c r="K32" s="1043">
        <f>K28/J28-1+0.016</f>
        <v>4.2416069592376524E-2</v>
      </c>
      <c r="L32" s="1045">
        <f t="shared" si="15"/>
        <v>1.8053926059260483E-3</v>
      </c>
      <c r="M32" s="1052">
        <f t="shared" si="19"/>
        <v>0.99962004048943542</v>
      </c>
      <c r="N32" s="1044">
        <f t="shared" si="16"/>
        <v>1.0175905012850675</v>
      </c>
      <c r="O32" s="1044">
        <f t="shared" si="17"/>
        <v>1.0172420388694083</v>
      </c>
      <c r="P32" s="1044">
        <f t="shared" si="18"/>
        <v>1.0176782125037036</v>
      </c>
      <c r="Q32" s="1053"/>
      <c r="R32" s="1024"/>
      <c r="S32" s="1159"/>
      <c r="T32" s="1159"/>
      <c r="U32" s="1159"/>
      <c r="V32" s="1159"/>
      <c r="W32" s="1159"/>
      <c r="X32" s="1159"/>
      <c r="Y32" s="1159"/>
      <c r="Z32" s="1159"/>
      <c r="AA32" s="1159"/>
      <c r="AB32" s="1159"/>
      <c r="AC32" s="850"/>
      <c r="AD32" s="850"/>
      <c r="AE32" s="850"/>
    </row>
    <row r="33" spans="4:40" s="132" customFormat="1" ht="14.5" x14ac:dyDescent="0.35">
      <c r="D33" s="609" t="s">
        <v>328</v>
      </c>
      <c r="E33" s="1066"/>
      <c r="F33" s="1067"/>
      <c r="G33" s="1046"/>
      <c r="H33" s="1047">
        <f t="shared" si="20"/>
        <v>0.33331446217189908</v>
      </c>
      <c r="I33" s="1047">
        <f>I29/H29-1.103</f>
        <v>5.4166403538907559E-2</v>
      </c>
      <c r="J33" s="1047">
        <f>J29/I29-1+0.047</f>
        <v>0.17918404224445333</v>
      </c>
      <c r="K33" s="1047">
        <f>K29/J29-1.091</f>
        <v>-8.7870994829186255E-2</v>
      </c>
      <c r="L33" s="1048">
        <f t="shared" si="15"/>
        <v>1.0376923461010934E-2</v>
      </c>
      <c r="M33" s="1054">
        <f t="shared" si="19"/>
        <v>0.99637925909913805</v>
      </c>
      <c r="N33" s="1055">
        <f t="shared" si="16"/>
        <v>0.95686849028414012</v>
      </c>
      <c r="O33" s="1055">
        <f t="shared" si="17"/>
        <v>0.95648511037861839</v>
      </c>
      <c r="P33" s="1055">
        <f t="shared" si="18"/>
        <v>0.9569349721435898</v>
      </c>
      <c r="Q33" s="1056"/>
      <c r="R33" s="1024"/>
      <c r="S33" s="1159"/>
      <c r="T33" s="1159"/>
      <c r="U33" s="1159"/>
      <c r="V33" s="1159"/>
      <c r="W33" s="1159"/>
      <c r="X33" s="1164"/>
      <c r="Y33" s="1164"/>
      <c r="Z33" s="1164"/>
      <c r="AA33" s="1164"/>
      <c r="AB33" s="1164"/>
      <c r="AC33" s="850"/>
      <c r="AD33" s="850"/>
      <c r="AE33" s="850"/>
    </row>
    <row r="34" spans="4:40" s="132" customFormat="1" ht="14.5" x14ac:dyDescent="0.35">
      <c r="D34" s="411"/>
      <c r="E34" s="412"/>
      <c r="F34" s="413"/>
      <c r="G34" s="413"/>
      <c r="H34" s="414"/>
      <c r="I34" s="414"/>
      <c r="J34" s="414"/>
      <c r="K34" s="414"/>
      <c r="L34" s="414"/>
      <c r="M34" s="414"/>
      <c r="N34" s="414"/>
      <c r="O34" s="414"/>
      <c r="P34" s="414"/>
      <c r="Q34" s="414"/>
      <c r="R34" s="414"/>
      <c r="S34" s="1159"/>
      <c r="T34" s="1159"/>
      <c r="U34" s="1159"/>
      <c r="V34" s="1159"/>
      <c r="W34" s="1159"/>
      <c r="X34" s="1164"/>
      <c r="Y34" s="1164"/>
      <c r="Z34" s="1164"/>
      <c r="AA34" s="1164"/>
      <c r="AB34" s="1164"/>
      <c r="AC34" s="850"/>
      <c r="AD34" s="850"/>
      <c r="AE34" s="850"/>
    </row>
    <row r="35" spans="4:40" s="132" customFormat="1" ht="14.5" x14ac:dyDescent="0.35">
      <c r="D35" s="411"/>
      <c r="E35" s="412"/>
      <c r="F35" s="413"/>
      <c r="G35" s="413"/>
      <c r="H35" s="414"/>
      <c r="I35" s="414"/>
      <c r="J35" s="414"/>
      <c r="K35" s="414"/>
      <c r="L35" s="414"/>
      <c r="M35" s="414"/>
      <c r="N35" s="414"/>
      <c r="O35" s="414"/>
      <c r="P35" s="414"/>
      <c r="Q35" s="414"/>
      <c r="R35" s="414"/>
      <c r="S35" s="1159"/>
      <c r="T35" s="1159"/>
      <c r="U35" s="1159"/>
      <c r="V35" s="1159"/>
      <c r="W35" s="1159"/>
      <c r="X35" s="1164"/>
      <c r="Y35" s="1164"/>
      <c r="Z35" s="1164"/>
      <c r="AA35" s="1164"/>
      <c r="AB35" s="1164"/>
      <c r="AC35" s="850"/>
      <c r="AD35" s="850"/>
      <c r="AE35" s="850"/>
    </row>
    <row r="36" spans="4:40" s="132" customFormat="1" ht="14.5" x14ac:dyDescent="0.35">
      <c r="D36" s="411"/>
      <c r="E36" s="412"/>
      <c r="F36" s="413"/>
      <c r="G36" s="413"/>
      <c r="H36" s="414"/>
      <c r="I36" s="414"/>
      <c r="J36" s="414"/>
      <c r="K36" s="414"/>
      <c r="L36" s="414"/>
      <c r="M36" s="414"/>
      <c r="N36" s="414"/>
      <c r="O36" s="414"/>
      <c r="P36" s="414"/>
      <c r="Q36" s="414"/>
      <c r="R36" s="414"/>
      <c r="S36" s="1159"/>
      <c r="T36" s="1159"/>
      <c r="U36" s="1159"/>
      <c r="V36" s="1159"/>
      <c r="W36" s="1159"/>
      <c r="X36" s="1164"/>
      <c r="Y36" s="1164"/>
      <c r="Z36" s="1164"/>
      <c r="AA36" s="1164"/>
      <c r="AB36" s="1164"/>
      <c r="AC36" s="850"/>
      <c r="AD36" s="850"/>
      <c r="AE36" s="850"/>
    </row>
    <row r="37" spans="4:40" ht="41.65" customHeight="1" x14ac:dyDescent="0.35">
      <c r="D37"/>
      <c r="E37"/>
      <c r="F37" s="333"/>
      <c r="G37" s="333"/>
      <c r="H37" s="288"/>
      <c r="I37" s="288"/>
      <c r="J37" s="288"/>
      <c r="K37" s="288"/>
      <c r="L37" s="288"/>
      <c r="M37" s="32"/>
      <c r="N37" s="32"/>
      <c r="S37" s="817"/>
      <c r="T37" s="817"/>
      <c r="U37" s="817"/>
      <c r="V37" s="817"/>
      <c r="W37" s="817"/>
      <c r="X37" s="817"/>
      <c r="Y37" s="817"/>
      <c r="Z37" s="817"/>
      <c r="AA37" s="817"/>
      <c r="AB37" s="817"/>
      <c r="AC37" s="817"/>
      <c r="AD37" s="1165"/>
      <c r="AE37" s="1165"/>
      <c r="AF37" s="288"/>
      <c r="AG37" s="288"/>
      <c r="AH37" s="288"/>
      <c r="AI37" s="288"/>
      <c r="AJ37" s="288"/>
      <c r="AK37" s="288"/>
      <c r="AL37"/>
      <c r="AM37" s="288"/>
      <c r="AN37" s="288"/>
    </row>
    <row r="38" spans="4:40" ht="30.75" customHeight="1" x14ac:dyDescent="0.3">
      <c r="D38" s="751" t="s">
        <v>601</v>
      </c>
      <c r="E38" s="559">
        <v>2018</v>
      </c>
      <c r="F38" s="598">
        <v>2019</v>
      </c>
      <c r="G38" s="598">
        <v>2020</v>
      </c>
      <c r="H38" s="752">
        <v>2021</v>
      </c>
      <c r="I38" s="753">
        <v>2022</v>
      </c>
      <c r="J38" s="753">
        <v>2023</v>
      </c>
      <c r="K38" s="753">
        <v>2024</v>
      </c>
      <c r="L38" s="523">
        <v>2025</v>
      </c>
      <c r="N38" s="545"/>
      <c r="O38" s="162"/>
    </row>
    <row r="39" spans="4:40" s="44" customFormat="1" ht="16.5" customHeight="1" x14ac:dyDescent="0.3">
      <c r="D39" s="591" t="s">
        <v>602</v>
      </c>
      <c r="E39" s="582">
        <v>1683.5</v>
      </c>
      <c r="F39" s="583">
        <v>1717.9</v>
      </c>
      <c r="G39" s="589">
        <v>1609</v>
      </c>
      <c r="H39" s="584">
        <v>1951.672</v>
      </c>
      <c r="I39" s="584">
        <v>2327.7150000000001</v>
      </c>
      <c r="J39" s="584">
        <v>2333.6329999999998</v>
      </c>
      <c r="K39" s="584">
        <v>2353.3359999999998</v>
      </c>
      <c r="L39" s="585">
        <v>2383.1750000000002</v>
      </c>
      <c r="M39" s="607" t="s">
        <v>603</v>
      </c>
      <c r="N39" s="463"/>
      <c r="O39" s="254"/>
      <c r="P39" s="460"/>
      <c r="Q39" s="460"/>
      <c r="R39" s="460"/>
      <c r="S39" s="460"/>
      <c r="T39" s="460"/>
      <c r="U39" s="460"/>
      <c r="V39" s="460"/>
      <c r="W39" s="460"/>
      <c r="X39" s="446"/>
      <c r="Y39" s="446"/>
      <c r="Z39" s="461"/>
    </row>
    <row r="40" spans="4:40" s="44" customFormat="1" ht="16.5" customHeight="1" x14ac:dyDescent="0.3">
      <c r="D40" s="591" t="s">
        <v>604</v>
      </c>
      <c r="E40" s="586">
        <v>1170.7</v>
      </c>
      <c r="F40" s="447">
        <v>1243.4000000000001</v>
      </c>
      <c r="G40" s="754">
        <v>1310</v>
      </c>
      <c r="H40" s="326">
        <v>1345.5429999999999</v>
      </c>
      <c r="I40" s="326">
        <v>1391.2439999999999</v>
      </c>
      <c r="J40" s="326">
        <v>1503.952</v>
      </c>
      <c r="K40" s="326">
        <v>1549.5619999999999</v>
      </c>
      <c r="L40" s="327">
        <v>1588.4880000000001</v>
      </c>
      <c r="M40" s="446"/>
      <c r="N40" s="446"/>
      <c r="O40" s="254"/>
      <c r="P40" s="460"/>
      <c r="Q40" s="460"/>
      <c r="R40" s="460"/>
      <c r="S40" s="460"/>
      <c r="T40" s="460"/>
      <c r="U40" s="460"/>
      <c r="V40" s="460"/>
      <c r="W40" s="460"/>
      <c r="X40" s="446"/>
      <c r="Y40" s="446"/>
      <c r="Z40" s="461"/>
    </row>
    <row r="41" spans="4:40" s="44" customFormat="1" x14ac:dyDescent="0.3">
      <c r="D41" s="34" t="s">
        <v>605</v>
      </c>
      <c r="E41" s="428">
        <f>E42+E43</f>
        <v>136.30000000000001</v>
      </c>
      <c r="F41" s="272">
        <f t="shared" ref="F41:G41" si="21">F42+F43</f>
        <v>170.6</v>
      </c>
      <c r="G41" s="725">
        <f t="shared" si="21"/>
        <v>156</v>
      </c>
      <c r="H41" s="326">
        <f>H42+H43</f>
        <v>156</v>
      </c>
      <c r="I41" s="326">
        <f>I42+I43</f>
        <v>174</v>
      </c>
      <c r="J41" s="326">
        <f>J42+J43</f>
        <v>177</v>
      </c>
      <c r="K41" s="326">
        <f>K42+K43</f>
        <v>181</v>
      </c>
      <c r="L41" s="327">
        <f>L42+L43</f>
        <v>181</v>
      </c>
      <c r="N41" s="168"/>
      <c r="P41" s="464"/>
      <c r="Q41" s="464"/>
      <c r="R41" s="464"/>
      <c r="S41" s="464"/>
      <c r="T41" s="464"/>
      <c r="U41" s="464"/>
      <c r="V41" s="464"/>
      <c r="W41" s="464"/>
    </row>
    <row r="42" spans="4:40" s="44" customFormat="1" ht="16.5" customHeight="1" x14ac:dyDescent="0.3">
      <c r="D42" s="135" t="s">
        <v>606</v>
      </c>
      <c r="E42" s="586">
        <v>95</v>
      </c>
      <c r="F42" s="447">
        <v>99.8</v>
      </c>
      <c r="G42" s="754">
        <v>87</v>
      </c>
      <c r="H42" s="579">
        <v>75</v>
      </c>
      <c r="I42" s="579">
        <v>86</v>
      </c>
      <c r="J42" s="579">
        <v>88</v>
      </c>
      <c r="K42" s="579">
        <v>91</v>
      </c>
      <c r="L42" s="755">
        <v>91</v>
      </c>
      <c r="M42" s="446"/>
      <c r="N42" s="446"/>
      <c r="O42" s="462"/>
      <c r="P42" s="460"/>
      <c r="Q42" s="460"/>
      <c r="R42" s="460"/>
      <c r="S42" s="460"/>
      <c r="T42" s="460"/>
      <c r="U42" s="460"/>
      <c r="V42" s="460"/>
      <c r="W42" s="460"/>
      <c r="X42" s="446"/>
      <c r="Y42" s="446"/>
      <c r="Z42" s="461"/>
    </row>
    <row r="43" spans="4:40" s="44" customFormat="1" ht="16.5" customHeight="1" x14ac:dyDescent="0.3">
      <c r="D43" s="135" t="s">
        <v>607</v>
      </c>
      <c r="E43" s="586">
        <v>41.3</v>
      </c>
      <c r="F43" s="447">
        <v>70.8</v>
      </c>
      <c r="G43" s="754">
        <v>69</v>
      </c>
      <c r="H43" s="579">
        <v>81</v>
      </c>
      <c r="I43" s="579">
        <v>88</v>
      </c>
      <c r="J43" s="579">
        <v>89</v>
      </c>
      <c r="K43" s="579">
        <v>90</v>
      </c>
      <c r="L43" s="755">
        <v>90</v>
      </c>
      <c r="M43" s="446"/>
      <c r="N43" s="446"/>
      <c r="O43" s="462"/>
      <c r="P43" s="460"/>
      <c r="Q43" s="460"/>
      <c r="R43" s="460"/>
      <c r="S43" s="460"/>
      <c r="T43" s="460"/>
      <c r="U43" s="460"/>
      <c r="V43" s="460"/>
      <c r="W43" s="460"/>
      <c r="X43" s="446"/>
      <c r="Y43" s="446"/>
      <c r="Z43" s="461"/>
    </row>
    <row r="44" spans="4:40" ht="16.5" customHeight="1" x14ac:dyDescent="0.3">
      <c r="D44" s="592" t="s">
        <v>120</v>
      </c>
      <c r="E44" s="587">
        <v>204.7</v>
      </c>
      <c r="F44" s="588">
        <v>230.2</v>
      </c>
      <c r="G44" s="590">
        <v>212</v>
      </c>
      <c r="H44" s="580">
        <v>238.38800000000001</v>
      </c>
      <c r="I44" s="580">
        <v>316.697</v>
      </c>
      <c r="J44" s="580">
        <v>379.19200000000001</v>
      </c>
      <c r="K44" s="580">
        <v>389.55099999999999</v>
      </c>
      <c r="L44" s="581">
        <v>402.43099999999998</v>
      </c>
      <c r="M44" s="289"/>
      <c r="N44" s="289"/>
      <c r="O44" s="191"/>
      <c r="P44" s="447"/>
      <c r="Q44" s="447"/>
      <c r="R44" s="447"/>
      <c r="S44" s="447"/>
      <c r="T44" s="447"/>
      <c r="U44" s="447"/>
      <c r="V44" s="447"/>
      <c r="W44" s="447"/>
      <c r="X44" s="289"/>
      <c r="Y44" s="289"/>
      <c r="Z44" s="255"/>
    </row>
    <row r="45" spans="4:40" ht="16.5" customHeight="1" x14ac:dyDescent="0.3">
      <c r="D45" s="254"/>
      <c r="E45" s="291"/>
      <c r="F45" s="291"/>
      <c r="G45" s="289"/>
      <c r="H45" s="289"/>
      <c r="I45" s="289"/>
      <c r="J45" s="289"/>
      <c r="K45" s="289"/>
      <c r="L45" s="289"/>
      <c r="M45" s="289"/>
      <c r="N45" s="289"/>
      <c r="O45" s="289"/>
      <c r="P45" s="289"/>
      <c r="Q45" s="289"/>
      <c r="R45" s="289"/>
      <c r="S45" s="289"/>
      <c r="T45" s="289"/>
      <c r="U45" s="289"/>
      <c r="V45" s="289"/>
      <c r="W45" s="289"/>
      <c r="X45" s="289"/>
      <c r="Y45" s="289"/>
      <c r="Z45" s="255"/>
    </row>
    <row r="46" spans="4:40" x14ac:dyDescent="0.3">
      <c r="D46" s="315" t="s">
        <v>608</v>
      </c>
      <c r="E46" s="559">
        <v>2018</v>
      </c>
      <c r="F46" s="560">
        <v>2019</v>
      </c>
      <c r="G46" s="561">
        <v>2020</v>
      </c>
      <c r="H46" s="562">
        <v>2021</v>
      </c>
      <c r="I46" s="562">
        <v>2022</v>
      </c>
      <c r="J46" s="562">
        <v>2023</v>
      </c>
      <c r="K46" s="562">
        <v>2024</v>
      </c>
      <c r="L46" s="563">
        <v>2025</v>
      </c>
      <c r="O46" s="27" t="s">
        <v>609</v>
      </c>
    </row>
    <row r="47" spans="4:40" ht="14.65" customHeight="1" x14ac:dyDescent="0.3">
      <c r="D47" s="334" t="s">
        <v>602</v>
      </c>
      <c r="E47" s="36">
        <v>1622</v>
      </c>
      <c r="F47" s="36">
        <v>1687</v>
      </c>
      <c r="G47" s="290">
        <v>1695</v>
      </c>
      <c r="H47" s="564">
        <f>AVERAGE(L10:O10)</f>
        <v>1892.7249999999999</v>
      </c>
      <c r="I47" s="565">
        <f>AVERAGE(P10:S10)</f>
        <v>2224.4088527819067</v>
      </c>
      <c r="J47" s="565">
        <f>AVERAGE(T10:W10)</f>
        <v>2301.4928412226573</v>
      </c>
      <c r="K47" s="565">
        <f>AVERAGE(X10:AA10)</f>
        <v>2382.2475143832926</v>
      </c>
      <c r="L47" s="566"/>
    </row>
    <row r="48" spans="4:40" x14ac:dyDescent="0.3">
      <c r="D48" s="334" t="s">
        <v>610</v>
      </c>
      <c r="E48" s="36">
        <v>1332</v>
      </c>
      <c r="F48" s="36">
        <v>1388</v>
      </c>
      <c r="G48" s="290">
        <v>1414</v>
      </c>
      <c r="H48" s="546">
        <f>AVERAGE(L11:O11)</f>
        <v>1538.5</v>
      </c>
      <c r="I48" s="547">
        <f>AVERAGE(P11:S11)</f>
        <v>1654.3386551408623</v>
      </c>
      <c r="J48" s="547">
        <f>AVERAGE(T11:W11)</f>
        <v>1727.291158271787</v>
      </c>
      <c r="K48" s="547">
        <f>AVERAGE(X11:AA11)</f>
        <v>1786.4105587052341</v>
      </c>
      <c r="L48" s="756"/>
      <c r="N48" s="349"/>
      <c r="O48" s="1395"/>
      <c r="P48" s="1395"/>
      <c r="Q48" s="1395"/>
      <c r="R48" s="1395"/>
    </row>
    <row r="49" spans="4:20" x14ac:dyDescent="0.3">
      <c r="D49" s="334" t="s">
        <v>119</v>
      </c>
      <c r="E49" s="36">
        <v>150</v>
      </c>
      <c r="F49" s="36">
        <v>175</v>
      </c>
      <c r="G49" s="250">
        <v>160</v>
      </c>
      <c r="H49" s="546">
        <f>AVERAGE(L12:O12)</f>
        <v>168.375</v>
      </c>
      <c r="I49" s="547">
        <f>AVERAGE(P12:S12)</f>
        <v>181.5615500107856</v>
      </c>
      <c r="J49" s="547">
        <f>AVERAGE(T12:W12)</f>
        <v>184.99461994675173</v>
      </c>
      <c r="K49" s="547">
        <f>AVERAGE(X12:AA12)</f>
        <v>189.96286818057885</v>
      </c>
      <c r="L49" s="756"/>
      <c r="N49" s="349"/>
      <c r="O49" s="1395" t="s">
        <v>611</v>
      </c>
      <c r="P49" s="1395"/>
      <c r="Q49" s="1395"/>
      <c r="R49" s="1395"/>
    </row>
    <row r="50" spans="4:20" x14ac:dyDescent="0.3">
      <c r="D50" s="316" t="s">
        <v>328</v>
      </c>
      <c r="E50" s="136">
        <v>208</v>
      </c>
      <c r="F50" s="136">
        <v>219</v>
      </c>
      <c r="G50" s="292">
        <v>197</v>
      </c>
      <c r="H50" s="567">
        <f>AVERAGE(L13:O13)</f>
        <v>258.125</v>
      </c>
      <c r="I50" s="568">
        <f>AVERAGE(P13:S13)</f>
        <v>286.84907914888925</v>
      </c>
      <c r="J50" s="568">
        <f>AVERAGE(T13:W13)</f>
        <v>324.63582888805496</v>
      </c>
      <c r="K50" s="568">
        <f>AVERAGE(X13:AA13)</f>
        <v>325.80477916081156</v>
      </c>
      <c r="L50" s="569"/>
      <c r="N50" s="349"/>
      <c r="O50" s="251" t="s">
        <v>612</v>
      </c>
      <c r="P50" s="251" t="s">
        <v>613</v>
      </c>
      <c r="Q50" s="251" t="s">
        <v>614</v>
      </c>
      <c r="R50" s="251" t="s">
        <v>615</v>
      </c>
    </row>
    <row r="51" spans="4:20" ht="14.5" x14ac:dyDescent="0.35">
      <c r="D51" s="293"/>
      <c r="E51" s="36"/>
      <c r="F51" s="36"/>
      <c r="G51" s="36"/>
      <c r="N51" s="27" t="s">
        <v>616</v>
      </c>
      <c r="O51">
        <v>2291.1</v>
      </c>
      <c r="P51">
        <v>2308.4</v>
      </c>
      <c r="Q51">
        <v>2338.6999999999998</v>
      </c>
      <c r="R51">
        <v>2350.6</v>
      </c>
    </row>
    <row r="52" spans="4:20" x14ac:dyDescent="0.3">
      <c r="D52" s="47" t="s">
        <v>617</v>
      </c>
      <c r="E52" s="36"/>
      <c r="F52" s="36"/>
      <c r="G52" s="36"/>
      <c r="P52" s="27">
        <f>P51/O51</f>
        <v>1.0075509580550828</v>
      </c>
      <c r="Q52" s="27">
        <f>Q51/P51</f>
        <v>1.0131259747010914</v>
      </c>
      <c r="R52" s="27">
        <f>R51/Q51</f>
        <v>1.0050882969170907</v>
      </c>
    </row>
    <row r="53" spans="4:20" x14ac:dyDescent="0.3">
      <c r="D53" s="757" t="s">
        <v>618</v>
      </c>
      <c r="E53" s="560">
        <v>2018</v>
      </c>
      <c r="F53" s="560">
        <v>2019</v>
      </c>
      <c r="G53" s="561">
        <v>2020</v>
      </c>
      <c r="H53" s="576">
        <v>2021</v>
      </c>
      <c r="I53" s="577">
        <v>2022</v>
      </c>
      <c r="J53" s="577">
        <v>2023</v>
      </c>
      <c r="K53" s="577">
        <v>2024</v>
      </c>
      <c r="L53" s="578">
        <v>2025</v>
      </c>
    </row>
    <row r="54" spans="4:20" x14ac:dyDescent="0.3">
      <c r="D54" s="334" t="s">
        <v>602</v>
      </c>
      <c r="E54" s="268">
        <f t="shared" ref="E54:G56" si="22">E47/E39</f>
        <v>0.96346896346896349</v>
      </c>
      <c r="F54" s="268">
        <f t="shared" si="22"/>
        <v>0.98201292275452579</v>
      </c>
      <c r="G54" s="268">
        <f t="shared" si="22"/>
        <v>1.0534493474207582</v>
      </c>
      <c r="H54" s="571">
        <f t="shared" ref="H54:K54" si="23">H47/H39</f>
        <v>0.96979666665300313</v>
      </c>
      <c r="I54" s="572">
        <f t="shared" si="23"/>
        <v>0.95561907397679979</v>
      </c>
      <c r="J54" s="572">
        <f t="shared" si="23"/>
        <v>0.98622741503169409</v>
      </c>
      <c r="K54" s="572">
        <f t="shared" si="23"/>
        <v>1.0122853321341674</v>
      </c>
      <c r="L54" s="636"/>
      <c r="T54" s="162"/>
    </row>
    <row r="55" spans="4:20" x14ac:dyDescent="0.3">
      <c r="D55" s="334" t="s">
        <v>610</v>
      </c>
      <c r="E55" s="268">
        <f t="shared" si="22"/>
        <v>1.1377808148970701</v>
      </c>
      <c r="F55" s="268">
        <f t="shared" si="22"/>
        <v>1.1162940324915553</v>
      </c>
      <c r="G55" s="268">
        <f t="shared" si="22"/>
        <v>1.0793893129770993</v>
      </c>
      <c r="H55" s="573">
        <f t="shared" ref="H55:K55" si="24">H48/H40</f>
        <v>1.143404558605708</v>
      </c>
      <c r="I55" s="570">
        <f t="shared" si="24"/>
        <v>1.1891074859196966</v>
      </c>
      <c r="J55" s="570">
        <f t="shared" si="24"/>
        <v>1.1485015201760342</v>
      </c>
      <c r="K55" s="570">
        <f t="shared" si="24"/>
        <v>1.1528487138334795</v>
      </c>
      <c r="L55" s="756"/>
    </row>
    <row r="56" spans="4:20" x14ac:dyDescent="0.3">
      <c r="D56" s="334" t="s">
        <v>119</v>
      </c>
      <c r="E56" s="268">
        <f t="shared" si="22"/>
        <v>1.1005135730007336</v>
      </c>
      <c r="F56" s="268">
        <f t="shared" si="22"/>
        <v>1.0257913247362251</v>
      </c>
      <c r="G56" s="268">
        <f t="shared" si="22"/>
        <v>1.0256410256410255</v>
      </c>
      <c r="H56" s="573">
        <f t="shared" ref="H56:K56" si="25">H49/H41</f>
        <v>1.0793269230769231</v>
      </c>
      <c r="I56" s="570">
        <f t="shared" si="25"/>
        <v>1.0434571839700322</v>
      </c>
      <c r="J56" s="570">
        <f t="shared" si="25"/>
        <v>1.0451673443319307</v>
      </c>
      <c r="K56" s="570">
        <f t="shared" si="25"/>
        <v>1.0495186087324799</v>
      </c>
      <c r="L56" s="756"/>
    </row>
    <row r="57" spans="4:20" x14ac:dyDescent="0.3">
      <c r="D57" s="316" t="s">
        <v>328</v>
      </c>
      <c r="E57" s="279">
        <f>E50/E44</f>
        <v>1.0161211529066927</v>
      </c>
      <c r="F57" s="279">
        <f>F50/F44</f>
        <v>0.95134665508253702</v>
      </c>
      <c r="G57" s="279">
        <f>G50/G44</f>
        <v>0.92924528301886788</v>
      </c>
      <c r="H57" s="574">
        <f t="shared" ref="H57:K57" si="26">H50/H44</f>
        <v>1.0827935969931373</v>
      </c>
      <c r="I57" s="575">
        <f t="shared" si="26"/>
        <v>0.90575243576317188</v>
      </c>
      <c r="J57" s="575">
        <f t="shared" si="26"/>
        <v>0.85612520540532222</v>
      </c>
      <c r="K57" s="575">
        <f t="shared" si="26"/>
        <v>0.83635975561816445</v>
      </c>
      <c r="L57" s="569"/>
    </row>
    <row r="59" spans="4:20" x14ac:dyDescent="0.3">
      <c r="D59" s="293"/>
      <c r="E59" s="36"/>
      <c r="F59" s="36"/>
      <c r="G59" s="36"/>
    </row>
    <row r="60" spans="4:20" x14ac:dyDescent="0.3">
      <c r="D60" s="27" t="s">
        <v>619</v>
      </c>
    </row>
    <row r="61" spans="4:20" x14ac:dyDescent="0.3">
      <c r="D61" s="315" t="s">
        <v>620</v>
      </c>
      <c r="E61" s="559">
        <v>2018</v>
      </c>
      <c r="F61" s="598">
        <v>2019</v>
      </c>
      <c r="G61" s="598">
        <v>2020</v>
      </c>
      <c r="H61" s="599">
        <v>2021</v>
      </c>
      <c r="I61" s="600">
        <v>2022</v>
      </c>
      <c r="J61" s="600">
        <v>2023</v>
      </c>
      <c r="K61" s="600">
        <v>2024</v>
      </c>
      <c r="L61" s="601">
        <v>2025</v>
      </c>
    </row>
    <row r="62" spans="4:20" x14ac:dyDescent="0.3">
      <c r="D62" s="608" t="s">
        <v>621</v>
      </c>
      <c r="E62" s="428">
        <v>14016.099999999999</v>
      </c>
      <c r="F62" s="272">
        <v>14604.2</v>
      </c>
      <c r="G62" s="339">
        <v>14711.300000000001</v>
      </c>
      <c r="H62" s="338">
        <v>15405.2</v>
      </c>
      <c r="I62" s="338">
        <v>16319.2</v>
      </c>
      <c r="J62" s="338">
        <v>17105.099999999999</v>
      </c>
      <c r="K62" s="338">
        <v>17768.5</v>
      </c>
      <c r="L62" s="294">
        <v>18434.599999999999</v>
      </c>
    </row>
    <row r="63" spans="4:20" x14ac:dyDescent="0.3">
      <c r="D63" s="608" t="s">
        <v>622</v>
      </c>
      <c r="E63" s="137">
        <v>8804</v>
      </c>
      <c r="F63" s="36">
        <v>9209</v>
      </c>
      <c r="G63" s="339">
        <v>9300</v>
      </c>
      <c r="H63" s="338">
        <v>9843</v>
      </c>
      <c r="I63" s="338">
        <v>10541</v>
      </c>
      <c r="J63" s="338">
        <v>10992</v>
      </c>
      <c r="K63" s="338">
        <v>11395</v>
      </c>
      <c r="L63" s="294">
        <v>11808</v>
      </c>
    </row>
    <row r="64" spans="4:20" x14ac:dyDescent="0.3">
      <c r="D64" s="608" t="s">
        <v>623</v>
      </c>
      <c r="E64" s="137">
        <v>13844</v>
      </c>
      <c r="F64" s="36">
        <v>14403</v>
      </c>
      <c r="G64" s="339">
        <v>14201</v>
      </c>
      <c r="H64" s="338">
        <v>15238</v>
      </c>
      <c r="I64" s="338">
        <v>16381</v>
      </c>
      <c r="J64" s="338">
        <v>17184</v>
      </c>
      <c r="K64" s="338">
        <v>17840</v>
      </c>
      <c r="L64" s="294">
        <v>18477</v>
      </c>
    </row>
    <row r="65" spans="4:25" x14ac:dyDescent="0.3">
      <c r="D65" s="609" t="s">
        <v>624</v>
      </c>
      <c r="E65" s="538">
        <v>2211</v>
      </c>
      <c r="F65" s="539">
        <v>2243</v>
      </c>
      <c r="G65" s="540">
        <v>2125</v>
      </c>
      <c r="H65" s="541">
        <v>2616</v>
      </c>
      <c r="I65" s="541">
        <v>2996</v>
      </c>
      <c r="J65" s="541">
        <v>2989</v>
      </c>
      <c r="K65" s="541">
        <v>2967</v>
      </c>
      <c r="L65" s="542">
        <v>3017</v>
      </c>
    </row>
    <row r="66" spans="4:25" s="44" customFormat="1" x14ac:dyDescent="0.3"/>
    <row r="68" spans="4:25" x14ac:dyDescent="0.3">
      <c r="D68" s="27" t="s">
        <v>625</v>
      </c>
    </row>
    <row r="69" spans="4:25" x14ac:dyDescent="0.3">
      <c r="D69" s="315" t="s">
        <v>626</v>
      </c>
      <c r="E69" s="232">
        <v>2018</v>
      </c>
      <c r="F69" s="465">
        <v>2019</v>
      </c>
      <c r="G69" s="465">
        <v>2020</v>
      </c>
      <c r="H69" s="594">
        <v>2021</v>
      </c>
      <c r="I69" s="466">
        <v>2022</v>
      </c>
      <c r="J69" s="466">
        <v>2023</v>
      </c>
      <c r="K69" s="466">
        <v>2024</v>
      </c>
      <c r="L69" s="595">
        <v>2025</v>
      </c>
    </row>
    <row r="70" spans="4:25" x14ac:dyDescent="0.3">
      <c r="D70" s="610" t="s">
        <v>602</v>
      </c>
      <c r="E70" s="602">
        <f>E39/E62</f>
        <v>0.12011187134794987</v>
      </c>
      <c r="F70" s="603">
        <f t="shared" ref="F70:L70" si="27">F39/F62</f>
        <v>0.11763054463784391</v>
      </c>
      <c r="G70" s="605">
        <f t="shared" si="27"/>
        <v>0.10937170746297063</v>
      </c>
      <c r="H70" s="536">
        <f t="shared" si="27"/>
        <v>0.12668916989068627</v>
      </c>
      <c r="I70" s="536">
        <f t="shared" si="27"/>
        <v>0.14263658757782244</v>
      </c>
      <c r="J70" s="536">
        <f t="shared" si="27"/>
        <v>0.1364290767081163</v>
      </c>
      <c r="K70" s="536">
        <f t="shared" si="27"/>
        <v>0.13244426935306863</v>
      </c>
      <c r="L70" s="597">
        <f t="shared" si="27"/>
        <v>0.12927728293534985</v>
      </c>
    </row>
    <row r="71" spans="4:25" x14ac:dyDescent="0.3">
      <c r="D71" s="610" t="s">
        <v>604</v>
      </c>
      <c r="E71" s="604">
        <f t="shared" ref="E71:L71" si="28">E40/E63</f>
        <v>0.13297364834166289</v>
      </c>
      <c r="F71" s="337">
        <f t="shared" si="28"/>
        <v>0.13502008904332718</v>
      </c>
      <c r="G71" s="758">
        <f t="shared" si="28"/>
        <v>0.14086021505376345</v>
      </c>
      <c r="H71" s="341">
        <f t="shared" si="28"/>
        <v>0.13670049781570659</v>
      </c>
      <c r="I71" s="341">
        <f t="shared" si="28"/>
        <v>0.13198406223318471</v>
      </c>
      <c r="J71" s="341">
        <f t="shared" si="28"/>
        <v>0.13682241630276565</v>
      </c>
      <c r="K71" s="341">
        <f t="shared" si="28"/>
        <v>0.13598613426941641</v>
      </c>
      <c r="L71" s="759">
        <f t="shared" si="28"/>
        <v>0.13452642276422766</v>
      </c>
    </row>
    <row r="72" spans="4:25" x14ac:dyDescent="0.3">
      <c r="D72" s="608" t="s">
        <v>627</v>
      </c>
      <c r="E72" s="604">
        <f t="shared" ref="E72:L72" si="29">E41/E64</f>
        <v>9.8454203987286912E-3</v>
      </c>
      <c r="F72" s="337">
        <f t="shared" si="29"/>
        <v>1.1844754565021176E-2</v>
      </c>
      <c r="G72" s="758">
        <f t="shared" si="29"/>
        <v>1.0985141891416098E-2</v>
      </c>
      <c r="H72" s="341">
        <f t="shared" si="29"/>
        <v>1.0237563984774906E-2</v>
      </c>
      <c r="I72" s="341">
        <f t="shared" si="29"/>
        <v>1.0622062145168183E-2</v>
      </c>
      <c r="J72" s="341">
        <f t="shared" si="29"/>
        <v>1.0300279329608938E-2</v>
      </c>
      <c r="K72" s="341">
        <f t="shared" si="29"/>
        <v>1.0145739910313901E-2</v>
      </c>
      <c r="L72" s="759">
        <f t="shared" si="29"/>
        <v>9.7959625480326887E-3</v>
      </c>
    </row>
    <row r="73" spans="4:25" x14ac:dyDescent="0.3">
      <c r="D73" s="611" t="s">
        <v>120</v>
      </c>
      <c r="E73" s="537">
        <f>E44/E65</f>
        <v>9.258254183627318E-2</v>
      </c>
      <c r="F73" s="262">
        <f t="shared" ref="F73:L73" si="30">F44/F65</f>
        <v>0.10263040570664288</v>
      </c>
      <c r="G73" s="606">
        <f t="shared" si="30"/>
        <v>9.9764705882352936E-2</v>
      </c>
      <c r="H73" s="264">
        <f t="shared" si="30"/>
        <v>9.112691131498471E-2</v>
      </c>
      <c r="I73" s="264">
        <f t="shared" si="30"/>
        <v>0.10570660881174899</v>
      </c>
      <c r="J73" s="264">
        <f t="shared" si="30"/>
        <v>0.12686249581799933</v>
      </c>
      <c r="K73" s="264">
        <f t="shared" si="30"/>
        <v>0.13129457364341085</v>
      </c>
      <c r="L73" s="265">
        <f t="shared" si="30"/>
        <v>0.13338780245276766</v>
      </c>
    </row>
    <row r="75" spans="4:25" x14ac:dyDescent="0.3">
      <c r="D75" s="27" t="s">
        <v>628</v>
      </c>
    </row>
    <row r="76" spans="4:25" x14ac:dyDescent="0.3">
      <c r="D76" s="639" t="s">
        <v>425</v>
      </c>
    </row>
    <row r="77" spans="4:25" x14ac:dyDescent="0.3">
      <c r="D77" s="315" t="s">
        <v>629</v>
      </c>
      <c r="E77" s="560">
        <v>2018</v>
      </c>
      <c r="F77" s="598">
        <v>2019</v>
      </c>
      <c r="G77" s="598">
        <v>2020</v>
      </c>
      <c r="H77" s="599">
        <v>2021</v>
      </c>
      <c r="I77" s="600">
        <v>2022</v>
      </c>
      <c r="J77" s="600">
        <v>2023</v>
      </c>
      <c r="K77" s="600">
        <v>2024</v>
      </c>
      <c r="L77" s="601">
        <v>2025</v>
      </c>
    </row>
    <row r="78" spans="4:25" ht="20.25" customHeight="1" x14ac:dyDescent="0.3">
      <c r="D78" s="335" t="s">
        <v>602</v>
      </c>
      <c r="E78" s="602">
        <f t="shared" ref="E78:G81" si="31">E70*E54</f>
        <v>0.11572406018792676</v>
      </c>
      <c r="F78" s="603">
        <f t="shared" si="31"/>
        <v>0.11551471494501581</v>
      </c>
      <c r="G78" s="603">
        <f t="shared" si="31"/>
        <v>0.11521755385316049</v>
      </c>
      <c r="H78" s="596">
        <f>N97</f>
        <v>0.12406841900584607</v>
      </c>
      <c r="I78" s="536">
        <f>H78</f>
        <v>0.12406841900584607</v>
      </c>
      <c r="J78" s="536">
        <f t="shared" ref="J78:L78" si="32">I78</f>
        <v>0.12406841900584607</v>
      </c>
      <c r="K78" s="536">
        <f t="shared" si="32"/>
        <v>0.12406841900584607</v>
      </c>
      <c r="L78" s="597">
        <f t="shared" si="32"/>
        <v>0.12406841900584607</v>
      </c>
      <c r="M78" s="615"/>
      <c r="N78" s="614"/>
      <c r="O78" s="295"/>
      <c r="P78" s="295"/>
      <c r="Q78" s="295"/>
      <c r="R78" s="295"/>
      <c r="S78" s="295"/>
      <c r="T78" s="295"/>
      <c r="U78" s="295"/>
      <c r="V78" s="295"/>
      <c r="W78" s="295"/>
      <c r="X78" s="295"/>
      <c r="Y78" s="295"/>
    </row>
    <row r="79" spans="4:25" ht="18.75" customHeight="1" x14ac:dyDescent="0.3">
      <c r="D79" s="335" t="s">
        <v>604</v>
      </c>
      <c r="E79" s="604">
        <f t="shared" si="31"/>
        <v>0.15129486597001363</v>
      </c>
      <c r="F79" s="337">
        <f t="shared" si="31"/>
        <v>0.15072211966554458</v>
      </c>
      <c r="G79" s="337">
        <f t="shared" si="31"/>
        <v>0.1520430107526882</v>
      </c>
      <c r="H79" s="340">
        <f>N98</f>
        <v>0.15268276884121268</v>
      </c>
      <c r="I79" s="341">
        <f>H79</f>
        <v>0.15268276884121268</v>
      </c>
      <c r="J79" s="341">
        <f>I79</f>
        <v>0.15268276884121268</v>
      </c>
      <c r="K79" s="341">
        <f t="shared" ref="K79:L79" si="33">J79</f>
        <v>0.15268276884121268</v>
      </c>
      <c r="L79" s="759">
        <f t="shared" si="33"/>
        <v>0.15268276884121268</v>
      </c>
      <c r="M79" s="615"/>
      <c r="N79" s="614"/>
      <c r="O79" s="295"/>
      <c r="P79" s="295"/>
      <c r="Q79" s="295"/>
      <c r="R79" s="295"/>
      <c r="S79" s="295"/>
      <c r="T79" s="295"/>
      <c r="U79" s="295"/>
      <c r="V79" s="295"/>
      <c r="W79" s="295"/>
      <c r="X79" s="295"/>
      <c r="Y79" s="295"/>
    </row>
    <row r="80" spans="4:25" ht="19.149999999999999" customHeight="1" x14ac:dyDescent="0.3">
      <c r="D80" s="334" t="s">
        <v>119</v>
      </c>
      <c r="E80" s="604">
        <f t="shared" si="31"/>
        <v>1.0835018780699219E-2</v>
      </c>
      <c r="F80" s="337">
        <f t="shared" si="31"/>
        <v>1.2150246476428523E-2</v>
      </c>
      <c r="G80" s="337">
        <f t="shared" si="31"/>
        <v>1.1266812196324201E-2</v>
      </c>
      <c r="H80" s="340">
        <f>N99</f>
        <v>1.1338056460715356E-2</v>
      </c>
      <c r="I80" s="341">
        <f>AVERAGE($F56:$G56)*I72</f>
        <v>1.0895220956157794E-2</v>
      </c>
      <c r="J80" s="341">
        <f>AVERAGE($F56:$G56)*J72</f>
        <v>1.056516311734094E-2</v>
      </c>
      <c r="K80" s="341">
        <f>J80</f>
        <v>1.056516311734094E-2</v>
      </c>
      <c r="L80" s="759">
        <f>K80</f>
        <v>1.056516311734094E-2</v>
      </c>
      <c r="M80" s="615"/>
      <c r="N80" s="614"/>
      <c r="O80" s="295"/>
      <c r="P80" s="295"/>
      <c r="Q80" s="295"/>
      <c r="R80" s="295"/>
      <c r="S80" s="295"/>
      <c r="T80" s="295"/>
      <c r="U80" s="295"/>
      <c r="V80" s="295"/>
      <c r="W80" s="295"/>
      <c r="X80" s="295"/>
      <c r="Y80" s="295"/>
    </row>
    <row r="81" spans="4:32" ht="19.149999999999999" customHeight="1" x14ac:dyDescent="0.3">
      <c r="D81" s="336" t="s">
        <v>120</v>
      </c>
      <c r="E81" s="537">
        <f t="shared" si="31"/>
        <v>9.4075079149706017E-2</v>
      </c>
      <c r="F81" s="262">
        <f t="shared" si="31"/>
        <v>9.7637093178778417E-2</v>
      </c>
      <c r="G81" s="262">
        <f t="shared" si="31"/>
        <v>9.2705882352941166E-2</v>
      </c>
      <c r="H81" s="263">
        <f>M100</f>
        <v>0.11817745803357314</v>
      </c>
      <c r="I81" s="264">
        <f>N100</f>
        <v>0.11661721068249259</v>
      </c>
      <c r="J81" s="264">
        <f>I81</f>
        <v>0.11661721068249259</v>
      </c>
      <c r="K81" s="264">
        <f>J81</f>
        <v>0.11661721068249259</v>
      </c>
      <c r="L81" s="265">
        <f>K81</f>
        <v>0.11661721068249259</v>
      </c>
      <c r="M81" s="615"/>
      <c r="N81" s="614"/>
      <c r="O81" s="295"/>
      <c r="P81" s="295"/>
      <c r="Q81" s="295"/>
      <c r="R81" s="295"/>
      <c r="S81" s="295"/>
      <c r="T81" s="295"/>
      <c r="U81" s="295"/>
      <c r="V81" s="295"/>
      <c r="W81" s="295"/>
      <c r="X81" s="295"/>
      <c r="Y81" s="295"/>
    </row>
    <row r="82" spans="4:32" x14ac:dyDescent="0.3">
      <c r="E82" s="543"/>
      <c r="F82" s="543"/>
      <c r="G82" s="543"/>
      <c r="H82" s="543"/>
      <c r="I82" s="543"/>
      <c r="J82" s="543"/>
      <c r="K82" s="543"/>
      <c r="L82" s="543"/>
    </row>
    <row r="83" spans="4:32" x14ac:dyDescent="0.3">
      <c r="D83" s="638" t="s">
        <v>438</v>
      </c>
      <c r="E83" s="295"/>
      <c r="F83" s="295"/>
      <c r="G83" s="295"/>
      <c r="H83" s="295"/>
      <c r="I83" s="295"/>
      <c r="J83" s="295"/>
      <c r="K83" s="295"/>
      <c r="L83" s="337"/>
      <c r="M83" s="295"/>
      <c r="N83" s="295"/>
      <c r="O83" s="295"/>
      <c r="P83" s="295"/>
      <c r="Q83" s="295"/>
      <c r="R83" s="295"/>
      <c r="S83" s="295"/>
      <c r="T83" s="295"/>
      <c r="U83" s="295"/>
      <c r="V83" s="295"/>
      <c r="W83" s="295"/>
      <c r="X83" s="295"/>
      <c r="Y83" s="295"/>
    </row>
    <row r="84" spans="4:32" ht="14.65" customHeight="1" x14ac:dyDescent="0.3">
      <c r="D84" s="1396" t="s">
        <v>630</v>
      </c>
      <c r="E84" s="1397"/>
      <c r="F84" s="1302">
        <v>2019</v>
      </c>
      <c r="G84" s="1293"/>
      <c r="H84" s="1303"/>
      <c r="I84" s="1302">
        <v>2020</v>
      </c>
      <c r="J84" s="1293"/>
      <c r="K84" s="1293"/>
      <c r="L84" s="1303"/>
      <c r="M84" s="1302">
        <v>2021</v>
      </c>
      <c r="N84" s="1293"/>
      <c r="O84" s="1293"/>
      <c r="P84" s="1303"/>
      <c r="Q84" s="1414">
        <v>2022</v>
      </c>
      <c r="R84" s="1300"/>
      <c r="S84" s="1300"/>
      <c r="T84" s="1415"/>
      <c r="U84" s="1414">
        <v>2023</v>
      </c>
      <c r="V84" s="1300"/>
      <c r="W84" s="1300"/>
      <c r="X84" s="1415"/>
      <c r="Y84" s="1299">
        <v>2024</v>
      </c>
      <c r="Z84" s="1300"/>
      <c r="AA84" s="1300"/>
      <c r="AB84" s="1300"/>
      <c r="AC84" s="306">
        <v>2025</v>
      </c>
    </row>
    <row r="85" spans="4:32" x14ac:dyDescent="0.3">
      <c r="D85" s="1398"/>
      <c r="E85" s="1399"/>
      <c r="F85" s="1035" t="s">
        <v>354</v>
      </c>
      <c r="G85" s="1036" t="s">
        <v>253</v>
      </c>
      <c r="H85" s="30" t="s">
        <v>352</v>
      </c>
      <c r="I85" s="28" t="s">
        <v>353</v>
      </c>
      <c r="J85" s="29" t="s">
        <v>354</v>
      </c>
      <c r="K85" s="29" t="s">
        <v>253</v>
      </c>
      <c r="L85" s="30" t="s">
        <v>352</v>
      </c>
      <c r="M85" s="151" t="s">
        <v>353</v>
      </c>
      <c r="N85" s="773" t="s">
        <v>354</v>
      </c>
      <c r="O85" s="773" t="s">
        <v>253</v>
      </c>
      <c r="P85" s="146" t="s">
        <v>352</v>
      </c>
      <c r="Q85" s="51" t="s">
        <v>353</v>
      </c>
      <c r="R85" s="51" t="s">
        <v>354</v>
      </c>
      <c r="S85" s="51" t="s">
        <v>253</v>
      </c>
      <c r="T85" s="51" t="s">
        <v>352</v>
      </c>
      <c r="U85" s="50" t="s">
        <v>353</v>
      </c>
      <c r="V85" s="51" t="s">
        <v>354</v>
      </c>
      <c r="W85" s="51" t="s">
        <v>253</v>
      </c>
      <c r="X85" s="52" t="s">
        <v>352</v>
      </c>
      <c r="Y85" s="50" t="s">
        <v>353</v>
      </c>
      <c r="Z85" s="402" t="s">
        <v>354</v>
      </c>
      <c r="AA85" s="51" t="s">
        <v>253</v>
      </c>
      <c r="AB85" s="51" t="s">
        <v>352</v>
      </c>
      <c r="AC85" s="53" t="s">
        <v>353</v>
      </c>
    </row>
    <row r="86" spans="4:32" x14ac:dyDescent="0.3">
      <c r="D86" s="760" t="s">
        <v>621</v>
      </c>
      <c r="E86" s="469"/>
      <c r="F86" s="784">
        <f>F87+F88</f>
        <v>14660.3</v>
      </c>
      <c r="G86" s="616">
        <f t="shared" ref="G86:AC86" si="34">G87+G88</f>
        <v>14748</v>
      </c>
      <c r="H86" s="616">
        <f t="shared" si="34"/>
        <v>14896.1</v>
      </c>
      <c r="I86" s="616">
        <f t="shared" si="34"/>
        <v>15018.7</v>
      </c>
      <c r="J86" s="616">
        <f t="shared" si="34"/>
        <v>14127</v>
      </c>
      <c r="K86" s="616">
        <f t="shared" si="34"/>
        <v>14803.099999999999</v>
      </c>
      <c r="L86" s="616">
        <f t="shared" si="34"/>
        <v>15014.2</v>
      </c>
      <c r="M86" s="616">
        <f t="shared" si="34"/>
        <v>15152.900000000001</v>
      </c>
      <c r="N86" s="616">
        <f t="shared" si="34"/>
        <v>15654.4</v>
      </c>
      <c r="O86" s="616">
        <f t="shared" si="34"/>
        <v>15799.3</v>
      </c>
      <c r="P86" s="1031">
        <f t="shared" si="34"/>
        <v>15983.8</v>
      </c>
      <c r="Q86" s="626">
        <f>Q87+Q88</f>
        <v>16211.099999999999</v>
      </c>
      <c r="R86" s="626">
        <f t="shared" si="34"/>
        <v>16437.099999999999</v>
      </c>
      <c r="S86" s="626">
        <f t="shared" si="34"/>
        <v>16644.8</v>
      </c>
      <c r="T86" s="626">
        <f t="shared" si="34"/>
        <v>16837.7</v>
      </c>
      <c r="U86" s="626">
        <f t="shared" si="34"/>
        <v>17019.599999999999</v>
      </c>
      <c r="V86" s="626">
        <f t="shared" si="34"/>
        <v>17196</v>
      </c>
      <c r="W86" s="626">
        <f t="shared" si="34"/>
        <v>17367.2</v>
      </c>
      <c r="X86" s="626">
        <f t="shared" si="34"/>
        <v>17530.099999999999</v>
      </c>
      <c r="Y86" s="626">
        <f t="shared" si="34"/>
        <v>17691.900000000001</v>
      </c>
      <c r="Z86" s="626">
        <f t="shared" si="34"/>
        <v>17844.8</v>
      </c>
      <c r="AA86" s="626">
        <f t="shared" si="34"/>
        <v>18007.400000000001</v>
      </c>
      <c r="AB86" s="626">
        <f t="shared" si="34"/>
        <v>18172.900000000001</v>
      </c>
      <c r="AC86" s="627">
        <f t="shared" si="34"/>
        <v>18346.099999999999</v>
      </c>
    </row>
    <row r="87" spans="4:32" ht="28" x14ac:dyDescent="0.3">
      <c r="D87" s="105" t="s">
        <v>631</v>
      </c>
      <c r="E87" s="468"/>
      <c r="F87" s="428">
        <v>9274.9</v>
      </c>
      <c r="G87" s="788">
        <v>9311.2999999999993</v>
      </c>
      <c r="H87" s="788">
        <v>9422.5</v>
      </c>
      <c r="I87" s="788">
        <v>9526.1</v>
      </c>
      <c r="J87" s="788">
        <v>8908.7999999999993</v>
      </c>
      <c r="K87" s="788">
        <v>9343.2999999999993</v>
      </c>
      <c r="L87" s="788">
        <v>9546</v>
      </c>
      <c r="M87" s="788">
        <v>9702.2000000000007</v>
      </c>
      <c r="N87" s="788">
        <v>9950.4</v>
      </c>
      <c r="O87" s="788">
        <v>10175.1</v>
      </c>
      <c r="P87" s="1032">
        <v>10336.6</v>
      </c>
      <c r="Q87" s="326">
        <v>10484.299999999999</v>
      </c>
      <c r="R87" s="326">
        <v>10614</v>
      </c>
      <c r="S87" s="326">
        <v>10730.6</v>
      </c>
      <c r="T87" s="326">
        <v>10841</v>
      </c>
      <c r="U87" s="326">
        <v>10942.9</v>
      </c>
      <c r="V87" s="326">
        <v>11042.2</v>
      </c>
      <c r="W87" s="326">
        <v>11143.2</v>
      </c>
      <c r="X87" s="326">
        <v>11246.1</v>
      </c>
      <c r="Y87" s="326">
        <v>11342.3</v>
      </c>
      <c r="Z87" s="326">
        <v>11443.3</v>
      </c>
      <c r="AA87" s="326">
        <v>11546.8</v>
      </c>
      <c r="AB87" s="326">
        <v>11648.9</v>
      </c>
      <c r="AC87" s="327">
        <v>11751.1</v>
      </c>
    </row>
    <row r="88" spans="4:32" ht="28" x14ac:dyDescent="0.3">
      <c r="D88" s="105" t="s">
        <v>632</v>
      </c>
      <c r="E88" s="468"/>
      <c r="F88" s="428">
        <v>5385.4</v>
      </c>
      <c r="G88" s="788">
        <v>5436.7</v>
      </c>
      <c r="H88" s="788">
        <v>5473.6</v>
      </c>
      <c r="I88" s="788">
        <v>5492.6</v>
      </c>
      <c r="J88" s="788">
        <v>5218.2</v>
      </c>
      <c r="K88" s="788">
        <v>5459.8</v>
      </c>
      <c r="L88" s="788">
        <v>5468.2</v>
      </c>
      <c r="M88" s="788">
        <v>5450.7</v>
      </c>
      <c r="N88" s="788">
        <v>5704</v>
      </c>
      <c r="O88" s="788">
        <v>5624.2</v>
      </c>
      <c r="P88" s="1032">
        <v>5647.2</v>
      </c>
      <c r="Q88" s="326">
        <v>5726.8</v>
      </c>
      <c r="R88" s="326">
        <v>5823.1</v>
      </c>
      <c r="S88" s="326">
        <v>5914.2</v>
      </c>
      <c r="T88" s="326">
        <v>5996.7</v>
      </c>
      <c r="U88" s="326">
        <v>6076.7</v>
      </c>
      <c r="V88" s="326">
        <v>6153.8</v>
      </c>
      <c r="W88" s="326">
        <v>6224</v>
      </c>
      <c r="X88" s="326">
        <v>6284</v>
      </c>
      <c r="Y88" s="326">
        <v>6349.6</v>
      </c>
      <c r="Z88" s="326">
        <v>6401.5</v>
      </c>
      <c r="AA88" s="326">
        <v>6460.6</v>
      </c>
      <c r="AB88" s="326">
        <v>6524</v>
      </c>
      <c r="AC88" s="327">
        <v>6595</v>
      </c>
    </row>
    <row r="89" spans="4:32" s="44" customFormat="1" x14ac:dyDescent="0.3">
      <c r="D89" s="152" t="s">
        <v>622</v>
      </c>
      <c r="E89" s="468"/>
      <c r="F89" s="617"/>
      <c r="G89" s="1029"/>
      <c r="H89" s="1030"/>
      <c r="I89" s="1030"/>
      <c r="J89" s="1030"/>
      <c r="K89" s="1030"/>
      <c r="L89" s="788"/>
      <c r="M89" s="788">
        <v>9702</v>
      </c>
      <c r="N89" s="788">
        <v>9950</v>
      </c>
      <c r="O89" s="788">
        <v>10175</v>
      </c>
      <c r="P89" s="1032">
        <v>10337</v>
      </c>
      <c r="Q89" s="326">
        <v>10484</v>
      </c>
      <c r="R89" s="326">
        <v>10614</v>
      </c>
      <c r="S89" s="326">
        <v>10731</v>
      </c>
      <c r="T89" s="326">
        <v>10841</v>
      </c>
      <c r="U89" s="326">
        <v>10943</v>
      </c>
      <c r="V89" s="326">
        <v>11042</v>
      </c>
      <c r="W89" s="326">
        <v>11143</v>
      </c>
      <c r="X89" s="326">
        <v>11246</v>
      </c>
      <c r="Y89" s="326">
        <v>11342.3</v>
      </c>
      <c r="Z89" s="326">
        <v>11443.3</v>
      </c>
      <c r="AA89" s="326">
        <v>11546.8</v>
      </c>
      <c r="AB89" s="326">
        <v>11648.9</v>
      </c>
      <c r="AC89" s="327">
        <v>11751.1</v>
      </c>
    </row>
    <row r="90" spans="4:32" s="44" customFormat="1" x14ac:dyDescent="0.3">
      <c r="D90" s="152" t="s">
        <v>623</v>
      </c>
      <c r="E90" s="217"/>
      <c r="F90" s="619"/>
      <c r="G90" s="620"/>
      <c r="H90" s="1030"/>
      <c r="I90" s="1030"/>
      <c r="J90" s="1030"/>
      <c r="K90" s="1030"/>
      <c r="L90" s="1030"/>
      <c r="M90" s="1030">
        <v>15041</v>
      </c>
      <c r="N90" s="1030">
        <v>15551</v>
      </c>
      <c r="O90" s="1030">
        <v>15824</v>
      </c>
      <c r="P90" s="1033">
        <v>16056</v>
      </c>
      <c r="Q90" s="628">
        <v>16274</v>
      </c>
      <c r="R90" s="628">
        <v>16482</v>
      </c>
      <c r="S90" s="628">
        <v>16710</v>
      </c>
      <c r="T90" s="628">
        <v>16918</v>
      </c>
      <c r="U90" s="628">
        <v>17101</v>
      </c>
      <c r="V90" s="628">
        <v>17272</v>
      </c>
      <c r="W90" s="628">
        <v>17444</v>
      </c>
      <c r="X90" s="628">
        <v>17607</v>
      </c>
      <c r="Y90" s="628">
        <v>17759.900000000001</v>
      </c>
      <c r="Z90" s="326">
        <v>17916</v>
      </c>
      <c r="AA90" s="326">
        <v>18077.7</v>
      </c>
      <c r="AB90" s="326">
        <v>18228.400000000001</v>
      </c>
      <c r="AC90" s="327">
        <v>18390.5</v>
      </c>
    </row>
    <row r="91" spans="4:32" s="44" customFormat="1" x14ac:dyDescent="0.3">
      <c r="D91" s="621" t="s">
        <v>633</v>
      </c>
      <c r="E91" s="622"/>
      <c r="F91" s="623"/>
      <c r="G91" s="624"/>
      <c r="H91" s="539"/>
      <c r="I91" s="539"/>
      <c r="J91" s="539"/>
      <c r="K91" s="539"/>
      <c r="L91" s="249"/>
      <c r="M91" s="249">
        <v>1874</v>
      </c>
      <c r="N91" s="249">
        <v>2307</v>
      </c>
      <c r="O91" s="249">
        <v>2443</v>
      </c>
      <c r="P91" s="1034">
        <v>2460</v>
      </c>
      <c r="Q91" s="522">
        <v>2386</v>
      </c>
      <c r="R91" s="522">
        <v>2421</v>
      </c>
      <c r="S91" s="522">
        <v>2418</v>
      </c>
      <c r="T91" s="522">
        <v>2403</v>
      </c>
      <c r="U91" s="522">
        <v>2374</v>
      </c>
      <c r="V91" s="522">
        <v>2336</v>
      </c>
      <c r="W91" s="522">
        <v>2309</v>
      </c>
      <c r="X91" s="522">
        <v>2298</v>
      </c>
      <c r="Y91" s="522">
        <v>2283</v>
      </c>
      <c r="Z91" s="522">
        <v>2289</v>
      </c>
      <c r="AA91" s="522">
        <v>2293</v>
      </c>
      <c r="AB91" s="522">
        <v>2302</v>
      </c>
      <c r="AC91" s="629">
        <v>2302</v>
      </c>
    </row>
    <row r="92" spans="4:32" s="44" customFormat="1" x14ac:dyDescent="0.3">
      <c r="D92" s="84"/>
      <c r="E92" s="637"/>
      <c r="F92" s="620"/>
      <c r="G92" s="620"/>
      <c r="H92" s="618"/>
      <c r="I92" s="618"/>
      <c r="J92" s="618"/>
      <c r="K92" s="618"/>
      <c r="L92" s="272"/>
      <c r="M92" s="272"/>
      <c r="N92" s="272"/>
      <c r="O92" s="272"/>
      <c r="P92" s="272"/>
      <c r="Q92" s="272"/>
      <c r="R92" s="272"/>
      <c r="S92" s="272"/>
      <c r="T92" s="272"/>
      <c r="U92" s="272"/>
      <c r="V92" s="272"/>
      <c r="W92" s="272"/>
      <c r="X92" s="272"/>
      <c r="Y92" s="272"/>
      <c r="Z92" s="272"/>
      <c r="AA92" s="272"/>
      <c r="AB92" s="272"/>
      <c r="AC92" s="272"/>
    </row>
    <row r="93" spans="4:32" x14ac:dyDescent="0.3">
      <c r="D93" s="44"/>
    </row>
    <row r="94" spans="4:32" ht="14.65" customHeight="1" x14ac:dyDescent="0.3">
      <c r="D94" s="1396" t="s">
        <v>634</v>
      </c>
      <c r="E94" s="1397"/>
      <c r="F94" s="1302">
        <v>2019</v>
      </c>
      <c r="G94" s="1293"/>
      <c r="H94" s="1303"/>
      <c r="I94" s="1293">
        <v>2020</v>
      </c>
      <c r="J94" s="1293"/>
      <c r="K94" s="1293"/>
      <c r="L94" s="1303"/>
      <c r="M94" s="1302">
        <v>2021</v>
      </c>
      <c r="N94" s="1293"/>
      <c r="O94" s="1293"/>
      <c r="P94" s="1303"/>
      <c r="Q94" s="1414">
        <v>2022</v>
      </c>
      <c r="R94" s="1300"/>
      <c r="S94" s="1300"/>
      <c r="T94" s="1415"/>
      <c r="U94" s="1414">
        <v>2023</v>
      </c>
      <c r="V94" s="1300"/>
      <c r="W94" s="1300"/>
      <c r="X94" s="1415"/>
      <c r="Y94" s="1299">
        <v>2024</v>
      </c>
      <c r="Z94" s="1300"/>
      <c r="AA94" s="1300"/>
      <c r="AB94" s="1300"/>
      <c r="AC94" s="306">
        <v>2025</v>
      </c>
      <c r="AD94" s="45"/>
      <c r="AE94" s="45"/>
      <c r="AF94" s="45"/>
    </row>
    <row r="95" spans="4:32" x14ac:dyDescent="0.3">
      <c r="D95" s="1419"/>
      <c r="E95" s="1420"/>
      <c r="F95" s="1035" t="s">
        <v>354</v>
      </c>
      <c r="G95" s="1036" t="s">
        <v>253</v>
      </c>
      <c r="H95" s="30" t="s">
        <v>352</v>
      </c>
      <c r="I95" s="29" t="s">
        <v>353</v>
      </c>
      <c r="J95" s="29" t="s">
        <v>354</v>
      </c>
      <c r="K95" s="29" t="s">
        <v>253</v>
      </c>
      <c r="L95" s="30" t="s">
        <v>352</v>
      </c>
      <c r="M95" s="151" t="s">
        <v>353</v>
      </c>
      <c r="N95" s="773" t="s">
        <v>354</v>
      </c>
      <c r="O95" s="773" t="s">
        <v>253</v>
      </c>
      <c r="P95" s="146" t="s">
        <v>352</v>
      </c>
      <c r="Q95" s="51" t="s">
        <v>353</v>
      </c>
      <c r="R95" s="51" t="s">
        <v>354</v>
      </c>
      <c r="S95" s="51" t="s">
        <v>253</v>
      </c>
      <c r="T95" s="51" t="s">
        <v>352</v>
      </c>
      <c r="U95" s="50" t="s">
        <v>353</v>
      </c>
      <c r="V95" s="51" t="s">
        <v>354</v>
      </c>
      <c r="W95" s="51" t="s">
        <v>253</v>
      </c>
      <c r="X95" s="52" t="s">
        <v>352</v>
      </c>
      <c r="Y95" s="50" t="s">
        <v>353</v>
      </c>
      <c r="Z95" s="402" t="s">
        <v>354</v>
      </c>
      <c r="AA95" s="51" t="s">
        <v>253</v>
      </c>
      <c r="AB95" s="51" t="s">
        <v>352</v>
      </c>
      <c r="AC95" s="53" t="s">
        <v>353</v>
      </c>
    </row>
    <row r="96" spans="4:32" x14ac:dyDescent="0.3">
      <c r="D96" s="1412" t="s">
        <v>635</v>
      </c>
      <c r="E96" s="1413"/>
      <c r="F96" s="1028"/>
      <c r="G96" s="630"/>
      <c r="H96" s="631"/>
      <c r="I96" s="631"/>
      <c r="J96" s="631"/>
      <c r="K96" s="631"/>
      <c r="L96" s="631"/>
      <c r="M96" s="631"/>
      <c r="N96" s="631"/>
      <c r="O96" s="631"/>
      <c r="P96" s="995"/>
      <c r="Q96" s="557"/>
      <c r="R96" s="557"/>
      <c r="S96" s="557"/>
      <c r="T96" s="557"/>
      <c r="U96" s="557"/>
      <c r="V96" s="557"/>
      <c r="W96" s="557"/>
      <c r="X96" s="557"/>
      <c r="Y96" s="557"/>
      <c r="Z96" s="557"/>
      <c r="AA96" s="557"/>
      <c r="AB96" s="557"/>
      <c r="AC96" s="470"/>
    </row>
    <row r="97" spans="4:30" x14ac:dyDescent="0.3">
      <c r="D97" s="135" t="s">
        <v>592</v>
      </c>
      <c r="F97" s="710"/>
      <c r="G97" s="267"/>
      <c r="H97" s="267">
        <f t="shared" ref="H97:N97" si="35">H10/H102</f>
        <v>0.11691183930201886</v>
      </c>
      <c r="I97" s="267">
        <f t="shared" si="35"/>
        <v>0.11632374399271765</v>
      </c>
      <c r="J97" s="267">
        <f t="shared" si="35"/>
        <v>0.11234318837285294</v>
      </c>
      <c r="K97" s="267">
        <f t="shared" si="35"/>
        <v>0.11273203252694187</v>
      </c>
      <c r="L97" s="267">
        <f t="shared" si="35"/>
        <v>0.11471728519817445</v>
      </c>
      <c r="M97" s="267">
        <f t="shared" si="35"/>
        <v>0.12169301738753303</v>
      </c>
      <c r="N97" s="267">
        <f t="shared" si="35"/>
        <v>0.12406841900584607</v>
      </c>
      <c r="O97" s="267">
        <f>O10/O102</f>
        <v>0.12694533120510773</v>
      </c>
      <c r="P97" s="761">
        <f>P10/P102</f>
        <v>0.12930786860198626</v>
      </c>
      <c r="Q97" s="380"/>
      <c r="R97" s="380"/>
      <c r="S97" s="380"/>
      <c r="T97" s="380"/>
      <c r="U97" s="380"/>
      <c r="V97" s="380"/>
      <c r="W97" s="380"/>
      <c r="X97" s="380"/>
      <c r="Y97" s="380"/>
      <c r="Z97" s="380"/>
      <c r="AA97" s="380"/>
      <c r="AB97" s="380"/>
      <c r="AC97" s="381"/>
    </row>
    <row r="98" spans="4:30" x14ac:dyDescent="0.3">
      <c r="D98" s="135" t="s">
        <v>593</v>
      </c>
      <c r="F98" s="710"/>
      <c r="G98" s="267"/>
      <c r="H98" s="267">
        <f t="shared" ref="H98:N99" si="36">H11/H107</f>
        <v>0.15050223685321179</v>
      </c>
      <c r="I98" s="267">
        <f t="shared" si="36"/>
        <v>0.15157126064930876</v>
      </c>
      <c r="J98" s="267">
        <f t="shared" si="36"/>
        <v>0.15486484381085924</v>
      </c>
      <c r="K98" s="267">
        <f t="shared" si="36"/>
        <v>0.15330544288475015</v>
      </c>
      <c r="L98" s="267">
        <f t="shared" si="36"/>
        <v>0.15177048544085955</v>
      </c>
      <c r="M98" s="267">
        <f t="shared" si="36"/>
        <v>0.15350775174199291</v>
      </c>
      <c r="N98" s="267">
        <f t="shared" si="36"/>
        <v>0.15268276884121268</v>
      </c>
      <c r="O98" s="267">
        <f t="shared" ref="O98" si="37">O11/O107</f>
        <v>0.1518881225469649</v>
      </c>
      <c r="P98" s="761">
        <f t="shared" ref="P98" si="38">P11/P107</f>
        <v>0.1513387551990493</v>
      </c>
      <c r="Q98" s="380"/>
      <c r="R98" s="380"/>
      <c r="S98" s="380"/>
      <c r="T98" s="380"/>
      <c r="U98" s="380"/>
      <c r="V98" s="380"/>
      <c r="W98" s="380"/>
      <c r="X98" s="380"/>
      <c r="Y98" s="380"/>
      <c r="Z98" s="380"/>
      <c r="AA98" s="380"/>
      <c r="AB98" s="380"/>
      <c r="AC98" s="381"/>
    </row>
    <row r="99" spans="4:30" x14ac:dyDescent="0.3">
      <c r="D99" s="135" t="s">
        <v>594</v>
      </c>
      <c r="F99" s="710"/>
      <c r="G99" s="267"/>
      <c r="H99" s="267">
        <f t="shared" si="36"/>
        <v>1.2140112870976327E-2</v>
      </c>
      <c r="I99" s="267">
        <f t="shared" si="36"/>
        <v>1.2867838023145487E-2</v>
      </c>
      <c r="J99" s="267">
        <f t="shared" si="36"/>
        <v>1.0646897156978221E-2</v>
      </c>
      <c r="K99" s="267">
        <f t="shared" si="36"/>
        <v>1.0585008884971108E-2</v>
      </c>
      <c r="L99" s="267">
        <f t="shared" si="36"/>
        <v>1.0824186458016532E-2</v>
      </c>
      <c r="M99" s="267">
        <f t="shared" si="36"/>
        <v>1.1076012635451236E-2</v>
      </c>
      <c r="N99" s="267">
        <f t="shared" si="36"/>
        <v>1.1338056460715356E-2</v>
      </c>
      <c r="O99" s="267">
        <f t="shared" ref="O99" si="39">O12/O108</f>
        <v>1.083000833077564E-2</v>
      </c>
      <c r="P99" s="761">
        <f>P12/P108</f>
        <v>1.0929129224847066E-2</v>
      </c>
      <c r="Q99" s="380"/>
      <c r="R99" s="380"/>
      <c r="S99" s="380"/>
      <c r="T99" s="380"/>
      <c r="U99" s="380"/>
      <c r="V99" s="380"/>
      <c r="W99" s="380"/>
      <c r="X99" s="380"/>
      <c r="Y99" s="380"/>
      <c r="Z99" s="380"/>
      <c r="AA99" s="380"/>
      <c r="AB99" s="380"/>
      <c r="AC99" s="381"/>
    </row>
    <row r="100" spans="4:30" x14ac:dyDescent="0.3">
      <c r="D100" s="83" t="s">
        <v>595</v>
      </c>
      <c r="F100" s="710"/>
      <c r="G100" s="267"/>
      <c r="H100" s="267">
        <f t="shared" ref="H100:M100" si="40">H13/H109</f>
        <v>0.12172540768016833</v>
      </c>
      <c r="I100" s="267">
        <f t="shared" si="40"/>
        <v>9.8615712257453844E-2</v>
      </c>
      <c r="J100" s="267">
        <f t="shared" si="40"/>
        <v>0.10910512937495927</v>
      </c>
      <c r="K100" s="267">
        <f t="shared" si="40"/>
        <v>0.10686521958606764</v>
      </c>
      <c r="L100" s="267">
        <f t="shared" si="40"/>
        <v>0.11540630607536528</v>
      </c>
      <c r="M100" s="267">
        <f t="shared" si="40"/>
        <v>0.11817745803357314</v>
      </c>
      <c r="N100" s="267">
        <f>N13/N109</f>
        <v>0.11661721068249259</v>
      </c>
      <c r="O100" s="267">
        <f t="shared" ref="O100" si="41">O13/O109</f>
        <v>0.11888722554890217</v>
      </c>
      <c r="P100" s="761">
        <f>P13/P109</f>
        <v>0.11675316587087399</v>
      </c>
      <c r="Q100" s="380"/>
      <c r="R100" s="380"/>
      <c r="S100" s="380"/>
      <c r="T100" s="380"/>
      <c r="U100" s="380"/>
      <c r="V100" s="380"/>
      <c r="W100" s="380"/>
      <c r="X100" s="380"/>
      <c r="Y100" s="380"/>
      <c r="Z100" s="380"/>
      <c r="AA100" s="380"/>
      <c r="AB100" s="380"/>
      <c r="AC100" s="381"/>
    </row>
    <row r="101" spans="4:30" x14ac:dyDescent="0.3">
      <c r="D101" s="467" t="s">
        <v>636</v>
      </c>
      <c r="F101" s="137"/>
      <c r="G101" s="790"/>
      <c r="H101" s="790"/>
      <c r="I101" s="790"/>
      <c r="J101" s="790"/>
      <c r="K101" s="790"/>
      <c r="L101" s="790"/>
      <c r="M101" s="790"/>
      <c r="N101" s="790"/>
      <c r="O101" s="790"/>
      <c r="P101" s="908"/>
      <c r="Q101" s="380"/>
      <c r="R101" s="380"/>
      <c r="S101" s="380"/>
      <c r="T101" s="380"/>
      <c r="U101" s="380"/>
      <c r="V101" s="380"/>
      <c r="W101" s="380"/>
      <c r="X101" s="380"/>
      <c r="Y101" s="380"/>
      <c r="Z101" s="380"/>
      <c r="AA101" s="380"/>
      <c r="AB101" s="380"/>
      <c r="AC101" s="381"/>
    </row>
    <row r="102" spans="4:30" x14ac:dyDescent="0.3">
      <c r="D102" s="152" t="s">
        <v>637</v>
      </c>
      <c r="F102" s="711">
        <f>SUM(F103:F106)</f>
        <v>14523.5</v>
      </c>
      <c r="G102" s="789">
        <f t="shared" ref="G102:O102" si="42">SUM(G103:G106)</f>
        <v>14614</v>
      </c>
      <c r="H102" s="789">
        <f t="shared" si="42"/>
        <v>14785.5</v>
      </c>
      <c r="I102" s="789">
        <f t="shared" si="42"/>
        <v>14940.199999999999</v>
      </c>
      <c r="J102" s="789">
        <f t="shared" si="42"/>
        <v>14077.4</v>
      </c>
      <c r="K102" s="789">
        <f t="shared" si="42"/>
        <v>14744.7</v>
      </c>
      <c r="L102" s="789">
        <f t="shared" si="42"/>
        <v>15140.7</v>
      </c>
      <c r="M102" s="789">
        <f t="shared" si="42"/>
        <v>15217.8</v>
      </c>
      <c r="N102" s="789">
        <f t="shared" si="42"/>
        <v>15685.7</v>
      </c>
      <c r="O102" s="789">
        <f t="shared" si="42"/>
        <v>16038.400000000001</v>
      </c>
      <c r="P102" s="762">
        <f t="shared" ref="P102" si="43">SUM(P103:P106)</f>
        <v>16362.5</v>
      </c>
      <c r="Q102" s="380"/>
      <c r="R102" s="380"/>
      <c r="S102" s="380"/>
      <c r="T102" s="380"/>
      <c r="U102" s="380"/>
      <c r="V102" s="380"/>
      <c r="W102" s="380"/>
      <c r="X102" s="380"/>
      <c r="Y102" s="380"/>
      <c r="Z102" s="380"/>
      <c r="AA102" s="380"/>
      <c r="AB102" s="380"/>
      <c r="AC102" s="381"/>
    </row>
    <row r="103" spans="4:30" x14ac:dyDescent="0.3">
      <c r="D103" s="625" t="s">
        <v>1148</v>
      </c>
      <c r="E103" s="27" t="s">
        <v>1144</v>
      </c>
      <c r="F103" s="428">
        <f>'Haver Pivoted'!GQ81</f>
        <v>9287.2000000000007</v>
      </c>
      <c r="G103" s="788">
        <f>'Haver Pivoted'!GR81</f>
        <v>9338.7000000000007</v>
      </c>
      <c r="H103" s="788">
        <f>'Haver Pivoted'!GS81</f>
        <v>9477.6</v>
      </c>
      <c r="I103" s="788">
        <f>'Haver Pivoted'!GT81</f>
        <v>9613.2999999999993</v>
      </c>
      <c r="J103" s="788">
        <f>'Haver Pivoted'!GU81</f>
        <v>8985.9</v>
      </c>
      <c r="K103" s="788">
        <f>'Haver Pivoted'!GV81</f>
        <v>9417.7999999999993</v>
      </c>
      <c r="L103" s="788">
        <f>'Haver Pivoted'!GW81</f>
        <v>9791.1</v>
      </c>
      <c r="M103" s="788">
        <f>'Haver Pivoted'!GX81</f>
        <v>9888.1</v>
      </c>
      <c r="N103" s="788">
        <f>'Haver Pivoted'!GY81</f>
        <v>10189.1</v>
      </c>
      <c r="O103" s="788">
        <f>'Haver Pivoted'!GZ81</f>
        <v>10497.2</v>
      </c>
      <c r="P103" s="725">
        <f>'Haver Pivoted'!HA81</f>
        <v>10771.2</v>
      </c>
      <c r="Q103" s="380"/>
      <c r="R103" s="380"/>
      <c r="S103" s="380"/>
      <c r="T103" s="380"/>
      <c r="U103" s="380"/>
      <c r="V103" s="380"/>
      <c r="W103" s="380"/>
      <c r="X103" s="380"/>
      <c r="Y103" s="380"/>
      <c r="Z103" s="380"/>
      <c r="AA103" s="380"/>
      <c r="AB103" s="380"/>
      <c r="AC103" s="381"/>
    </row>
    <row r="104" spans="4:30" x14ac:dyDescent="0.3">
      <c r="D104" s="625" t="s">
        <v>638</v>
      </c>
      <c r="E104" s="27" t="s">
        <v>1145</v>
      </c>
      <c r="F104" s="428">
        <f>'Haver Pivoted'!GQ82</f>
        <v>1572.8</v>
      </c>
      <c r="G104" s="788">
        <f>'Haver Pivoted'!GR82</f>
        <v>1610.6</v>
      </c>
      <c r="H104" s="788">
        <f>'Haver Pivoted'!GS82</f>
        <v>1626.8</v>
      </c>
      <c r="I104" s="788">
        <f>'Haver Pivoted'!GT82</f>
        <v>1638.3</v>
      </c>
      <c r="J104" s="788">
        <f>'Haver Pivoted'!GU82</f>
        <v>1471.1</v>
      </c>
      <c r="K104" s="788">
        <f>'Haver Pivoted'!GV82</f>
        <v>1760.7</v>
      </c>
      <c r="L104" s="788">
        <f>'Haver Pivoted'!GW82</f>
        <v>1730</v>
      </c>
      <c r="M104" s="788">
        <f>'Haver Pivoted'!GX82</f>
        <v>1714</v>
      </c>
      <c r="N104" s="788">
        <f>'Haver Pivoted'!GY82</f>
        <v>1848.2</v>
      </c>
      <c r="O104" s="788">
        <f>'Haver Pivoted'!GZ82</f>
        <v>1867</v>
      </c>
      <c r="P104" s="725">
        <f>'Haver Pivoted'!HA82</f>
        <v>1858.5</v>
      </c>
      <c r="Q104" s="380"/>
      <c r="R104" s="380"/>
      <c r="S104" s="380"/>
      <c r="T104" s="380"/>
      <c r="U104" s="380"/>
      <c r="V104" s="380"/>
      <c r="W104" s="380"/>
      <c r="X104" s="380"/>
      <c r="Y104" s="380"/>
      <c r="Z104" s="380"/>
      <c r="AA104" s="380"/>
      <c r="AB104" s="380"/>
      <c r="AC104" s="381"/>
    </row>
    <row r="105" spans="4:30" x14ac:dyDescent="0.3">
      <c r="D105" s="625" t="s">
        <v>639</v>
      </c>
      <c r="E105" s="27" t="s">
        <v>1151</v>
      </c>
      <c r="F105" s="428">
        <f>'Haver Pivoted'!GQ83</f>
        <v>691</v>
      </c>
      <c r="G105" s="788">
        <f>'Haver Pivoted'!GR83</f>
        <v>691.5</v>
      </c>
      <c r="H105" s="788">
        <f>'Haver Pivoted'!GS83</f>
        <v>699</v>
      </c>
      <c r="I105" s="788">
        <f>'Haver Pivoted'!GT83</f>
        <v>712.2</v>
      </c>
      <c r="J105" s="788">
        <f>'Haver Pivoted'!GU83</f>
        <v>709.5</v>
      </c>
      <c r="K105" s="788">
        <f>'Haver Pivoted'!GV83</f>
        <v>714.5</v>
      </c>
      <c r="L105" s="788">
        <f>'Haver Pivoted'!GW83</f>
        <v>710</v>
      </c>
      <c r="M105" s="788">
        <f>'Haver Pivoted'!GX83</f>
        <v>716.9</v>
      </c>
      <c r="N105" s="788">
        <f>'Haver Pivoted'!GY83</f>
        <v>716.3</v>
      </c>
      <c r="O105" s="788">
        <f>'Haver Pivoted'!GZ83</f>
        <v>729</v>
      </c>
      <c r="P105" s="725">
        <f>'Haver Pivoted'!HA83</f>
        <v>743.6</v>
      </c>
      <c r="Q105" s="380"/>
      <c r="R105" s="380"/>
      <c r="S105" s="380"/>
      <c r="T105" s="380"/>
      <c r="U105" s="380"/>
      <c r="V105" s="380"/>
      <c r="W105" s="380"/>
      <c r="X105" s="380"/>
      <c r="Y105" s="380"/>
      <c r="Z105" s="380"/>
      <c r="AA105" s="380"/>
      <c r="AB105" s="380"/>
      <c r="AC105" s="381"/>
    </row>
    <row r="106" spans="4:30" x14ac:dyDescent="0.3">
      <c r="D106" s="625" t="s">
        <v>640</v>
      </c>
      <c r="E106" s="27" t="s">
        <v>1147</v>
      </c>
      <c r="F106" s="428">
        <f>'Haver Pivoted'!GQ84</f>
        <v>2972.5</v>
      </c>
      <c r="G106" s="788">
        <f>'Haver Pivoted'!GR84</f>
        <v>2973.2</v>
      </c>
      <c r="H106" s="788">
        <f>'Haver Pivoted'!GS84</f>
        <v>2982.1</v>
      </c>
      <c r="I106" s="788">
        <f>'Haver Pivoted'!GT84</f>
        <v>2976.4</v>
      </c>
      <c r="J106" s="788">
        <f>'Haver Pivoted'!GU84</f>
        <v>2910.9</v>
      </c>
      <c r="K106" s="788">
        <f>'Haver Pivoted'!GV84</f>
        <v>2851.7</v>
      </c>
      <c r="L106" s="788">
        <f>'Haver Pivoted'!GW84</f>
        <v>2909.6</v>
      </c>
      <c r="M106" s="788">
        <f>'Haver Pivoted'!GX84</f>
        <v>2898.8</v>
      </c>
      <c r="N106" s="788">
        <f>'Haver Pivoted'!GY84</f>
        <v>2932.1</v>
      </c>
      <c r="O106" s="788">
        <f>'Haver Pivoted'!GZ84</f>
        <v>2945.2</v>
      </c>
      <c r="P106" s="725">
        <f>'Haver Pivoted'!HA84</f>
        <v>2989.2</v>
      </c>
      <c r="Q106" s="380"/>
      <c r="R106" s="380"/>
      <c r="S106" s="380"/>
      <c r="T106" s="380"/>
      <c r="U106" s="380"/>
      <c r="V106" s="380"/>
      <c r="W106" s="380"/>
      <c r="X106" s="380"/>
      <c r="Y106" s="380"/>
      <c r="Z106" s="380"/>
      <c r="AA106" s="380"/>
      <c r="AB106" s="380"/>
      <c r="AC106" s="381"/>
    </row>
    <row r="107" spans="4:30" x14ac:dyDescent="0.3">
      <c r="D107" s="152" t="s">
        <v>622</v>
      </c>
      <c r="F107" s="711">
        <f>F103</f>
        <v>9287.2000000000007</v>
      </c>
      <c r="G107" s="789">
        <f t="shared" ref="G107:O107" si="44">G103</f>
        <v>9338.7000000000007</v>
      </c>
      <c r="H107" s="789">
        <f t="shared" si="44"/>
        <v>9477.6</v>
      </c>
      <c r="I107" s="789">
        <f t="shared" si="44"/>
        <v>9613.2999999999993</v>
      </c>
      <c r="J107" s="789">
        <f t="shared" si="44"/>
        <v>8985.9</v>
      </c>
      <c r="K107" s="789">
        <f t="shared" si="44"/>
        <v>9417.7999999999993</v>
      </c>
      <c r="L107" s="789">
        <f t="shared" si="44"/>
        <v>9791.1</v>
      </c>
      <c r="M107" s="789">
        <f t="shared" si="44"/>
        <v>9888.1</v>
      </c>
      <c r="N107" s="789">
        <f t="shared" si="44"/>
        <v>10189.1</v>
      </c>
      <c r="O107" s="789">
        <f t="shared" si="44"/>
        <v>10497.2</v>
      </c>
      <c r="P107" s="762">
        <f t="shared" ref="P107" si="45">P103</f>
        <v>10771.2</v>
      </c>
      <c r="Q107" s="380"/>
      <c r="R107" s="380"/>
      <c r="S107" s="380"/>
      <c r="T107" s="380"/>
      <c r="U107" s="380"/>
      <c r="V107" s="380"/>
      <c r="W107" s="380"/>
      <c r="X107" s="380"/>
      <c r="Y107" s="380"/>
      <c r="Z107" s="380"/>
      <c r="AA107" s="380"/>
      <c r="AB107" s="380"/>
      <c r="AC107" s="381"/>
    </row>
    <row r="108" spans="4:30" x14ac:dyDescent="0.3">
      <c r="D108" s="152" t="s">
        <v>623</v>
      </c>
      <c r="E108" s="27" t="s">
        <v>848</v>
      </c>
      <c r="F108" s="711">
        <f>'Haver Pivoted'!GQ5</f>
        <v>14375.7</v>
      </c>
      <c r="G108" s="789">
        <f>'Haver Pivoted'!GR5</f>
        <v>14529.5</v>
      </c>
      <c r="H108" s="789">
        <f>'Haver Pivoted'!GS5</f>
        <v>14653.9</v>
      </c>
      <c r="I108" s="789">
        <f>'Haver Pivoted'!GT5</f>
        <v>14439.1</v>
      </c>
      <c r="J108" s="789">
        <f>'Haver Pivoted'!GU5</f>
        <v>12989.7</v>
      </c>
      <c r="K108" s="789">
        <f>'Haver Pivoted'!GV5</f>
        <v>14293.8</v>
      </c>
      <c r="L108" s="789">
        <f>'Haver Pivoted'!GW5</f>
        <v>14467.6</v>
      </c>
      <c r="M108" s="789">
        <f>'Haver Pivoted'!GX5</f>
        <v>15005.4</v>
      </c>
      <c r="N108" s="789">
        <f>'Haver Pivoted'!GY5</f>
        <v>15681.7</v>
      </c>
      <c r="O108" s="789">
        <f>'Haver Pivoted'!GZ5</f>
        <v>15964.9</v>
      </c>
      <c r="P108" s="762">
        <f>'Haver Pivoted'!HA5</f>
        <v>16314.2</v>
      </c>
      <c r="Q108" s="380"/>
      <c r="R108" s="380"/>
      <c r="S108" s="380"/>
      <c r="T108" s="380"/>
      <c r="U108" s="380"/>
      <c r="V108" s="380"/>
      <c r="W108" s="380"/>
      <c r="X108" s="380"/>
      <c r="Y108" s="380"/>
      <c r="Z108" s="380"/>
      <c r="AA108" s="380"/>
      <c r="AB108" s="380"/>
      <c r="AC108" s="381"/>
    </row>
    <row r="109" spans="4:30" x14ac:dyDescent="0.3">
      <c r="D109" s="152" t="s">
        <v>641</v>
      </c>
      <c r="E109" s="27" t="s">
        <v>1146</v>
      </c>
      <c r="F109" s="711">
        <f>'Haver Pivoted'!GQ85</f>
        <v>1858.1</v>
      </c>
      <c r="G109" s="789">
        <f>'Haver Pivoted'!GR85</f>
        <v>1859.3</v>
      </c>
      <c r="H109" s="789">
        <f>'Haver Pivoted'!GS85</f>
        <v>1901</v>
      </c>
      <c r="I109" s="789">
        <f>'Haver Pivoted'!GT85</f>
        <v>1690.4</v>
      </c>
      <c r="J109" s="789">
        <f>'Haver Pivoted'!GU85</f>
        <v>1534.3</v>
      </c>
      <c r="K109" s="789">
        <f>'Haver Pivoted'!GV85</f>
        <v>1981</v>
      </c>
      <c r="L109" s="789">
        <f>'Haver Pivoted'!GW85</f>
        <v>1950.5</v>
      </c>
      <c r="M109" s="789">
        <f>'Haver Pivoted'!GX85</f>
        <v>2085</v>
      </c>
      <c r="N109" s="789">
        <f>'Haver Pivoted'!GY85</f>
        <v>2359</v>
      </c>
      <c r="O109" s="789">
        <f>'Haver Pivoted'!GZ85</f>
        <v>2404.8000000000002</v>
      </c>
      <c r="P109" s="762">
        <f>'Haver Pivoted'!HA85</f>
        <v>2408.5</v>
      </c>
      <c r="Q109" s="380"/>
      <c r="R109" s="380"/>
      <c r="S109" s="380"/>
      <c r="T109" s="380"/>
      <c r="U109" s="380"/>
      <c r="V109" s="380"/>
      <c r="W109" s="380"/>
      <c r="X109" s="380"/>
      <c r="Y109" s="380"/>
      <c r="Z109" s="380"/>
      <c r="AA109" s="380"/>
      <c r="AB109" s="380"/>
      <c r="AC109" s="381"/>
    </row>
    <row r="110" spans="4:30" x14ac:dyDescent="0.3">
      <c r="D110" s="467" t="s">
        <v>642</v>
      </c>
      <c r="F110" s="137"/>
      <c r="G110" s="790"/>
      <c r="H110" s="790"/>
      <c r="I110" s="790"/>
      <c r="J110" s="790"/>
      <c r="K110" s="790"/>
      <c r="L110" s="790"/>
      <c r="M110" s="790"/>
      <c r="N110" s="790"/>
      <c r="O110" s="790"/>
      <c r="P110" s="250"/>
      <c r="Q110" s="380"/>
      <c r="R110" s="380"/>
      <c r="S110" s="380"/>
      <c r="T110" s="380"/>
      <c r="U110" s="380"/>
      <c r="V110" s="380"/>
      <c r="W110" s="380"/>
      <c r="X110" s="380"/>
      <c r="Y110" s="380"/>
      <c r="Z110" s="380"/>
      <c r="AA110" s="380"/>
      <c r="AB110" s="380"/>
      <c r="AC110" s="381"/>
    </row>
    <row r="111" spans="4:30" x14ac:dyDescent="0.3">
      <c r="D111" s="608" t="s">
        <v>596</v>
      </c>
      <c r="F111" s="604">
        <f>F18/F102</f>
        <v>3.5866010259235033E-2</v>
      </c>
      <c r="G111" s="337">
        <f t="shared" ref="G111:N111" si="46">G18/G102</f>
        <v>3.4035856028465851E-2</v>
      </c>
      <c r="H111" s="337">
        <f t="shared" si="46"/>
        <v>3.3458455919651006E-2</v>
      </c>
      <c r="I111" s="337">
        <f t="shared" si="46"/>
        <v>3.3721101457811813E-2</v>
      </c>
      <c r="J111" s="337">
        <f t="shared" si="46"/>
        <v>3.6761049625641098E-2</v>
      </c>
      <c r="K111" s="337">
        <f t="shared" si="46"/>
        <v>3.5239781073877395E-2</v>
      </c>
      <c r="L111" s="337">
        <f t="shared" si="46"/>
        <v>3.4529447119353789E-2</v>
      </c>
      <c r="M111" s="337">
        <f t="shared" si="46"/>
        <v>3.6812154187858957E-2</v>
      </c>
      <c r="N111" s="337">
        <f t="shared" si="46"/>
        <v>3.7384369202522041E-2</v>
      </c>
      <c r="O111" s="267">
        <f>O18/O102</f>
        <v>3.7728202314445326E-2</v>
      </c>
      <c r="P111" s="761">
        <f>P18/P102</f>
        <v>3.8447669977081746E-2</v>
      </c>
      <c r="Q111" s="632">
        <f t="shared" ref="Q111:AC113" si="47">P111</f>
        <v>3.8447669977081746E-2</v>
      </c>
      <c r="R111" s="632">
        <f t="shared" si="47"/>
        <v>3.8447669977081746E-2</v>
      </c>
      <c r="S111" s="632">
        <f>R111</f>
        <v>3.8447669977081746E-2</v>
      </c>
      <c r="T111" s="632">
        <f t="shared" si="47"/>
        <v>3.8447669977081746E-2</v>
      </c>
      <c r="U111" s="632">
        <f t="shared" si="47"/>
        <v>3.8447669977081746E-2</v>
      </c>
      <c r="V111" s="632">
        <f t="shared" si="47"/>
        <v>3.8447669977081746E-2</v>
      </c>
      <c r="W111" s="632">
        <f t="shared" si="47"/>
        <v>3.8447669977081746E-2</v>
      </c>
      <c r="X111" s="632">
        <f>W111</f>
        <v>3.8447669977081746E-2</v>
      </c>
      <c r="Y111" s="632">
        <f t="shared" si="47"/>
        <v>3.8447669977081746E-2</v>
      </c>
      <c r="Z111" s="632">
        <f t="shared" si="47"/>
        <v>3.8447669977081746E-2</v>
      </c>
      <c r="AA111" s="632">
        <f t="shared" si="47"/>
        <v>3.8447669977081746E-2</v>
      </c>
      <c r="AB111" s="632">
        <f t="shared" si="47"/>
        <v>3.8447669977081746E-2</v>
      </c>
      <c r="AC111" s="763">
        <f t="shared" si="47"/>
        <v>3.8447669977081746E-2</v>
      </c>
      <c r="AD111" s="635"/>
    </row>
    <row r="112" spans="4:30" x14ac:dyDescent="0.3">
      <c r="D112" s="608" t="s">
        <v>593</v>
      </c>
      <c r="F112" s="604">
        <f>F19/F107</f>
        <v>2.2073391334309586E-3</v>
      </c>
      <c r="G112" s="337">
        <f t="shared" ref="G112:M112" si="48">G19/G107</f>
        <v>2.1737500936961245E-3</v>
      </c>
      <c r="H112" s="337">
        <f t="shared" si="48"/>
        <v>2.1313412678315184E-3</v>
      </c>
      <c r="I112" s="337">
        <f t="shared" si="48"/>
        <v>2.0908532969947887E-3</v>
      </c>
      <c r="J112" s="337">
        <f t="shared" si="48"/>
        <v>2.1255522540869587E-3</v>
      </c>
      <c r="K112" s="337">
        <f t="shared" si="48"/>
        <v>2.1130200259083863E-3</v>
      </c>
      <c r="L112" s="337">
        <f t="shared" si="48"/>
        <v>2.0937381908059361E-3</v>
      </c>
      <c r="M112" s="337">
        <f t="shared" si="48"/>
        <v>2.1439912622242896E-3</v>
      </c>
      <c r="N112" s="337">
        <f t="shared" ref="N112:P113" si="49">N19/N107</f>
        <v>2.149355684015271E-3</v>
      </c>
      <c r="O112" s="267">
        <f t="shared" si="49"/>
        <v>2.1434287238501692E-3</v>
      </c>
      <c r="P112" s="761">
        <f t="shared" si="49"/>
        <v>2.1167557932263814E-3</v>
      </c>
      <c r="Q112" s="632">
        <f t="shared" si="47"/>
        <v>2.1167557932263814E-3</v>
      </c>
      <c r="R112" s="632">
        <f t="shared" si="47"/>
        <v>2.1167557932263814E-3</v>
      </c>
      <c r="S112" s="632">
        <f>R112</f>
        <v>2.1167557932263814E-3</v>
      </c>
      <c r="T112" s="632">
        <f t="shared" si="47"/>
        <v>2.1167557932263814E-3</v>
      </c>
      <c r="U112" s="632">
        <f t="shared" si="47"/>
        <v>2.1167557932263814E-3</v>
      </c>
      <c r="V112" s="632">
        <f t="shared" si="47"/>
        <v>2.1167557932263814E-3</v>
      </c>
      <c r="W112" s="632">
        <f t="shared" si="47"/>
        <v>2.1167557932263814E-3</v>
      </c>
      <c r="X112" s="632">
        <f>W112</f>
        <v>2.1167557932263814E-3</v>
      </c>
      <c r="Y112" s="632">
        <f t="shared" si="47"/>
        <v>2.1167557932263814E-3</v>
      </c>
      <c r="Z112" s="632">
        <f t="shared" si="47"/>
        <v>2.1167557932263814E-3</v>
      </c>
      <c r="AA112" s="632">
        <f t="shared" si="47"/>
        <v>2.1167557932263814E-3</v>
      </c>
      <c r="AB112" s="632">
        <f t="shared" si="47"/>
        <v>2.1167557932263814E-3</v>
      </c>
      <c r="AC112" s="763">
        <f t="shared" si="47"/>
        <v>2.1167557932263814E-3</v>
      </c>
      <c r="AD112" s="635"/>
    </row>
    <row r="113" spans="4:46" x14ac:dyDescent="0.3">
      <c r="D113" s="608" t="s">
        <v>594</v>
      </c>
      <c r="F113" s="604">
        <f>F20/F108</f>
        <v>9.3818040165000657E-2</v>
      </c>
      <c r="G113" s="337">
        <f t="shared" ref="G113:M113" si="50">G20/G108</f>
        <v>9.4435458893974325E-2</v>
      </c>
      <c r="H113" s="337">
        <f t="shared" si="50"/>
        <v>9.406369635387167E-2</v>
      </c>
      <c r="I113" s="337">
        <f t="shared" si="50"/>
        <v>9.635642110657866E-2</v>
      </c>
      <c r="J113" s="337">
        <f t="shared" si="50"/>
        <v>0.10178833999245555</v>
      </c>
      <c r="K113" s="337">
        <f t="shared" si="50"/>
        <v>9.7433852439519242E-2</v>
      </c>
      <c r="L113" s="337">
        <f t="shared" si="50"/>
        <v>9.6795598440653607E-2</v>
      </c>
      <c r="M113" s="337">
        <f t="shared" si="50"/>
        <v>9.4226078611699793E-2</v>
      </c>
      <c r="N113" s="337">
        <f t="shared" si="49"/>
        <v>9.3006498019985076E-2</v>
      </c>
      <c r="O113" s="267">
        <f t="shared" si="49"/>
        <v>9.281611535305577E-2</v>
      </c>
      <c r="P113" s="761">
        <f t="shared" si="49"/>
        <v>9.2876144708290934E-2</v>
      </c>
      <c r="Q113" s="632">
        <f t="shared" si="47"/>
        <v>9.2876144708290934E-2</v>
      </c>
      <c r="R113" s="632">
        <f t="shared" si="47"/>
        <v>9.2876144708290934E-2</v>
      </c>
      <c r="S113" s="632">
        <f>R113</f>
        <v>9.2876144708290934E-2</v>
      </c>
      <c r="T113" s="632">
        <f t="shared" si="47"/>
        <v>9.2876144708290934E-2</v>
      </c>
      <c r="U113" s="632">
        <f t="shared" si="47"/>
        <v>9.2876144708290934E-2</v>
      </c>
      <c r="V113" s="632">
        <f t="shared" si="47"/>
        <v>9.2876144708290934E-2</v>
      </c>
      <c r="W113" s="632">
        <f t="shared" si="47"/>
        <v>9.2876144708290934E-2</v>
      </c>
      <c r="X113" s="632">
        <f>W113</f>
        <v>9.2876144708290934E-2</v>
      </c>
      <c r="Y113" s="632">
        <f t="shared" si="47"/>
        <v>9.2876144708290934E-2</v>
      </c>
      <c r="Z113" s="632">
        <f t="shared" si="47"/>
        <v>9.2876144708290934E-2</v>
      </c>
      <c r="AA113" s="632">
        <f t="shared" si="47"/>
        <v>9.2876144708290934E-2</v>
      </c>
      <c r="AB113" s="632">
        <f t="shared" si="47"/>
        <v>9.2876144708290934E-2</v>
      </c>
      <c r="AC113" s="763">
        <f t="shared" si="47"/>
        <v>9.2876144708290934E-2</v>
      </c>
      <c r="AD113" s="635"/>
    </row>
    <row r="114" spans="4:46" x14ac:dyDescent="0.3">
      <c r="D114" s="609" t="s">
        <v>643</v>
      </c>
      <c r="E114" s="35"/>
      <c r="F114" s="537">
        <f>F21/F109</f>
        <v>3.9179807330068352E-2</v>
      </c>
      <c r="G114" s="262">
        <f t="shared" ref="G114:L114" si="51">G21/G109</f>
        <v>3.9315871564567305E-2</v>
      </c>
      <c r="H114" s="262">
        <f t="shared" si="51"/>
        <v>3.8085218306154661E-2</v>
      </c>
      <c r="I114" s="262">
        <f>I21/I109</f>
        <v>3.9339801230477991E-2</v>
      </c>
      <c r="J114" s="262">
        <f t="shared" si="51"/>
        <v>4.0344130874014207E-2</v>
      </c>
      <c r="K114" s="262">
        <f t="shared" si="51"/>
        <v>3.8768298838970212E-2</v>
      </c>
      <c r="L114" s="262">
        <f t="shared" si="51"/>
        <v>4.039989746218918E-2</v>
      </c>
      <c r="M114" s="262">
        <f>M21/M109</f>
        <v>4.100719424460432E-2</v>
      </c>
      <c r="N114" s="262">
        <f t="shared" ref="N114" si="52">N21/N109</f>
        <v>3.8957185247986435E-2</v>
      </c>
      <c r="O114" s="262">
        <f>O21/O109</f>
        <v>3.9629075182967391E-2</v>
      </c>
      <c r="P114" s="1170">
        <f>P21/P109</f>
        <v>4.7913639194519415E-2</v>
      </c>
      <c r="Q114" s="633">
        <f t="shared" ref="Q114:AC114" si="53">P114</f>
        <v>4.7913639194519415E-2</v>
      </c>
      <c r="R114" s="633">
        <f t="shared" si="53"/>
        <v>4.7913639194519415E-2</v>
      </c>
      <c r="S114" s="633">
        <f>R114</f>
        <v>4.7913639194519415E-2</v>
      </c>
      <c r="T114" s="633">
        <f t="shared" si="53"/>
        <v>4.7913639194519415E-2</v>
      </c>
      <c r="U114" s="633">
        <f t="shared" si="53"/>
        <v>4.7913639194519415E-2</v>
      </c>
      <c r="V114" s="633">
        <f t="shared" si="53"/>
        <v>4.7913639194519415E-2</v>
      </c>
      <c r="W114" s="633">
        <f t="shared" si="53"/>
        <v>4.7913639194519415E-2</v>
      </c>
      <c r="X114" s="633">
        <f>W114</f>
        <v>4.7913639194519415E-2</v>
      </c>
      <c r="Y114" s="633">
        <f t="shared" si="53"/>
        <v>4.7913639194519415E-2</v>
      </c>
      <c r="Z114" s="633">
        <f t="shared" si="53"/>
        <v>4.7913639194519415E-2</v>
      </c>
      <c r="AA114" s="633">
        <f t="shared" si="53"/>
        <v>4.7913639194519415E-2</v>
      </c>
      <c r="AB114" s="633">
        <f t="shared" si="53"/>
        <v>4.7913639194519415E-2</v>
      </c>
      <c r="AC114" s="634">
        <f t="shared" si="53"/>
        <v>4.7913639194519415E-2</v>
      </c>
      <c r="AD114" s="635"/>
    </row>
    <row r="116" spans="4:46" ht="18.75" customHeight="1" x14ac:dyDescent="0.3"/>
    <row r="119" spans="4:46" ht="14.5" x14ac:dyDescent="0.35">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row>
    <row r="120" spans="4:46" customFormat="1" ht="14.5" x14ac:dyDescent="0.35"/>
    <row r="121" spans="4:46" customFormat="1" ht="14.5" x14ac:dyDescent="0.35"/>
  </sheetData>
  <mergeCells count="30">
    <mergeCell ref="D25:F25"/>
    <mergeCell ref="U84:X84"/>
    <mergeCell ref="Y94:AB94"/>
    <mergeCell ref="F94:H94"/>
    <mergeCell ref="I94:L94"/>
    <mergeCell ref="D94:E95"/>
    <mergeCell ref="U94:X94"/>
    <mergeCell ref="D96:E96"/>
    <mergeCell ref="Q94:T94"/>
    <mergeCell ref="O48:R48"/>
    <mergeCell ref="I84:L84"/>
    <mergeCell ref="Q84:T84"/>
    <mergeCell ref="M84:P84"/>
    <mergeCell ref="M94:P94"/>
    <mergeCell ref="D2:AC3"/>
    <mergeCell ref="D1:AC1"/>
    <mergeCell ref="Y84:AB84"/>
    <mergeCell ref="Y6:AB6"/>
    <mergeCell ref="O49:R49"/>
    <mergeCell ref="D84:E85"/>
    <mergeCell ref="U6:X6"/>
    <mergeCell ref="F84:H84"/>
    <mergeCell ref="F6:H6"/>
    <mergeCell ref="I6:L6"/>
    <mergeCell ref="Q6:T6"/>
    <mergeCell ref="D5:E7"/>
    <mergeCell ref="F5:P5"/>
    <mergeCell ref="M6:P6"/>
    <mergeCell ref="Q5:AC5"/>
    <mergeCell ref="M24:Q24"/>
  </mergeCells>
  <phoneticPr fontId="53" type="noConversion"/>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HA89"/>
  <sheetViews>
    <sheetView zoomScale="88" workbookViewId="0">
      <pane xSplit="1" ySplit="1" topLeftCell="GB2" activePane="bottomRight" state="frozen"/>
      <selection pane="topRight" activeCell="B1" sqref="B1"/>
      <selection pane="bottomLeft" activeCell="A2" sqref="A2"/>
      <selection pane="bottomRight" activeCell="GJ75" sqref="GJ75"/>
    </sheetView>
  </sheetViews>
  <sheetFormatPr defaultColWidth="10.7265625" defaultRowHeight="14.5" x14ac:dyDescent="0.35"/>
  <cols>
    <col min="1" max="16384" width="10.7265625" style="886"/>
  </cols>
  <sheetData>
    <row r="1" spans="1:209" x14ac:dyDescent="0.35">
      <c r="A1" s="1169" t="s">
        <v>192</v>
      </c>
      <c r="B1" s="1169" t="s">
        <v>644</v>
      </c>
      <c r="C1" s="1169" t="s">
        <v>645</v>
      </c>
      <c r="D1" s="1169" t="s">
        <v>646</v>
      </c>
      <c r="E1" s="1169" t="s">
        <v>647</v>
      </c>
      <c r="F1" s="1169" t="s">
        <v>648</v>
      </c>
      <c r="G1" s="1169" t="s">
        <v>649</v>
      </c>
      <c r="H1" s="1169" t="s">
        <v>650</v>
      </c>
      <c r="I1" s="1169" t="s">
        <v>651</v>
      </c>
      <c r="J1" s="1169" t="s">
        <v>652</v>
      </c>
      <c r="K1" s="1169" t="s">
        <v>653</v>
      </c>
      <c r="L1" s="1169" t="s">
        <v>654</v>
      </c>
      <c r="M1" s="1169" t="s">
        <v>655</v>
      </c>
      <c r="N1" s="1169" t="s">
        <v>656</v>
      </c>
      <c r="O1" s="1169" t="s">
        <v>657</v>
      </c>
      <c r="P1" s="1169" t="s">
        <v>658</v>
      </c>
      <c r="Q1" s="1169" t="s">
        <v>659</v>
      </c>
      <c r="R1" s="1169" t="s">
        <v>660</v>
      </c>
      <c r="S1" s="1169" t="s">
        <v>661</v>
      </c>
      <c r="T1" s="1169" t="s">
        <v>662</v>
      </c>
      <c r="U1" s="1169" t="s">
        <v>663</v>
      </c>
      <c r="V1" s="1169" t="s">
        <v>664</v>
      </c>
      <c r="W1" s="1169" t="s">
        <v>665</v>
      </c>
      <c r="X1" s="1169" t="s">
        <v>666</v>
      </c>
      <c r="Y1" s="1169" t="s">
        <v>667</v>
      </c>
      <c r="Z1" s="1169" t="s">
        <v>668</v>
      </c>
      <c r="AA1" s="1169" t="s">
        <v>669</v>
      </c>
      <c r="AB1" s="1169" t="s">
        <v>670</v>
      </c>
      <c r="AC1" s="1169" t="s">
        <v>671</v>
      </c>
      <c r="AD1" s="1169" t="s">
        <v>672</v>
      </c>
      <c r="AE1" s="1169" t="s">
        <v>673</v>
      </c>
      <c r="AF1" s="1169" t="s">
        <v>674</v>
      </c>
      <c r="AG1" s="1169" t="s">
        <v>675</v>
      </c>
      <c r="AH1" s="1169" t="s">
        <v>676</v>
      </c>
      <c r="AI1" s="1169" t="s">
        <v>677</v>
      </c>
      <c r="AJ1" s="1169" t="s">
        <v>678</v>
      </c>
      <c r="AK1" s="1169" t="s">
        <v>679</v>
      </c>
      <c r="AL1" s="1169" t="s">
        <v>680</v>
      </c>
      <c r="AM1" s="1169" t="s">
        <v>681</v>
      </c>
      <c r="AN1" s="1169" t="s">
        <v>682</v>
      </c>
      <c r="AO1" s="1169" t="s">
        <v>683</v>
      </c>
      <c r="AP1" s="1169" t="s">
        <v>684</v>
      </c>
      <c r="AQ1" s="1169" t="s">
        <v>685</v>
      </c>
      <c r="AR1" s="1169" t="s">
        <v>686</v>
      </c>
      <c r="AS1" s="1169" t="s">
        <v>687</v>
      </c>
      <c r="AT1" s="1169" t="s">
        <v>688</v>
      </c>
      <c r="AU1" s="1169" t="s">
        <v>689</v>
      </c>
      <c r="AV1" s="1169" t="s">
        <v>690</v>
      </c>
      <c r="AW1" s="1169" t="s">
        <v>691</v>
      </c>
      <c r="AX1" s="1169" t="s">
        <v>692</v>
      </c>
      <c r="AY1" s="1169" t="s">
        <v>693</v>
      </c>
      <c r="AZ1" s="1169" t="s">
        <v>694</v>
      </c>
      <c r="BA1" s="1169" t="s">
        <v>695</v>
      </c>
      <c r="BB1" s="1169" t="s">
        <v>696</v>
      </c>
      <c r="BC1" s="1169" t="s">
        <v>697</v>
      </c>
      <c r="BD1" s="1169" t="s">
        <v>698</v>
      </c>
      <c r="BE1" s="1169" t="s">
        <v>699</v>
      </c>
      <c r="BF1" s="1169" t="s">
        <v>700</v>
      </c>
      <c r="BG1" s="1169" t="s">
        <v>701</v>
      </c>
      <c r="BH1" s="1169" t="s">
        <v>702</v>
      </c>
      <c r="BI1" s="1169" t="s">
        <v>703</v>
      </c>
      <c r="BJ1" s="1169" t="s">
        <v>704</v>
      </c>
      <c r="BK1" s="1169" t="s">
        <v>705</v>
      </c>
      <c r="BL1" s="1169" t="s">
        <v>706</v>
      </c>
      <c r="BM1" s="1169" t="s">
        <v>707</v>
      </c>
      <c r="BN1" s="1169" t="s">
        <v>708</v>
      </c>
      <c r="BO1" s="1169" t="s">
        <v>709</v>
      </c>
      <c r="BP1" s="1169" t="s">
        <v>710</v>
      </c>
      <c r="BQ1" s="1169" t="s">
        <v>711</v>
      </c>
      <c r="BR1" s="1169" t="s">
        <v>712</v>
      </c>
      <c r="BS1" s="1169" t="s">
        <v>713</v>
      </c>
      <c r="BT1" s="1169" t="s">
        <v>714</v>
      </c>
      <c r="BU1" s="1169" t="s">
        <v>715</v>
      </c>
      <c r="BV1" s="1169" t="s">
        <v>716</v>
      </c>
      <c r="BW1" s="1169" t="s">
        <v>717</v>
      </c>
      <c r="BX1" s="1169" t="s">
        <v>718</v>
      </c>
      <c r="BY1" s="1169" t="s">
        <v>719</v>
      </c>
      <c r="BZ1" s="1169" t="s">
        <v>720</v>
      </c>
      <c r="CA1" s="1169" t="s">
        <v>721</v>
      </c>
      <c r="CB1" s="1169" t="s">
        <v>722</v>
      </c>
      <c r="CC1" s="1169" t="s">
        <v>723</v>
      </c>
      <c r="CD1" s="1169" t="s">
        <v>724</v>
      </c>
      <c r="CE1" s="1169" t="s">
        <v>725</v>
      </c>
      <c r="CF1" s="1169" t="s">
        <v>726</v>
      </c>
      <c r="CG1" s="1169" t="s">
        <v>727</v>
      </c>
      <c r="CH1" s="1169" t="s">
        <v>728</v>
      </c>
      <c r="CI1" s="1169" t="s">
        <v>729</v>
      </c>
      <c r="CJ1" s="1169" t="s">
        <v>730</v>
      </c>
      <c r="CK1" s="1169" t="s">
        <v>731</v>
      </c>
      <c r="CL1" s="1169" t="s">
        <v>732</v>
      </c>
      <c r="CM1" s="1169" t="s">
        <v>733</v>
      </c>
      <c r="CN1" s="1169" t="s">
        <v>734</v>
      </c>
      <c r="CO1" s="1169" t="s">
        <v>735</v>
      </c>
      <c r="CP1" s="1169" t="s">
        <v>736</v>
      </c>
      <c r="CQ1" s="1169" t="s">
        <v>737</v>
      </c>
      <c r="CR1" s="1169" t="s">
        <v>738</v>
      </c>
      <c r="CS1" s="1169" t="s">
        <v>739</v>
      </c>
      <c r="CT1" s="1169" t="s">
        <v>740</v>
      </c>
      <c r="CU1" s="1169" t="s">
        <v>741</v>
      </c>
      <c r="CV1" s="1169" t="s">
        <v>742</v>
      </c>
      <c r="CW1" s="1169" t="s">
        <v>743</v>
      </c>
      <c r="CX1" s="1169" t="s">
        <v>744</v>
      </c>
      <c r="CY1" s="1169" t="s">
        <v>745</v>
      </c>
      <c r="CZ1" s="1169" t="s">
        <v>746</v>
      </c>
      <c r="DA1" s="1169" t="s">
        <v>747</v>
      </c>
      <c r="DB1" s="1169" t="s">
        <v>748</v>
      </c>
      <c r="DC1" s="1169" t="s">
        <v>749</v>
      </c>
      <c r="DD1" s="1169" t="s">
        <v>750</v>
      </c>
      <c r="DE1" s="1169" t="s">
        <v>751</v>
      </c>
      <c r="DF1" s="1169" t="s">
        <v>752</v>
      </c>
      <c r="DG1" s="1169" t="s">
        <v>753</v>
      </c>
      <c r="DH1" s="1169" t="s">
        <v>754</v>
      </c>
      <c r="DI1" s="1169" t="s">
        <v>755</v>
      </c>
      <c r="DJ1" s="1169" t="s">
        <v>756</v>
      </c>
      <c r="DK1" s="1169" t="s">
        <v>757</v>
      </c>
      <c r="DL1" s="1169" t="s">
        <v>758</v>
      </c>
      <c r="DM1" s="1169" t="s">
        <v>759</v>
      </c>
      <c r="DN1" s="1169" t="s">
        <v>760</v>
      </c>
      <c r="DO1" s="1169" t="s">
        <v>761</v>
      </c>
      <c r="DP1" s="1169" t="s">
        <v>762</v>
      </c>
      <c r="DQ1" s="1169" t="s">
        <v>763</v>
      </c>
      <c r="DR1" s="1169" t="s">
        <v>764</v>
      </c>
      <c r="DS1" s="1169" t="s">
        <v>765</v>
      </c>
      <c r="DT1" s="1169" t="s">
        <v>766</v>
      </c>
      <c r="DU1" s="1169" t="s">
        <v>767</v>
      </c>
      <c r="DV1" s="1169" t="s">
        <v>768</v>
      </c>
      <c r="DW1" s="1169" t="s">
        <v>769</v>
      </c>
      <c r="DX1" s="1169" t="s">
        <v>770</v>
      </c>
      <c r="DY1" s="1169" t="s">
        <v>771</v>
      </c>
      <c r="DZ1" s="1169" t="s">
        <v>772</v>
      </c>
      <c r="EA1" s="1169" t="s">
        <v>773</v>
      </c>
      <c r="EB1" s="1169" t="s">
        <v>774</v>
      </c>
      <c r="EC1" s="1169" t="s">
        <v>775</v>
      </c>
      <c r="ED1" s="1169" t="s">
        <v>776</v>
      </c>
      <c r="EE1" s="1169" t="s">
        <v>777</v>
      </c>
      <c r="EF1" s="1169" t="s">
        <v>778</v>
      </c>
      <c r="EG1" s="1169" t="s">
        <v>779</v>
      </c>
      <c r="EH1" s="1169" t="s">
        <v>780</v>
      </c>
      <c r="EI1" s="1169" t="s">
        <v>781</v>
      </c>
      <c r="EJ1" s="1169" t="s">
        <v>782</v>
      </c>
      <c r="EK1" s="1169" t="s">
        <v>783</v>
      </c>
      <c r="EL1" s="1169" t="s">
        <v>784</v>
      </c>
      <c r="EM1" s="1169" t="s">
        <v>785</v>
      </c>
      <c r="EN1" s="1169" t="s">
        <v>786</v>
      </c>
      <c r="EO1" s="1169" t="s">
        <v>787</v>
      </c>
      <c r="EP1" s="1169" t="s">
        <v>788</v>
      </c>
      <c r="EQ1" s="1169" t="s">
        <v>789</v>
      </c>
      <c r="ER1" s="1169" t="s">
        <v>790</v>
      </c>
      <c r="ES1" s="1169" t="s">
        <v>791</v>
      </c>
      <c r="ET1" s="1169" t="s">
        <v>792</v>
      </c>
      <c r="EU1" s="1169" t="s">
        <v>793</v>
      </c>
      <c r="EV1" s="1169" t="s">
        <v>794</v>
      </c>
      <c r="EW1" s="1169" t="s">
        <v>795</v>
      </c>
      <c r="EX1" s="1169" t="s">
        <v>796</v>
      </c>
      <c r="EY1" s="1169" t="s">
        <v>797</v>
      </c>
      <c r="EZ1" s="1169" t="s">
        <v>798</v>
      </c>
      <c r="FA1" s="1169" t="s">
        <v>799</v>
      </c>
      <c r="FB1" s="1169" t="s">
        <v>800</v>
      </c>
      <c r="FC1" s="1169" t="s">
        <v>801</v>
      </c>
      <c r="FD1" s="1169" t="s">
        <v>802</v>
      </c>
      <c r="FE1" s="1169" t="s">
        <v>803</v>
      </c>
      <c r="FF1" s="1169" t="s">
        <v>804</v>
      </c>
      <c r="FG1" s="1169" t="s">
        <v>805</v>
      </c>
      <c r="FH1" s="1169" t="s">
        <v>806</v>
      </c>
      <c r="FI1" s="1169" t="s">
        <v>807</v>
      </c>
      <c r="FJ1" s="1169" t="s">
        <v>808</v>
      </c>
      <c r="FK1" s="1169" t="s">
        <v>809</v>
      </c>
      <c r="FL1" s="1169" t="s">
        <v>810</v>
      </c>
      <c r="FM1" s="1169" t="s">
        <v>811</v>
      </c>
      <c r="FN1" s="1169" t="s">
        <v>812</v>
      </c>
      <c r="FO1" s="1169" t="s">
        <v>813</v>
      </c>
      <c r="FP1" s="1169" t="s">
        <v>814</v>
      </c>
      <c r="FQ1" s="1169" t="s">
        <v>815</v>
      </c>
      <c r="FR1" s="1169" t="s">
        <v>816</v>
      </c>
      <c r="FS1" s="1169" t="s">
        <v>817</v>
      </c>
      <c r="FT1" s="1169" t="s">
        <v>818</v>
      </c>
      <c r="FU1" s="1169" t="s">
        <v>819</v>
      </c>
      <c r="FV1" s="1169" t="s">
        <v>820</v>
      </c>
      <c r="FW1" s="1169" t="s">
        <v>821</v>
      </c>
      <c r="FX1" s="1169" t="s">
        <v>822</v>
      </c>
      <c r="FY1" s="1169" t="s">
        <v>823</v>
      </c>
      <c r="FZ1" s="1169" t="s">
        <v>824</v>
      </c>
      <c r="GA1" s="1169" t="s">
        <v>825</v>
      </c>
      <c r="GB1" s="1169" t="s">
        <v>826</v>
      </c>
      <c r="GC1" s="1169" t="s">
        <v>827</v>
      </c>
      <c r="GD1" s="1169" t="s">
        <v>828</v>
      </c>
      <c r="GE1" s="1169" t="s">
        <v>829</v>
      </c>
      <c r="GF1" s="1169" t="s">
        <v>830</v>
      </c>
      <c r="GG1" s="1169" t="s">
        <v>831</v>
      </c>
      <c r="GH1" s="1169" t="s">
        <v>832</v>
      </c>
      <c r="GI1" s="1169" t="s">
        <v>833</v>
      </c>
      <c r="GJ1" s="1169" t="s">
        <v>834</v>
      </c>
      <c r="GK1" s="1169" t="s">
        <v>835</v>
      </c>
      <c r="GL1" s="1169" t="s">
        <v>836</v>
      </c>
      <c r="GM1" s="1169" t="s">
        <v>837</v>
      </c>
      <c r="GN1" s="1169" t="s">
        <v>838</v>
      </c>
      <c r="GO1" s="1169" t="s">
        <v>839</v>
      </c>
      <c r="GP1" s="1169" t="s">
        <v>840</v>
      </c>
      <c r="GQ1" s="1169" t="s">
        <v>841</v>
      </c>
      <c r="GR1" s="1169" t="s">
        <v>842</v>
      </c>
      <c r="GS1" s="1169" t="s">
        <v>843</v>
      </c>
      <c r="GT1" s="1169" t="s">
        <v>844</v>
      </c>
      <c r="GU1" s="1169" t="s">
        <v>317</v>
      </c>
      <c r="GV1" s="1169" t="s">
        <v>318</v>
      </c>
      <c r="GW1" s="1169" t="s">
        <v>319</v>
      </c>
      <c r="GX1" s="1169" t="s">
        <v>320</v>
      </c>
      <c r="GY1" s="1169" t="s">
        <v>321</v>
      </c>
      <c r="GZ1" s="1169" t="s">
        <v>194</v>
      </c>
      <c r="HA1" s="1169" t="s">
        <v>195</v>
      </c>
    </row>
    <row r="2" spans="1:209" x14ac:dyDescent="0.35">
      <c r="A2" s="1169" t="s">
        <v>845</v>
      </c>
      <c r="B2" s="1169">
        <v>1051.2</v>
      </c>
      <c r="C2" s="1169">
        <v>1067.4000000000001</v>
      </c>
      <c r="D2" s="1169">
        <v>1086.0999999999999</v>
      </c>
      <c r="E2" s="1169">
        <v>1088.5999999999999</v>
      </c>
      <c r="F2" s="1169">
        <v>1135.2</v>
      </c>
      <c r="G2" s="1169">
        <v>1156.3</v>
      </c>
      <c r="H2" s="1169">
        <v>1177.7</v>
      </c>
      <c r="I2" s="1169">
        <v>1190.3</v>
      </c>
      <c r="J2" s="1169">
        <v>1230.5999999999999</v>
      </c>
      <c r="K2" s="1169">
        <v>1266.4000000000001</v>
      </c>
      <c r="L2" s="1169">
        <v>1290.5999999999999</v>
      </c>
      <c r="M2" s="1169">
        <v>1328.9</v>
      </c>
      <c r="N2" s="1169">
        <v>1377.5</v>
      </c>
      <c r="O2" s="1169">
        <v>1413.9</v>
      </c>
      <c r="P2" s="1169">
        <v>1433.8</v>
      </c>
      <c r="Q2" s="1169">
        <v>1476.3</v>
      </c>
      <c r="R2" s="1169">
        <v>1491.2</v>
      </c>
      <c r="S2" s="1169">
        <v>1530.1</v>
      </c>
      <c r="T2" s="1169">
        <v>1560</v>
      </c>
      <c r="U2" s="1169">
        <v>1599.7</v>
      </c>
      <c r="V2" s="1169">
        <v>1616.1</v>
      </c>
      <c r="W2" s="1169">
        <v>1651.9</v>
      </c>
      <c r="X2" s="1169">
        <v>1709.8</v>
      </c>
      <c r="Y2" s="1169">
        <v>1761.8</v>
      </c>
      <c r="Z2" s="1169">
        <v>1820.5</v>
      </c>
      <c r="AA2" s="1169">
        <v>1852.3</v>
      </c>
      <c r="AB2" s="1169">
        <v>1886.6</v>
      </c>
      <c r="AC2" s="1169">
        <v>1934.3</v>
      </c>
      <c r="AD2" s="1169">
        <v>1988.6</v>
      </c>
      <c r="AE2" s="1169">
        <v>2055.9</v>
      </c>
      <c r="AF2" s="1169">
        <v>2118.5</v>
      </c>
      <c r="AG2" s="1169">
        <v>2164.3000000000002</v>
      </c>
      <c r="AH2" s="1169">
        <v>2202.8000000000002</v>
      </c>
      <c r="AI2" s="1169">
        <v>2331.6</v>
      </c>
      <c r="AJ2" s="1169">
        <v>2395.1</v>
      </c>
      <c r="AK2" s="1169">
        <v>2476.9</v>
      </c>
      <c r="AL2" s="1169">
        <v>2526.6</v>
      </c>
      <c r="AM2" s="1169">
        <v>2591.1999999999998</v>
      </c>
      <c r="AN2" s="1169">
        <v>2667.6</v>
      </c>
      <c r="AO2" s="1169">
        <v>2723.9</v>
      </c>
      <c r="AP2" s="1169">
        <v>2789.8</v>
      </c>
      <c r="AQ2" s="1169">
        <v>2797.4</v>
      </c>
      <c r="AR2" s="1169">
        <v>2856.5</v>
      </c>
      <c r="AS2" s="1169">
        <v>2985.6</v>
      </c>
      <c r="AT2" s="1169">
        <v>3124.2</v>
      </c>
      <c r="AU2" s="1169">
        <v>3162.5</v>
      </c>
      <c r="AV2" s="1169">
        <v>3260.6</v>
      </c>
      <c r="AW2" s="1169">
        <v>3280.8</v>
      </c>
      <c r="AX2" s="1169">
        <v>3274.3</v>
      </c>
      <c r="AY2" s="1169">
        <v>3332</v>
      </c>
      <c r="AZ2" s="1169">
        <v>3366.3</v>
      </c>
      <c r="BA2" s="1169">
        <v>3402.6</v>
      </c>
      <c r="BB2" s="1169">
        <v>3473.4</v>
      </c>
      <c r="BC2" s="1169">
        <v>3578.8</v>
      </c>
      <c r="BD2" s="1169">
        <v>3689.2</v>
      </c>
      <c r="BE2" s="1169">
        <v>3794.7</v>
      </c>
      <c r="BF2" s="1169">
        <v>3908.1</v>
      </c>
      <c r="BG2" s="1169">
        <v>4009.6</v>
      </c>
      <c r="BH2" s="1169">
        <v>4084.3</v>
      </c>
      <c r="BI2" s="1169">
        <v>4148.6000000000004</v>
      </c>
      <c r="BJ2" s="1169">
        <v>4230.2</v>
      </c>
      <c r="BK2" s="1169">
        <v>4294.8999999999996</v>
      </c>
      <c r="BL2" s="1169">
        <v>4386.8</v>
      </c>
      <c r="BM2" s="1169">
        <v>4444.1000000000004</v>
      </c>
      <c r="BN2" s="1169">
        <v>4507.8999999999996</v>
      </c>
      <c r="BO2" s="1169">
        <v>4545.3</v>
      </c>
      <c r="BP2" s="1169">
        <v>4607.7</v>
      </c>
      <c r="BQ2" s="1169">
        <v>4657.6000000000004</v>
      </c>
      <c r="BR2" s="1169">
        <v>4722.2</v>
      </c>
      <c r="BS2" s="1169">
        <v>4806.2</v>
      </c>
      <c r="BT2" s="1169">
        <v>4884.6000000000004</v>
      </c>
      <c r="BU2" s="1169">
        <v>5008</v>
      </c>
      <c r="BV2" s="1169">
        <v>5073.3999999999996</v>
      </c>
      <c r="BW2" s="1169">
        <v>5190</v>
      </c>
      <c r="BX2" s="1169">
        <v>5282.8</v>
      </c>
      <c r="BY2" s="1169">
        <v>5399.5</v>
      </c>
      <c r="BZ2" s="1169">
        <v>5511.3</v>
      </c>
      <c r="CA2" s="1169">
        <v>5612.5</v>
      </c>
      <c r="CB2" s="1169">
        <v>5695.4</v>
      </c>
      <c r="CC2" s="1169">
        <v>5747.2</v>
      </c>
      <c r="CD2" s="1169">
        <v>5872.7</v>
      </c>
      <c r="CE2" s="1169">
        <v>5960</v>
      </c>
      <c r="CF2" s="1169">
        <v>6015.1</v>
      </c>
      <c r="CG2" s="1169">
        <v>6004.7</v>
      </c>
      <c r="CH2" s="1169">
        <v>6035.2</v>
      </c>
      <c r="CI2" s="1169">
        <v>6126.9</v>
      </c>
      <c r="CJ2" s="1169">
        <v>6205.9</v>
      </c>
      <c r="CK2" s="1169">
        <v>6264.5</v>
      </c>
      <c r="CL2" s="1169">
        <v>6363.1</v>
      </c>
      <c r="CM2" s="1169">
        <v>6470.8</v>
      </c>
      <c r="CN2" s="1169">
        <v>6566.6</v>
      </c>
      <c r="CO2" s="1169">
        <v>6680.8</v>
      </c>
      <c r="CP2" s="1169">
        <v>6729.5</v>
      </c>
      <c r="CQ2" s="1169">
        <v>6808.9</v>
      </c>
      <c r="CR2" s="1169">
        <v>6882.1</v>
      </c>
      <c r="CS2" s="1169">
        <v>7013.7</v>
      </c>
      <c r="CT2" s="1169">
        <v>7115.7</v>
      </c>
      <c r="CU2" s="1169">
        <v>7246.9</v>
      </c>
      <c r="CV2" s="1169">
        <v>7331.1</v>
      </c>
      <c r="CW2" s="1169">
        <v>7455.3</v>
      </c>
      <c r="CX2" s="1169">
        <v>7522.3</v>
      </c>
      <c r="CY2" s="1169">
        <v>7581</v>
      </c>
      <c r="CZ2" s="1169">
        <v>7683.1</v>
      </c>
      <c r="DA2" s="1169">
        <v>7772.6</v>
      </c>
      <c r="DB2" s="1169">
        <v>7868.5</v>
      </c>
      <c r="DC2" s="1169">
        <v>8032.8</v>
      </c>
      <c r="DD2" s="1169">
        <v>8131.4</v>
      </c>
      <c r="DE2" s="1169">
        <v>8259.7999999999993</v>
      </c>
      <c r="DF2" s="1169">
        <v>8362.7000000000007</v>
      </c>
      <c r="DG2" s="1169">
        <v>8518.7999999999993</v>
      </c>
      <c r="DH2" s="1169">
        <v>8662.7999999999993</v>
      </c>
      <c r="DI2" s="1169">
        <v>8765.9</v>
      </c>
      <c r="DJ2" s="1169">
        <v>8866.5</v>
      </c>
      <c r="DK2" s="1169">
        <v>8969.7000000000007</v>
      </c>
      <c r="DL2" s="1169">
        <v>9121.1</v>
      </c>
      <c r="DM2" s="1169">
        <v>9294</v>
      </c>
      <c r="DN2" s="1169">
        <v>9411.7000000000007</v>
      </c>
      <c r="DO2" s="1169">
        <v>9526.2000000000007</v>
      </c>
      <c r="DP2" s="1169">
        <v>9686.6</v>
      </c>
      <c r="DQ2" s="1169">
        <v>9900.2000000000007</v>
      </c>
      <c r="DR2" s="1169">
        <v>10002.200000000001</v>
      </c>
      <c r="DS2" s="1169">
        <v>10247.700000000001</v>
      </c>
      <c r="DT2" s="1169">
        <v>10318.200000000001</v>
      </c>
      <c r="DU2" s="1169">
        <v>10435.700000000001</v>
      </c>
      <c r="DV2" s="1169">
        <v>10470.200000000001</v>
      </c>
      <c r="DW2" s="1169">
        <v>10599</v>
      </c>
      <c r="DX2" s="1169">
        <v>10598</v>
      </c>
      <c r="DY2" s="1169">
        <v>10660.5</v>
      </c>
      <c r="DZ2" s="1169">
        <v>10783.5</v>
      </c>
      <c r="EA2" s="1169">
        <v>10887.5</v>
      </c>
      <c r="EB2" s="1169">
        <v>10984</v>
      </c>
      <c r="EC2" s="1169">
        <v>11061.4</v>
      </c>
      <c r="ED2" s="1169">
        <v>11174.1</v>
      </c>
      <c r="EE2" s="1169">
        <v>11312.8</v>
      </c>
      <c r="EF2" s="1169">
        <v>11566.7</v>
      </c>
      <c r="EG2" s="1169">
        <v>11772.2</v>
      </c>
      <c r="EH2" s="1169">
        <v>11923.4</v>
      </c>
      <c r="EI2" s="1169">
        <v>12112.8</v>
      </c>
      <c r="EJ2" s="1169">
        <v>12305.3</v>
      </c>
      <c r="EK2" s="1169">
        <v>12527.2</v>
      </c>
      <c r="EL2" s="1169">
        <v>12767.3</v>
      </c>
      <c r="EM2" s="1169">
        <v>12922.7</v>
      </c>
      <c r="EN2" s="1169">
        <v>13142.6</v>
      </c>
      <c r="EO2" s="1169">
        <v>13324.2</v>
      </c>
      <c r="EP2" s="1169">
        <v>13599.2</v>
      </c>
      <c r="EQ2" s="1169">
        <v>13753.4</v>
      </c>
      <c r="ER2" s="1169">
        <v>13870.2</v>
      </c>
      <c r="ES2" s="1169">
        <v>14039.6</v>
      </c>
      <c r="ET2" s="1169">
        <v>14215.7</v>
      </c>
      <c r="EU2" s="1169">
        <v>14402.1</v>
      </c>
      <c r="EV2" s="1169">
        <v>14564.1</v>
      </c>
      <c r="EW2" s="1169">
        <v>14715.1</v>
      </c>
      <c r="EX2" s="1169">
        <v>14706.5</v>
      </c>
      <c r="EY2" s="1169">
        <v>14865.7</v>
      </c>
      <c r="EZ2" s="1169">
        <v>14899</v>
      </c>
      <c r="FA2" s="1169">
        <v>14608.2</v>
      </c>
      <c r="FB2" s="1169">
        <v>14430.9</v>
      </c>
      <c r="FC2" s="1169">
        <v>14381.2</v>
      </c>
      <c r="FD2" s="1169">
        <v>14448.9</v>
      </c>
      <c r="FE2" s="1169">
        <v>14651.2</v>
      </c>
      <c r="FF2" s="1169">
        <v>14764.6</v>
      </c>
      <c r="FG2" s="1169">
        <v>14980.2</v>
      </c>
      <c r="FH2" s="1169">
        <v>15141.6</v>
      </c>
      <c r="FI2" s="1169">
        <v>15309.5</v>
      </c>
      <c r="FJ2" s="1169">
        <v>15351.4</v>
      </c>
      <c r="FK2" s="1169">
        <v>15557.5</v>
      </c>
      <c r="FL2" s="1169">
        <v>15647.7</v>
      </c>
      <c r="FM2" s="1169">
        <v>15842.3</v>
      </c>
      <c r="FN2" s="1169">
        <v>16068.8</v>
      </c>
      <c r="FO2" s="1169">
        <v>16207.1</v>
      </c>
      <c r="FP2" s="1169">
        <v>16319.5</v>
      </c>
      <c r="FQ2" s="1169">
        <v>16420.400000000001</v>
      </c>
      <c r="FR2" s="1169">
        <v>16629.099999999999</v>
      </c>
      <c r="FS2" s="1169">
        <v>16699.599999999999</v>
      </c>
      <c r="FT2" s="1169">
        <v>16911.099999999999</v>
      </c>
      <c r="FU2" s="1169">
        <v>17133.099999999999</v>
      </c>
      <c r="FV2" s="1169">
        <v>17144.3</v>
      </c>
      <c r="FW2" s="1169">
        <v>17462.7</v>
      </c>
      <c r="FX2" s="1169">
        <v>17743.2</v>
      </c>
      <c r="FY2" s="1169">
        <v>17852.5</v>
      </c>
      <c r="FZ2" s="1169">
        <v>17991.3</v>
      </c>
      <c r="GA2" s="1169">
        <v>18193.7</v>
      </c>
      <c r="GB2" s="1169">
        <v>18307</v>
      </c>
      <c r="GC2" s="1169">
        <v>18332.099999999999</v>
      </c>
      <c r="GD2" s="1169">
        <v>18425.3</v>
      </c>
      <c r="GE2" s="1169">
        <v>18611.599999999999</v>
      </c>
      <c r="GF2" s="1169">
        <v>18775.5</v>
      </c>
      <c r="GG2" s="1169">
        <v>18968</v>
      </c>
      <c r="GH2" s="1169">
        <v>19153.900000000001</v>
      </c>
      <c r="GI2" s="1169">
        <v>19322.900000000001</v>
      </c>
      <c r="GJ2" s="1169">
        <v>19558.7</v>
      </c>
      <c r="GK2" s="1169">
        <v>19883</v>
      </c>
      <c r="GL2" s="1169">
        <v>20143.7</v>
      </c>
      <c r="GM2" s="1169">
        <v>20492.5</v>
      </c>
      <c r="GN2" s="1169">
        <v>20659.099999999999</v>
      </c>
      <c r="GO2" s="1169">
        <v>20813.3</v>
      </c>
      <c r="GP2" s="1169">
        <v>21001.599999999999</v>
      </c>
      <c r="GQ2" s="1169">
        <v>21289.3</v>
      </c>
      <c r="GR2" s="1169">
        <v>21505</v>
      </c>
      <c r="GS2" s="1169">
        <v>21694.5</v>
      </c>
      <c r="GT2" s="1169">
        <v>21481.4</v>
      </c>
      <c r="GU2" s="1169">
        <v>19477.400000000001</v>
      </c>
      <c r="GV2" s="1169">
        <v>21138.6</v>
      </c>
      <c r="GW2" s="1169">
        <v>21477.599999999999</v>
      </c>
      <c r="GX2" s="1169">
        <v>22038.2</v>
      </c>
      <c r="GY2" s="1169">
        <v>22741</v>
      </c>
      <c r="GZ2" s="1169">
        <v>23202.3</v>
      </c>
      <c r="HA2" s="1169">
        <v>24002.799999999999</v>
      </c>
    </row>
    <row r="3" spans="1:209" x14ac:dyDescent="0.35">
      <c r="A3" s="1169" t="s">
        <v>846</v>
      </c>
      <c r="B3" s="1169">
        <v>4939.8</v>
      </c>
      <c r="C3" s="1169">
        <v>4946.8</v>
      </c>
      <c r="D3" s="1169">
        <v>4992.3999999999996</v>
      </c>
      <c r="E3" s="1169">
        <v>4938.8999999999996</v>
      </c>
      <c r="F3" s="1169">
        <v>5073</v>
      </c>
      <c r="G3" s="1169">
        <v>5100.3999999999996</v>
      </c>
      <c r="H3" s="1169">
        <v>5142.3999999999996</v>
      </c>
      <c r="I3" s="1169">
        <v>5154.5</v>
      </c>
      <c r="J3" s="1169">
        <v>5249.3</v>
      </c>
      <c r="K3" s="1169">
        <v>5368.5</v>
      </c>
      <c r="L3" s="1169">
        <v>5419.2</v>
      </c>
      <c r="M3" s="1169">
        <v>5509.9</v>
      </c>
      <c r="N3" s="1169">
        <v>5646.3</v>
      </c>
      <c r="O3" s="1169">
        <v>5707.8</v>
      </c>
      <c r="P3" s="1169">
        <v>5677.7</v>
      </c>
      <c r="Q3" s="1169">
        <v>5731.6</v>
      </c>
      <c r="R3" s="1169">
        <v>5682.4</v>
      </c>
      <c r="S3" s="1169">
        <v>5695.9</v>
      </c>
      <c r="T3" s="1169">
        <v>5642</v>
      </c>
      <c r="U3" s="1169">
        <v>5620.1</v>
      </c>
      <c r="V3" s="1169">
        <v>5551.7</v>
      </c>
      <c r="W3" s="1169">
        <v>5591.4</v>
      </c>
      <c r="X3" s="1169">
        <v>5687.1</v>
      </c>
      <c r="Y3" s="1169">
        <v>5763.7</v>
      </c>
      <c r="Z3" s="1169">
        <v>5893.3</v>
      </c>
      <c r="AA3" s="1169">
        <v>5936.5</v>
      </c>
      <c r="AB3" s="1169">
        <v>5969.1</v>
      </c>
      <c r="AC3" s="1169">
        <v>6012.4</v>
      </c>
      <c r="AD3" s="1169">
        <v>6083.4</v>
      </c>
      <c r="AE3" s="1169">
        <v>6201.7</v>
      </c>
      <c r="AF3" s="1169">
        <v>6313.6</v>
      </c>
      <c r="AG3" s="1169">
        <v>6313.7</v>
      </c>
      <c r="AH3" s="1169">
        <v>6333.8</v>
      </c>
      <c r="AI3" s="1169">
        <v>6578.6</v>
      </c>
      <c r="AJ3" s="1169">
        <v>6644.8</v>
      </c>
      <c r="AK3" s="1169">
        <v>6734.1</v>
      </c>
      <c r="AL3" s="1169">
        <v>6746.2</v>
      </c>
      <c r="AM3" s="1169">
        <v>6753.4</v>
      </c>
      <c r="AN3" s="1169">
        <v>6803.6</v>
      </c>
      <c r="AO3" s="1169">
        <v>6820.6</v>
      </c>
      <c r="AP3" s="1169">
        <v>6842</v>
      </c>
      <c r="AQ3" s="1169">
        <v>6701</v>
      </c>
      <c r="AR3" s="1169">
        <v>6693.1</v>
      </c>
      <c r="AS3" s="1169">
        <v>6817.9</v>
      </c>
      <c r="AT3" s="1169">
        <v>6951.5</v>
      </c>
      <c r="AU3" s="1169">
        <v>6900</v>
      </c>
      <c r="AV3" s="1169">
        <v>6982.6</v>
      </c>
      <c r="AW3" s="1169">
        <v>6906.5</v>
      </c>
      <c r="AX3" s="1169">
        <v>6799.2</v>
      </c>
      <c r="AY3" s="1169">
        <v>6830.3</v>
      </c>
      <c r="AZ3" s="1169">
        <v>6804.1</v>
      </c>
      <c r="BA3" s="1169">
        <v>6806.9</v>
      </c>
      <c r="BB3" s="1169">
        <v>6896.6</v>
      </c>
      <c r="BC3" s="1169">
        <v>7053.5</v>
      </c>
      <c r="BD3" s="1169">
        <v>7194.5</v>
      </c>
      <c r="BE3" s="1169">
        <v>7344.6</v>
      </c>
      <c r="BF3" s="1169">
        <v>7488.2</v>
      </c>
      <c r="BG3" s="1169">
        <v>7617.5</v>
      </c>
      <c r="BH3" s="1169">
        <v>7691</v>
      </c>
      <c r="BI3" s="1169">
        <v>7754.1</v>
      </c>
      <c r="BJ3" s="1169">
        <v>7829.3</v>
      </c>
      <c r="BK3" s="1169">
        <v>7898.2</v>
      </c>
      <c r="BL3" s="1169">
        <v>8018.8</v>
      </c>
      <c r="BM3" s="1169">
        <v>8078.4</v>
      </c>
      <c r="BN3" s="1169">
        <v>8153.8</v>
      </c>
      <c r="BO3" s="1169">
        <v>8190.6</v>
      </c>
      <c r="BP3" s="1169">
        <v>8268.9</v>
      </c>
      <c r="BQ3" s="1169">
        <v>8313.2999999999993</v>
      </c>
      <c r="BR3" s="1169">
        <v>8375.2999999999993</v>
      </c>
      <c r="BS3" s="1169">
        <v>8465.6</v>
      </c>
      <c r="BT3" s="1169">
        <v>8539.1</v>
      </c>
      <c r="BU3" s="1169">
        <v>8685.7000000000007</v>
      </c>
      <c r="BV3" s="1169">
        <v>8730.6</v>
      </c>
      <c r="BW3" s="1169">
        <v>8845.2999999999993</v>
      </c>
      <c r="BX3" s="1169">
        <v>8897.1</v>
      </c>
      <c r="BY3" s="1169">
        <v>9015.7000000000007</v>
      </c>
      <c r="BZ3" s="1169">
        <v>9107.2999999999993</v>
      </c>
      <c r="CA3" s="1169">
        <v>9176.7999999999993</v>
      </c>
      <c r="CB3" s="1169">
        <v>9244.7999999999993</v>
      </c>
      <c r="CC3" s="1169">
        <v>9263</v>
      </c>
      <c r="CD3" s="1169">
        <v>9364.2999999999993</v>
      </c>
      <c r="CE3" s="1169">
        <v>9398.2000000000007</v>
      </c>
      <c r="CF3" s="1169">
        <v>9404.5</v>
      </c>
      <c r="CG3" s="1169">
        <v>9318.9</v>
      </c>
      <c r="CH3" s="1169">
        <v>9275.2999999999993</v>
      </c>
      <c r="CI3" s="1169">
        <v>9347.6</v>
      </c>
      <c r="CJ3" s="1169">
        <v>9394.7999999999993</v>
      </c>
      <c r="CK3" s="1169">
        <v>9427.6</v>
      </c>
      <c r="CL3" s="1169">
        <v>9540.4</v>
      </c>
      <c r="CM3" s="1169">
        <v>9643.9</v>
      </c>
      <c r="CN3" s="1169">
        <v>9739.2000000000007</v>
      </c>
      <c r="CO3" s="1169">
        <v>9840.7999999999993</v>
      </c>
      <c r="CP3" s="1169">
        <v>9857.2000000000007</v>
      </c>
      <c r="CQ3" s="1169">
        <v>9914.6</v>
      </c>
      <c r="CR3" s="1169">
        <v>9961.9</v>
      </c>
      <c r="CS3" s="1169">
        <v>10097.4</v>
      </c>
      <c r="CT3" s="1169">
        <v>10195.299999999999</v>
      </c>
      <c r="CU3" s="1169">
        <v>10333.5</v>
      </c>
      <c r="CV3" s="1169">
        <v>10393.9</v>
      </c>
      <c r="CW3" s="1169">
        <v>10513</v>
      </c>
      <c r="CX3" s="1169">
        <v>10550.3</v>
      </c>
      <c r="CY3" s="1169">
        <v>10581.7</v>
      </c>
      <c r="CZ3" s="1169">
        <v>10671.7</v>
      </c>
      <c r="DA3" s="1169">
        <v>10744.2</v>
      </c>
      <c r="DB3" s="1169">
        <v>10824.7</v>
      </c>
      <c r="DC3" s="1169">
        <v>11005.2</v>
      </c>
      <c r="DD3" s="1169">
        <v>11103.9</v>
      </c>
      <c r="DE3" s="1169">
        <v>11219.2</v>
      </c>
      <c r="DF3" s="1169">
        <v>11291.7</v>
      </c>
      <c r="DG3" s="1169">
        <v>11479.3</v>
      </c>
      <c r="DH3" s="1169">
        <v>11622.9</v>
      </c>
      <c r="DI3" s="1169">
        <v>11722.7</v>
      </c>
      <c r="DJ3" s="1169">
        <v>11839.9</v>
      </c>
      <c r="DK3" s="1169">
        <v>11949.5</v>
      </c>
      <c r="DL3" s="1169">
        <v>12099.2</v>
      </c>
      <c r="DM3" s="1169">
        <v>12294.7</v>
      </c>
      <c r="DN3" s="1169">
        <v>12410.8</v>
      </c>
      <c r="DO3" s="1169">
        <v>12514.4</v>
      </c>
      <c r="DP3" s="1169">
        <v>12680</v>
      </c>
      <c r="DQ3" s="1169">
        <v>12888.3</v>
      </c>
      <c r="DR3" s="1169">
        <v>12935.3</v>
      </c>
      <c r="DS3" s="1169">
        <v>13170.7</v>
      </c>
      <c r="DT3" s="1169">
        <v>13183.9</v>
      </c>
      <c r="DU3" s="1169">
        <v>13262.3</v>
      </c>
      <c r="DV3" s="1169">
        <v>13219.3</v>
      </c>
      <c r="DW3" s="1169">
        <v>13301.4</v>
      </c>
      <c r="DX3" s="1169">
        <v>13248.1</v>
      </c>
      <c r="DY3" s="1169">
        <v>13284.9</v>
      </c>
      <c r="DZ3" s="1169">
        <v>13394.9</v>
      </c>
      <c r="EA3" s="1169">
        <v>13477.4</v>
      </c>
      <c r="EB3" s="1169">
        <v>13531.7</v>
      </c>
      <c r="EC3" s="1169">
        <v>13549.4</v>
      </c>
      <c r="ED3" s="1169">
        <v>13619.4</v>
      </c>
      <c r="EE3" s="1169">
        <v>13741.1</v>
      </c>
      <c r="EF3" s="1169">
        <v>13970.2</v>
      </c>
      <c r="EG3" s="1169">
        <v>14131.4</v>
      </c>
      <c r="EH3" s="1169">
        <v>14212.3</v>
      </c>
      <c r="EI3" s="1169">
        <v>14323</v>
      </c>
      <c r="EJ3" s="1169">
        <v>14457.8</v>
      </c>
      <c r="EK3" s="1169">
        <v>14605.6</v>
      </c>
      <c r="EL3" s="1169">
        <v>14767.8</v>
      </c>
      <c r="EM3" s="1169">
        <v>14839.7</v>
      </c>
      <c r="EN3" s="1169">
        <v>14956.3</v>
      </c>
      <c r="EO3" s="1169">
        <v>15041.2</v>
      </c>
      <c r="EP3" s="1169">
        <v>15244.1</v>
      </c>
      <c r="EQ3" s="1169">
        <v>15281.5</v>
      </c>
      <c r="ER3" s="1169">
        <v>15304.5</v>
      </c>
      <c r="ES3" s="1169">
        <v>15433.6</v>
      </c>
      <c r="ET3" s="1169">
        <v>15479</v>
      </c>
      <c r="EU3" s="1169">
        <v>15577.8</v>
      </c>
      <c r="EV3" s="1169">
        <v>15671.6</v>
      </c>
      <c r="EW3" s="1169">
        <v>15767.1</v>
      </c>
      <c r="EX3" s="1169">
        <v>15702.9</v>
      </c>
      <c r="EY3" s="1169">
        <v>15792.8</v>
      </c>
      <c r="EZ3" s="1169">
        <v>15709.6</v>
      </c>
      <c r="FA3" s="1169">
        <v>15366.6</v>
      </c>
      <c r="FB3" s="1169">
        <v>15187.5</v>
      </c>
      <c r="FC3" s="1169">
        <v>15161.8</v>
      </c>
      <c r="FD3" s="1169">
        <v>15216.6</v>
      </c>
      <c r="FE3" s="1169">
        <v>15379.2</v>
      </c>
      <c r="FF3" s="1169">
        <v>15456.1</v>
      </c>
      <c r="FG3" s="1169">
        <v>15605.6</v>
      </c>
      <c r="FH3" s="1169">
        <v>15726.3</v>
      </c>
      <c r="FI3" s="1169">
        <v>15808</v>
      </c>
      <c r="FJ3" s="1169">
        <v>15769.9</v>
      </c>
      <c r="FK3" s="1169">
        <v>15876.8</v>
      </c>
      <c r="FL3" s="1169">
        <v>15870.7</v>
      </c>
      <c r="FM3" s="1169">
        <v>16048.7</v>
      </c>
      <c r="FN3" s="1169">
        <v>16180</v>
      </c>
      <c r="FO3" s="1169">
        <v>16253.7</v>
      </c>
      <c r="FP3" s="1169">
        <v>16282.2</v>
      </c>
      <c r="FQ3" s="1169">
        <v>16300</v>
      </c>
      <c r="FR3" s="1169">
        <v>16441.5</v>
      </c>
      <c r="FS3" s="1169">
        <v>16464.400000000001</v>
      </c>
      <c r="FT3" s="1169">
        <v>16594.7</v>
      </c>
      <c r="FU3" s="1169">
        <v>16712.8</v>
      </c>
      <c r="FV3" s="1169">
        <v>16654.2</v>
      </c>
      <c r="FW3" s="1169">
        <v>16868.099999999999</v>
      </c>
      <c r="FX3" s="1169">
        <v>17064.599999999999</v>
      </c>
      <c r="FY3" s="1169">
        <v>17141.2</v>
      </c>
      <c r="FZ3" s="1169">
        <v>17280.599999999999</v>
      </c>
      <c r="GA3" s="1169">
        <v>17380.900000000001</v>
      </c>
      <c r="GB3" s="1169">
        <v>17437.099999999999</v>
      </c>
      <c r="GC3" s="1169">
        <v>17462.599999999999</v>
      </c>
      <c r="GD3" s="1169">
        <v>17565.5</v>
      </c>
      <c r="GE3" s="1169">
        <v>17618.599999999999</v>
      </c>
      <c r="GF3" s="1169">
        <v>17724.5</v>
      </c>
      <c r="GG3" s="1169">
        <v>17812.599999999999</v>
      </c>
      <c r="GH3" s="1169">
        <v>17896.599999999999</v>
      </c>
      <c r="GI3" s="1169">
        <v>17996.8</v>
      </c>
      <c r="GJ3" s="1169">
        <v>18126.2</v>
      </c>
      <c r="GK3" s="1169">
        <v>18296.7</v>
      </c>
      <c r="GL3" s="1169">
        <v>18436.3</v>
      </c>
      <c r="GM3" s="1169">
        <v>18590</v>
      </c>
      <c r="GN3" s="1169">
        <v>18679.599999999999</v>
      </c>
      <c r="GO3" s="1169">
        <v>18721.3</v>
      </c>
      <c r="GP3" s="1169">
        <v>18833.2</v>
      </c>
      <c r="GQ3" s="1169">
        <v>18982.5</v>
      </c>
      <c r="GR3" s="1169">
        <v>19112.7</v>
      </c>
      <c r="GS3" s="1169">
        <v>19202.3</v>
      </c>
      <c r="GT3" s="1169">
        <v>18952</v>
      </c>
      <c r="GU3" s="1169">
        <v>17258.2</v>
      </c>
      <c r="GV3" s="1169">
        <v>18560.8</v>
      </c>
      <c r="GW3" s="1169">
        <v>18767.8</v>
      </c>
      <c r="GX3" s="1169">
        <v>19055.7</v>
      </c>
      <c r="GY3" s="1169">
        <v>19368.3</v>
      </c>
      <c r="GZ3" s="1169">
        <v>19478.900000000001</v>
      </c>
      <c r="HA3" s="1169">
        <v>19806.3</v>
      </c>
    </row>
    <row r="4" spans="1:209" x14ac:dyDescent="0.35">
      <c r="A4" s="1169" t="s">
        <v>847</v>
      </c>
      <c r="B4" s="1169">
        <v>21.271999999999998</v>
      </c>
      <c r="C4" s="1169">
        <v>21.579000000000001</v>
      </c>
      <c r="D4" s="1169">
        <v>21.756</v>
      </c>
      <c r="E4" s="1169">
        <v>22.041</v>
      </c>
      <c r="F4" s="1169">
        <v>22.375</v>
      </c>
      <c r="G4" s="1169">
        <v>22.673999999999999</v>
      </c>
      <c r="H4" s="1169">
        <v>22.902999999999999</v>
      </c>
      <c r="I4" s="1169">
        <v>23.091999999999999</v>
      </c>
      <c r="J4" s="1169">
        <v>23.463000000000001</v>
      </c>
      <c r="K4" s="1169">
        <v>23.606000000000002</v>
      </c>
      <c r="L4" s="1169">
        <v>23.82</v>
      </c>
      <c r="M4" s="1169">
        <v>24.09</v>
      </c>
      <c r="N4" s="1169">
        <v>24.396000000000001</v>
      </c>
      <c r="O4" s="1169">
        <v>24.8</v>
      </c>
      <c r="P4" s="1169">
        <v>25.273</v>
      </c>
      <c r="Q4" s="1169">
        <v>25.710999999999999</v>
      </c>
      <c r="R4" s="1169">
        <v>26.231999999999999</v>
      </c>
      <c r="S4" s="1169">
        <v>26.815000000000001</v>
      </c>
      <c r="T4" s="1169">
        <v>27.640999999999998</v>
      </c>
      <c r="U4" s="1169">
        <v>28.478999999999999</v>
      </c>
      <c r="V4" s="1169">
        <v>29.123999999999999</v>
      </c>
      <c r="W4" s="1169">
        <v>29.545999999999999</v>
      </c>
      <c r="X4" s="1169">
        <v>30.068000000000001</v>
      </c>
      <c r="Y4" s="1169">
        <v>30.57</v>
      </c>
      <c r="Z4" s="1169">
        <v>30.905000000000001</v>
      </c>
      <c r="AA4" s="1169">
        <v>31.213000000000001</v>
      </c>
      <c r="AB4" s="1169">
        <v>31.611000000000001</v>
      </c>
      <c r="AC4" s="1169">
        <v>32.148000000000003</v>
      </c>
      <c r="AD4" s="1169">
        <v>32.667999999999999</v>
      </c>
      <c r="AE4" s="1169">
        <v>33.183999999999997</v>
      </c>
      <c r="AF4" s="1169">
        <v>33.640999999999998</v>
      </c>
      <c r="AG4" s="1169">
        <v>34.203000000000003</v>
      </c>
      <c r="AH4" s="1169">
        <v>34.762999999999998</v>
      </c>
      <c r="AI4" s="1169">
        <v>35.457000000000001</v>
      </c>
      <c r="AJ4" s="1169">
        <v>36.082999999999998</v>
      </c>
      <c r="AK4" s="1169">
        <v>36.795999999999999</v>
      </c>
      <c r="AL4" s="1169">
        <v>37.482999999999997</v>
      </c>
      <c r="AM4" s="1169">
        <v>38.387999999999998</v>
      </c>
      <c r="AN4" s="1169">
        <v>39.19</v>
      </c>
      <c r="AO4" s="1169">
        <v>39.905000000000001</v>
      </c>
      <c r="AP4" s="1169">
        <v>40.777000000000001</v>
      </c>
      <c r="AQ4" s="1169">
        <v>41.744999999999997</v>
      </c>
      <c r="AR4" s="1169">
        <v>42.676000000000002</v>
      </c>
      <c r="AS4" s="1169">
        <v>43.807000000000002</v>
      </c>
      <c r="AT4" s="1169">
        <v>44.968000000000004</v>
      </c>
      <c r="AU4" s="1169">
        <v>45.813000000000002</v>
      </c>
      <c r="AV4" s="1169">
        <v>46.703000000000003</v>
      </c>
      <c r="AW4" s="1169">
        <v>47.475000000000001</v>
      </c>
      <c r="AX4" s="1169">
        <v>48.155000000000001</v>
      </c>
      <c r="AY4" s="1169">
        <v>48.795000000000002</v>
      </c>
      <c r="AZ4" s="1169">
        <v>49.472000000000001</v>
      </c>
      <c r="BA4" s="1169">
        <v>49.972999999999999</v>
      </c>
      <c r="BB4" s="1169">
        <v>50.372</v>
      </c>
      <c r="BC4" s="1169">
        <v>50.746000000000002</v>
      </c>
      <c r="BD4" s="1169">
        <v>51.284999999999997</v>
      </c>
      <c r="BE4" s="1169">
        <v>51.668999999999997</v>
      </c>
      <c r="BF4" s="1169">
        <v>52.177999999999997</v>
      </c>
      <c r="BG4" s="1169">
        <v>52.646999999999998</v>
      </c>
      <c r="BH4" s="1169">
        <v>53.122</v>
      </c>
      <c r="BI4" s="1169">
        <v>53.494</v>
      </c>
      <c r="BJ4" s="1169">
        <v>54.040999999999997</v>
      </c>
      <c r="BK4" s="1169">
        <v>54.360999999999997</v>
      </c>
      <c r="BL4" s="1169">
        <v>54.722000000000001</v>
      </c>
      <c r="BM4" s="1169">
        <v>55.006</v>
      </c>
      <c r="BN4" s="1169">
        <v>55.277999999999999</v>
      </c>
      <c r="BO4" s="1169">
        <v>55.472000000000001</v>
      </c>
      <c r="BP4" s="1169">
        <v>55.734999999999999</v>
      </c>
      <c r="BQ4" s="1169">
        <v>56.066000000000003</v>
      </c>
      <c r="BR4" s="1169">
        <v>56.390999999999998</v>
      </c>
      <c r="BS4" s="1169">
        <v>56.774000000000001</v>
      </c>
      <c r="BT4" s="1169">
        <v>57.212000000000003</v>
      </c>
      <c r="BU4" s="1169">
        <v>57.640999999999998</v>
      </c>
      <c r="BV4" s="1169">
        <v>58.087000000000003</v>
      </c>
      <c r="BW4" s="1169">
        <v>58.667000000000002</v>
      </c>
      <c r="BX4" s="1169">
        <v>59.384999999999998</v>
      </c>
      <c r="BY4" s="1169">
        <v>59.932000000000002</v>
      </c>
      <c r="BZ4" s="1169">
        <v>60.508000000000003</v>
      </c>
      <c r="CA4" s="1169">
        <v>61.162999999999997</v>
      </c>
      <c r="CB4" s="1169">
        <v>61.616999999999997</v>
      </c>
      <c r="CC4" s="1169">
        <v>62.036999999999999</v>
      </c>
      <c r="CD4" s="1169">
        <v>62.713000000000001</v>
      </c>
      <c r="CE4" s="1169">
        <v>63.414999999999999</v>
      </c>
      <c r="CF4" s="1169">
        <v>63.963000000000001</v>
      </c>
      <c r="CG4" s="1169">
        <v>64.451999999999998</v>
      </c>
      <c r="CH4" s="1169">
        <v>65.078000000000003</v>
      </c>
      <c r="CI4" s="1169">
        <v>65.546999999999997</v>
      </c>
      <c r="CJ4" s="1169">
        <v>66.05</v>
      </c>
      <c r="CK4" s="1169">
        <v>66.433999999999997</v>
      </c>
      <c r="CL4" s="1169">
        <v>66.7</v>
      </c>
      <c r="CM4" s="1169">
        <v>67.097999999999999</v>
      </c>
      <c r="CN4" s="1169">
        <v>67.418999999999997</v>
      </c>
      <c r="CO4" s="1169">
        <v>67.894000000000005</v>
      </c>
      <c r="CP4" s="1169">
        <v>68.298000000000002</v>
      </c>
      <c r="CQ4" s="1169">
        <v>68.700999999999993</v>
      </c>
      <c r="CR4" s="1169">
        <v>69.046000000000006</v>
      </c>
      <c r="CS4" s="1169">
        <v>69.451999999999998</v>
      </c>
      <c r="CT4" s="1169">
        <v>69.807000000000002</v>
      </c>
      <c r="CU4" s="1169">
        <v>70.14</v>
      </c>
      <c r="CV4" s="1169">
        <v>70.513999999999996</v>
      </c>
      <c r="CW4" s="1169">
        <v>70.906999999999996</v>
      </c>
      <c r="CX4" s="1169">
        <v>71.311000000000007</v>
      </c>
      <c r="CY4" s="1169">
        <v>71.661000000000001</v>
      </c>
      <c r="CZ4" s="1169">
        <v>71.981999999999999</v>
      </c>
      <c r="DA4" s="1169">
        <v>72.322000000000003</v>
      </c>
      <c r="DB4" s="1169">
        <v>72.655000000000001</v>
      </c>
      <c r="DC4" s="1169">
        <v>72.951999999999998</v>
      </c>
      <c r="DD4" s="1169">
        <v>73.305999999999997</v>
      </c>
      <c r="DE4" s="1169">
        <v>73.616</v>
      </c>
      <c r="DF4" s="1169">
        <v>73.945999999999998</v>
      </c>
      <c r="DG4" s="1169">
        <v>74.313999999999993</v>
      </c>
      <c r="DH4" s="1169">
        <v>74.534999999999997</v>
      </c>
      <c r="DI4" s="1169">
        <v>74.802000000000007</v>
      </c>
      <c r="DJ4" s="1169">
        <v>74.878</v>
      </c>
      <c r="DK4" s="1169">
        <v>75.072000000000003</v>
      </c>
      <c r="DL4" s="1169">
        <v>75.363</v>
      </c>
      <c r="DM4" s="1169">
        <v>75.564999999999998</v>
      </c>
      <c r="DN4" s="1169">
        <v>75.769000000000005</v>
      </c>
      <c r="DO4" s="1169">
        <v>76.111999999999995</v>
      </c>
      <c r="DP4" s="1169">
        <v>76.403999999999996</v>
      </c>
      <c r="DQ4" s="1169">
        <v>76.805999999999997</v>
      </c>
      <c r="DR4" s="1169">
        <v>77.317999999999998</v>
      </c>
      <c r="DS4" s="1169">
        <v>77.783000000000001</v>
      </c>
      <c r="DT4" s="1169">
        <v>78.27</v>
      </c>
      <c r="DU4" s="1169">
        <v>78.694000000000003</v>
      </c>
      <c r="DV4" s="1169">
        <v>79.233000000000004</v>
      </c>
      <c r="DW4" s="1169">
        <v>79.760999999999996</v>
      </c>
      <c r="DX4" s="1169">
        <v>80.003</v>
      </c>
      <c r="DY4" s="1169">
        <v>80.260999999999996</v>
      </c>
      <c r="DZ4" s="1169">
        <v>80.474999999999994</v>
      </c>
      <c r="EA4" s="1169">
        <v>80.793999999999997</v>
      </c>
      <c r="EB4" s="1169">
        <v>81.155000000000001</v>
      </c>
      <c r="EC4" s="1169">
        <v>81.626999999999995</v>
      </c>
      <c r="ED4" s="1169">
        <v>82.067999999999998</v>
      </c>
      <c r="EE4" s="1169">
        <v>82.349000000000004</v>
      </c>
      <c r="EF4" s="1169">
        <v>82.822000000000003</v>
      </c>
      <c r="EG4" s="1169">
        <v>83.302000000000007</v>
      </c>
      <c r="EH4" s="1169">
        <v>83.899000000000001</v>
      </c>
      <c r="EI4" s="1169">
        <v>84.58</v>
      </c>
      <c r="EJ4" s="1169">
        <v>85.116</v>
      </c>
      <c r="EK4" s="1169">
        <v>85.772000000000006</v>
      </c>
      <c r="EL4" s="1169">
        <v>86.43</v>
      </c>
      <c r="EM4" s="1169">
        <v>87.061999999999998</v>
      </c>
      <c r="EN4" s="1169">
        <v>87.884</v>
      </c>
      <c r="EO4" s="1169">
        <v>88.584000000000003</v>
      </c>
      <c r="EP4" s="1169">
        <v>89.203999999999994</v>
      </c>
      <c r="EQ4" s="1169">
        <v>89.992999999999995</v>
      </c>
      <c r="ER4" s="1169">
        <v>90.652000000000001</v>
      </c>
      <c r="ES4" s="1169">
        <v>90.997</v>
      </c>
      <c r="ET4" s="1169">
        <v>91.908000000000001</v>
      </c>
      <c r="EU4" s="1169">
        <v>92.491</v>
      </c>
      <c r="EV4" s="1169">
        <v>92.882000000000005</v>
      </c>
      <c r="EW4" s="1169">
        <v>93.331999999999994</v>
      </c>
      <c r="EX4" s="1169">
        <v>93.734999999999999</v>
      </c>
      <c r="EY4" s="1169">
        <v>94.075000000000003</v>
      </c>
      <c r="EZ4" s="1169">
        <v>94.804000000000002</v>
      </c>
      <c r="FA4" s="1169">
        <v>94.974999999999994</v>
      </c>
      <c r="FB4" s="1169">
        <v>95.001000000000005</v>
      </c>
      <c r="FC4" s="1169">
        <v>94.87</v>
      </c>
      <c r="FD4" s="1169">
        <v>94.927999999999997</v>
      </c>
      <c r="FE4" s="1169">
        <v>95.277000000000001</v>
      </c>
      <c r="FF4" s="1169">
        <v>95.518000000000001</v>
      </c>
      <c r="FG4" s="1169">
        <v>95.962999999999994</v>
      </c>
      <c r="FH4" s="1169">
        <v>96.311999999999998</v>
      </c>
      <c r="FI4" s="1169">
        <v>96.864000000000004</v>
      </c>
      <c r="FJ4" s="1169">
        <v>97.338999999999999</v>
      </c>
      <c r="FK4" s="1169">
        <v>98.042000000000002</v>
      </c>
      <c r="FL4" s="1169">
        <v>98.561000000000007</v>
      </c>
      <c r="FM4" s="1169">
        <v>98.686999999999998</v>
      </c>
      <c r="FN4" s="1169">
        <v>99.277000000000001</v>
      </c>
      <c r="FO4" s="1169">
        <v>99.69</v>
      </c>
      <c r="FP4" s="1169">
        <v>100.304</v>
      </c>
      <c r="FQ4" s="1169">
        <v>100.73</v>
      </c>
      <c r="FR4" s="1169">
        <v>101.124</v>
      </c>
      <c r="FS4" s="1169">
        <v>101.428</v>
      </c>
      <c r="FT4" s="1169">
        <v>101.973</v>
      </c>
      <c r="FU4" s="1169">
        <v>102.55</v>
      </c>
      <c r="FV4" s="1169">
        <v>102.965</v>
      </c>
      <c r="FW4" s="1169">
        <v>103.55200000000001</v>
      </c>
      <c r="FX4" s="1169">
        <v>104.029</v>
      </c>
      <c r="FY4" s="1169">
        <v>104.104</v>
      </c>
      <c r="FZ4" s="1169">
        <v>104.092</v>
      </c>
      <c r="GA4" s="1169">
        <v>104.68300000000001</v>
      </c>
      <c r="GB4" s="1169">
        <v>104.93899999999999</v>
      </c>
      <c r="GC4" s="1169">
        <v>104.932</v>
      </c>
      <c r="GD4" s="1169">
        <v>104.873</v>
      </c>
      <c r="GE4" s="1169">
        <v>105.57599999999999</v>
      </c>
      <c r="GF4" s="1169">
        <v>105.89400000000001</v>
      </c>
      <c r="GG4" s="1169">
        <v>106.47</v>
      </c>
      <c r="GH4" s="1169">
        <v>107.00700000000001</v>
      </c>
      <c r="GI4" s="1169">
        <v>107.361</v>
      </c>
      <c r="GJ4" s="1169">
        <v>107.94199999999999</v>
      </c>
      <c r="GK4" s="1169">
        <v>108.658</v>
      </c>
      <c r="GL4" s="1169">
        <v>109.312</v>
      </c>
      <c r="GM4" s="1169">
        <v>110.15600000000001</v>
      </c>
      <c r="GN4" s="1169">
        <v>110.64700000000001</v>
      </c>
      <c r="GO4" s="1169">
        <v>111.191</v>
      </c>
      <c r="GP4" s="1169">
        <v>111.502</v>
      </c>
      <c r="GQ4" s="1169">
        <v>112.142</v>
      </c>
      <c r="GR4" s="1169">
        <v>112.524</v>
      </c>
      <c r="GS4" s="1169">
        <v>112.947</v>
      </c>
      <c r="GT4" s="1169">
        <v>113.39700000000001</v>
      </c>
      <c r="GU4" s="1169">
        <v>112.96899999999999</v>
      </c>
      <c r="GV4" s="1169">
        <v>113.98399999999999</v>
      </c>
      <c r="GW4" s="1169">
        <v>114.611</v>
      </c>
      <c r="GX4" s="1169">
        <v>115.82599999999999</v>
      </c>
      <c r="GY4" s="1169">
        <v>117.54600000000001</v>
      </c>
      <c r="GZ4" s="1169">
        <v>119.259</v>
      </c>
      <c r="HA4" s="1169">
        <v>121.331</v>
      </c>
    </row>
    <row r="5" spans="1:209" x14ac:dyDescent="0.35">
      <c r="A5" s="1169" t="s">
        <v>848</v>
      </c>
      <c r="B5" s="1169">
        <v>631.70000000000005</v>
      </c>
      <c r="C5" s="1169">
        <v>641.6</v>
      </c>
      <c r="D5" s="1169">
        <v>653.5</v>
      </c>
      <c r="E5" s="1169">
        <v>660.2</v>
      </c>
      <c r="F5" s="1169">
        <v>679.2</v>
      </c>
      <c r="G5" s="1169">
        <v>693.2</v>
      </c>
      <c r="H5" s="1169">
        <v>705.6</v>
      </c>
      <c r="I5" s="1169">
        <v>721.7</v>
      </c>
      <c r="J5" s="1169">
        <v>738.9</v>
      </c>
      <c r="K5" s="1169">
        <v>757.4</v>
      </c>
      <c r="L5" s="1169">
        <v>775.8</v>
      </c>
      <c r="M5" s="1169">
        <v>800.5</v>
      </c>
      <c r="N5" s="1169">
        <v>825</v>
      </c>
      <c r="O5" s="1169">
        <v>840.5</v>
      </c>
      <c r="P5" s="1169">
        <v>858.9</v>
      </c>
      <c r="Q5" s="1169">
        <v>873.9</v>
      </c>
      <c r="R5" s="1169">
        <v>891.9</v>
      </c>
      <c r="S5" s="1169">
        <v>920.4</v>
      </c>
      <c r="T5" s="1169">
        <v>949.3</v>
      </c>
      <c r="U5" s="1169">
        <v>959.1</v>
      </c>
      <c r="V5" s="1169">
        <v>985.2</v>
      </c>
      <c r="W5" s="1169">
        <v>1013.6</v>
      </c>
      <c r="X5" s="1169">
        <v>1047.2</v>
      </c>
      <c r="Y5" s="1169">
        <v>1076.2</v>
      </c>
      <c r="Z5" s="1169">
        <v>1109.9000000000001</v>
      </c>
      <c r="AA5" s="1169">
        <v>1129.5</v>
      </c>
      <c r="AB5" s="1169">
        <v>1158.8</v>
      </c>
      <c r="AC5" s="1169">
        <v>1192.4000000000001</v>
      </c>
      <c r="AD5" s="1169">
        <v>1228.2</v>
      </c>
      <c r="AE5" s="1169">
        <v>1256</v>
      </c>
      <c r="AF5" s="1169">
        <v>1286.9000000000001</v>
      </c>
      <c r="AG5" s="1169">
        <v>1324.8</v>
      </c>
      <c r="AH5" s="1169">
        <v>1354.1</v>
      </c>
      <c r="AI5" s="1169">
        <v>1411.4</v>
      </c>
      <c r="AJ5" s="1169">
        <v>1442.2</v>
      </c>
      <c r="AK5" s="1169">
        <v>1481.4</v>
      </c>
      <c r="AL5" s="1169">
        <v>1517.1</v>
      </c>
      <c r="AM5" s="1169">
        <v>1557.6</v>
      </c>
      <c r="AN5" s="1169">
        <v>1611.9</v>
      </c>
      <c r="AO5" s="1169">
        <v>1655</v>
      </c>
      <c r="AP5" s="1169">
        <v>1702.3</v>
      </c>
      <c r="AQ5" s="1169">
        <v>1704.7</v>
      </c>
      <c r="AR5" s="1169">
        <v>1763.8</v>
      </c>
      <c r="AS5" s="1169">
        <v>1831.9</v>
      </c>
      <c r="AT5" s="1169">
        <v>1885.7</v>
      </c>
      <c r="AU5" s="1169">
        <v>1917.5</v>
      </c>
      <c r="AV5" s="1169">
        <v>1958.1</v>
      </c>
      <c r="AW5" s="1169">
        <v>1974.4</v>
      </c>
      <c r="AX5" s="1169">
        <v>2014.2</v>
      </c>
      <c r="AY5" s="1169">
        <v>2039.6</v>
      </c>
      <c r="AZ5" s="1169">
        <v>2085.6999999999998</v>
      </c>
      <c r="BA5" s="1169">
        <v>2145.6</v>
      </c>
      <c r="BB5" s="1169">
        <v>2184.6</v>
      </c>
      <c r="BC5" s="1169">
        <v>2249.4</v>
      </c>
      <c r="BD5" s="1169">
        <v>2319.9</v>
      </c>
      <c r="BE5" s="1169">
        <v>2372.5</v>
      </c>
      <c r="BF5" s="1169">
        <v>2418.1999999999998</v>
      </c>
      <c r="BG5" s="1169">
        <v>2475.9</v>
      </c>
      <c r="BH5" s="1169">
        <v>2513.5</v>
      </c>
      <c r="BI5" s="1169">
        <v>2561.8000000000002</v>
      </c>
      <c r="BJ5" s="1169">
        <v>2636</v>
      </c>
      <c r="BK5" s="1169">
        <v>2681.8</v>
      </c>
      <c r="BL5" s="1169">
        <v>2754.1</v>
      </c>
      <c r="BM5" s="1169">
        <v>2779.4</v>
      </c>
      <c r="BN5" s="1169">
        <v>2823.6</v>
      </c>
      <c r="BO5" s="1169">
        <v>2851.5</v>
      </c>
      <c r="BP5" s="1169">
        <v>2917.2</v>
      </c>
      <c r="BQ5" s="1169">
        <v>2952.8</v>
      </c>
      <c r="BR5" s="1169">
        <v>2983.5</v>
      </c>
      <c r="BS5" s="1169">
        <v>3053.3</v>
      </c>
      <c r="BT5" s="1169">
        <v>3117.4</v>
      </c>
      <c r="BU5" s="1169">
        <v>3150.9</v>
      </c>
      <c r="BV5" s="1169">
        <v>3231.9</v>
      </c>
      <c r="BW5" s="1169">
        <v>3291.7</v>
      </c>
      <c r="BX5" s="1169">
        <v>3361.9</v>
      </c>
      <c r="BY5" s="1169">
        <v>3434.5</v>
      </c>
      <c r="BZ5" s="1169">
        <v>3490.2</v>
      </c>
      <c r="CA5" s="1169">
        <v>3553.8</v>
      </c>
      <c r="CB5" s="1169">
        <v>3609.4</v>
      </c>
      <c r="CC5" s="1169">
        <v>3653.7</v>
      </c>
      <c r="CD5" s="1169">
        <v>3737.9</v>
      </c>
      <c r="CE5" s="1169">
        <v>3783.4</v>
      </c>
      <c r="CF5" s="1169">
        <v>3846.7</v>
      </c>
      <c r="CG5" s="1169">
        <v>3867.9</v>
      </c>
      <c r="CH5" s="1169">
        <v>3873.6</v>
      </c>
      <c r="CI5" s="1169">
        <v>3926.9</v>
      </c>
      <c r="CJ5" s="1169">
        <v>3973.3</v>
      </c>
      <c r="CK5" s="1169">
        <v>4000</v>
      </c>
      <c r="CL5" s="1169">
        <v>4100.3999999999996</v>
      </c>
      <c r="CM5" s="1169">
        <v>4155.7</v>
      </c>
      <c r="CN5" s="1169">
        <v>4227</v>
      </c>
      <c r="CO5" s="1169">
        <v>4307.2</v>
      </c>
      <c r="CP5" s="1169">
        <v>4349.5</v>
      </c>
      <c r="CQ5" s="1169">
        <v>4418.6000000000004</v>
      </c>
      <c r="CR5" s="1169">
        <v>4487.2</v>
      </c>
      <c r="CS5" s="1169">
        <v>4552.7</v>
      </c>
      <c r="CT5" s="1169">
        <v>4621.2</v>
      </c>
      <c r="CU5" s="1169">
        <v>4683.2</v>
      </c>
      <c r="CV5" s="1169">
        <v>4752.8</v>
      </c>
      <c r="CW5" s="1169">
        <v>4826.7</v>
      </c>
      <c r="CX5" s="1169">
        <v>4862.3999999999996</v>
      </c>
      <c r="CY5" s="1169">
        <v>4933.6000000000004</v>
      </c>
      <c r="CZ5" s="1169">
        <v>4998.7</v>
      </c>
      <c r="DA5" s="1169">
        <v>5055.7</v>
      </c>
      <c r="DB5" s="1169">
        <v>5130.6000000000004</v>
      </c>
      <c r="DC5" s="1169">
        <v>5220.5</v>
      </c>
      <c r="DD5" s="1169">
        <v>5274.5</v>
      </c>
      <c r="DE5" s="1169">
        <v>5352.8</v>
      </c>
      <c r="DF5" s="1169">
        <v>5433.1</v>
      </c>
      <c r="DG5" s="1169">
        <v>5471.3</v>
      </c>
      <c r="DH5" s="1169">
        <v>5579.2</v>
      </c>
      <c r="DI5" s="1169">
        <v>5663.6</v>
      </c>
      <c r="DJ5" s="1169">
        <v>5721.3</v>
      </c>
      <c r="DK5" s="1169">
        <v>5832.6</v>
      </c>
      <c r="DL5" s="1169">
        <v>5926.8</v>
      </c>
      <c r="DM5" s="1169">
        <v>6028.2</v>
      </c>
      <c r="DN5" s="1169">
        <v>6102</v>
      </c>
      <c r="DO5" s="1169">
        <v>6230.6</v>
      </c>
      <c r="DP5" s="1169">
        <v>6335.3</v>
      </c>
      <c r="DQ5" s="1169">
        <v>6467</v>
      </c>
      <c r="DR5" s="1169">
        <v>6618.2</v>
      </c>
      <c r="DS5" s="1169">
        <v>6711.9</v>
      </c>
      <c r="DT5" s="1169">
        <v>6820</v>
      </c>
      <c r="DU5" s="1169">
        <v>6918.6</v>
      </c>
      <c r="DV5" s="1169">
        <v>6995.3</v>
      </c>
      <c r="DW5" s="1169">
        <v>7042.3</v>
      </c>
      <c r="DX5" s="1169">
        <v>7070.3</v>
      </c>
      <c r="DY5" s="1169">
        <v>7187.3</v>
      </c>
      <c r="DZ5" s="1169">
        <v>7217.7</v>
      </c>
      <c r="EA5" s="1169">
        <v>7308</v>
      </c>
      <c r="EB5" s="1169">
        <v>7397.1</v>
      </c>
      <c r="EC5" s="1169">
        <v>7473</v>
      </c>
      <c r="ED5" s="1169">
        <v>7567.2</v>
      </c>
      <c r="EE5" s="1169">
        <v>7661.5</v>
      </c>
      <c r="EF5" s="1169">
        <v>7820.9</v>
      </c>
      <c r="EG5" s="1169">
        <v>7913.5</v>
      </c>
      <c r="EH5" s="1169">
        <v>8048.8</v>
      </c>
      <c r="EI5" s="1169">
        <v>8147.1</v>
      </c>
      <c r="EJ5" s="1169">
        <v>8283.2999999999993</v>
      </c>
      <c r="EK5" s="1169">
        <v>8448.6</v>
      </c>
      <c r="EL5" s="1169">
        <v>8551.7000000000007</v>
      </c>
      <c r="EM5" s="1169">
        <v>8701.1</v>
      </c>
      <c r="EN5" s="1169">
        <v>8868.1</v>
      </c>
      <c r="EO5" s="1169">
        <v>8955.2999999999993</v>
      </c>
      <c r="EP5" s="1169">
        <v>9100.2000000000007</v>
      </c>
      <c r="EQ5" s="1169">
        <v>9227.6</v>
      </c>
      <c r="ER5" s="1169">
        <v>9353.7999999999993</v>
      </c>
      <c r="ES5" s="1169">
        <v>9427.4</v>
      </c>
      <c r="ET5" s="1169">
        <v>9572.1</v>
      </c>
      <c r="EU5" s="1169">
        <v>9678.7000000000007</v>
      </c>
      <c r="EV5" s="1169">
        <v>9798.4</v>
      </c>
      <c r="EW5" s="1169">
        <v>9937.1</v>
      </c>
      <c r="EX5" s="1169">
        <v>10004.4</v>
      </c>
      <c r="EY5" s="1169">
        <v>10129.9</v>
      </c>
      <c r="EZ5" s="1169">
        <v>10159.1</v>
      </c>
      <c r="FA5" s="1169">
        <v>9906.9</v>
      </c>
      <c r="FB5" s="1169">
        <v>9815</v>
      </c>
      <c r="FC5" s="1169">
        <v>9805.5</v>
      </c>
      <c r="FD5" s="1169">
        <v>9939.4</v>
      </c>
      <c r="FE5" s="1169">
        <v>10005</v>
      </c>
      <c r="FF5" s="1169">
        <v>10101.799999999999</v>
      </c>
      <c r="FG5" s="1169">
        <v>10208.1</v>
      </c>
      <c r="FH5" s="1169">
        <v>10300.799999999999</v>
      </c>
      <c r="FI5" s="1169">
        <v>10430.299999999999</v>
      </c>
      <c r="FJ5" s="1169">
        <v>10558.2</v>
      </c>
      <c r="FK5" s="1169">
        <v>10673</v>
      </c>
      <c r="FL5" s="1169">
        <v>10755</v>
      </c>
      <c r="FM5" s="1169">
        <v>10809.2</v>
      </c>
      <c r="FN5" s="1169">
        <v>10959.3</v>
      </c>
      <c r="FO5" s="1169">
        <v>11005.1</v>
      </c>
      <c r="FP5" s="1169">
        <v>11059.4</v>
      </c>
      <c r="FQ5" s="1169">
        <v>11165.7</v>
      </c>
      <c r="FR5" s="1169">
        <v>11265.6</v>
      </c>
      <c r="FS5" s="1169">
        <v>11291</v>
      </c>
      <c r="FT5" s="1169">
        <v>11379.2</v>
      </c>
      <c r="FU5" s="1169">
        <v>11518.4</v>
      </c>
      <c r="FV5" s="1169">
        <v>11618.1</v>
      </c>
      <c r="FW5" s="1169">
        <v>11784.7</v>
      </c>
      <c r="FX5" s="1169">
        <v>11934.3</v>
      </c>
      <c r="FY5" s="1169">
        <v>12053.8</v>
      </c>
      <c r="FZ5" s="1169">
        <v>12083.9</v>
      </c>
      <c r="GA5" s="1169">
        <v>12224.7</v>
      </c>
      <c r="GB5" s="1169">
        <v>12347.8</v>
      </c>
      <c r="GC5" s="1169">
        <v>12397.5</v>
      </c>
      <c r="GD5" s="1169">
        <v>12495.1</v>
      </c>
      <c r="GE5" s="1169">
        <v>12637.4</v>
      </c>
      <c r="GF5" s="1169">
        <v>12759.1</v>
      </c>
      <c r="GG5" s="1169">
        <v>12881.6</v>
      </c>
      <c r="GH5" s="1169">
        <v>13046.4</v>
      </c>
      <c r="GI5" s="1169">
        <v>13144.4</v>
      </c>
      <c r="GJ5" s="1169">
        <v>13268.1</v>
      </c>
      <c r="GK5" s="1169">
        <v>13497.5</v>
      </c>
      <c r="GL5" s="1169">
        <v>13667.4</v>
      </c>
      <c r="GM5" s="1169">
        <v>13864.8</v>
      </c>
      <c r="GN5" s="1169">
        <v>14002.6</v>
      </c>
      <c r="GO5" s="1169">
        <v>14119.3</v>
      </c>
      <c r="GP5" s="1169">
        <v>14155.6</v>
      </c>
      <c r="GQ5" s="1169">
        <v>14375.7</v>
      </c>
      <c r="GR5" s="1169">
        <v>14529.5</v>
      </c>
      <c r="GS5" s="1169">
        <v>14653.9</v>
      </c>
      <c r="GT5" s="1169">
        <v>14439.1</v>
      </c>
      <c r="GU5" s="1169">
        <v>12989.7</v>
      </c>
      <c r="GV5" s="1169">
        <v>14293.8</v>
      </c>
      <c r="GW5" s="1169">
        <v>14467.6</v>
      </c>
      <c r="GX5" s="1169">
        <v>15005.4</v>
      </c>
      <c r="GY5" s="1169">
        <v>15681.7</v>
      </c>
      <c r="GZ5" s="1169">
        <v>15964.9</v>
      </c>
      <c r="HA5" s="1169">
        <v>16314.2</v>
      </c>
    </row>
    <row r="6" spans="1:209" x14ac:dyDescent="0.35">
      <c r="A6" s="1169" t="s">
        <v>849</v>
      </c>
      <c r="B6" s="1169">
        <v>3071.1</v>
      </c>
      <c r="C6" s="1169">
        <v>3085</v>
      </c>
      <c r="D6" s="1169">
        <v>3112</v>
      </c>
      <c r="E6" s="1169">
        <v>3103.6</v>
      </c>
      <c r="F6" s="1169">
        <v>3163.1</v>
      </c>
      <c r="G6" s="1169">
        <v>3192.2</v>
      </c>
      <c r="H6" s="1169">
        <v>3217.7</v>
      </c>
      <c r="I6" s="1169">
        <v>3271.1</v>
      </c>
      <c r="J6" s="1169">
        <v>3314.2</v>
      </c>
      <c r="K6" s="1169">
        <v>3377.3</v>
      </c>
      <c r="L6" s="1169">
        <v>3429.4</v>
      </c>
      <c r="M6" s="1169">
        <v>3509.8</v>
      </c>
      <c r="N6" s="1169">
        <v>3573.9</v>
      </c>
      <c r="O6" s="1169">
        <v>3572.3</v>
      </c>
      <c r="P6" s="1169">
        <v>3584.9</v>
      </c>
      <c r="Q6" s="1169">
        <v>3574.2</v>
      </c>
      <c r="R6" s="1169">
        <v>3542.2</v>
      </c>
      <c r="S6" s="1169">
        <v>3555</v>
      </c>
      <c r="T6" s="1169">
        <v>3570.2</v>
      </c>
      <c r="U6" s="1169">
        <v>3518.1</v>
      </c>
      <c r="V6" s="1169">
        <v>3547.6</v>
      </c>
      <c r="W6" s="1169">
        <v>3605.9</v>
      </c>
      <c r="X6" s="1169">
        <v>3657.2</v>
      </c>
      <c r="Y6" s="1169">
        <v>3696.5</v>
      </c>
      <c r="Z6" s="1169">
        <v>3770.4</v>
      </c>
      <c r="AA6" s="1169">
        <v>3805.1</v>
      </c>
      <c r="AB6" s="1169">
        <v>3845.1</v>
      </c>
      <c r="AC6" s="1169">
        <v>3895</v>
      </c>
      <c r="AD6" s="1169">
        <v>3940.9</v>
      </c>
      <c r="AE6" s="1169">
        <v>3962.3</v>
      </c>
      <c r="AF6" s="1169">
        <v>3999.8</v>
      </c>
      <c r="AG6" s="1169">
        <v>4059.9</v>
      </c>
      <c r="AH6" s="1169">
        <v>4082.7</v>
      </c>
      <c r="AI6" s="1169">
        <v>4170</v>
      </c>
      <c r="AJ6" s="1169">
        <v>4187.5</v>
      </c>
      <c r="AK6" s="1169">
        <v>4221.3</v>
      </c>
      <c r="AL6" s="1169">
        <v>4243.2</v>
      </c>
      <c r="AM6" s="1169">
        <v>4240.3999999999996</v>
      </c>
      <c r="AN6" s="1169">
        <v>4281.7</v>
      </c>
      <c r="AO6" s="1169">
        <v>4292.3</v>
      </c>
      <c r="AP6" s="1169">
        <v>4286.2</v>
      </c>
      <c r="AQ6" s="1169">
        <v>4189.7</v>
      </c>
      <c r="AR6" s="1169">
        <v>4235.6000000000004</v>
      </c>
      <c r="AS6" s="1169">
        <v>4292.8999999999996</v>
      </c>
      <c r="AT6" s="1169">
        <v>4307.2</v>
      </c>
      <c r="AU6" s="1169">
        <v>4307.6000000000004</v>
      </c>
      <c r="AV6" s="1169">
        <v>4327.5</v>
      </c>
      <c r="AW6" s="1169">
        <v>4297.8999999999996</v>
      </c>
      <c r="AX6" s="1169">
        <v>4329.5</v>
      </c>
      <c r="AY6" s="1169">
        <v>4342.7</v>
      </c>
      <c r="AZ6" s="1169">
        <v>4371.8</v>
      </c>
      <c r="BA6" s="1169">
        <v>4448.3999999999996</v>
      </c>
      <c r="BB6" s="1169">
        <v>4492.3999999999996</v>
      </c>
      <c r="BC6" s="1169">
        <v>4583.8999999999996</v>
      </c>
      <c r="BD6" s="1169">
        <v>4666.1000000000004</v>
      </c>
      <c r="BE6" s="1169">
        <v>4740.3999999999996</v>
      </c>
      <c r="BF6" s="1169">
        <v>4779.8</v>
      </c>
      <c r="BG6" s="1169">
        <v>4846.7</v>
      </c>
      <c r="BH6" s="1169">
        <v>4882.7</v>
      </c>
      <c r="BI6" s="1169">
        <v>4945.8999999999996</v>
      </c>
      <c r="BJ6" s="1169">
        <v>5030</v>
      </c>
      <c r="BK6" s="1169">
        <v>5076.1000000000004</v>
      </c>
      <c r="BL6" s="1169">
        <v>5172.6000000000004</v>
      </c>
      <c r="BM6" s="1169">
        <v>5183.7</v>
      </c>
      <c r="BN6" s="1169">
        <v>5229</v>
      </c>
      <c r="BO6" s="1169">
        <v>5286</v>
      </c>
      <c r="BP6" s="1169">
        <v>5379.5</v>
      </c>
      <c r="BQ6" s="1169">
        <v>5412.5</v>
      </c>
      <c r="BR6" s="1169">
        <v>5417.9</v>
      </c>
      <c r="BS6" s="1169">
        <v>5491.8</v>
      </c>
      <c r="BT6" s="1169">
        <v>5554.5</v>
      </c>
      <c r="BU6" s="1169">
        <v>5566.3</v>
      </c>
      <c r="BV6" s="1169">
        <v>5664.6</v>
      </c>
      <c r="BW6" s="1169">
        <v>5706.4</v>
      </c>
      <c r="BX6" s="1169">
        <v>5757.1</v>
      </c>
      <c r="BY6" s="1169">
        <v>5822.6</v>
      </c>
      <c r="BZ6" s="1169">
        <v>5849.6</v>
      </c>
      <c r="CA6" s="1169">
        <v>5876.9</v>
      </c>
      <c r="CB6" s="1169">
        <v>5933.8</v>
      </c>
      <c r="CC6" s="1169">
        <v>5959.6</v>
      </c>
      <c r="CD6" s="1169">
        <v>6009.7</v>
      </c>
      <c r="CE6" s="1169">
        <v>6028</v>
      </c>
      <c r="CF6" s="1169">
        <v>6051.9</v>
      </c>
      <c r="CG6" s="1169">
        <v>6005.9</v>
      </c>
      <c r="CH6" s="1169">
        <v>5983.3</v>
      </c>
      <c r="CI6" s="1169">
        <v>6032.9</v>
      </c>
      <c r="CJ6" s="1169">
        <v>6063</v>
      </c>
      <c r="CK6" s="1169">
        <v>6059.9</v>
      </c>
      <c r="CL6" s="1169">
        <v>6173.4</v>
      </c>
      <c r="CM6" s="1169">
        <v>6215.3</v>
      </c>
      <c r="CN6" s="1169">
        <v>6281.9</v>
      </c>
      <c r="CO6" s="1169">
        <v>6356.8</v>
      </c>
      <c r="CP6" s="1169">
        <v>6381.2</v>
      </c>
      <c r="CQ6" s="1169">
        <v>6439.2</v>
      </c>
      <c r="CR6" s="1169">
        <v>6510.9</v>
      </c>
      <c r="CS6" s="1169">
        <v>6568</v>
      </c>
      <c r="CT6" s="1169">
        <v>6643.2</v>
      </c>
      <c r="CU6" s="1169">
        <v>6694.8</v>
      </c>
      <c r="CV6" s="1169">
        <v>6745.9</v>
      </c>
      <c r="CW6" s="1169">
        <v>6818.8</v>
      </c>
      <c r="CX6" s="1169">
        <v>6835.8</v>
      </c>
      <c r="CY6" s="1169">
        <v>6895.7</v>
      </c>
      <c r="CZ6" s="1169">
        <v>6958.2</v>
      </c>
      <c r="DA6" s="1169">
        <v>7006.7</v>
      </c>
      <c r="DB6" s="1169">
        <v>7071.4</v>
      </c>
      <c r="DC6" s="1169">
        <v>7147.4</v>
      </c>
      <c r="DD6" s="1169">
        <v>7190.7</v>
      </c>
      <c r="DE6" s="1169">
        <v>7248</v>
      </c>
      <c r="DF6" s="1169">
        <v>7324.4</v>
      </c>
      <c r="DG6" s="1169">
        <v>7357.4</v>
      </c>
      <c r="DH6" s="1169">
        <v>7482.7</v>
      </c>
      <c r="DI6" s="1169">
        <v>7572.1</v>
      </c>
      <c r="DJ6" s="1169">
        <v>7648.7</v>
      </c>
      <c r="DK6" s="1169">
        <v>7783.4</v>
      </c>
      <c r="DL6" s="1169">
        <v>7884.9</v>
      </c>
      <c r="DM6" s="1169">
        <v>7998.8</v>
      </c>
      <c r="DN6" s="1169">
        <v>8081</v>
      </c>
      <c r="DO6" s="1169">
        <v>8204.7999999999993</v>
      </c>
      <c r="DP6" s="1169">
        <v>8297</v>
      </c>
      <c r="DQ6" s="1169">
        <v>8418.2999999999993</v>
      </c>
      <c r="DR6" s="1169">
        <v>8545.6</v>
      </c>
      <c r="DS6" s="1169">
        <v>8625.4</v>
      </c>
      <c r="DT6" s="1169">
        <v>8708.1</v>
      </c>
      <c r="DU6" s="1169">
        <v>8784.2000000000007</v>
      </c>
      <c r="DV6" s="1169">
        <v>8816</v>
      </c>
      <c r="DW6" s="1169">
        <v>8833.7000000000007</v>
      </c>
      <c r="DX6" s="1169">
        <v>8864.5</v>
      </c>
      <c r="DY6" s="1169">
        <v>9007.5</v>
      </c>
      <c r="DZ6" s="1169">
        <v>9027.5</v>
      </c>
      <c r="EA6" s="1169">
        <v>9073.2000000000007</v>
      </c>
      <c r="EB6" s="1169">
        <v>9136.7000000000007</v>
      </c>
      <c r="EC6" s="1169">
        <v>9187.5</v>
      </c>
      <c r="ED6" s="1169">
        <v>9232.7999999999993</v>
      </c>
      <c r="EE6" s="1169">
        <v>9338.5</v>
      </c>
      <c r="EF6" s="1169">
        <v>9470.5</v>
      </c>
      <c r="EG6" s="1169">
        <v>9535.7000000000007</v>
      </c>
      <c r="EH6" s="1169">
        <v>9624.6</v>
      </c>
      <c r="EI6" s="1169">
        <v>9677.2000000000007</v>
      </c>
      <c r="EJ6" s="1169">
        <v>9790.7999999999993</v>
      </c>
      <c r="EK6" s="1169">
        <v>9901.6</v>
      </c>
      <c r="EL6" s="1169">
        <v>9964.5</v>
      </c>
      <c r="EM6" s="1169">
        <v>10074.9</v>
      </c>
      <c r="EN6" s="1169">
        <v>10158.5</v>
      </c>
      <c r="EO6" s="1169">
        <v>10177.200000000001</v>
      </c>
      <c r="EP6" s="1169">
        <v>10288.200000000001</v>
      </c>
      <c r="EQ6" s="1169">
        <v>10341.6</v>
      </c>
      <c r="ER6" s="1169">
        <v>10408</v>
      </c>
      <c r="ES6" s="1169">
        <v>10507.2</v>
      </c>
      <c r="ET6" s="1169">
        <v>10572.1</v>
      </c>
      <c r="EU6" s="1169">
        <v>10599.8</v>
      </c>
      <c r="EV6" s="1169">
        <v>10670.5</v>
      </c>
      <c r="EW6" s="1169">
        <v>10712.6</v>
      </c>
      <c r="EX6" s="1169">
        <v>10697.9</v>
      </c>
      <c r="EY6" s="1169">
        <v>10727.3</v>
      </c>
      <c r="EZ6" s="1169">
        <v>10644.7</v>
      </c>
      <c r="FA6" s="1169">
        <v>10548.9</v>
      </c>
      <c r="FB6" s="1169">
        <v>10522.1</v>
      </c>
      <c r="FC6" s="1169">
        <v>10470.4</v>
      </c>
      <c r="FD6" s="1169">
        <v>10540.8</v>
      </c>
      <c r="FE6" s="1169">
        <v>10529.2</v>
      </c>
      <c r="FF6" s="1169">
        <v>10590.2</v>
      </c>
      <c r="FG6" s="1169">
        <v>10685.1</v>
      </c>
      <c r="FH6" s="1169">
        <v>10761.4</v>
      </c>
      <c r="FI6" s="1169">
        <v>10827.3</v>
      </c>
      <c r="FJ6" s="1169">
        <v>10868.7</v>
      </c>
      <c r="FK6" s="1169">
        <v>10879.9</v>
      </c>
      <c r="FL6" s="1169">
        <v>10913</v>
      </c>
      <c r="FM6" s="1169">
        <v>10931.8</v>
      </c>
      <c r="FN6" s="1169">
        <v>11010.7</v>
      </c>
      <c r="FO6" s="1169">
        <v>11030</v>
      </c>
      <c r="FP6" s="1169">
        <v>11052.4</v>
      </c>
      <c r="FQ6" s="1169">
        <v>11096.4</v>
      </c>
      <c r="FR6" s="1169">
        <v>11155.5</v>
      </c>
      <c r="FS6" s="1169">
        <v>11172.6</v>
      </c>
      <c r="FT6" s="1169">
        <v>11214.4</v>
      </c>
      <c r="FU6" s="1169">
        <v>11304.3</v>
      </c>
      <c r="FV6" s="1169">
        <v>11347.6</v>
      </c>
      <c r="FW6" s="1169">
        <v>11453</v>
      </c>
      <c r="FX6" s="1169">
        <v>11565.7</v>
      </c>
      <c r="FY6" s="1169">
        <v>11694.9</v>
      </c>
      <c r="FZ6" s="1169">
        <v>11772.9</v>
      </c>
      <c r="GA6" s="1169">
        <v>11852.7</v>
      </c>
      <c r="GB6" s="1169">
        <v>11943</v>
      </c>
      <c r="GC6" s="1169">
        <v>12003.1</v>
      </c>
      <c r="GD6" s="1169">
        <v>12091.2</v>
      </c>
      <c r="GE6" s="1169">
        <v>12152.6</v>
      </c>
      <c r="GF6" s="1169">
        <v>12223.8</v>
      </c>
      <c r="GG6" s="1169">
        <v>12283.1</v>
      </c>
      <c r="GH6" s="1169">
        <v>12372.2</v>
      </c>
      <c r="GI6" s="1169">
        <v>12430.1</v>
      </c>
      <c r="GJ6" s="1169">
        <v>12500.4</v>
      </c>
      <c r="GK6" s="1169">
        <v>12632</v>
      </c>
      <c r="GL6" s="1169">
        <v>12707.6</v>
      </c>
      <c r="GM6" s="1169">
        <v>12816.4</v>
      </c>
      <c r="GN6" s="1169">
        <v>12900.6</v>
      </c>
      <c r="GO6" s="1169">
        <v>12955.5</v>
      </c>
      <c r="GP6" s="1169">
        <v>12975.1</v>
      </c>
      <c r="GQ6" s="1169">
        <v>13088.8</v>
      </c>
      <c r="GR6" s="1169">
        <v>13192.3</v>
      </c>
      <c r="GS6" s="1169">
        <v>13249</v>
      </c>
      <c r="GT6" s="1169">
        <v>13014.5</v>
      </c>
      <c r="GU6" s="1169">
        <v>11756.4</v>
      </c>
      <c r="GV6" s="1169">
        <v>12820.8</v>
      </c>
      <c r="GW6" s="1169">
        <v>12927.9</v>
      </c>
      <c r="GX6" s="1169">
        <v>13282.7</v>
      </c>
      <c r="GY6" s="1169">
        <v>13665.6</v>
      </c>
      <c r="GZ6" s="1169">
        <v>13732.4</v>
      </c>
      <c r="HA6" s="1169">
        <v>13818.4</v>
      </c>
    </row>
    <row r="7" spans="1:209" x14ac:dyDescent="0.35">
      <c r="A7" s="1169" t="s">
        <v>850</v>
      </c>
      <c r="B7" s="1169">
        <v>20.57</v>
      </c>
      <c r="C7" s="1169">
        <v>20.797999999999998</v>
      </c>
      <c r="D7" s="1169">
        <v>21</v>
      </c>
      <c r="E7" s="1169">
        <v>21.271999999999998</v>
      </c>
      <c r="F7" s="1169">
        <v>21.474</v>
      </c>
      <c r="G7" s="1169">
        <v>21.718</v>
      </c>
      <c r="H7" s="1169">
        <v>21.931999999999999</v>
      </c>
      <c r="I7" s="1169">
        <v>22.068000000000001</v>
      </c>
      <c r="J7" s="1169">
        <v>22.300999999999998</v>
      </c>
      <c r="K7" s="1169">
        <v>22.428999999999998</v>
      </c>
      <c r="L7" s="1169">
        <v>22.626000000000001</v>
      </c>
      <c r="M7" s="1169">
        <v>22.811</v>
      </c>
      <c r="N7" s="1169">
        <v>23.085999999999999</v>
      </c>
      <c r="O7" s="1169">
        <v>23.53</v>
      </c>
      <c r="P7" s="1169">
        <v>23.957999999999998</v>
      </c>
      <c r="Q7" s="1169">
        <v>24.448</v>
      </c>
      <c r="R7" s="1169">
        <v>25.175999999999998</v>
      </c>
      <c r="S7" s="1169">
        <v>25.888999999999999</v>
      </c>
      <c r="T7" s="1169">
        <v>26.587</v>
      </c>
      <c r="U7" s="1169">
        <v>27.263000000000002</v>
      </c>
      <c r="V7" s="1169">
        <v>27.776</v>
      </c>
      <c r="W7" s="1169">
        <v>28.117000000000001</v>
      </c>
      <c r="X7" s="1169">
        <v>28.643000000000001</v>
      </c>
      <c r="Y7" s="1169">
        <v>29.123999999999999</v>
      </c>
      <c r="Z7" s="1169">
        <v>29.443999999999999</v>
      </c>
      <c r="AA7" s="1169">
        <v>29.690999999999999</v>
      </c>
      <c r="AB7" s="1169">
        <v>30.141999999999999</v>
      </c>
      <c r="AC7" s="1169">
        <v>30.617999999999999</v>
      </c>
      <c r="AD7" s="1169">
        <v>31.17</v>
      </c>
      <c r="AE7" s="1169">
        <v>31.704000000000001</v>
      </c>
      <c r="AF7" s="1169">
        <v>32.180999999999997</v>
      </c>
      <c r="AG7" s="1169">
        <v>32.637999999999998</v>
      </c>
      <c r="AH7" s="1169">
        <v>33.173999999999999</v>
      </c>
      <c r="AI7" s="1169">
        <v>33.854999999999997</v>
      </c>
      <c r="AJ7" s="1169">
        <v>34.448999999999998</v>
      </c>
      <c r="AK7" s="1169">
        <v>35.1</v>
      </c>
      <c r="AL7" s="1169">
        <v>35.762</v>
      </c>
      <c r="AM7" s="1169">
        <v>36.738999999999997</v>
      </c>
      <c r="AN7" s="1169">
        <v>37.65</v>
      </c>
      <c r="AO7" s="1169">
        <v>38.561999999999998</v>
      </c>
      <c r="AP7" s="1169">
        <v>39.719000000000001</v>
      </c>
      <c r="AQ7" s="1169">
        <v>40.691000000000003</v>
      </c>
      <c r="AR7" s="1169">
        <v>41.643000000000001</v>
      </c>
      <c r="AS7" s="1169">
        <v>42.673000000000002</v>
      </c>
      <c r="AT7" s="1169">
        <v>43.78</v>
      </c>
      <c r="AU7" s="1169">
        <v>44.515000000000001</v>
      </c>
      <c r="AV7" s="1169">
        <v>45.247999999999998</v>
      </c>
      <c r="AW7" s="1169">
        <v>45.941000000000003</v>
      </c>
      <c r="AX7" s="1169">
        <v>46.524999999999999</v>
      </c>
      <c r="AY7" s="1169">
        <v>46.972999999999999</v>
      </c>
      <c r="AZ7" s="1169">
        <v>47.715000000000003</v>
      </c>
      <c r="BA7" s="1169">
        <v>48.241</v>
      </c>
      <c r="BB7" s="1169">
        <v>48.64</v>
      </c>
      <c r="BC7" s="1169">
        <v>49.085000000000001</v>
      </c>
      <c r="BD7" s="1169">
        <v>49.73</v>
      </c>
      <c r="BE7" s="1169">
        <v>50.058</v>
      </c>
      <c r="BF7" s="1169">
        <v>50.598999999999997</v>
      </c>
      <c r="BG7" s="1169">
        <v>51.088999999999999</v>
      </c>
      <c r="BH7" s="1169">
        <v>51.482999999999997</v>
      </c>
      <c r="BI7" s="1169">
        <v>51.801000000000002</v>
      </c>
      <c r="BJ7" s="1169">
        <v>52.411999999999999</v>
      </c>
      <c r="BK7" s="1169">
        <v>52.837000000000003</v>
      </c>
      <c r="BL7" s="1169">
        <v>53.250999999999998</v>
      </c>
      <c r="BM7" s="1169">
        <v>53.622999999999998</v>
      </c>
      <c r="BN7" s="1169">
        <v>54.003</v>
      </c>
      <c r="BO7" s="1169">
        <v>53.945999999999998</v>
      </c>
      <c r="BP7" s="1169">
        <v>54.23</v>
      </c>
      <c r="BQ7" s="1169">
        <v>54.558</v>
      </c>
      <c r="BR7" s="1169">
        <v>55.072000000000003</v>
      </c>
      <c r="BS7" s="1169">
        <v>55.603000000000002</v>
      </c>
      <c r="BT7" s="1169">
        <v>56.13</v>
      </c>
      <c r="BU7" s="1169">
        <v>56.615000000000002</v>
      </c>
      <c r="BV7" s="1169">
        <v>57.061999999999998</v>
      </c>
      <c r="BW7" s="1169">
        <v>57.692</v>
      </c>
      <c r="BX7" s="1169">
        <v>58.402999999999999</v>
      </c>
      <c r="BY7" s="1169">
        <v>58.993000000000002</v>
      </c>
      <c r="BZ7" s="1169">
        <v>59.670999999999999</v>
      </c>
      <c r="CA7" s="1169">
        <v>60.475000000000001</v>
      </c>
      <c r="CB7" s="1169">
        <v>60.832000000000001</v>
      </c>
      <c r="CC7" s="1169">
        <v>61.31</v>
      </c>
      <c r="CD7" s="1169">
        <v>62.198999999999998</v>
      </c>
      <c r="CE7" s="1169">
        <v>62.764000000000003</v>
      </c>
      <c r="CF7" s="1169">
        <v>63.561</v>
      </c>
      <c r="CG7" s="1169">
        <v>64.402000000000001</v>
      </c>
      <c r="CH7" s="1169">
        <v>64.739999999999995</v>
      </c>
      <c r="CI7" s="1169">
        <v>65.093999999999994</v>
      </c>
      <c r="CJ7" s="1169">
        <v>65.536000000000001</v>
      </c>
      <c r="CK7" s="1169">
        <v>66.012</v>
      </c>
      <c r="CL7" s="1169">
        <v>66.424999999999997</v>
      </c>
      <c r="CM7" s="1169">
        <v>66.867000000000004</v>
      </c>
      <c r="CN7" s="1169">
        <v>67.293999999999997</v>
      </c>
      <c r="CO7" s="1169">
        <v>67.763000000000005</v>
      </c>
      <c r="CP7" s="1169">
        <v>68.167000000000002</v>
      </c>
      <c r="CQ7" s="1169">
        <v>68.623999999999995</v>
      </c>
      <c r="CR7" s="1169">
        <v>68.923000000000002</v>
      </c>
      <c r="CS7" s="1169">
        <v>69.319999999999993</v>
      </c>
      <c r="CT7" s="1169">
        <v>69.567999999999998</v>
      </c>
      <c r="CU7" s="1169">
        <v>69.956000000000003</v>
      </c>
      <c r="CV7" s="1169">
        <v>70.459000000000003</v>
      </c>
      <c r="CW7" s="1169">
        <v>70.789000000000001</v>
      </c>
      <c r="CX7" s="1169">
        <v>71.135999999999996</v>
      </c>
      <c r="CY7" s="1169">
        <v>71.549000000000007</v>
      </c>
      <c r="CZ7" s="1169">
        <v>71.841999999999999</v>
      </c>
      <c r="DA7" s="1169">
        <v>72.158000000000001</v>
      </c>
      <c r="DB7" s="1169">
        <v>72.558999999999997</v>
      </c>
      <c r="DC7" s="1169">
        <v>73.043999999999997</v>
      </c>
      <c r="DD7" s="1169">
        <v>73.355999999999995</v>
      </c>
      <c r="DE7" s="1169">
        <v>73.855999999999995</v>
      </c>
      <c r="DF7" s="1169">
        <v>74.182000000000002</v>
      </c>
      <c r="DG7" s="1169">
        <v>74.367999999999995</v>
      </c>
      <c r="DH7" s="1169">
        <v>74.563999999999993</v>
      </c>
      <c r="DI7" s="1169">
        <v>74.798000000000002</v>
      </c>
      <c r="DJ7" s="1169">
        <v>74.804000000000002</v>
      </c>
      <c r="DK7" s="1169">
        <v>74.938999999999993</v>
      </c>
      <c r="DL7" s="1169">
        <v>75.17</v>
      </c>
      <c r="DM7" s="1169">
        <v>75.369</v>
      </c>
      <c r="DN7" s="1169">
        <v>75.516999999999996</v>
      </c>
      <c r="DO7" s="1169">
        <v>75.947000000000003</v>
      </c>
      <c r="DP7" s="1169">
        <v>76.364999999999995</v>
      </c>
      <c r="DQ7" s="1169">
        <v>76.828000000000003</v>
      </c>
      <c r="DR7" s="1169">
        <v>77.451999999999998</v>
      </c>
      <c r="DS7" s="1169">
        <v>77.820999999999998</v>
      </c>
      <c r="DT7" s="1169">
        <v>78.322999999999993</v>
      </c>
      <c r="DU7" s="1169">
        <v>78.766000000000005</v>
      </c>
      <c r="DV7" s="1169">
        <v>79.349000000000004</v>
      </c>
      <c r="DW7" s="1169">
        <v>79.721000000000004</v>
      </c>
      <c r="DX7" s="1169">
        <v>79.760999999999996</v>
      </c>
      <c r="DY7" s="1169">
        <v>79.793999999999997</v>
      </c>
      <c r="DZ7" s="1169">
        <v>79.953999999999994</v>
      </c>
      <c r="EA7" s="1169">
        <v>80.546999999999997</v>
      </c>
      <c r="EB7" s="1169">
        <v>80.963999999999999</v>
      </c>
      <c r="EC7" s="1169">
        <v>81.341999999999999</v>
      </c>
      <c r="ED7" s="1169">
        <v>81.963999999999999</v>
      </c>
      <c r="EE7" s="1169">
        <v>82.046000000000006</v>
      </c>
      <c r="EF7" s="1169">
        <v>82.587000000000003</v>
      </c>
      <c r="EG7" s="1169">
        <v>82.992999999999995</v>
      </c>
      <c r="EH7" s="1169">
        <v>83.632999999999996</v>
      </c>
      <c r="EI7" s="1169">
        <v>84.195999999999998</v>
      </c>
      <c r="EJ7" s="1169">
        <v>84.61</v>
      </c>
      <c r="EK7" s="1169">
        <v>85.332999999999998</v>
      </c>
      <c r="EL7" s="1169">
        <v>85.828999999999994</v>
      </c>
      <c r="EM7" s="1169">
        <v>86.370999999999995</v>
      </c>
      <c r="EN7" s="1169">
        <v>87.304000000000002</v>
      </c>
      <c r="EO7" s="1169">
        <v>87.998999999999995</v>
      </c>
      <c r="EP7" s="1169">
        <v>88.456000000000003</v>
      </c>
      <c r="EQ7" s="1169">
        <v>89.231999999999999</v>
      </c>
      <c r="ER7" s="1169">
        <v>89.873999999999995</v>
      </c>
      <c r="ES7" s="1169">
        <v>89.725999999999999</v>
      </c>
      <c r="ET7" s="1169">
        <v>90.546000000000006</v>
      </c>
      <c r="EU7" s="1169">
        <v>91.314999999999998</v>
      </c>
      <c r="EV7" s="1169">
        <v>91.831000000000003</v>
      </c>
      <c r="EW7" s="1169">
        <v>92.765000000000001</v>
      </c>
      <c r="EX7" s="1169">
        <v>93.52</v>
      </c>
      <c r="EY7" s="1169">
        <v>94.43</v>
      </c>
      <c r="EZ7" s="1169">
        <v>95.438000000000002</v>
      </c>
      <c r="FA7" s="1169">
        <v>93.914000000000001</v>
      </c>
      <c r="FB7" s="1169">
        <v>93.28</v>
      </c>
      <c r="FC7" s="1169">
        <v>93.650999999999996</v>
      </c>
      <c r="FD7" s="1169">
        <v>94.296000000000006</v>
      </c>
      <c r="FE7" s="1169">
        <v>95.024000000000001</v>
      </c>
      <c r="FF7" s="1169">
        <v>95.391000000000005</v>
      </c>
      <c r="FG7" s="1169">
        <v>95.539000000000001</v>
      </c>
      <c r="FH7" s="1169">
        <v>95.722999999999999</v>
      </c>
      <c r="FI7" s="1169">
        <v>96.335999999999999</v>
      </c>
      <c r="FJ7" s="1169">
        <v>97.144999999999996</v>
      </c>
      <c r="FK7" s="1169">
        <v>98.1</v>
      </c>
      <c r="FL7" s="1169">
        <v>98.554000000000002</v>
      </c>
      <c r="FM7" s="1169">
        <v>98.879000000000005</v>
      </c>
      <c r="FN7" s="1169">
        <v>99.534000000000006</v>
      </c>
      <c r="FO7" s="1169">
        <v>99.775000000000006</v>
      </c>
      <c r="FP7" s="1169">
        <v>100.065</v>
      </c>
      <c r="FQ7" s="1169">
        <v>100.626</v>
      </c>
      <c r="FR7" s="1169">
        <v>100.989</v>
      </c>
      <c r="FS7" s="1169">
        <v>101.06100000000001</v>
      </c>
      <c r="FT7" s="1169">
        <v>101.471</v>
      </c>
      <c r="FU7" s="1169">
        <v>101.896</v>
      </c>
      <c r="FV7" s="1169">
        <v>102.386</v>
      </c>
      <c r="FW7" s="1169">
        <v>102.899</v>
      </c>
      <c r="FX7" s="1169">
        <v>103.19</v>
      </c>
      <c r="FY7" s="1169">
        <v>103.071</v>
      </c>
      <c r="FZ7" s="1169">
        <v>102.643</v>
      </c>
      <c r="GA7" s="1169">
        <v>103.14100000000001</v>
      </c>
      <c r="GB7" s="1169">
        <v>103.39</v>
      </c>
      <c r="GC7" s="1169">
        <v>103.288</v>
      </c>
      <c r="GD7" s="1169">
        <v>103.343</v>
      </c>
      <c r="GE7" s="1169">
        <v>103.992</v>
      </c>
      <c r="GF7" s="1169">
        <v>104.38200000000001</v>
      </c>
      <c r="GG7" s="1169">
        <v>104.876</v>
      </c>
      <c r="GH7" s="1169">
        <v>105.453</v>
      </c>
      <c r="GI7" s="1169">
        <v>105.751</v>
      </c>
      <c r="GJ7" s="1169">
        <v>106.146</v>
      </c>
      <c r="GK7" s="1169">
        <v>106.85599999999999</v>
      </c>
      <c r="GL7" s="1169">
        <v>107.557</v>
      </c>
      <c r="GM7" s="1169">
        <v>108.184</v>
      </c>
      <c r="GN7" s="1169">
        <v>108.54600000000001</v>
      </c>
      <c r="GO7" s="1169">
        <v>108.986</v>
      </c>
      <c r="GP7" s="1169">
        <v>109.1</v>
      </c>
      <c r="GQ7" s="1169">
        <v>109.83499999999999</v>
      </c>
      <c r="GR7" s="1169">
        <v>110.14100000000001</v>
      </c>
      <c r="GS7" s="1169">
        <v>110.61199999999999</v>
      </c>
      <c r="GT7" s="1169">
        <v>110.958</v>
      </c>
      <c r="GU7" s="1169">
        <v>110.505</v>
      </c>
      <c r="GV7" s="1169">
        <v>111.50700000000001</v>
      </c>
      <c r="GW7" s="1169">
        <v>111.928</v>
      </c>
      <c r="GX7" s="1169">
        <v>112.989</v>
      </c>
      <c r="GY7" s="1169">
        <v>114.77200000000001</v>
      </c>
      <c r="GZ7" s="1169">
        <v>116.277</v>
      </c>
      <c r="HA7" s="1169">
        <v>118.081</v>
      </c>
    </row>
    <row r="8" spans="1:209" x14ac:dyDescent="0.35">
      <c r="A8" s="1169" t="s">
        <v>851</v>
      </c>
      <c r="B8" s="1169">
        <v>18.704000000000001</v>
      </c>
      <c r="C8" s="1169">
        <v>18.951000000000001</v>
      </c>
      <c r="D8" s="1169">
        <v>19.274000000000001</v>
      </c>
      <c r="E8" s="1169">
        <v>19.518999999999998</v>
      </c>
      <c r="F8" s="1169">
        <v>20.137</v>
      </c>
      <c r="G8" s="1169">
        <v>20.513000000000002</v>
      </c>
      <c r="H8" s="1169">
        <v>20.81</v>
      </c>
      <c r="I8" s="1169">
        <v>21.233000000000001</v>
      </c>
      <c r="J8" s="1169">
        <v>22.106999999999999</v>
      </c>
      <c r="K8" s="1169">
        <v>22.33</v>
      </c>
      <c r="L8" s="1169">
        <v>22.513000000000002</v>
      </c>
      <c r="M8" s="1169">
        <v>23.003</v>
      </c>
      <c r="N8" s="1169">
        <v>23.373000000000001</v>
      </c>
      <c r="O8" s="1169">
        <v>23.78</v>
      </c>
      <c r="P8" s="1169">
        <v>24.271999999999998</v>
      </c>
      <c r="Q8" s="1169">
        <v>24.791</v>
      </c>
      <c r="R8" s="1169">
        <v>25.045000000000002</v>
      </c>
      <c r="S8" s="1169">
        <v>25.498000000000001</v>
      </c>
      <c r="T8" s="1169">
        <v>26.242000000000001</v>
      </c>
      <c r="U8" s="1169">
        <v>27.114000000000001</v>
      </c>
      <c r="V8" s="1169">
        <v>27.606999999999999</v>
      </c>
      <c r="W8" s="1169">
        <v>28.006</v>
      </c>
      <c r="X8" s="1169">
        <v>28.384</v>
      </c>
      <c r="Y8" s="1169">
        <v>29.036000000000001</v>
      </c>
      <c r="Z8" s="1169">
        <v>29.46</v>
      </c>
      <c r="AA8" s="1169">
        <v>29.707000000000001</v>
      </c>
      <c r="AB8" s="1169">
        <v>30.047000000000001</v>
      </c>
      <c r="AC8" s="1169">
        <v>30.850999999999999</v>
      </c>
      <c r="AD8" s="1169">
        <v>31.286999999999999</v>
      </c>
      <c r="AE8" s="1169">
        <v>31.643000000000001</v>
      </c>
      <c r="AF8" s="1169">
        <v>31.798999999999999</v>
      </c>
      <c r="AG8" s="1169">
        <v>32.720999999999997</v>
      </c>
      <c r="AH8" s="1169">
        <v>33.094999999999999</v>
      </c>
      <c r="AI8" s="1169">
        <v>33.744999999999997</v>
      </c>
      <c r="AJ8" s="1169">
        <v>34.308999999999997</v>
      </c>
      <c r="AK8" s="1169">
        <v>34.901000000000003</v>
      </c>
      <c r="AL8" s="1169">
        <v>35.543999999999997</v>
      </c>
      <c r="AM8" s="1169">
        <v>36.081000000000003</v>
      </c>
      <c r="AN8" s="1169">
        <v>36.923000000000002</v>
      </c>
      <c r="AO8" s="1169">
        <v>37.735999999999997</v>
      </c>
      <c r="AP8" s="1169">
        <v>38.481999999999999</v>
      </c>
      <c r="AQ8" s="1169">
        <v>39.97</v>
      </c>
      <c r="AR8" s="1169">
        <v>40.375</v>
      </c>
      <c r="AS8" s="1169">
        <v>41.59</v>
      </c>
      <c r="AT8" s="1169">
        <v>42.420999999999999</v>
      </c>
      <c r="AU8" s="1169">
        <v>43.406999999999996</v>
      </c>
      <c r="AV8" s="1169">
        <v>44.36</v>
      </c>
      <c r="AW8" s="1169">
        <v>45.209000000000003</v>
      </c>
      <c r="AX8" s="1169">
        <v>45.932000000000002</v>
      </c>
      <c r="AY8" s="1169">
        <v>46.841000000000001</v>
      </c>
      <c r="AZ8" s="1169">
        <v>47.234999999999999</v>
      </c>
      <c r="BA8" s="1169">
        <v>47.792000000000002</v>
      </c>
      <c r="BB8" s="1169">
        <v>47.881999999999998</v>
      </c>
      <c r="BC8" s="1169">
        <v>48.252000000000002</v>
      </c>
      <c r="BD8" s="1169">
        <v>48.786000000000001</v>
      </c>
      <c r="BE8" s="1169">
        <v>49.104999999999997</v>
      </c>
      <c r="BF8" s="1169">
        <v>49.741</v>
      </c>
      <c r="BG8" s="1169">
        <v>50.237000000000002</v>
      </c>
      <c r="BH8" s="1169">
        <v>50.984000000000002</v>
      </c>
      <c r="BI8" s="1169">
        <v>51.612000000000002</v>
      </c>
      <c r="BJ8" s="1169">
        <v>51.405999999999999</v>
      </c>
      <c r="BK8" s="1169">
        <v>51.527000000000001</v>
      </c>
      <c r="BL8" s="1169">
        <v>51.802</v>
      </c>
      <c r="BM8" s="1169">
        <v>52.142000000000003</v>
      </c>
      <c r="BN8" s="1169">
        <v>52.01</v>
      </c>
      <c r="BO8" s="1169">
        <v>51.881</v>
      </c>
      <c r="BP8" s="1169">
        <v>51.954000000000001</v>
      </c>
      <c r="BQ8" s="1169">
        <v>52.012999999999998</v>
      </c>
      <c r="BR8" s="1169">
        <v>51.923999999999999</v>
      </c>
      <c r="BS8" s="1169">
        <v>52.170999999999999</v>
      </c>
      <c r="BT8" s="1169">
        <v>52.548000000000002</v>
      </c>
      <c r="BU8" s="1169">
        <v>52.658000000000001</v>
      </c>
      <c r="BV8" s="1169">
        <v>53.375999999999998</v>
      </c>
      <c r="BW8" s="1169">
        <v>53.901000000000003</v>
      </c>
      <c r="BX8" s="1169">
        <v>54.209000000000003</v>
      </c>
      <c r="BY8" s="1169">
        <v>54.645000000000003</v>
      </c>
      <c r="BZ8" s="1169">
        <v>55.051000000000002</v>
      </c>
      <c r="CA8" s="1169">
        <v>55.454999999999998</v>
      </c>
      <c r="CB8" s="1169">
        <v>55.731000000000002</v>
      </c>
      <c r="CC8" s="1169">
        <v>55.930999999999997</v>
      </c>
      <c r="CD8" s="1169">
        <v>56.323</v>
      </c>
      <c r="CE8" s="1169">
        <v>57.29</v>
      </c>
      <c r="CF8" s="1169">
        <v>57.366999999999997</v>
      </c>
      <c r="CG8" s="1169">
        <v>58.05</v>
      </c>
      <c r="CH8" s="1169">
        <v>58.570999999999998</v>
      </c>
      <c r="CI8" s="1169">
        <v>58.86</v>
      </c>
      <c r="CJ8" s="1169">
        <v>59.616</v>
      </c>
      <c r="CK8" s="1169">
        <v>60.219000000000001</v>
      </c>
      <c r="CL8" s="1169">
        <v>60.307000000000002</v>
      </c>
      <c r="CM8" s="1169">
        <v>60.527000000000001</v>
      </c>
      <c r="CN8" s="1169">
        <v>61.055</v>
      </c>
      <c r="CO8" s="1169">
        <v>61.439</v>
      </c>
      <c r="CP8" s="1169">
        <v>61.591999999999999</v>
      </c>
      <c r="CQ8" s="1169">
        <v>61.863</v>
      </c>
      <c r="CR8" s="1169">
        <v>62.311</v>
      </c>
      <c r="CS8" s="1169">
        <v>62.87</v>
      </c>
      <c r="CT8" s="1169">
        <v>63.158000000000001</v>
      </c>
      <c r="CU8" s="1169">
        <v>63.688000000000002</v>
      </c>
      <c r="CV8" s="1169">
        <v>64.054000000000002</v>
      </c>
      <c r="CW8" s="1169">
        <v>64.58</v>
      </c>
      <c r="CX8" s="1169">
        <v>65.123999999999995</v>
      </c>
      <c r="CY8" s="1169">
        <v>65.558000000000007</v>
      </c>
      <c r="CZ8" s="1169">
        <v>65.897000000000006</v>
      </c>
      <c r="DA8" s="1169">
        <v>66.807000000000002</v>
      </c>
      <c r="DB8" s="1169">
        <v>66.963999999999999</v>
      </c>
      <c r="DC8" s="1169">
        <v>66.605000000000004</v>
      </c>
      <c r="DD8" s="1169">
        <v>66.992000000000004</v>
      </c>
      <c r="DE8" s="1169">
        <v>67.221999999999994</v>
      </c>
      <c r="DF8" s="1169">
        <v>67.450999999999993</v>
      </c>
      <c r="DG8" s="1169">
        <v>67.894999999999996</v>
      </c>
      <c r="DH8" s="1169">
        <v>68.051000000000002</v>
      </c>
      <c r="DI8" s="1169">
        <v>68.528000000000006</v>
      </c>
      <c r="DJ8" s="1169">
        <v>68.241</v>
      </c>
      <c r="DK8" s="1169">
        <v>68.680000000000007</v>
      </c>
      <c r="DL8" s="1169">
        <v>69.129000000000005</v>
      </c>
      <c r="DM8" s="1169">
        <v>69.350999999999999</v>
      </c>
      <c r="DN8" s="1169">
        <v>69.557000000000002</v>
      </c>
      <c r="DO8" s="1169">
        <v>70.141999999999996</v>
      </c>
      <c r="DP8" s="1169">
        <v>70.778999999999996</v>
      </c>
      <c r="DQ8" s="1169">
        <v>71.649000000000001</v>
      </c>
      <c r="DR8" s="1169">
        <v>72.346999999999994</v>
      </c>
      <c r="DS8" s="1169">
        <v>72.625</v>
      </c>
      <c r="DT8" s="1169">
        <v>73.144999999999996</v>
      </c>
      <c r="DU8" s="1169">
        <v>73.475999999999999</v>
      </c>
      <c r="DV8" s="1169">
        <v>73.600999999999999</v>
      </c>
      <c r="DW8" s="1169">
        <v>73.988</v>
      </c>
      <c r="DX8" s="1169">
        <v>74.462000000000003</v>
      </c>
      <c r="DY8" s="1169">
        <v>74.944000000000003</v>
      </c>
      <c r="DZ8" s="1169">
        <v>75.430000000000007</v>
      </c>
      <c r="EA8" s="1169">
        <v>76.143000000000001</v>
      </c>
      <c r="EB8" s="1169">
        <v>76.796999999999997</v>
      </c>
      <c r="EC8" s="1169">
        <v>78.22</v>
      </c>
      <c r="ED8" s="1169">
        <v>79.091999999999999</v>
      </c>
      <c r="EE8" s="1169">
        <v>79.653999999999996</v>
      </c>
      <c r="EF8" s="1169">
        <v>80.375</v>
      </c>
      <c r="EG8" s="1169">
        <v>80.977000000000004</v>
      </c>
      <c r="EH8" s="1169">
        <v>81.665999999999997</v>
      </c>
      <c r="EI8" s="1169">
        <v>82.375</v>
      </c>
      <c r="EJ8" s="1169">
        <v>83.129000000000005</v>
      </c>
      <c r="EK8" s="1169">
        <v>83.938000000000002</v>
      </c>
      <c r="EL8" s="1169">
        <v>85.043000000000006</v>
      </c>
      <c r="EM8" s="1169">
        <v>85.81</v>
      </c>
      <c r="EN8" s="1169">
        <v>86.706000000000003</v>
      </c>
      <c r="EO8" s="1169">
        <v>87.328999999999994</v>
      </c>
      <c r="EP8" s="1169">
        <v>88.063999999999993</v>
      </c>
      <c r="EQ8" s="1169">
        <v>88.677000000000007</v>
      </c>
      <c r="ER8" s="1169">
        <v>89.334000000000003</v>
      </c>
      <c r="ES8" s="1169">
        <v>89.799000000000007</v>
      </c>
      <c r="ET8" s="1169">
        <v>90.566999999999993</v>
      </c>
      <c r="EU8" s="1169">
        <v>91.290999999999997</v>
      </c>
      <c r="EV8" s="1169">
        <v>91.92</v>
      </c>
      <c r="EW8" s="1169">
        <v>92.656999999999996</v>
      </c>
      <c r="EX8" s="1169">
        <v>93.438000000000002</v>
      </c>
      <c r="EY8" s="1169">
        <v>94.394999999999996</v>
      </c>
      <c r="EZ8" s="1169">
        <v>95.102999999999994</v>
      </c>
      <c r="FA8" s="1169">
        <v>94.65</v>
      </c>
      <c r="FB8" s="1169">
        <v>93.855999999999995</v>
      </c>
      <c r="FC8" s="1169">
        <v>93.873000000000005</v>
      </c>
      <c r="FD8" s="1169">
        <v>94.16</v>
      </c>
      <c r="FE8" s="1169">
        <v>94.884</v>
      </c>
      <c r="FF8" s="1169">
        <v>95.488</v>
      </c>
      <c r="FG8" s="1169">
        <v>96.22</v>
      </c>
      <c r="FH8" s="1169">
        <v>96.602000000000004</v>
      </c>
      <c r="FI8" s="1169">
        <v>97.388000000000005</v>
      </c>
      <c r="FJ8" s="1169">
        <v>98.263000000000005</v>
      </c>
      <c r="FK8" s="1169">
        <v>99.152000000000001</v>
      </c>
      <c r="FL8" s="1169">
        <v>99.497</v>
      </c>
      <c r="FM8" s="1169">
        <v>99.364000000000004</v>
      </c>
      <c r="FN8" s="1169">
        <v>99.707999999999998</v>
      </c>
      <c r="FO8" s="1169">
        <v>99.927999999999997</v>
      </c>
      <c r="FP8" s="1169">
        <v>100.12</v>
      </c>
      <c r="FQ8" s="1169">
        <v>100.244</v>
      </c>
      <c r="FR8" s="1169">
        <v>100.239</v>
      </c>
      <c r="FS8" s="1169">
        <v>100.437</v>
      </c>
      <c r="FT8" s="1169">
        <v>100.762</v>
      </c>
      <c r="FU8" s="1169">
        <v>102.295</v>
      </c>
      <c r="FV8" s="1169">
        <v>102.03100000000001</v>
      </c>
      <c r="FW8" s="1169">
        <v>102.482</v>
      </c>
      <c r="FX8" s="1169">
        <v>102.961</v>
      </c>
      <c r="FY8" s="1169">
        <v>103.099</v>
      </c>
      <c r="FZ8" s="1169">
        <v>102.93300000000001</v>
      </c>
      <c r="GA8" s="1169">
        <v>103.13500000000001</v>
      </c>
      <c r="GB8" s="1169">
        <v>103.29300000000001</v>
      </c>
      <c r="GC8" s="1169">
        <v>103.211</v>
      </c>
      <c r="GD8" s="1169">
        <v>102.953</v>
      </c>
      <c r="GE8" s="1169">
        <v>103.50700000000001</v>
      </c>
      <c r="GF8" s="1169">
        <v>103.90900000000001</v>
      </c>
      <c r="GG8" s="1169">
        <v>104.41</v>
      </c>
      <c r="GH8" s="1169">
        <v>104.958</v>
      </c>
      <c r="GI8" s="1169">
        <v>105.35599999999999</v>
      </c>
      <c r="GJ8" s="1169">
        <v>105.86</v>
      </c>
      <c r="GK8" s="1169">
        <v>106.633</v>
      </c>
      <c r="GL8" s="1169">
        <v>107.655</v>
      </c>
      <c r="GM8" s="1169">
        <v>108.447</v>
      </c>
      <c r="GN8" s="1169">
        <v>109.07299999999999</v>
      </c>
      <c r="GO8" s="1169">
        <v>109.928</v>
      </c>
      <c r="GP8" s="1169">
        <v>111.078</v>
      </c>
      <c r="GQ8" s="1169">
        <v>110.303</v>
      </c>
      <c r="GR8" s="1169">
        <v>110.673</v>
      </c>
      <c r="GS8" s="1169">
        <v>111.068</v>
      </c>
      <c r="GT8" s="1169">
        <v>111.4</v>
      </c>
      <c r="GU8" s="1169">
        <v>111.444</v>
      </c>
      <c r="GV8" s="1169">
        <v>112.26900000000001</v>
      </c>
      <c r="GW8" s="1169">
        <v>112.959</v>
      </c>
      <c r="GX8" s="1169">
        <v>114.065</v>
      </c>
      <c r="GY8" s="1169">
        <v>115.22799999999999</v>
      </c>
      <c r="GZ8" s="1169">
        <v>116.643</v>
      </c>
      <c r="HA8" s="1169">
        <v>118.261</v>
      </c>
    </row>
    <row r="9" spans="1:209" x14ac:dyDescent="0.35">
      <c r="A9" s="1169" t="s">
        <v>852</v>
      </c>
      <c r="B9" s="1169">
        <v>13.706</v>
      </c>
      <c r="C9" s="1169">
        <v>13.997</v>
      </c>
      <c r="D9" s="1169">
        <v>14.25</v>
      </c>
      <c r="E9" s="1169">
        <v>14.52</v>
      </c>
      <c r="F9" s="1169">
        <v>14.849</v>
      </c>
      <c r="G9" s="1169">
        <v>15.118</v>
      </c>
      <c r="H9" s="1169">
        <v>15.331</v>
      </c>
      <c r="I9" s="1169">
        <v>15.497999999999999</v>
      </c>
      <c r="J9" s="1169">
        <v>15.845000000000001</v>
      </c>
      <c r="K9" s="1169">
        <v>16.032</v>
      </c>
      <c r="L9" s="1169">
        <v>16.276</v>
      </c>
      <c r="M9" s="1169">
        <v>16.5</v>
      </c>
      <c r="N9" s="1169">
        <v>16.824999999999999</v>
      </c>
      <c r="O9" s="1169">
        <v>17.123999999999999</v>
      </c>
      <c r="P9" s="1169">
        <v>17.353999999999999</v>
      </c>
      <c r="Q9" s="1169">
        <v>17.683</v>
      </c>
      <c r="R9" s="1169">
        <v>18.196000000000002</v>
      </c>
      <c r="S9" s="1169">
        <v>18.829000000000001</v>
      </c>
      <c r="T9" s="1169">
        <v>19.515999999999998</v>
      </c>
      <c r="U9" s="1169">
        <v>20.09</v>
      </c>
      <c r="V9" s="1169">
        <v>20.494</v>
      </c>
      <c r="W9" s="1169">
        <v>20.9</v>
      </c>
      <c r="X9" s="1169">
        <v>21.167000000000002</v>
      </c>
      <c r="Y9" s="1169">
        <v>21.437999999999999</v>
      </c>
      <c r="Z9" s="1169">
        <v>21.68</v>
      </c>
      <c r="AA9" s="1169">
        <v>21.943000000000001</v>
      </c>
      <c r="AB9" s="1169">
        <v>22.106000000000002</v>
      </c>
      <c r="AC9" s="1169">
        <v>22.37</v>
      </c>
      <c r="AD9" s="1169">
        <v>22.792000000000002</v>
      </c>
      <c r="AE9" s="1169">
        <v>23.2</v>
      </c>
      <c r="AF9" s="1169">
        <v>23.594999999999999</v>
      </c>
      <c r="AG9" s="1169">
        <v>23.992999999999999</v>
      </c>
      <c r="AH9" s="1169">
        <v>24.332000000000001</v>
      </c>
      <c r="AI9" s="1169">
        <v>24.738</v>
      </c>
      <c r="AJ9" s="1169">
        <v>25.114999999999998</v>
      </c>
      <c r="AK9" s="1169">
        <v>25.475000000000001</v>
      </c>
      <c r="AL9" s="1169">
        <v>26.081</v>
      </c>
      <c r="AM9" s="1169">
        <v>26.678000000000001</v>
      </c>
      <c r="AN9" s="1169">
        <v>27.582000000000001</v>
      </c>
      <c r="AO9" s="1169">
        <v>28.120999999999999</v>
      </c>
      <c r="AP9" s="1169">
        <v>28.853000000000002</v>
      </c>
      <c r="AQ9" s="1169">
        <v>29.645</v>
      </c>
      <c r="AR9" s="1169">
        <v>30.5</v>
      </c>
      <c r="AS9" s="1169">
        <v>31.33</v>
      </c>
      <c r="AT9" s="1169">
        <v>32.348999999999997</v>
      </c>
      <c r="AU9" s="1169">
        <v>33.045000000000002</v>
      </c>
      <c r="AV9" s="1169">
        <v>33.494</v>
      </c>
      <c r="AW9" s="1169">
        <v>34.023000000000003</v>
      </c>
      <c r="AX9" s="1169">
        <v>34.595999999999997</v>
      </c>
      <c r="AY9" s="1169">
        <v>35.152000000000001</v>
      </c>
      <c r="AZ9" s="1169">
        <v>35.704000000000001</v>
      </c>
      <c r="BA9" s="1169">
        <v>36.158000000000001</v>
      </c>
      <c r="BB9" s="1169">
        <v>36.417999999999999</v>
      </c>
      <c r="BC9" s="1169">
        <v>36.817</v>
      </c>
      <c r="BD9" s="1169">
        <v>37.173000000000002</v>
      </c>
      <c r="BE9" s="1169">
        <v>37.456000000000003</v>
      </c>
      <c r="BF9" s="1169">
        <v>37.999000000000002</v>
      </c>
      <c r="BG9" s="1169">
        <v>38.360999999999997</v>
      </c>
      <c r="BH9" s="1169">
        <v>38.719000000000001</v>
      </c>
      <c r="BI9" s="1169">
        <v>39.103000000000002</v>
      </c>
      <c r="BJ9" s="1169">
        <v>39.564</v>
      </c>
      <c r="BK9" s="1169">
        <v>39.954000000000001</v>
      </c>
      <c r="BL9" s="1169">
        <v>40.284999999999997</v>
      </c>
      <c r="BM9" s="1169">
        <v>40.658000000000001</v>
      </c>
      <c r="BN9" s="1169">
        <v>40.826999999999998</v>
      </c>
      <c r="BO9" s="1169">
        <v>41.006999999999998</v>
      </c>
      <c r="BP9" s="1169">
        <v>41.362000000000002</v>
      </c>
      <c r="BQ9" s="1169">
        <v>41.887999999999998</v>
      </c>
      <c r="BR9" s="1169">
        <v>42.487000000000002</v>
      </c>
      <c r="BS9" s="1169">
        <v>43.006</v>
      </c>
      <c r="BT9" s="1169">
        <v>43.521000000000001</v>
      </c>
      <c r="BU9" s="1169">
        <v>43.78</v>
      </c>
      <c r="BV9" s="1169">
        <v>44.005000000000003</v>
      </c>
      <c r="BW9" s="1169">
        <v>44.433999999999997</v>
      </c>
      <c r="BX9" s="1169">
        <v>44.808</v>
      </c>
      <c r="BY9" s="1169">
        <v>45.320999999999998</v>
      </c>
      <c r="BZ9" s="1169">
        <v>45.917000000000002</v>
      </c>
      <c r="CA9" s="1169">
        <v>46.54</v>
      </c>
      <c r="CB9" s="1169">
        <v>46.975999999999999</v>
      </c>
      <c r="CC9" s="1169">
        <v>47.582999999999998</v>
      </c>
      <c r="CD9" s="1169">
        <v>48.256</v>
      </c>
      <c r="CE9" s="1169">
        <v>48.753999999999998</v>
      </c>
      <c r="CF9" s="1169">
        <v>49.417000000000002</v>
      </c>
      <c r="CG9" s="1169">
        <v>50.195</v>
      </c>
      <c r="CH9" s="1169">
        <v>50.405999999999999</v>
      </c>
      <c r="CI9" s="1169">
        <v>50.710999999999999</v>
      </c>
      <c r="CJ9" s="1169">
        <v>51.128999999999998</v>
      </c>
      <c r="CK9" s="1169">
        <v>51.575000000000003</v>
      </c>
      <c r="CL9" s="1169">
        <v>51.942999999999998</v>
      </c>
      <c r="CM9" s="1169">
        <v>52.563000000000002</v>
      </c>
      <c r="CN9" s="1169">
        <v>52.951000000000001</v>
      </c>
      <c r="CO9" s="1169">
        <v>53.311999999999998</v>
      </c>
      <c r="CP9" s="1169">
        <v>53.622</v>
      </c>
      <c r="CQ9" s="1169">
        <v>53.938000000000002</v>
      </c>
      <c r="CR9" s="1169">
        <v>54.091999999999999</v>
      </c>
      <c r="CS9" s="1169">
        <v>54.365000000000002</v>
      </c>
      <c r="CT9" s="1169">
        <v>54.808999999999997</v>
      </c>
      <c r="CU9" s="1169">
        <v>55.113999999999997</v>
      </c>
      <c r="CV9" s="1169">
        <v>55.595999999999997</v>
      </c>
      <c r="CW9" s="1169">
        <v>56.067999999999998</v>
      </c>
      <c r="CX9" s="1169">
        <v>56.381</v>
      </c>
      <c r="CY9" s="1169">
        <v>56.808999999999997</v>
      </c>
      <c r="CZ9" s="1169">
        <v>57.042999999999999</v>
      </c>
      <c r="DA9" s="1169">
        <v>57.261000000000003</v>
      </c>
      <c r="DB9" s="1169">
        <v>57.832999999999998</v>
      </c>
      <c r="DC9" s="1169">
        <v>57.911999999999999</v>
      </c>
      <c r="DD9" s="1169">
        <v>58.277999999999999</v>
      </c>
      <c r="DE9" s="1169">
        <v>58.695999999999998</v>
      </c>
      <c r="DF9" s="1169">
        <v>59.085000000000001</v>
      </c>
      <c r="DG9" s="1169">
        <v>59.276000000000003</v>
      </c>
      <c r="DH9" s="1169">
        <v>59.533999999999999</v>
      </c>
      <c r="DI9" s="1169">
        <v>60</v>
      </c>
      <c r="DJ9" s="1169">
        <v>60.081000000000003</v>
      </c>
      <c r="DK9" s="1169">
        <v>60.347000000000001</v>
      </c>
      <c r="DL9" s="1169">
        <v>60.798999999999999</v>
      </c>
      <c r="DM9" s="1169">
        <v>61.307000000000002</v>
      </c>
      <c r="DN9" s="1169">
        <v>61.777999999999999</v>
      </c>
      <c r="DO9" s="1169">
        <v>62.613999999999997</v>
      </c>
      <c r="DP9" s="1169">
        <v>63.366</v>
      </c>
      <c r="DQ9" s="1169">
        <v>64.093999999999994</v>
      </c>
      <c r="DR9" s="1169">
        <v>64.912999999999997</v>
      </c>
      <c r="DS9" s="1169">
        <v>65.602000000000004</v>
      </c>
      <c r="DT9" s="1169">
        <v>66.305999999999997</v>
      </c>
      <c r="DU9" s="1169">
        <v>67.134</v>
      </c>
      <c r="DV9" s="1169">
        <v>67.936000000000007</v>
      </c>
      <c r="DW9" s="1169">
        <v>68.201999999999998</v>
      </c>
      <c r="DX9" s="1169">
        <v>68.381</v>
      </c>
      <c r="DY9" s="1169">
        <v>68.513999999999996</v>
      </c>
      <c r="DZ9" s="1169">
        <v>68.930999999999997</v>
      </c>
      <c r="EA9" s="1169">
        <v>69.551000000000002</v>
      </c>
      <c r="EB9" s="1169">
        <v>70.051000000000002</v>
      </c>
      <c r="EC9" s="1169">
        <v>70.635999999999996</v>
      </c>
      <c r="ED9" s="1169">
        <v>71.641999999999996</v>
      </c>
      <c r="EE9" s="1169">
        <v>71.694000000000003</v>
      </c>
      <c r="EF9" s="1169">
        <v>72.174999999999997</v>
      </c>
      <c r="EG9" s="1169">
        <v>72.741</v>
      </c>
      <c r="EH9" s="1169">
        <v>73.661000000000001</v>
      </c>
      <c r="EI9" s="1169">
        <v>74.712999999999994</v>
      </c>
      <c r="EJ9" s="1169">
        <v>75.923000000000002</v>
      </c>
      <c r="EK9" s="1169">
        <v>77.230999999999995</v>
      </c>
      <c r="EL9" s="1169">
        <v>77.924999999999997</v>
      </c>
      <c r="EM9" s="1169">
        <v>78.921999999999997</v>
      </c>
      <c r="EN9" s="1169">
        <v>80.183000000000007</v>
      </c>
      <c r="EO9" s="1169">
        <v>81.492999999999995</v>
      </c>
      <c r="EP9" s="1169">
        <v>82.072999999999993</v>
      </c>
      <c r="EQ9" s="1169">
        <v>83.332999999999998</v>
      </c>
      <c r="ER9" s="1169">
        <v>84.168999999999997</v>
      </c>
      <c r="ES9" s="1169">
        <v>85.058999999999997</v>
      </c>
      <c r="ET9" s="1169">
        <v>86.683000000000007</v>
      </c>
      <c r="EU9" s="1169">
        <v>87.617000000000004</v>
      </c>
      <c r="EV9" s="1169">
        <v>88.57</v>
      </c>
      <c r="EW9" s="1169">
        <v>89.855000000000004</v>
      </c>
      <c r="EX9" s="1169">
        <v>91.295000000000002</v>
      </c>
      <c r="EY9" s="1169">
        <v>92.566000000000003</v>
      </c>
      <c r="EZ9" s="1169">
        <v>93.808000000000007</v>
      </c>
      <c r="FA9" s="1169">
        <v>92.691999999999993</v>
      </c>
      <c r="FB9" s="1169">
        <v>91.491</v>
      </c>
      <c r="FC9" s="1169">
        <v>91.691999999999993</v>
      </c>
      <c r="FD9" s="1169">
        <v>92.161000000000001</v>
      </c>
      <c r="FE9" s="1169">
        <v>92.837999999999994</v>
      </c>
      <c r="FF9" s="1169">
        <v>93.757999999999996</v>
      </c>
      <c r="FG9" s="1169">
        <v>94.382999999999996</v>
      </c>
      <c r="FH9" s="1169">
        <v>94.876999999999995</v>
      </c>
      <c r="FI9" s="1169">
        <v>95.677999999999997</v>
      </c>
      <c r="FJ9" s="1169">
        <v>96.65</v>
      </c>
      <c r="FK9" s="1169">
        <v>97.813999999999993</v>
      </c>
      <c r="FL9" s="1169">
        <v>98.319000000000003</v>
      </c>
      <c r="FM9" s="1169">
        <v>98.203999999999994</v>
      </c>
      <c r="FN9" s="1169">
        <v>99.400999999999996</v>
      </c>
      <c r="FO9" s="1169">
        <v>99.402000000000001</v>
      </c>
      <c r="FP9" s="1169">
        <v>99.99</v>
      </c>
      <c r="FQ9" s="1169">
        <v>101.208</v>
      </c>
      <c r="FR9" s="1169">
        <v>102.371</v>
      </c>
      <c r="FS9" s="1169">
        <v>102.91200000000001</v>
      </c>
      <c r="FT9" s="1169">
        <v>103.727</v>
      </c>
      <c r="FU9" s="1169">
        <v>104.318</v>
      </c>
      <c r="FV9" s="1169">
        <v>105.145</v>
      </c>
      <c r="FW9" s="1169">
        <v>105.502</v>
      </c>
      <c r="FX9" s="1169">
        <v>106.09</v>
      </c>
      <c r="FY9" s="1169">
        <v>106.054</v>
      </c>
      <c r="FZ9" s="1169">
        <v>105.176</v>
      </c>
      <c r="GA9" s="1169">
        <v>105.863</v>
      </c>
      <c r="GB9" s="1169">
        <v>105.96899999999999</v>
      </c>
      <c r="GC9" s="1169">
        <v>105.61499999999999</v>
      </c>
      <c r="GD9" s="1169">
        <v>104.83</v>
      </c>
      <c r="GE9" s="1169">
        <v>105.637</v>
      </c>
      <c r="GF9" s="1169">
        <v>105.985</v>
      </c>
      <c r="GG9" s="1169">
        <v>106.504</v>
      </c>
      <c r="GH9" s="1169">
        <v>107.471</v>
      </c>
      <c r="GI9" s="1169">
        <v>107.785</v>
      </c>
      <c r="GJ9" s="1169">
        <v>108.765</v>
      </c>
      <c r="GK9" s="1169">
        <v>110.07599999999999</v>
      </c>
      <c r="GL9" s="1169">
        <v>111.383</v>
      </c>
      <c r="GM9" s="1169">
        <v>112.61499999999999</v>
      </c>
      <c r="GN9" s="1169">
        <v>113.63200000000001</v>
      </c>
      <c r="GO9" s="1169">
        <v>114.307</v>
      </c>
      <c r="GP9" s="1169">
        <v>114.014</v>
      </c>
      <c r="GQ9" s="1169">
        <v>114.878</v>
      </c>
      <c r="GR9" s="1169">
        <v>115.114</v>
      </c>
      <c r="GS9" s="1169">
        <v>115.447</v>
      </c>
      <c r="GT9" s="1169">
        <v>116.536</v>
      </c>
      <c r="GU9" s="1169">
        <v>116.093</v>
      </c>
      <c r="GV9" s="1169">
        <v>116.65900000000001</v>
      </c>
      <c r="GW9" s="1169">
        <v>117.611</v>
      </c>
      <c r="GX9" s="1169">
        <v>119.416</v>
      </c>
      <c r="GY9" s="1169">
        <v>121.544</v>
      </c>
      <c r="GZ9" s="1169">
        <v>123.541</v>
      </c>
      <c r="HA9" s="1169">
        <v>126.18899999999999</v>
      </c>
    </row>
    <row r="10" spans="1:209" x14ac:dyDescent="0.35">
      <c r="A10" s="1169" t="s">
        <v>853</v>
      </c>
      <c r="B10" s="1169">
        <v>13.106999999999999</v>
      </c>
      <c r="C10" s="1169">
        <v>13.368</v>
      </c>
      <c r="D10" s="1169">
        <v>13.603999999999999</v>
      </c>
      <c r="E10" s="1169">
        <v>13.833</v>
      </c>
      <c r="F10" s="1169">
        <v>14.173999999999999</v>
      </c>
      <c r="G10" s="1169">
        <v>14.439</v>
      </c>
      <c r="H10" s="1169">
        <v>14.657</v>
      </c>
      <c r="I10" s="1169">
        <v>14.79</v>
      </c>
      <c r="J10" s="1169">
        <v>15.162000000000001</v>
      </c>
      <c r="K10" s="1169">
        <v>15.361000000000001</v>
      </c>
      <c r="L10" s="1169">
        <v>15.6</v>
      </c>
      <c r="M10" s="1169">
        <v>15.794</v>
      </c>
      <c r="N10" s="1169">
        <v>16.106000000000002</v>
      </c>
      <c r="O10" s="1169">
        <v>16.378</v>
      </c>
      <c r="P10" s="1169">
        <v>16.568000000000001</v>
      </c>
      <c r="Q10" s="1169">
        <v>16.846</v>
      </c>
      <c r="R10" s="1169">
        <v>17.254999999999999</v>
      </c>
      <c r="S10" s="1169">
        <v>17.719000000000001</v>
      </c>
      <c r="T10" s="1169">
        <v>18.228000000000002</v>
      </c>
      <c r="U10" s="1169">
        <v>18.704000000000001</v>
      </c>
      <c r="V10" s="1169">
        <v>19.077999999999999</v>
      </c>
      <c r="W10" s="1169">
        <v>19.538</v>
      </c>
      <c r="X10" s="1169">
        <v>19.838000000000001</v>
      </c>
      <c r="Y10" s="1169">
        <v>20.126999999999999</v>
      </c>
      <c r="Z10" s="1169">
        <v>20.388999999999999</v>
      </c>
      <c r="AA10" s="1169">
        <v>20.655000000000001</v>
      </c>
      <c r="AB10" s="1169">
        <v>20.835999999999999</v>
      </c>
      <c r="AC10" s="1169">
        <v>21.111000000000001</v>
      </c>
      <c r="AD10" s="1169">
        <v>21.54</v>
      </c>
      <c r="AE10" s="1169">
        <v>21.968</v>
      </c>
      <c r="AF10" s="1169">
        <v>22.361000000000001</v>
      </c>
      <c r="AG10" s="1169">
        <v>22.771000000000001</v>
      </c>
      <c r="AH10" s="1169">
        <v>23.102</v>
      </c>
      <c r="AI10" s="1169">
        <v>23.472000000000001</v>
      </c>
      <c r="AJ10" s="1169">
        <v>23.808</v>
      </c>
      <c r="AK10" s="1169">
        <v>24.126999999999999</v>
      </c>
      <c r="AL10" s="1169">
        <v>24.719000000000001</v>
      </c>
      <c r="AM10" s="1169">
        <v>25.259</v>
      </c>
      <c r="AN10" s="1169">
        <v>26.146000000000001</v>
      </c>
      <c r="AO10" s="1169">
        <v>26.596</v>
      </c>
      <c r="AP10" s="1169">
        <v>27.28</v>
      </c>
      <c r="AQ10" s="1169">
        <v>28.02</v>
      </c>
      <c r="AR10" s="1169">
        <v>28.798999999999999</v>
      </c>
      <c r="AS10" s="1169">
        <v>29.565000000000001</v>
      </c>
      <c r="AT10" s="1169">
        <v>30.556000000000001</v>
      </c>
      <c r="AU10" s="1169">
        <v>31.195</v>
      </c>
      <c r="AV10" s="1169">
        <v>31.568000000000001</v>
      </c>
      <c r="AW10" s="1169">
        <v>32.052</v>
      </c>
      <c r="AX10" s="1169">
        <v>32.613999999999997</v>
      </c>
      <c r="AY10" s="1169">
        <v>33.134</v>
      </c>
      <c r="AZ10" s="1169">
        <v>33.683999999999997</v>
      </c>
      <c r="BA10" s="1169">
        <v>34.19</v>
      </c>
      <c r="BB10" s="1169">
        <v>34.482999999999997</v>
      </c>
      <c r="BC10" s="1169">
        <v>34.954000000000001</v>
      </c>
      <c r="BD10" s="1169">
        <v>35.363</v>
      </c>
      <c r="BE10" s="1169">
        <v>35.694000000000003</v>
      </c>
      <c r="BF10" s="1169">
        <v>36.32</v>
      </c>
      <c r="BG10" s="1169">
        <v>36.716000000000001</v>
      </c>
      <c r="BH10" s="1169">
        <v>37.11</v>
      </c>
      <c r="BI10" s="1169">
        <v>37.548000000000002</v>
      </c>
      <c r="BJ10" s="1169">
        <v>38.043999999999997</v>
      </c>
      <c r="BK10" s="1169">
        <v>38.478999999999999</v>
      </c>
      <c r="BL10" s="1169">
        <v>38.835999999999999</v>
      </c>
      <c r="BM10" s="1169">
        <v>39.226999999999997</v>
      </c>
      <c r="BN10" s="1169">
        <v>39.371000000000002</v>
      </c>
      <c r="BO10" s="1169">
        <v>39.488999999999997</v>
      </c>
      <c r="BP10" s="1169">
        <v>39.826999999999998</v>
      </c>
      <c r="BQ10" s="1169">
        <v>40.351999999999997</v>
      </c>
      <c r="BR10" s="1169">
        <v>41.005000000000003</v>
      </c>
      <c r="BS10" s="1169">
        <v>41.545000000000002</v>
      </c>
      <c r="BT10" s="1169">
        <v>42.072000000000003</v>
      </c>
      <c r="BU10" s="1169">
        <v>42.329000000000001</v>
      </c>
      <c r="BV10" s="1169">
        <v>42.517000000000003</v>
      </c>
      <c r="BW10" s="1169">
        <v>42.975000000000001</v>
      </c>
      <c r="BX10" s="1169">
        <v>43.356999999999999</v>
      </c>
      <c r="BY10" s="1169">
        <v>43.918999999999997</v>
      </c>
      <c r="BZ10" s="1169">
        <v>44.585000000000001</v>
      </c>
      <c r="CA10" s="1169">
        <v>45.247999999999998</v>
      </c>
      <c r="CB10" s="1169">
        <v>45.692999999999998</v>
      </c>
      <c r="CC10" s="1169">
        <v>46.363999999999997</v>
      </c>
      <c r="CD10" s="1169">
        <v>47.098999999999997</v>
      </c>
      <c r="CE10" s="1169">
        <v>47.601999999999997</v>
      </c>
      <c r="CF10" s="1169">
        <v>48.293999999999997</v>
      </c>
      <c r="CG10" s="1169">
        <v>49.207999999999998</v>
      </c>
      <c r="CH10" s="1169">
        <v>49.442</v>
      </c>
      <c r="CI10" s="1169">
        <v>49.752000000000002</v>
      </c>
      <c r="CJ10" s="1169">
        <v>50.226999999999997</v>
      </c>
      <c r="CK10" s="1169">
        <v>50.798000000000002</v>
      </c>
      <c r="CL10" s="1169">
        <v>51.277999999999999</v>
      </c>
      <c r="CM10" s="1169">
        <v>51.975000000000001</v>
      </c>
      <c r="CN10" s="1169">
        <v>52.42</v>
      </c>
      <c r="CO10" s="1169">
        <v>52.802999999999997</v>
      </c>
      <c r="CP10" s="1169">
        <v>53.091999999999999</v>
      </c>
      <c r="CQ10" s="1169">
        <v>53.405999999999999</v>
      </c>
      <c r="CR10" s="1169">
        <v>53.58</v>
      </c>
      <c r="CS10" s="1169">
        <v>53.853999999999999</v>
      </c>
      <c r="CT10" s="1169">
        <v>54.305</v>
      </c>
      <c r="CU10" s="1169">
        <v>54.621000000000002</v>
      </c>
      <c r="CV10" s="1169">
        <v>55.097999999999999</v>
      </c>
      <c r="CW10" s="1169">
        <v>55.569000000000003</v>
      </c>
      <c r="CX10" s="1169">
        <v>55.825000000000003</v>
      </c>
      <c r="CY10" s="1169">
        <v>56.253999999999998</v>
      </c>
      <c r="CZ10" s="1169">
        <v>56.468000000000004</v>
      </c>
      <c r="DA10" s="1169">
        <v>56.66</v>
      </c>
      <c r="DB10" s="1169">
        <v>57.283999999999999</v>
      </c>
      <c r="DC10" s="1169">
        <v>57.366</v>
      </c>
      <c r="DD10" s="1169">
        <v>57.746000000000002</v>
      </c>
      <c r="DE10" s="1169">
        <v>58.213999999999999</v>
      </c>
      <c r="DF10" s="1169">
        <v>58.613</v>
      </c>
      <c r="DG10" s="1169">
        <v>58.753</v>
      </c>
      <c r="DH10" s="1169">
        <v>59.033999999999999</v>
      </c>
      <c r="DI10" s="1169">
        <v>59.515999999999998</v>
      </c>
      <c r="DJ10" s="1169">
        <v>59.61</v>
      </c>
      <c r="DK10" s="1169">
        <v>59.927</v>
      </c>
      <c r="DL10" s="1169">
        <v>60.395000000000003</v>
      </c>
      <c r="DM10" s="1169">
        <v>60.939</v>
      </c>
      <c r="DN10" s="1169">
        <v>61.46</v>
      </c>
      <c r="DO10" s="1169">
        <v>62.381999999999998</v>
      </c>
      <c r="DP10" s="1169">
        <v>63.246000000000002</v>
      </c>
      <c r="DQ10" s="1169">
        <v>64.018000000000001</v>
      </c>
      <c r="DR10" s="1169">
        <v>64.912000000000006</v>
      </c>
      <c r="DS10" s="1169">
        <v>65.59</v>
      </c>
      <c r="DT10" s="1169">
        <v>66.358999999999995</v>
      </c>
      <c r="DU10" s="1169">
        <v>67.293000000000006</v>
      </c>
      <c r="DV10" s="1169">
        <v>68.191000000000003</v>
      </c>
      <c r="DW10" s="1169">
        <v>68.48</v>
      </c>
      <c r="DX10" s="1169">
        <v>68.652000000000001</v>
      </c>
      <c r="DY10" s="1169">
        <v>68.728999999999999</v>
      </c>
      <c r="DZ10" s="1169">
        <v>69.174999999999997</v>
      </c>
      <c r="EA10" s="1169">
        <v>69.855999999999995</v>
      </c>
      <c r="EB10" s="1169">
        <v>70.427999999999997</v>
      </c>
      <c r="EC10" s="1169">
        <v>71.129000000000005</v>
      </c>
      <c r="ED10" s="1169">
        <v>72.244</v>
      </c>
      <c r="EE10" s="1169">
        <v>72.290999999999997</v>
      </c>
      <c r="EF10" s="1169">
        <v>72.872</v>
      </c>
      <c r="EG10" s="1169">
        <v>73.531999999999996</v>
      </c>
      <c r="EH10" s="1169">
        <v>74.569999999999993</v>
      </c>
      <c r="EI10" s="1169">
        <v>75.561000000000007</v>
      </c>
      <c r="EJ10" s="1169">
        <v>76.591999999999999</v>
      </c>
      <c r="EK10" s="1169">
        <v>77.790000000000006</v>
      </c>
      <c r="EL10" s="1169">
        <v>78.498000000000005</v>
      </c>
      <c r="EM10" s="1169">
        <v>79.393000000000001</v>
      </c>
      <c r="EN10" s="1169">
        <v>80.545000000000002</v>
      </c>
      <c r="EO10" s="1169">
        <v>81.906000000000006</v>
      </c>
      <c r="EP10" s="1169">
        <v>82.507999999999996</v>
      </c>
      <c r="EQ10" s="1169">
        <v>83.641999999999996</v>
      </c>
      <c r="ER10" s="1169">
        <v>84.402000000000001</v>
      </c>
      <c r="ES10" s="1169">
        <v>85.034999999999997</v>
      </c>
      <c r="ET10" s="1169">
        <v>86.531999999999996</v>
      </c>
      <c r="EU10" s="1169">
        <v>87.468999999999994</v>
      </c>
      <c r="EV10" s="1169">
        <v>88.447000000000003</v>
      </c>
      <c r="EW10" s="1169">
        <v>89.787999999999997</v>
      </c>
      <c r="EX10" s="1169">
        <v>91.369</v>
      </c>
      <c r="EY10" s="1169">
        <v>92.781000000000006</v>
      </c>
      <c r="EZ10" s="1169">
        <v>94.036000000000001</v>
      </c>
      <c r="FA10" s="1169">
        <v>92.242000000000004</v>
      </c>
      <c r="FB10" s="1169">
        <v>90.620999999999995</v>
      </c>
      <c r="FC10" s="1169">
        <v>91.066999999999993</v>
      </c>
      <c r="FD10" s="1169">
        <v>91.849000000000004</v>
      </c>
      <c r="FE10" s="1169">
        <v>92.700999999999993</v>
      </c>
      <c r="FF10" s="1169">
        <v>93.771000000000001</v>
      </c>
      <c r="FG10" s="1169">
        <v>94.444999999999993</v>
      </c>
      <c r="FH10" s="1169">
        <v>94.984999999999999</v>
      </c>
      <c r="FI10" s="1169">
        <v>95.872</v>
      </c>
      <c r="FJ10" s="1169">
        <v>96.936000000000007</v>
      </c>
      <c r="FK10" s="1169">
        <v>98.144999999999996</v>
      </c>
      <c r="FL10" s="1169">
        <v>98.516999999999996</v>
      </c>
      <c r="FM10" s="1169">
        <v>98.168000000000006</v>
      </c>
      <c r="FN10" s="1169">
        <v>99.47</v>
      </c>
      <c r="FO10" s="1169">
        <v>99.296000000000006</v>
      </c>
      <c r="FP10" s="1169">
        <v>99.897000000000006</v>
      </c>
      <c r="FQ10" s="1169">
        <v>101.337</v>
      </c>
      <c r="FR10" s="1169">
        <v>102.663</v>
      </c>
      <c r="FS10" s="1169">
        <v>103.21</v>
      </c>
      <c r="FT10" s="1169">
        <v>104.08199999999999</v>
      </c>
      <c r="FU10" s="1169">
        <v>104.636</v>
      </c>
      <c r="FV10" s="1169">
        <v>105.515</v>
      </c>
      <c r="FW10" s="1169">
        <v>105.848</v>
      </c>
      <c r="FX10" s="1169">
        <v>106.45399999999999</v>
      </c>
      <c r="FY10" s="1169">
        <v>106.371</v>
      </c>
      <c r="FZ10" s="1169">
        <v>105.31</v>
      </c>
      <c r="GA10" s="1169">
        <v>106.047</v>
      </c>
      <c r="GB10" s="1169">
        <v>106.111</v>
      </c>
      <c r="GC10" s="1169">
        <v>105.693</v>
      </c>
      <c r="GD10" s="1169">
        <v>104.792</v>
      </c>
      <c r="GE10" s="1169">
        <v>105.589</v>
      </c>
      <c r="GF10" s="1169">
        <v>105.995</v>
      </c>
      <c r="GG10" s="1169">
        <v>106.51600000000001</v>
      </c>
      <c r="GH10" s="1169">
        <v>107.53400000000001</v>
      </c>
      <c r="GI10" s="1169">
        <v>107.80200000000001</v>
      </c>
      <c r="GJ10" s="1169">
        <v>108.785</v>
      </c>
      <c r="GK10" s="1169">
        <v>110.252</v>
      </c>
      <c r="GL10" s="1169">
        <v>111.627</v>
      </c>
      <c r="GM10" s="1169">
        <v>112.81100000000001</v>
      </c>
      <c r="GN10" s="1169">
        <v>113.875</v>
      </c>
      <c r="GO10" s="1169">
        <v>114.43899999999999</v>
      </c>
      <c r="GP10" s="1169">
        <v>113.98</v>
      </c>
      <c r="GQ10" s="1169">
        <v>114.758</v>
      </c>
      <c r="GR10" s="1169">
        <v>114.919</v>
      </c>
      <c r="GS10" s="1169">
        <v>115.285</v>
      </c>
      <c r="GT10" s="1169">
        <v>116.54600000000001</v>
      </c>
      <c r="GU10" s="1169">
        <v>116.072</v>
      </c>
      <c r="GV10" s="1169">
        <v>116.51900000000001</v>
      </c>
      <c r="GW10" s="1169">
        <v>117.593</v>
      </c>
      <c r="GX10" s="1169">
        <v>119.419</v>
      </c>
      <c r="GY10" s="1169">
        <v>121.425</v>
      </c>
      <c r="GZ10" s="1169">
        <v>123.291</v>
      </c>
      <c r="HA10" s="1169">
        <v>125.712</v>
      </c>
    </row>
    <row r="11" spans="1:209" x14ac:dyDescent="0.35">
      <c r="A11" s="1169" t="s">
        <v>854</v>
      </c>
      <c r="B11" s="1169">
        <v>16.824999999999999</v>
      </c>
      <c r="C11" s="1169">
        <v>17.248000000000001</v>
      </c>
      <c r="D11" s="1169">
        <v>17.582000000000001</v>
      </c>
      <c r="E11" s="1169">
        <v>18.027999999999999</v>
      </c>
      <c r="F11" s="1169">
        <v>18.332000000000001</v>
      </c>
      <c r="G11" s="1169">
        <v>18.625</v>
      </c>
      <c r="H11" s="1169">
        <v>18.827999999999999</v>
      </c>
      <c r="I11" s="1169">
        <v>19.152999999999999</v>
      </c>
      <c r="J11" s="1169">
        <v>19.398</v>
      </c>
      <c r="K11" s="1169">
        <v>19.533999999999999</v>
      </c>
      <c r="L11" s="1169">
        <v>19.805</v>
      </c>
      <c r="M11" s="1169">
        <v>20.175000000000001</v>
      </c>
      <c r="N11" s="1169">
        <v>20.564</v>
      </c>
      <c r="O11" s="1169">
        <v>20.997</v>
      </c>
      <c r="P11" s="1169">
        <v>21.425000000000001</v>
      </c>
      <c r="Q11" s="1169">
        <v>22</v>
      </c>
      <c r="R11" s="1169">
        <v>23.02</v>
      </c>
      <c r="S11" s="1169">
        <v>24.466999999999999</v>
      </c>
      <c r="T11" s="1169">
        <v>26.030999999999999</v>
      </c>
      <c r="U11" s="1169">
        <v>27.113</v>
      </c>
      <c r="V11" s="1169">
        <v>27.689</v>
      </c>
      <c r="W11" s="1169">
        <v>27.826000000000001</v>
      </c>
      <c r="X11" s="1169">
        <v>27.914000000000001</v>
      </c>
      <c r="Y11" s="1169">
        <v>28.084</v>
      </c>
      <c r="Z11" s="1169">
        <v>28.222000000000001</v>
      </c>
      <c r="AA11" s="1169">
        <v>28.463999999999999</v>
      </c>
      <c r="AB11" s="1169">
        <v>28.526</v>
      </c>
      <c r="AC11" s="1169">
        <v>28.72</v>
      </c>
      <c r="AD11" s="1169">
        <v>29.091999999999999</v>
      </c>
      <c r="AE11" s="1169">
        <v>29.379000000000001</v>
      </c>
      <c r="AF11" s="1169">
        <v>29.774000000000001</v>
      </c>
      <c r="AG11" s="1169">
        <v>30.091999999999999</v>
      </c>
      <c r="AH11" s="1169">
        <v>30.465</v>
      </c>
      <c r="AI11" s="1169">
        <v>31.064</v>
      </c>
      <c r="AJ11" s="1169">
        <v>31.658000000000001</v>
      </c>
      <c r="AK11" s="1169">
        <v>32.223999999999997</v>
      </c>
      <c r="AL11" s="1169">
        <v>32.889000000000003</v>
      </c>
      <c r="AM11" s="1169">
        <v>33.781999999999996</v>
      </c>
      <c r="AN11" s="1169">
        <v>34.768000000000001</v>
      </c>
      <c r="AO11" s="1169">
        <v>35.753999999999998</v>
      </c>
      <c r="AP11" s="1169">
        <v>36.731000000000002</v>
      </c>
      <c r="AQ11" s="1169">
        <v>37.784999999999997</v>
      </c>
      <c r="AR11" s="1169">
        <v>39.027000000000001</v>
      </c>
      <c r="AS11" s="1169">
        <v>40.182000000000002</v>
      </c>
      <c r="AT11" s="1169">
        <v>41.32</v>
      </c>
      <c r="AU11" s="1169">
        <v>42.308</v>
      </c>
      <c r="AV11" s="1169">
        <v>43.174999999999997</v>
      </c>
      <c r="AW11" s="1169">
        <v>43.944000000000003</v>
      </c>
      <c r="AX11" s="1169">
        <v>44.56</v>
      </c>
      <c r="AY11" s="1169">
        <v>45.305</v>
      </c>
      <c r="AZ11" s="1169">
        <v>45.84</v>
      </c>
      <c r="BA11" s="1169">
        <v>45.956000000000003</v>
      </c>
      <c r="BB11" s="1169">
        <v>45.999000000000002</v>
      </c>
      <c r="BC11" s="1169">
        <v>45.936999999999998</v>
      </c>
      <c r="BD11" s="1169">
        <v>45.963000000000001</v>
      </c>
      <c r="BE11" s="1169">
        <v>45.95</v>
      </c>
      <c r="BF11" s="1169">
        <v>46</v>
      </c>
      <c r="BG11" s="1169">
        <v>46.162999999999997</v>
      </c>
      <c r="BH11" s="1169">
        <v>46.311999999999998</v>
      </c>
      <c r="BI11" s="1169">
        <v>46.405999999999999</v>
      </c>
      <c r="BJ11" s="1169">
        <v>46.664000000000001</v>
      </c>
      <c r="BK11" s="1169">
        <v>46.808</v>
      </c>
      <c r="BL11" s="1169">
        <v>47</v>
      </c>
      <c r="BM11" s="1169">
        <v>47.28</v>
      </c>
      <c r="BN11" s="1169">
        <v>47.573999999999998</v>
      </c>
      <c r="BO11" s="1169">
        <v>48.063000000000002</v>
      </c>
      <c r="BP11" s="1169">
        <v>48.500999999999998</v>
      </c>
      <c r="BQ11" s="1169">
        <v>49.026000000000003</v>
      </c>
      <c r="BR11" s="1169">
        <v>49.34</v>
      </c>
      <c r="BS11" s="1169">
        <v>49.755000000000003</v>
      </c>
      <c r="BT11" s="1169">
        <v>50.198</v>
      </c>
      <c r="BU11" s="1169">
        <v>50.463999999999999</v>
      </c>
      <c r="BV11" s="1169">
        <v>50.87</v>
      </c>
      <c r="BW11" s="1169">
        <v>51.151000000000003</v>
      </c>
      <c r="BX11" s="1169">
        <v>51.481000000000002</v>
      </c>
      <c r="BY11" s="1169">
        <v>51.753</v>
      </c>
      <c r="BZ11" s="1169">
        <v>52.003</v>
      </c>
      <c r="CA11" s="1169">
        <v>52.424999999999997</v>
      </c>
      <c r="CB11" s="1169">
        <v>52.814</v>
      </c>
      <c r="CC11" s="1169">
        <v>53.104999999999997</v>
      </c>
      <c r="CD11" s="1169">
        <v>53.487000000000002</v>
      </c>
      <c r="CE11" s="1169">
        <v>53.959000000000003</v>
      </c>
      <c r="CF11" s="1169">
        <v>54.482999999999997</v>
      </c>
      <c r="CG11" s="1169">
        <v>54.628</v>
      </c>
      <c r="CH11" s="1169">
        <v>54.735999999999997</v>
      </c>
      <c r="CI11" s="1169">
        <v>55.018000000000001</v>
      </c>
      <c r="CJ11" s="1169">
        <v>55.164000000000001</v>
      </c>
      <c r="CK11" s="1169">
        <v>55.026000000000003</v>
      </c>
      <c r="CL11" s="1169">
        <v>54.881999999999998</v>
      </c>
      <c r="CM11" s="1169">
        <v>55.142000000000003</v>
      </c>
      <c r="CN11" s="1169">
        <v>55.253999999999998</v>
      </c>
      <c r="CO11" s="1169">
        <v>55.506</v>
      </c>
      <c r="CP11" s="1169">
        <v>55.918999999999997</v>
      </c>
      <c r="CQ11" s="1169">
        <v>56.244999999999997</v>
      </c>
      <c r="CR11" s="1169">
        <v>56.302</v>
      </c>
      <c r="CS11" s="1169">
        <v>56.564999999999998</v>
      </c>
      <c r="CT11" s="1169">
        <v>56.978000000000002</v>
      </c>
      <c r="CU11" s="1169">
        <v>57.225000000000001</v>
      </c>
      <c r="CV11" s="1169">
        <v>57.725999999999999</v>
      </c>
      <c r="CW11" s="1169">
        <v>58.207000000000001</v>
      </c>
      <c r="CX11" s="1169">
        <v>58.787999999999997</v>
      </c>
      <c r="CY11" s="1169">
        <v>59.207999999999998</v>
      </c>
      <c r="CZ11" s="1169">
        <v>59.534999999999997</v>
      </c>
      <c r="DA11" s="1169">
        <v>59.878</v>
      </c>
      <c r="DB11" s="1169">
        <v>60.198999999999998</v>
      </c>
      <c r="DC11" s="1169">
        <v>60.265999999999998</v>
      </c>
      <c r="DD11" s="1169">
        <v>60.564999999999998</v>
      </c>
      <c r="DE11" s="1169">
        <v>60.761000000000003</v>
      </c>
      <c r="DF11" s="1169">
        <v>61.103999999999999</v>
      </c>
      <c r="DG11" s="1169">
        <v>61.521000000000001</v>
      </c>
      <c r="DH11" s="1169">
        <v>61.677</v>
      </c>
      <c r="DI11" s="1169">
        <v>62.073999999999998</v>
      </c>
      <c r="DJ11" s="1169">
        <v>62.094999999999999</v>
      </c>
      <c r="DK11" s="1169">
        <v>62.134</v>
      </c>
      <c r="DL11" s="1169">
        <v>62.517000000000003</v>
      </c>
      <c r="DM11" s="1169">
        <v>62.87</v>
      </c>
      <c r="DN11" s="1169">
        <v>63.122</v>
      </c>
      <c r="DO11" s="1169">
        <v>63.59</v>
      </c>
      <c r="DP11" s="1169">
        <v>63.857999999999997</v>
      </c>
      <c r="DQ11" s="1169">
        <v>64.402000000000001</v>
      </c>
      <c r="DR11" s="1169">
        <v>64.912000000000006</v>
      </c>
      <c r="DS11" s="1169">
        <v>65.650999999999996</v>
      </c>
      <c r="DT11" s="1169">
        <v>66.081000000000003</v>
      </c>
      <c r="DU11" s="1169">
        <v>66.47</v>
      </c>
      <c r="DV11" s="1169">
        <v>66.88</v>
      </c>
      <c r="DW11" s="1169">
        <v>67.052000000000007</v>
      </c>
      <c r="DX11" s="1169">
        <v>67.262</v>
      </c>
      <c r="DY11" s="1169">
        <v>67.623000000000005</v>
      </c>
      <c r="DZ11" s="1169">
        <v>67.921000000000006</v>
      </c>
      <c r="EA11" s="1169">
        <v>68.290000000000006</v>
      </c>
      <c r="EB11" s="1169">
        <v>68.5</v>
      </c>
      <c r="EC11" s="1169">
        <v>68.617999999999995</v>
      </c>
      <c r="ED11" s="1169">
        <v>69.186999999999998</v>
      </c>
      <c r="EE11" s="1169">
        <v>69.259</v>
      </c>
      <c r="EF11" s="1169">
        <v>69.346999999999994</v>
      </c>
      <c r="EG11" s="1169">
        <v>69.539000000000001</v>
      </c>
      <c r="EH11" s="1169">
        <v>69.992000000000004</v>
      </c>
      <c r="EI11" s="1169">
        <v>71.278000000000006</v>
      </c>
      <c r="EJ11" s="1169">
        <v>73.197000000000003</v>
      </c>
      <c r="EK11" s="1169">
        <v>74.954999999999998</v>
      </c>
      <c r="EL11" s="1169">
        <v>75.587999999999994</v>
      </c>
      <c r="EM11" s="1169">
        <v>77.010000000000005</v>
      </c>
      <c r="EN11" s="1169">
        <v>78.724999999999994</v>
      </c>
      <c r="EO11" s="1169">
        <v>79.822999999999993</v>
      </c>
      <c r="EP11" s="1169">
        <v>80.319000000000003</v>
      </c>
      <c r="EQ11" s="1169">
        <v>82.088999999999999</v>
      </c>
      <c r="ER11" s="1169">
        <v>83.231999999999999</v>
      </c>
      <c r="ES11" s="1169">
        <v>85.185000000000002</v>
      </c>
      <c r="ET11" s="1169">
        <v>87.334000000000003</v>
      </c>
      <c r="EU11" s="1169">
        <v>88.247</v>
      </c>
      <c r="EV11" s="1169">
        <v>89.096999999999994</v>
      </c>
      <c r="EW11" s="1169">
        <v>90.144999999999996</v>
      </c>
      <c r="EX11" s="1169">
        <v>90.998999999999995</v>
      </c>
      <c r="EY11" s="1169">
        <v>91.698999999999998</v>
      </c>
      <c r="EZ11" s="1169">
        <v>92.884</v>
      </c>
      <c r="FA11" s="1169">
        <v>94.585999999999999</v>
      </c>
      <c r="FB11" s="1169">
        <v>95.176000000000002</v>
      </c>
      <c r="FC11" s="1169">
        <v>94.34</v>
      </c>
      <c r="FD11" s="1169">
        <v>93.49</v>
      </c>
      <c r="FE11" s="1169">
        <v>93.418000000000006</v>
      </c>
      <c r="FF11" s="1169">
        <v>93.683000000000007</v>
      </c>
      <c r="FG11" s="1169">
        <v>94.09</v>
      </c>
      <c r="FH11" s="1169">
        <v>94.385999999999996</v>
      </c>
      <c r="FI11" s="1169">
        <v>94.81</v>
      </c>
      <c r="FJ11" s="1169">
        <v>95.382999999999996</v>
      </c>
      <c r="FK11" s="1169">
        <v>96.346999999999994</v>
      </c>
      <c r="FL11" s="1169">
        <v>97.436000000000007</v>
      </c>
      <c r="FM11" s="1169">
        <v>98.352000000000004</v>
      </c>
      <c r="FN11" s="1169">
        <v>99.088999999999999</v>
      </c>
      <c r="FO11" s="1169">
        <v>99.879000000000005</v>
      </c>
      <c r="FP11" s="1169">
        <v>100.417</v>
      </c>
      <c r="FQ11" s="1169">
        <v>100.61499999999999</v>
      </c>
      <c r="FR11" s="1169">
        <v>101.023</v>
      </c>
      <c r="FS11" s="1169">
        <v>101.538</v>
      </c>
      <c r="FT11" s="1169">
        <v>102.08499999999999</v>
      </c>
      <c r="FU11" s="1169">
        <v>102.85599999999999</v>
      </c>
      <c r="FV11" s="1169">
        <v>103.435</v>
      </c>
      <c r="FW11" s="1169">
        <v>103.907</v>
      </c>
      <c r="FX11" s="1169">
        <v>104.40900000000001</v>
      </c>
      <c r="FY11" s="1169">
        <v>104.593</v>
      </c>
      <c r="FZ11" s="1169">
        <v>104.562</v>
      </c>
      <c r="GA11" s="1169">
        <v>105.021</v>
      </c>
      <c r="GB11" s="1169">
        <v>105.319</v>
      </c>
      <c r="GC11" s="1169">
        <v>105.261</v>
      </c>
      <c r="GD11" s="1169">
        <v>105.006</v>
      </c>
      <c r="GE11" s="1169">
        <v>105.86199999999999</v>
      </c>
      <c r="GF11" s="1169">
        <v>105.94199999999999</v>
      </c>
      <c r="GG11" s="1169">
        <v>106.45399999999999</v>
      </c>
      <c r="GH11" s="1169">
        <v>107.188</v>
      </c>
      <c r="GI11" s="1169">
        <v>107.712</v>
      </c>
      <c r="GJ11" s="1169">
        <v>108.676</v>
      </c>
      <c r="GK11" s="1169">
        <v>109.285</v>
      </c>
      <c r="GL11" s="1169">
        <v>110.291</v>
      </c>
      <c r="GM11" s="1169">
        <v>111.736</v>
      </c>
      <c r="GN11" s="1169">
        <v>112.542</v>
      </c>
      <c r="GO11" s="1169">
        <v>113.715</v>
      </c>
      <c r="GP11" s="1169">
        <v>114.175</v>
      </c>
      <c r="GQ11" s="1169">
        <v>115.41800000000001</v>
      </c>
      <c r="GR11" s="1169">
        <v>115.982</v>
      </c>
      <c r="GS11" s="1169">
        <v>116.167</v>
      </c>
      <c r="GT11" s="1169">
        <v>116.5</v>
      </c>
      <c r="GU11" s="1169">
        <v>116.19499999999999</v>
      </c>
      <c r="GV11" s="1169">
        <v>117.285</v>
      </c>
      <c r="GW11" s="1169">
        <v>117.706</v>
      </c>
      <c r="GX11" s="1169">
        <v>119.416</v>
      </c>
      <c r="GY11" s="1169">
        <v>122.101</v>
      </c>
      <c r="GZ11" s="1169">
        <v>124.71</v>
      </c>
      <c r="HA11" s="1169">
        <v>128.44900000000001</v>
      </c>
    </row>
    <row r="12" spans="1:209" x14ac:dyDescent="0.35">
      <c r="A12" s="1169" t="s">
        <v>554</v>
      </c>
      <c r="B12" s="1169">
        <v>7</v>
      </c>
      <c r="C12" s="1169">
        <v>7.2</v>
      </c>
      <c r="D12" s="1169">
        <v>7.3</v>
      </c>
      <c r="E12" s="1169">
        <v>7.5</v>
      </c>
      <c r="F12" s="1169">
        <v>7.8</v>
      </c>
      <c r="G12" s="1169">
        <v>8</v>
      </c>
      <c r="H12" s="1169">
        <v>8.1</v>
      </c>
      <c r="I12" s="1169">
        <v>8.3000000000000007</v>
      </c>
      <c r="J12" s="1169">
        <v>8.5</v>
      </c>
      <c r="K12" s="1169">
        <v>8.6999999999999993</v>
      </c>
      <c r="L12" s="1169">
        <v>8.9</v>
      </c>
      <c r="M12" s="1169">
        <v>9.1999999999999993</v>
      </c>
      <c r="N12" s="1169">
        <v>9.5</v>
      </c>
      <c r="O12" s="1169">
        <v>10</v>
      </c>
      <c r="P12" s="1169">
        <v>10.5</v>
      </c>
      <c r="Q12" s="1169">
        <v>11</v>
      </c>
      <c r="R12" s="1169">
        <v>11.7</v>
      </c>
      <c r="S12" s="1169">
        <v>12.4</v>
      </c>
      <c r="T12" s="1169">
        <v>13.1</v>
      </c>
      <c r="U12" s="1169">
        <v>13.8</v>
      </c>
      <c r="V12" s="1169">
        <v>14.5</v>
      </c>
      <c r="W12" s="1169">
        <v>15.2</v>
      </c>
      <c r="X12" s="1169">
        <v>16</v>
      </c>
      <c r="Y12" s="1169">
        <v>16.8</v>
      </c>
      <c r="Z12" s="1169">
        <v>17.600000000000001</v>
      </c>
      <c r="AA12" s="1169">
        <v>18.399999999999999</v>
      </c>
      <c r="AB12" s="1169">
        <v>19.2</v>
      </c>
      <c r="AC12" s="1169">
        <v>20</v>
      </c>
      <c r="AD12" s="1169">
        <v>20.9</v>
      </c>
      <c r="AE12" s="1169">
        <v>21.7</v>
      </c>
      <c r="AF12" s="1169">
        <v>22.5</v>
      </c>
      <c r="AG12" s="1169">
        <v>23.3</v>
      </c>
      <c r="AH12" s="1169">
        <v>24.2</v>
      </c>
      <c r="AI12" s="1169">
        <v>25</v>
      </c>
      <c r="AJ12" s="1169">
        <v>26</v>
      </c>
      <c r="AK12" s="1169">
        <v>27</v>
      </c>
      <c r="AL12" s="1169">
        <v>28</v>
      </c>
      <c r="AM12" s="1169">
        <v>29.2</v>
      </c>
      <c r="AN12" s="1169">
        <v>30.5</v>
      </c>
      <c r="AO12" s="1169">
        <v>32</v>
      </c>
      <c r="AP12" s="1169">
        <v>33.6</v>
      </c>
      <c r="AQ12" s="1169">
        <v>35.299999999999997</v>
      </c>
      <c r="AR12" s="1169">
        <v>37</v>
      </c>
      <c r="AS12" s="1169">
        <v>38.799999999999997</v>
      </c>
      <c r="AT12" s="1169">
        <v>40.700000000000003</v>
      </c>
      <c r="AU12" s="1169">
        <v>42.6</v>
      </c>
      <c r="AV12" s="1169">
        <v>44.4</v>
      </c>
      <c r="AW12" s="1169">
        <v>46.3</v>
      </c>
      <c r="AX12" s="1169">
        <v>48.2</v>
      </c>
      <c r="AY12" s="1169">
        <v>50.1</v>
      </c>
      <c r="AZ12" s="1169">
        <v>51.8</v>
      </c>
      <c r="BA12" s="1169">
        <v>53.6</v>
      </c>
      <c r="BB12" s="1169">
        <v>55.2</v>
      </c>
      <c r="BC12" s="1169">
        <v>56.9</v>
      </c>
      <c r="BD12" s="1169">
        <v>58.7</v>
      </c>
      <c r="BE12" s="1169">
        <v>60.4</v>
      </c>
      <c r="BF12" s="1169">
        <v>62.5</v>
      </c>
      <c r="BG12" s="1169">
        <v>64.099999999999994</v>
      </c>
      <c r="BH12" s="1169">
        <v>65.599999999999994</v>
      </c>
      <c r="BI12" s="1169">
        <v>66.900000000000006</v>
      </c>
      <c r="BJ12" s="1169">
        <v>67.900000000000006</v>
      </c>
      <c r="BK12" s="1169">
        <v>69.099999999999994</v>
      </c>
      <c r="BL12" s="1169">
        <v>70.3</v>
      </c>
      <c r="BM12" s="1169">
        <v>71.599999999999994</v>
      </c>
      <c r="BN12" s="1169">
        <v>73</v>
      </c>
      <c r="BO12" s="1169">
        <v>74.5</v>
      </c>
      <c r="BP12" s="1169">
        <v>76</v>
      </c>
      <c r="BQ12" s="1169">
        <v>77.599999999999994</v>
      </c>
      <c r="BR12" s="1169">
        <v>79.599999999999994</v>
      </c>
      <c r="BS12" s="1169">
        <v>81.099999999999994</v>
      </c>
      <c r="BT12" s="1169">
        <v>82.3</v>
      </c>
      <c r="BU12" s="1169">
        <v>83.3</v>
      </c>
      <c r="BV12" s="1169">
        <v>83.4</v>
      </c>
      <c r="BW12" s="1169">
        <v>85</v>
      </c>
      <c r="BX12" s="1169">
        <v>87</v>
      </c>
      <c r="BY12" s="1169">
        <v>89.7</v>
      </c>
      <c r="BZ12" s="1169">
        <v>93.8</v>
      </c>
      <c r="CA12" s="1169">
        <v>96.9</v>
      </c>
      <c r="CB12" s="1169">
        <v>99.7</v>
      </c>
      <c r="CC12" s="1169">
        <v>102.3</v>
      </c>
      <c r="CD12" s="1169">
        <v>104.3</v>
      </c>
      <c r="CE12" s="1169">
        <v>106.5</v>
      </c>
      <c r="CF12" s="1169">
        <v>108.7</v>
      </c>
      <c r="CG12" s="1169">
        <v>111</v>
      </c>
      <c r="CH12" s="1169">
        <v>112.9</v>
      </c>
      <c r="CI12" s="1169">
        <v>115.7</v>
      </c>
      <c r="CJ12" s="1169">
        <v>118.9</v>
      </c>
      <c r="CK12" s="1169">
        <v>122.5</v>
      </c>
      <c r="CL12" s="1169">
        <v>127.2</v>
      </c>
      <c r="CM12" s="1169">
        <v>131</v>
      </c>
      <c r="CN12" s="1169">
        <v>134.5</v>
      </c>
      <c r="CO12" s="1169">
        <v>137.69999999999999</v>
      </c>
      <c r="CP12" s="1169">
        <v>143.4</v>
      </c>
      <c r="CQ12" s="1169">
        <v>144.69999999999999</v>
      </c>
      <c r="CR12" s="1169">
        <v>147.5</v>
      </c>
      <c r="CS12" s="1169">
        <v>151.6</v>
      </c>
      <c r="CT12" s="1169">
        <v>156.9</v>
      </c>
      <c r="CU12" s="1169">
        <v>162.19999999999999</v>
      </c>
      <c r="CV12" s="1169">
        <v>167.1</v>
      </c>
      <c r="CW12" s="1169">
        <v>171.6</v>
      </c>
      <c r="CX12" s="1169">
        <v>175.7</v>
      </c>
      <c r="CY12" s="1169">
        <v>179.6</v>
      </c>
      <c r="CZ12" s="1169">
        <v>183.2</v>
      </c>
      <c r="DA12" s="1169">
        <v>186.5</v>
      </c>
      <c r="DB12" s="1169">
        <v>189.6</v>
      </c>
      <c r="DC12" s="1169">
        <v>192.9</v>
      </c>
      <c r="DD12" s="1169">
        <v>196.5</v>
      </c>
      <c r="DE12" s="1169">
        <v>200.4</v>
      </c>
      <c r="DF12" s="1169">
        <v>204.4</v>
      </c>
      <c r="DG12" s="1169">
        <v>207.1</v>
      </c>
      <c r="DH12" s="1169">
        <v>208.3</v>
      </c>
      <c r="DI12" s="1169">
        <v>207.9</v>
      </c>
      <c r="DJ12" s="1169">
        <v>206.4</v>
      </c>
      <c r="DK12" s="1169">
        <v>205.3</v>
      </c>
      <c r="DL12" s="1169">
        <v>205</v>
      </c>
      <c r="DM12" s="1169">
        <v>205.5</v>
      </c>
      <c r="DN12" s="1169">
        <v>206.6</v>
      </c>
      <c r="DO12" s="1169">
        <v>207.9</v>
      </c>
      <c r="DP12" s="1169">
        <v>209.4</v>
      </c>
      <c r="DQ12" s="1169">
        <v>211</v>
      </c>
      <c r="DR12" s="1169">
        <v>213</v>
      </c>
      <c r="DS12" s="1169">
        <v>216.1</v>
      </c>
      <c r="DT12" s="1169">
        <v>220.7</v>
      </c>
      <c r="DU12" s="1169">
        <v>226.7</v>
      </c>
      <c r="DV12" s="1169">
        <v>233.8</v>
      </c>
      <c r="DW12" s="1169">
        <v>240.4</v>
      </c>
      <c r="DX12" s="1169">
        <v>245.8</v>
      </c>
      <c r="DY12" s="1169">
        <v>250.3</v>
      </c>
      <c r="DZ12" s="1169">
        <v>254.1</v>
      </c>
      <c r="EA12" s="1169">
        <v>257.89999999999998</v>
      </c>
      <c r="EB12" s="1169">
        <v>261.60000000000002</v>
      </c>
      <c r="EC12" s="1169">
        <v>265.2</v>
      </c>
      <c r="ED12" s="1169">
        <v>268.89999999999998</v>
      </c>
      <c r="EE12" s="1169">
        <v>273.39999999999998</v>
      </c>
      <c r="EF12" s="1169">
        <v>279</v>
      </c>
      <c r="EG12" s="1169">
        <v>285.5</v>
      </c>
      <c r="EH12" s="1169">
        <v>293</v>
      </c>
      <c r="EI12" s="1169">
        <v>300.39999999999998</v>
      </c>
      <c r="EJ12" s="1169">
        <v>308.60000000000002</v>
      </c>
      <c r="EK12" s="1169">
        <v>315.39999999999998</v>
      </c>
      <c r="EL12" s="1169">
        <v>323.2</v>
      </c>
      <c r="EM12" s="1169">
        <v>329.2</v>
      </c>
      <c r="EN12" s="1169">
        <v>335.1</v>
      </c>
      <c r="EO12" s="1169">
        <v>341</v>
      </c>
      <c r="EP12" s="1169">
        <v>389.6</v>
      </c>
      <c r="EQ12" s="1169">
        <v>395.6</v>
      </c>
      <c r="ER12" s="1169">
        <v>402.1</v>
      </c>
      <c r="ES12" s="1169">
        <v>409.1</v>
      </c>
      <c r="ET12" s="1169">
        <v>416.4</v>
      </c>
      <c r="EU12" s="1169">
        <v>424.1</v>
      </c>
      <c r="EV12" s="1169">
        <v>432</v>
      </c>
      <c r="EW12" s="1169">
        <v>440.3</v>
      </c>
      <c r="EX12" s="1169">
        <v>448.8</v>
      </c>
      <c r="EY12" s="1169">
        <v>457.3</v>
      </c>
      <c r="EZ12" s="1169">
        <v>465.9</v>
      </c>
      <c r="FA12" s="1169">
        <v>474.5</v>
      </c>
      <c r="FB12" s="1169">
        <v>482.9</v>
      </c>
      <c r="FC12" s="1169">
        <v>490.4</v>
      </c>
      <c r="FD12" s="1169">
        <v>496.7</v>
      </c>
      <c r="FE12" s="1169">
        <v>501.8</v>
      </c>
      <c r="FF12" s="1169">
        <v>506</v>
      </c>
      <c r="FG12" s="1169">
        <v>510.5</v>
      </c>
      <c r="FH12" s="1169">
        <v>515.70000000000005</v>
      </c>
      <c r="FI12" s="1169">
        <v>521.4</v>
      </c>
      <c r="FJ12" s="1169">
        <v>527.6</v>
      </c>
      <c r="FK12" s="1169">
        <v>533.4</v>
      </c>
      <c r="FL12" s="1169">
        <v>538.5</v>
      </c>
      <c r="FM12" s="1169">
        <v>542.9</v>
      </c>
      <c r="FN12" s="1169">
        <v>547</v>
      </c>
      <c r="FO12" s="1169">
        <v>551.6</v>
      </c>
      <c r="FP12" s="1169">
        <v>557.1</v>
      </c>
      <c r="FQ12" s="1169">
        <v>563.4</v>
      </c>
      <c r="FR12" s="1169">
        <v>570.29999999999995</v>
      </c>
      <c r="FS12" s="1169">
        <v>567.1</v>
      </c>
      <c r="FT12" s="1169">
        <v>573.70000000000005</v>
      </c>
      <c r="FU12" s="1169">
        <v>580.20000000000005</v>
      </c>
      <c r="FV12" s="1169">
        <v>587.5</v>
      </c>
      <c r="FW12" s="1169">
        <v>595.6</v>
      </c>
      <c r="FX12" s="1169">
        <v>604</v>
      </c>
      <c r="FY12" s="1169">
        <v>612.79999999999995</v>
      </c>
      <c r="FZ12" s="1169">
        <v>622.4</v>
      </c>
      <c r="GA12" s="1169">
        <v>631.5</v>
      </c>
      <c r="GB12" s="1169">
        <v>639.5</v>
      </c>
      <c r="GC12" s="1169">
        <v>646.4</v>
      </c>
      <c r="GD12" s="1169">
        <v>652.4</v>
      </c>
      <c r="GE12" s="1169">
        <v>658.6</v>
      </c>
      <c r="GF12" s="1169">
        <v>665.2</v>
      </c>
      <c r="GG12" s="1169">
        <v>672.2</v>
      </c>
      <c r="GH12" s="1169">
        <v>679.6</v>
      </c>
      <c r="GI12" s="1169">
        <v>687.7</v>
      </c>
      <c r="GJ12" s="1169">
        <v>696.6</v>
      </c>
      <c r="GK12" s="1169">
        <v>706.3</v>
      </c>
      <c r="GL12" s="1169">
        <v>716.7</v>
      </c>
      <c r="GM12" s="1169">
        <v>728.2</v>
      </c>
      <c r="GN12" s="1169">
        <v>740.6</v>
      </c>
      <c r="GO12" s="1169">
        <v>754.2</v>
      </c>
      <c r="GP12" s="1169">
        <v>768.3</v>
      </c>
      <c r="GQ12" s="1169">
        <v>781.1</v>
      </c>
      <c r="GR12" s="1169">
        <v>792.1</v>
      </c>
      <c r="GS12" s="1169">
        <v>801.3</v>
      </c>
      <c r="GT12" s="1169">
        <v>808.5</v>
      </c>
      <c r="GU12" s="1169">
        <v>821.6</v>
      </c>
      <c r="GV12" s="1169">
        <v>825.8</v>
      </c>
      <c r="GW12" s="1169">
        <v>821</v>
      </c>
      <c r="GX12" s="1169">
        <v>814.1</v>
      </c>
      <c r="GY12" s="1169">
        <v>815.3</v>
      </c>
      <c r="GZ12" s="1169">
        <v>826.5</v>
      </c>
      <c r="HA12" s="1169">
        <v>847.9</v>
      </c>
    </row>
    <row r="13" spans="1:209" x14ac:dyDescent="0.35">
      <c r="A13" s="1169" t="s">
        <v>525</v>
      </c>
      <c r="B13" s="1169">
        <v>5</v>
      </c>
      <c r="C13" s="1169">
        <v>5.3</v>
      </c>
      <c r="D13" s="1169">
        <v>5.6</v>
      </c>
      <c r="E13" s="1169">
        <v>5.9</v>
      </c>
      <c r="F13" s="1169">
        <v>6.2</v>
      </c>
      <c r="G13" s="1169">
        <v>6.6</v>
      </c>
      <c r="H13" s="1169">
        <v>6.9</v>
      </c>
      <c r="I13" s="1169">
        <v>7.3</v>
      </c>
      <c r="J13" s="1169">
        <v>7.8</v>
      </c>
      <c r="K13" s="1169">
        <v>8</v>
      </c>
      <c r="L13" s="1169">
        <v>8.6</v>
      </c>
      <c r="M13" s="1169">
        <v>8.5</v>
      </c>
      <c r="N13" s="1169">
        <v>9</v>
      </c>
      <c r="O13" s="1169">
        <v>9.6</v>
      </c>
      <c r="P13" s="1169">
        <v>9.6999999999999993</v>
      </c>
      <c r="Q13" s="1169">
        <v>10.1</v>
      </c>
      <c r="R13" s="1169">
        <v>10.199999999999999</v>
      </c>
      <c r="S13" s="1169">
        <v>11.1</v>
      </c>
      <c r="T13" s="1169">
        <v>11.4</v>
      </c>
      <c r="U13" s="1169">
        <v>12</v>
      </c>
      <c r="V13" s="1169">
        <v>13.3</v>
      </c>
      <c r="W13" s="1169">
        <v>13.8</v>
      </c>
      <c r="X13" s="1169">
        <v>13.8</v>
      </c>
      <c r="Y13" s="1169">
        <v>14.6</v>
      </c>
      <c r="Z13" s="1169">
        <v>15.2</v>
      </c>
      <c r="AA13" s="1169">
        <v>14.9</v>
      </c>
      <c r="AB13" s="1169">
        <v>15.9</v>
      </c>
      <c r="AC13" s="1169">
        <v>15.9</v>
      </c>
      <c r="AD13" s="1169">
        <v>16.2</v>
      </c>
      <c r="AE13" s="1169">
        <v>17.5</v>
      </c>
      <c r="AF13" s="1169">
        <v>16.7</v>
      </c>
      <c r="AG13" s="1169">
        <v>16.5</v>
      </c>
      <c r="AH13" s="1169">
        <v>17.5</v>
      </c>
      <c r="AI13" s="1169">
        <v>18.600000000000001</v>
      </c>
      <c r="AJ13" s="1169">
        <v>18.899999999999999</v>
      </c>
      <c r="AK13" s="1169">
        <v>19.5</v>
      </c>
      <c r="AL13" s="1169">
        <v>20</v>
      </c>
      <c r="AM13" s="1169">
        <v>20.8</v>
      </c>
      <c r="AN13" s="1169">
        <v>21.1</v>
      </c>
      <c r="AO13" s="1169">
        <v>22.4</v>
      </c>
      <c r="AP13" s="1169">
        <v>23.4</v>
      </c>
      <c r="AQ13" s="1169">
        <v>22.2</v>
      </c>
      <c r="AR13" s="1169">
        <v>24.2</v>
      </c>
      <c r="AS13" s="1169">
        <v>25.6</v>
      </c>
      <c r="AT13" s="1169">
        <v>26.5</v>
      </c>
      <c r="AU13" s="1169">
        <v>28.1</v>
      </c>
      <c r="AV13" s="1169">
        <v>28.3</v>
      </c>
      <c r="AW13" s="1169">
        <v>28</v>
      </c>
      <c r="AX13" s="1169">
        <v>28.8</v>
      </c>
      <c r="AY13" s="1169">
        <v>30.2</v>
      </c>
      <c r="AZ13" s="1169">
        <v>30.8</v>
      </c>
      <c r="BA13" s="1169">
        <v>30.8</v>
      </c>
      <c r="BB13" s="1169">
        <v>33.200000000000003</v>
      </c>
      <c r="BC13" s="1169">
        <v>33.4</v>
      </c>
      <c r="BD13" s="1169">
        <v>34</v>
      </c>
      <c r="BE13" s="1169">
        <v>34.9</v>
      </c>
      <c r="BF13" s="1169">
        <v>35.700000000000003</v>
      </c>
      <c r="BG13" s="1169">
        <v>36.200000000000003</v>
      </c>
      <c r="BH13" s="1169">
        <v>36.799999999999997</v>
      </c>
      <c r="BI13" s="1169">
        <v>37.6</v>
      </c>
      <c r="BJ13" s="1169">
        <v>38.4</v>
      </c>
      <c r="BK13" s="1169">
        <v>39.200000000000003</v>
      </c>
      <c r="BL13" s="1169">
        <v>40.1</v>
      </c>
      <c r="BM13" s="1169">
        <v>41.1</v>
      </c>
      <c r="BN13" s="1169">
        <v>42.1</v>
      </c>
      <c r="BO13" s="1169">
        <v>43.1</v>
      </c>
      <c r="BP13" s="1169">
        <v>44.1</v>
      </c>
      <c r="BQ13" s="1169">
        <v>45.2</v>
      </c>
      <c r="BR13" s="1169">
        <v>46.2</v>
      </c>
      <c r="BS13" s="1169">
        <v>47.3</v>
      </c>
      <c r="BT13" s="1169">
        <v>48.4</v>
      </c>
      <c r="BU13" s="1169">
        <v>49.4</v>
      </c>
      <c r="BV13" s="1169">
        <v>50.9</v>
      </c>
      <c r="BW13" s="1169">
        <v>52.2</v>
      </c>
      <c r="BX13" s="1169">
        <v>53.7</v>
      </c>
      <c r="BY13" s="1169">
        <v>55.4</v>
      </c>
      <c r="BZ13" s="1169">
        <v>57.4</v>
      </c>
      <c r="CA13" s="1169">
        <v>59.6</v>
      </c>
      <c r="CB13" s="1169">
        <v>61.9</v>
      </c>
      <c r="CC13" s="1169">
        <v>64.400000000000006</v>
      </c>
      <c r="CD13" s="1169">
        <v>66.599999999999994</v>
      </c>
      <c r="CE13" s="1169">
        <v>70.3</v>
      </c>
      <c r="CF13" s="1169">
        <v>74.900000000000006</v>
      </c>
      <c r="CG13" s="1169">
        <v>80.7</v>
      </c>
      <c r="CH13" s="1169">
        <v>83.7</v>
      </c>
      <c r="CI13" s="1169">
        <v>93.1</v>
      </c>
      <c r="CJ13" s="1169">
        <v>98.4</v>
      </c>
      <c r="CK13" s="1169">
        <v>112.5</v>
      </c>
      <c r="CL13" s="1169">
        <v>108.3</v>
      </c>
      <c r="CM13" s="1169">
        <v>115.4</v>
      </c>
      <c r="CN13" s="1169">
        <v>120.6</v>
      </c>
      <c r="CO13" s="1169">
        <v>120.8</v>
      </c>
      <c r="CP13" s="1169">
        <v>124.4</v>
      </c>
      <c r="CQ13" s="1169">
        <v>124.8</v>
      </c>
      <c r="CR13" s="1169">
        <v>135.19999999999999</v>
      </c>
      <c r="CS13" s="1169">
        <v>136</v>
      </c>
      <c r="CT13" s="1169">
        <v>136.6</v>
      </c>
      <c r="CU13" s="1169">
        <v>137.1</v>
      </c>
      <c r="CV13" s="1169">
        <v>136.19999999999999</v>
      </c>
      <c r="CW13" s="1169">
        <v>147.80000000000001</v>
      </c>
      <c r="CX13" s="1169">
        <v>152.5</v>
      </c>
      <c r="CY13" s="1169">
        <v>152.5</v>
      </c>
      <c r="CZ13" s="1169">
        <v>152.69999999999999</v>
      </c>
      <c r="DA13" s="1169">
        <v>140.69999999999999</v>
      </c>
      <c r="DB13" s="1169">
        <v>151.30000000000001</v>
      </c>
      <c r="DC13" s="1169">
        <v>165.8</v>
      </c>
      <c r="DD13" s="1169">
        <v>158.80000000000001</v>
      </c>
      <c r="DE13" s="1169">
        <v>156.9</v>
      </c>
      <c r="DF13" s="1169">
        <v>161.4</v>
      </c>
      <c r="DG13" s="1169">
        <v>159.4</v>
      </c>
      <c r="DH13" s="1169">
        <v>163.69999999999999</v>
      </c>
      <c r="DI13" s="1169">
        <v>168</v>
      </c>
      <c r="DJ13" s="1169">
        <v>167.2</v>
      </c>
      <c r="DK13" s="1169">
        <v>170</v>
      </c>
      <c r="DL13" s="1169">
        <v>168.1</v>
      </c>
      <c r="DM13" s="1169">
        <v>175.4</v>
      </c>
      <c r="DN13" s="1169">
        <v>181.1</v>
      </c>
      <c r="DO13" s="1169">
        <v>179.1</v>
      </c>
      <c r="DP13" s="1169">
        <v>186.7</v>
      </c>
      <c r="DQ13" s="1169">
        <v>191.3</v>
      </c>
      <c r="DR13" s="1169">
        <v>190.2</v>
      </c>
      <c r="DS13" s="1169">
        <v>198.3</v>
      </c>
      <c r="DT13" s="1169">
        <v>204.8</v>
      </c>
      <c r="DU13" s="1169">
        <v>204.8</v>
      </c>
      <c r="DV13" s="1169">
        <v>215</v>
      </c>
      <c r="DW13" s="1169">
        <v>230.1</v>
      </c>
      <c r="DX13" s="1169">
        <v>217.4</v>
      </c>
      <c r="DY13" s="1169">
        <v>246.5</v>
      </c>
      <c r="DZ13" s="1169">
        <v>244.9</v>
      </c>
      <c r="EA13" s="1169">
        <v>243.8</v>
      </c>
      <c r="EB13" s="1169">
        <v>251.1</v>
      </c>
      <c r="EC13" s="1169">
        <v>260.3</v>
      </c>
      <c r="ED13" s="1169">
        <v>260.7</v>
      </c>
      <c r="EE13" s="1169">
        <v>260.10000000000002</v>
      </c>
      <c r="EF13" s="1169">
        <v>271.7</v>
      </c>
      <c r="EG13" s="1169">
        <v>265.7</v>
      </c>
      <c r="EH13" s="1169">
        <v>283.39999999999998</v>
      </c>
      <c r="EI13" s="1169">
        <v>293</v>
      </c>
      <c r="EJ13" s="1169">
        <v>288.3</v>
      </c>
      <c r="EK13" s="1169">
        <v>294.5</v>
      </c>
      <c r="EL13" s="1169">
        <v>301.3</v>
      </c>
      <c r="EM13" s="1169">
        <v>310.8</v>
      </c>
      <c r="EN13" s="1169">
        <v>300.10000000000002</v>
      </c>
      <c r="EO13" s="1169">
        <v>305.39999999999998</v>
      </c>
      <c r="EP13" s="1169">
        <v>291.3</v>
      </c>
      <c r="EQ13" s="1169">
        <v>294.89999999999998</v>
      </c>
      <c r="ER13" s="1169">
        <v>308.7</v>
      </c>
      <c r="ES13" s="1169">
        <v>301.39999999999998</v>
      </c>
      <c r="ET13" s="1169">
        <v>332.5</v>
      </c>
      <c r="EU13" s="1169">
        <v>314.7</v>
      </c>
      <c r="EV13" s="1169">
        <v>319.60000000000002</v>
      </c>
      <c r="EW13" s="1169">
        <v>329.9</v>
      </c>
      <c r="EX13" s="1169">
        <v>331.6</v>
      </c>
      <c r="EY13" s="1169">
        <v>339.2</v>
      </c>
      <c r="EZ13" s="1169">
        <v>340.8</v>
      </c>
      <c r="FA13" s="1169">
        <v>341.8</v>
      </c>
      <c r="FB13" s="1169">
        <v>358.4</v>
      </c>
      <c r="FC13" s="1169">
        <v>368.9</v>
      </c>
      <c r="FD13" s="1169">
        <v>378.2</v>
      </c>
      <c r="FE13" s="1169">
        <v>372.8</v>
      </c>
      <c r="FF13" s="1169">
        <v>382.1</v>
      </c>
      <c r="FG13" s="1169">
        <v>385.7</v>
      </c>
      <c r="FH13" s="1169">
        <v>405.6</v>
      </c>
      <c r="FI13" s="1169">
        <v>414.1</v>
      </c>
      <c r="FJ13" s="1169">
        <v>418.8</v>
      </c>
      <c r="FK13" s="1169">
        <v>409.7</v>
      </c>
      <c r="FL13" s="1169">
        <v>396.4</v>
      </c>
      <c r="FM13" s="1169">
        <v>399.3</v>
      </c>
      <c r="FN13" s="1169">
        <v>400.6</v>
      </c>
      <c r="FO13" s="1169">
        <v>421.7</v>
      </c>
      <c r="FP13" s="1169">
        <v>419</v>
      </c>
      <c r="FQ13" s="1169">
        <v>428.9</v>
      </c>
      <c r="FR13" s="1169">
        <v>424.8</v>
      </c>
      <c r="FS13" s="1169">
        <v>438.4</v>
      </c>
      <c r="FT13" s="1169">
        <v>448.2</v>
      </c>
      <c r="FU13" s="1169">
        <v>448.6</v>
      </c>
      <c r="FV13" s="1169">
        <v>459.5</v>
      </c>
      <c r="FW13" s="1169">
        <v>481.5</v>
      </c>
      <c r="FX13" s="1169">
        <v>507.2</v>
      </c>
      <c r="FY13" s="1169">
        <v>515.29999999999995</v>
      </c>
      <c r="FZ13" s="1169">
        <v>523.6</v>
      </c>
      <c r="GA13" s="1169">
        <v>537.9</v>
      </c>
      <c r="GB13" s="1169">
        <v>540.4</v>
      </c>
      <c r="GC13" s="1169">
        <v>541.79999999999995</v>
      </c>
      <c r="GD13" s="1169">
        <v>550.5</v>
      </c>
      <c r="GE13" s="1169">
        <v>558.79999999999995</v>
      </c>
      <c r="GF13" s="1169">
        <v>566.5</v>
      </c>
      <c r="GG13" s="1169">
        <v>575.29999999999995</v>
      </c>
      <c r="GH13" s="1169">
        <v>572.4</v>
      </c>
      <c r="GI13" s="1169">
        <v>567.9</v>
      </c>
      <c r="GJ13" s="1169">
        <v>578.9</v>
      </c>
      <c r="GK13" s="1169">
        <v>575.79999999999995</v>
      </c>
      <c r="GL13" s="1169">
        <v>581.9</v>
      </c>
      <c r="GM13" s="1169">
        <v>592.6</v>
      </c>
      <c r="GN13" s="1169">
        <v>595.1</v>
      </c>
      <c r="GO13" s="1169">
        <v>589.5</v>
      </c>
      <c r="GP13" s="1169">
        <v>598.79999999999995</v>
      </c>
      <c r="GQ13" s="1169">
        <v>614.5</v>
      </c>
      <c r="GR13" s="1169">
        <v>622.4</v>
      </c>
      <c r="GS13" s="1169">
        <v>620.5</v>
      </c>
      <c r="GT13" s="1169">
        <v>606.20000000000005</v>
      </c>
      <c r="GU13" s="1169">
        <v>654.20000000000005</v>
      </c>
      <c r="GV13" s="1169">
        <v>690.4</v>
      </c>
      <c r="GW13" s="1169">
        <v>678.3</v>
      </c>
      <c r="GX13" s="1169">
        <v>695.9</v>
      </c>
      <c r="GY13" s="1169">
        <v>730.5</v>
      </c>
      <c r="GZ13" s="1169">
        <v>775</v>
      </c>
      <c r="HA13" s="1169">
        <v>782.9</v>
      </c>
    </row>
    <row r="14" spans="1:209" x14ac:dyDescent="0.35">
      <c r="A14" s="1169" t="s">
        <v>355</v>
      </c>
      <c r="B14" s="1169">
        <v>2.9</v>
      </c>
      <c r="C14" s="1169">
        <v>3.9</v>
      </c>
      <c r="D14" s="1169">
        <v>4.5999999999999996</v>
      </c>
      <c r="E14" s="1169">
        <v>5.4</v>
      </c>
      <c r="F14" s="1169">
        <v>5.7</v>
      </c>
      <c r="G14" s="1169">
        <v>6.3</v>
      </c>
      <c r="H14" s="1169">
        <v>6.3</v>
      </c>
      <c r="I14" s="1169">
        <v>6.3</v>
      </c>
      <c r="J14" s="1169">
        <v>6.5</v>
      </c>
      <c r="K14" s="1169">
        <v>6.9</v>
      </c>
      <c r="L14" s="1169">
        <v>5.8</v>
      </c>
      <c r="M14" s="1169">
        <v>5</v>
      </c>
      <c r="N14" s="1169">
        <v>4.5999999999999996</v>
      </c>
      <c r="O14" s="1169">
        <v>4.5</v>
      </c>
      <c r="P14" s="1169">
        <v>4.5</v>
      </c>
      <c r="Q14" s="1169">
        <v>4.7</v>
      </c>
      <c r="R14" s="1169">
        <v>5.8</v>
      </c>
      <c r="S14" s="1169">
        <v>6.7</v>
      </c>
      <c r="T14" s="1169">
        <v>6.9</v>
      </c>
      <c r="U14" s="1169">
        <v>8.6</v>
      </c>
      <c r="V14" s="1169">
        <v>14.2</v>
      </c>
      <c r="W14" s="1169">
        <v>19.399999999999999</v>
      </c>
      <c r="X14" s="1169">
        <v>20.2</v>
      </c>
      <c r="Y14" s="1169">
        <v>18.8</v>
      </c>
      <c r="Z14" s="1169">
        <v>17.7</v>
      </c>
      <c r="AA14" s="1169">
        <v>16.3</v>
      </c>
      <c r="AB14" s="1169">
        <v>16.100000000000001</v>
      </c>
      <c r="AC14" s="1169">
        <v>15.5</v>
      </c>
      <c r="AD14" s="1169">
        <v>15.5</v>
      </c>
      <c r="AE14" s="1169">
        <v>13.3</v>
      </c>
      <c r="AF14" s="1169">
        <v>11.9</v>
      </c>
      <c r="AG14" s="1169">
        <v>11.8</v>
      </c>
      <c r="AH14" s="1169">
        <v>10.8</v>
      </c>
      <c r="AI14" s="1169">
        <v>9.4</v>
      </c>
      <c r="AJ14" s="1169">
        <v>9</v>
      </c>
      <c r="AK14" s="1169">
        <v>8.5</v>
      </c>
      <c r="AL14" s="1169">
        <v>9.4</v>
      </c>
      <c r="AM14" s="1169">
        <v>9.1999999999999993</v>
      </c>
      <c r="AN14" s="1169">
        <v>9.6</v>
      </c>
      <c r="AO14" s="1169">
        <v>10.6</v>
      </c>
      <c r="AP14" s="1169">
        <v>12</v>
      </c>
      <c r="AQ14" s="1169">
        <v>15.7</v>
      </c>
      <c r="AR14" s="1169">
        <v>19</v>
      </c>
      <c r="AS14" s="1169">
        <v>17.8</v>
      </c>
      <c r="AT14" s="1169">
        <v>16.399999999999999</v>
      </c>
      <c r="AU14" s="1169">
        <v>15.5</v>
      </c>
      <c r="AV14" s="1169">
        <v>15</v>
      </c>
      <c r="AW14" s="1169">
        <v>16.600000000000001</v>
      </c>
      <c r="AX14" s="1169">
        <v>19.100000000000001</v>
      </c>
      <c r="AY14" s="1169">
        <v>23.9</v>
      </c>
      <c r="AZ14" s="1169">
        <v>26.1</v>
      </c>
      <c r="BA14" s="1169">
        <v>31.8</v>
      </c>
      <c r="BB14" s="1169">
        <v>30.3</v>
      </c>
      <c r="BC14" s="1169">
        <v>32.1</v>
      </c>
      <c r="BD14" s="1169">
        <v>23.3</v>
      </c>
      <c r="BE14" s="1169">
        <v>20</v>
      </c>
      <c r="BF14" s="1169">
        <v>17.3</v>
      </c>
      <c r="BG14" s="1169">
        <v>15.7</v>
      </c>
      <c r="BH14" s="1169">
        <v>15.1</v>
      </c>
      <c r="BI14" s="1169">
        <v>15.9</v>
      </c>
      <c r="BJ14" s="1169">
        <v>16.899999999999999</v>
      </c>
      <c r="BK14" s="1169">
        <v>16</v>
      </c>
      <c r="BL14" s="1169">
        <v>15</v>
      </c>
      <c r="BM14" s="1169">
        <v>15.6</v>
      </c>
      <c r="BN14" s="1169">
        <v>15.6</v>
      </c>
      <c r="BO14" s="1169">
        <v>16.399999999999999</v>
      </c>
      <c r="BP14" s="1169">
        <v>17</v>
      </c>
      <c r="BQ14" s="1169">
        <v>16.899999999999999</v>
      </c>
      <c r="BR14" s="1169">
        <v>15.5</v>
      </c>
      <c r="BS14" s="1169">
        <v>15.1</v>
      </c>
      <c r="BT14" s="1169">
        <v>14.4</v>
      </c>
      <c r="BU14" s="1169">
        <v>13.5</v>
      </c>
      <c r="BV14" s="1169">
        <v>13.9</v>
      </c>
      <c r="BW14" s="1169">
        <v>13.2</v>
      </c>
      <c r="BX14" s="1169">
        <v>13.2</v>
      </c>
      <c r="BY14" s="1169">
        <v>13</v>
      </c>
      <c r="BZ14" s="1169">
        <v>13.6</v>
      </c>
      <c r="CA14" s="1169">
        <v>13.7</v>
      </c>
      <c r="CB14" s="1169">
        <v>14.6</v>
      </c>
      <c r="CC14" s="1169">
        <v>15.8</v>
      </c>
      <c r="CD14" s="1169">
        <v>16.399999999999999</v>
      </c>
      <c r="CE14" s="1169">
        <v>17.100000000000001</v>
      </c>
      <c r="CF14" s="1169">
        <v>18.2</v>
      </c>
      <c r="CG14" s="1169">
        <v>21</v>
      </c>
      <c r="CH14" s="1169">
        <v>24.3</v>
      </c>
      <c r="CI14" s="1169">
        <v>27.5</v>
      </c>
      <c r="CJ14" s="1169">
        <v>25.9</v>
      </c>
      <c r="CK14" s="1169">
        <v>29.4</v>
      </c>
      <c r="CL14" s="1169">
        <v>39.700000000000003</v>
      </c>
      <c r="CM14" s="1169">
        <v>41.2</v>
      </c>
      <c r="CN14" s="1169">
        <v>39.6</v>
      </c>
      <c r="CO14" s="1169">
        <v>38</v>
      </c>
      <c r="CP14" s="1169">
        <v>35.1</v>
      </c>
      <c r="CQ14" s="1169">
        <v>35.5</v>
      </c>
      <c r="CR14" s="1169">
        <v>35.5</v>
      </c>
      <c r="CS14" s="1169">
        <v>33.200000000000003</v>
      </c>
      <c r="CT14" s="1169">
        <v>28</v>
      </c>
      <c r="CU14" s="1169">
        <v>24.4</v>
      </c>
      <c r="CV14" s="1169">
        <v>22.1</v>
      </c>
      <c r="CW14" s="1169">
        <v>21.3</v>
      </c>
      <c r="CX14" s="1169">
        <v>20.9</v>
      </c>
      <c r="CY14" s="1169">
        <v>21.6</v>
      </c>
      <c r="CZ14" s="1169">
        <v>22</v>
      </c>
      <c r="DA14" s="1169">
        <v>22.5</v>
      </c>
      <c r="DB14" s="1169">
        <v>23</v>
      </c>
      <c r="DC14" s="1169">
        <v>22.7</v>
      </c>
      <c r="DD14" s="1169">
        <v>21.6</v>
      </c>
      <c r="DE14" s="1169">
        <v>21.7</v>
      </c>
      <c r="DF14" s="1169">
        <v>21</v>
      </c>
      <c r="DG14" s="1169">
        <v>20.399999999999999</v>
      </c>
      <c r="DH14" s="1169">
        <v>19.600000000000001</v>
      </c>
      <c r="DI14" s="1169">
        <v>19.399999999999999</v>
      </c>
      <c r="DJ14" s="1169">
        <v>19.399999999999999</v>
      </c>
      <c r="DK14" s="1169">
        <v>19.3</v>
      </c>
      <c r="DL14" s="1169">
        <v>20.3</v>
      </c>
      <c r="DM14" s="1169">
        <v>19.8</v>
      </c>
      <c r="DN14" s="1169">
        <v>20.8</v>
      </c>
      <c r="DO14" s="1169">
        <v>20.9</v>
      </c>
      <c r="DP14" s="1169">
        <v>20.3</v>
      </c>
      <c r="DQ14" s="1169">
        <v>20</v>
      </c>
      <c r="DR14" s="1169">
        <v>20.5</v>
      </c>
      <c r="DS14" s="1169">
        <v>20</v>
      </c>
      <c r="DT14" s="1169">
        <v>20.6</v>
      </c>
      <c r="DU14" s="1169">
        <v>21.9</v>
      </c>
      <c r="DV14" s="1169">
        <v>25.5</v>
      </c>
      <c r="DW14" s="1169">
        <v>28.4</v>
      </c>
      <c r="DX14" s="1169">
        <v>33.1</v>
      </c>
      <c r="DY14" s="1169">
        <v>40.6</v>
      </c>
      <c r="DZ14" s="1169">
        <v>42.8</v>
      </c>
      <c r="EA14" s="1169">
        <v>60.5</v>
      </c>
      <c r="EB14" s="1169">
        <v>56.9</v>
      </c>
      <c r="EC14" s="1169">
        <v>53.7</v>
      </c>
      <c r="ED14" s="1169">
        <v>51.8</v>
      </c>
      <c r="EE14" s="1169">
        <v>55.2</v>
      </c>
      <c r="EF14" s="1169">
        <v>54.2</v>
      </c>
      <c r="EG14" s="1169">
        <v>51.5</v>
      </c>
      <c r="EH14" s="1169">
        <v>42.3</v>
      </c>
      <c r="EI14" s="1169">
        <v>35.9</v>
      </c>
      <c r="EJ14" s="1169">
        <v>34.700000000000003</v>
      </c>
      <c r="EK14" s="1169">
        <v>32.9</v>
      </c>
      <c r="EL14" s="1169">
        <v>32.1</v>
      </c>
      <c r="EM14" s="1169">
        <v>30.9</v>
      </c>
      <c r="EN14" s="1169">
        <v>31.6</v>
      </c>
      <c r="EO14" s="1169">
        <v>32.5</v>
      </c>
      <c r="EP14" s="1169">
        <v>30.3</v>
      </c>
      <c r="EQ14" s="1169">
        <v>29.5</v>
      </c>
      <c r="ER14" s="1169">
        <v>30.6</v>
      </c>
      <c r="ES14" s="1169">
        <v>31.1</v>
      </c>
      <c r="ET14" s="1169">
        <v>32.299999999999997</v>
      </c>
      <c r="EU14" s="1169">
        <v>31.8</v>
      </c>
      <c r="EV14" s="1169">
        <v>32.799999999999997</v>
      </c>
      <c r="EW14" s="1169">
        <v>34</v>
      </c>
      <c r="EX14" s="1169">
        <v>36.299999999999997</v>
      </c>
      <c r="EY14" s="1169">
        <v>38.200000000000003</v>
      </c>
      <c r="EZ14" s="1169">
        <v>58.2</v>
      </c>
      <c r="FA14" s="1169">
        <v>71.900000000000006</v>
      </c>
      <c r="FB14" s="1169">
        <v>101.6</v>
      </c>
      <c r="FC14" s="1169">
        <v>130.30000000000001</v>
      </c>
      <c r="FD14" s="1169">
        <v>144.4</v>
      </c>
      <c r="FE14" s="1169">
        <v>148.6</v>
      </c>
      <c r="FF14" s="1169">
        <v>159.30000000000001</v>
      </c>
      <c r="FG14" s="1169">
        <v>141.19999999999999</v>
      </c>
      <c r="FH14" s="1169">
        <v>131</v>
      </c>
      <c r="FI14" s="1169">
        <v>123.9</v>
      </c>
      <c r="FJ14" s="1169">
        <v>116.7</v>
      </c>
      <c r="FK14" s="1169">
        <v>109.3</v>
      </c>
      <c r="FL14" s="1169">
        <v>102.9</v>
      </c>
      <c r="FM14" s="1169">
        <v>99.8</v>
      </c>
      <c r="FN14" s="1169">
        <v>94.6</v>
      </c>
      <c r="FO14" s="1169">
        <v>86.3</v>
      </c>
      <c r="FP14" s="1169">
        <v>78.400000000000006</v>
      </c>
      <c r="FQ14" s="1169">
        <v>75.099999999999994</v>
      </c>
      <c r="FR14" s="1169">
        <v>69</v>
      </c>
      <c r="FS14" s="1169">
        <v>64.8</v>
      </c>
      <c r="FT14" s="1169">
        <v>59.1</v>
      </c>
      <c r="FU14" s="1169">
        <v>57.1</v>
      </c>
      <c r="FV14" s="1169">
        <v>39</v>
      </c>
      <c r="FW14" s="1169">
        <v>35.799999999999997</v>
      </c>
      <c r="FX14" s="1169">
        <v>34</v>
      </c>
      <c r="FY14" s="1169">
        <v>33</v>
      </c>
      <c r="FZ14" s="1169">
        <v>32.9</v>
      </c>
      <c r="GA14" s="1169">
        <v>32.4</v>
      </c>
      <c r="GB14" s="1169">
        <v>32.5</v>
      </c>
      <c r="GC14" s="1169">
        <v>32.4</v>
      </c>
      <c r="GD14" s="1169">
        <v>32.4</v>
      </c>
      <c r="GE14" s="1169">
        <v>32.299999999999997</v>
      </c>
      <c r="GF14" s="1169">
        <v>32.1</v>
      </c>
      <c r="GG14" s="1169">
        <v>31.3</v>
      </c>
      <c r="GH14" s="1169">
        <v>30.8</v>
      </c>
      <c r="GI14" s="1169">
        <v>30.1</v>
      </c>
      <c r="GJ14" s="1169">
        <v>30.2</v>
      </c>
      <c r="GK14" s="1169">
        <v>29.7</v>
      </c>
      <c r="GL14" s="1169">
        <v>29</v>
      </c>
      <c r="GM14" s="1169">
        <v>27.6</v>
      </c>
      <c r="GN14" s="1169">
        <v>27.2</v>
      </c>
      <c r="GO14" s="1169">
        <v>27.1</v>
      </c>
      <c r="GP14" s="1169">
        <v>28.4</v>
      </c>
      <c r="GQ14" s="1169">
        <v>27.8</v>
      </c>
      <c r="GR14" s="1169">
        <v>27.4</v>
      </c>
      <c r="GS14" s="1169">
        <v>26.8</v>
      </c>
      <c r="GT14" s="1169">
        <v>39.5</v>
      </c>
      <c r="GU14" s="1169">
        <v>1039.4000000000001</v>
      </c>
      <c r="GV14" s="1169">
        <v>767.8</v>
      </c>
      <c r="GW14" s="1169">
        <v>299.89999999999998</v>
      </c>
      <c r="GX14" s="1169">
        <v>565.79999999999995</v>
      </c>
      <c r="GY14" s="1169">
        <v>480.4</v>
      </c>
      <c r="GZ14" s="1169">
        <v>272.3</v>
      </c>
      <c r="HA14" s="1169">
        <v>37.700000000000003</v>
      </c>
    </row>
    <row r="15" spans="1:209" x14ac:dyDescent="0.35">
      <c r="A15" s="1169" t="s">
        <v>855</v>
      </c>
      <c r="B15" s="1169">
        <v>63</v>
      </c>
      <c r="C15" s="1169">
        <v>73.099999999999994</v>
      </c>
      <c r="D15" s="1169">
        <v>73.5</v>
      </c>
      <c r="E15" s="1169">
        <v>77.400000000000006</v>
      </c>
      <c r="F15" s="1169">
        <v>79.3</v>
      </c>
      <c r="G15" s="1169">
        <v>86.9</v>
      </c>
      <c r="H15" s="1169">
        <v>86.9</v>
      </c>
      <c r="I15" s="1169">
        <v>88.5</v>
      </c>
      <c r="J15" s="1169">
        <v>91.4</v>
      </c>
      <c r="K15" s="1169">
        <v>91.9</v>
      </c>
      <c r="L15" s="1169">
        <v>92.9</v>
      </c>
      <c r="M15" s="1169">
        <v>103.1</v>
      </c>
      <c r="N15" s="1169">
        <v>105.4</v>
      </c>
      <c r="O15" s="1169">
        <v>107.6</v>
      </c>
      <c r="P15" s="1169">
        <v>109.2</v>
      </c>
      <c r="Q15" s="1169">
        <v>112.3</v>
      </c>
      <c r="R15" s="1169">
        <v>117.5</v>
      </c>
      <c r="S15" s="1169">
        <v>125.4</v>
      </c>
      <c r="T15" s="1169">
        <v>132.19999999999999</v>
      </c>
      <c r="U15" s="1169">
        <v>139.1</v>
      </c>
      <c r="V15" s="1169">
        <v>149.80000000000001</v>
      </c>
      <c r="W15" s="1169">
        <v>164.6</v>
      </c>
      <c r="X15" s="1169">
        <v>167.7</v>
      </c>
      <c r="Y15" s="1169">
        <v>170.4</v>
      </c>
      <c r="Z15" s="1169">
        <v>174.7</v>
      </c>
      <c r="AA15" s="1169">
        <v>173.1</v>
      </c>
      <c r="AB15" s="1169">
        <v>180.1</v>
      </c>
      <c r="AC15" s="1169">
        <v>182.7</v>
      </c>
      <c r="AD15" s="1169">
        <v>185.5</v>
      </c>
      <c r="AE15" s="1169">
        <v>186.4</v>
      </c>
      <c r="AF15" s="1169">
        <v>191.7</v>
      </c>
      <c r="AG15" s="1169">
        <v>194.3</v>
      </c>
      <c r="AH15" s="1169">
        <v>197.7</v>
      </c>
      <c r="AI15" s="1169">
        <v>199</v>
      </c>
      <c r="AJ15" s="1169">
        <v>207.1</v>
      </c>
      <c r="AK15" s="1169">
        <v>209.9</v>
      </c>
      <c r="AL15" s="1169">
        <v>214.9</v>
      </c>
      <c r="AM15" s="1169">
        <v>219.2</v>
      </c>
      <c r="AN15" s="1169">
        <v>234.6</v>
      </c>
      <c r="AO15" s="1169">
        <v>240.7</v>
      </c>
      <c r="AP15" s="1169">
        <v>251.2</v>
      </c>
      <c r="AQ15" s="1169">
        <v>256.2</v>
      </c>
      <c r="AR15" s="1169">
        <v>287.89999999999998</v>
      </c>
      <c r="AS15" s="1169">
        <v>290.7</v>
      </c>
      <c r="AT15" s="1169">
        <v>296.10000000000002</v>
      </c>
      <c r="AU15" s="1169">
        <v>299</v>
      </c>
      <c r="AV15" s="1169">
        <v>317</v>
      </c>
      <c r="AW15" s="1169">
        <v>319.2</v>
      </c>
      <c r="AX15" s="1169">
        <v>324.3</v>
      </c>
      <c r="AY15" s="1169">
        <v>333.2</v>
      </c>
      <c r="AZ15" s="1169">
        <v>349.7</v>
      </c>
      <c r="BA15" s="1169">
        <v>365.2</v>
      </c>
      <c r="BB15" s="1169">
        <v>368</v>
      </c>
      <c r="BC15" s="1169">
        <v>373.7</v>
      </c>
      <c r="BD15" s="1169">
        <v>368.5</v>
      </c>
      <c r="BE15" s="1169">
        <v>371.8</v>
      </c>
      <c r="BF15" s="1169">
        <v>376.3</v>
      </c>
      <c r="BG15" s="1169">
        <v>379</v>
      </c>
      <c r="BH15" s="1169">
        <v>380.4</v>
      </c>
      <c r="BI15" s="1169">
        <v>387.9</v>
      </c>
      <c r="BJ15" s="1169">
        <v>398.1</v>
      </c>
      <c r="BK15" s="1169">
        <v>400.5</v>
      </c>
      <c r="BL15" s="1169">
        <v>405.6</v>
      </c>
      <c r="BM15" s="1169">
        <v>408.3</v>
      </c>
      <c r="BN15" s="1169">
        <v>419.9</v>
      </c>
      <c r="BO15" s="1169">
        <v>425.6</v>
      </c>
      <c r="BP15" s="1169">
        <v>433.1</v>
      </c>
      <c r="BQ15" s="1169">
        <v>435.8</v>
      </c>
      <c r="BR15" s="1169">
        <v>441.9</v>
      </c>
      <c r="BS15" s="1169">
        <v>447.5</v>
      </c>
      <c r="BT15" s="1169">
        <v>449.4</v>
      </c>
      <c r="BU15" s="1169">
        <v>452.8</v>
      </c>
      <c r="BV15" s="1169">
        <v>470.3</v>
      </c>
      <c r="BW15" s="1169">
        <v>473.4</v>
      </c>
      <c r="BX15" s="1169">
        <v>478.8</v>
      </c>
      <c r="BY15" s="1169">
        <v>484.9</v>
      </c>
      <c r="BZ15" s="1169">
        <v>508.2</v>
      </c>
      <c r="CA15" s="1169">
        <v>515.70000000000005</v>
      </c>
      <c r="CB15" s="1169">
        <v>524.70000000000005</v>
      </c>
      <c r="CC15" s="1169">
        <v>535.79999999999995</v>
      </c>
      <c r="CD15" s="1169">
        <v>556.20000000000005</v>
      </c>
      <c r="CE15" s="1169">
        <v>567.5</v>
      </c>
      <c r="CF15" s="1169">
        <v>578.1</v>
      </c>
      <c r="CG15" s="1169">
        <v>596.79999999999995</v>
      </c>
      <c r="CH15" s="1169">
        <v>622.5</v>
      </c>
      <c r="CI15" s="1169">
        <v>643.5</v>
      </c>
      <c r="CJ15" s="1169">
        <v>653.79999999999995</v>
      </c>
      <c r="CK15" s="1169">
        <v>682.3</v>
      </c>
      <c r="CL15" s="1169">
        <v>710.5</v>
      </c>
      <c r="CM15" s="1169">
        <v>729.1</v>
      </c>
      <c r="CN15" s="1169">
        <v>741.3</v>
      </c>
      <c r="CO15" s="1169">
        <v>746</v>
      </c>
      <c r="CP15" s="1169">
        <v>766.5</v>
      </c>
      <c r="CQ15" s="1169">
        <v>771.7</v>
      </c>
      <c r="CR15" s="1169">
        <v>786.3</v>
      </c>
      <c r="CS15" s="1169">
        <v>791.3</v>
      </c>
      <c r="CT15" s="1169">
        <v>805.3</v>
      </c>
      <c r="CU15" s="1169">
        <v>810.1</v>
      </c>
      <c r="CV15" s="1169">
        <v>813.6</v>
      </c>
      <c r="CW15" s="1169">
        <v>833.8</v>
      </c>
      <c r="CX15" s="1169">
        <v>857.9</v>
      </c>
      <c r="CY15" s="1169">
        <v>865.6</v>
      </c>
      <c r="CZ15" s="1169">
        <v>870.7</v>
      </c>
      <c r="DA15" s="1169">
        <v>864.6</v>
      </c>
      <c r="DB15" s="1169">
        <v>893.2</v>
      </c>
      <c r="DC15" s="1169">
        <v>912.9</v>
      </c>
      <c r="DD15" s="1169">
        <v>908.5</v>
      </c>
      <c r="DE15" s="1169">
        <v>910.7</v>
      </c>
      <c r="DF15" s="1169">
        <v>930.5</v>
      </c>
      <c r="DG15" s="1169">
        <v>931.3</v>
      </c>
      <c r="DH15" s="1169">
        <v>937.2</v>
      </c>
      <c r="DI15" s="1169">
        <v>942.7</v>
      </c>
      <c r="DJ15" s="1169">
        <v>951.8</v>
      </c>
      <c r="DK15" s="1169">
        <v>956</v>
      </c>
      <c r="DL15" s="1169">
        <v>957.4</v>
      </c>
      <c r="DM15" s="1169">
        <v>966.4</v>
      </c>
      <c r="DN15" s="1169">
        <v>983.4</v>
      </c>
      <c r="DO15" s="1169">
        <v>985</v>
      </c>
      <c r="DP15" s="1169">
        <v>996.1</v>
      </c>
      <c r="DQ15" s="1169">
        <v>1004.3</v>
      </c>
      <c r="DR15" s="1169">
        <v>1016.9</v>
      </c>
      <c r="DS15" s="1169">
        <v>1042.3</v>
      </c>
      <c r="DT15" s="1169">
        <v>1054.7</v>
      </c>
      <c r="DU15" s="1169">
        <v>1065.5999999999999</v>
      </c>
      <c r="DV15" s="1169">
        <v>1107.8</v>
      </c>
      <c r="DW15" s="1169">
        <v>1139.0999999999999</v>
      </c>
      <c r="DX15" s="1169">
        <v>1145.2</v>
      </c>
      <c r="DY15" s="1169">
        <v>1191.2</v>
      </c>
      <c r="DZ15" s="1169">
        <v>1221</v>
      </c>
      <c r="EA15" s="1169">
        <v>1247.0999999999999</v>
      </c>
      <c r="EB15" s="1169">
        <v>1259.9000000000001</v>
      </c>
      <c r="EC15" s="1169">
        <v>1276.2</v>
      </c>
      <c r="ED15" s="1169">
        <v>1294.5999999999999</v>
      </c>
      <c r="EE15" s="1169">
        <v>1312.6</v>
      </c>
      <c r="EF15" s="1169">
        <v>1335.5</v>
      </c>
      <c r="EG15" s="1169">
        <v>1341.2</v>
      </c>
      <c r="EH15" s="1169">
        <v>1379.6</v>
      </c>
      <c r="EI15" s="1169">
        <v>1400.6</v>
      </c>
      <c r="EJ15" s="1169">
        <v>1409.8</v>
      </c>
      <c r="EK15" s="1169">
        <v>1427.9</v>
      </c>
      <c r="EL15" s="1169">
        <v>1464.4</v>
      </c>
      <c r="EM15" s="1169">
        <v>1486</v>
      </c>
      <c r="EN15" s="1169">
        <v>1501</v>
      </c>
      <c r="EO15" s="1169">
        <v>1512.3</v>
      </c>
      <c r="EP15" s="1169">
        <v>1566.7</v>
      </c>
      <c r="EQ15" s="1169">
        <v>1583.2</v>
      </c>
      <c r="ER15" s="1169">
        <v>1608.5</v>
      </c>
      <c r="ES15" s="1169">
        <v>1613.8</v>
      </c>
      <c r="ET15" s="1169">
        <v>1680.2</v>
      </c>
      <c r="EU15" s="1169">
        <v>1680.4</v>
      </c>
      <c r="EV15" s="1169">
        <v>1700.2</v>
      </c>
      <c r="EW15" s="1169">
        <v>1728.6</v>
      </c>
      <c r="EX15" s="1169">
        <v>1768.2</v>
      </c>
      <c r="EY15" s="1169">
        <v>2113</v>
      </c>
      <c r="EZ15" s="1169">
        <v>1905.3</v>
      </c>
      <c r="FA15" s="1169">
        <v>1890.8</v>
      </c>
      <c r="FB15" s="1169">
        <v>2001.9</v>
      </c>
      <c r="FC15" s="1169">
        <v>2140</v>
      </c>
      <c r="FD15" s="1169">
        <v>2136.9</v>
      </c>
      <c r="FE15" s="1169">
        <v>2152.1</v>
      </c>
      <c r="FF15" s="1169">
        <v>2262.1999999999998</v>
      </c>
      <c r="FG15" s="1169">
        <v>2268.6999999999998</v>
      </c>
      <c r="FH15" s="1169">
        <v>2292</v>
      </c>
      <c r="FI15" s="1169">
        <v>2302.6999999999998</v>
      </c>
      <c r="FJ15" s="1169">
        <v>2313</v>
      </c>
      <c r="FK15" s="1169">
        <v>2312.1</v>
      </c>
      <c r="FL15" s="1169">
        <v>2303.1999999999998</v>
      </c>
      <c r="FM15" s="1169">
        <v>2312.1999999999998</v>
      </c>
      <c r="FN15" s="1169">
        <v>2296.8000000000002</v>
      </c>
      <c r="FO15" s="1169">
        <v>2321.8000000000002</v>
      </c>
      <c r="FP15" s="1169">
        <v>2325.6</v>
      </c>
      <c r="FQ15" s="1169">
        <v>2346.1</v>
      </c>
      <c r="FR15" s="1169">
        <v>2365.6999999999998</v>
      </c>
      <c r="FS15" s="1169">
        <v>2378.3000000000002</v>
      </c>
      <c r="FT15" s="1169">
        <v>2396</v>
      </c>
      <c r="FU15" s="1169">
        <v>2403.6999999999998</v>
      </c>
      <c r="FV15" s="1169">
        <v>2433.1999999999998</v>
      </c>
      <c r="FW15" s="1169">
        <v>2484.5</v>
      </c>
      <c r="FX15" s="1169">
        <v>2524.6</v>
      </c>
      <c r="FY15" s="1169">
        <v>2552.1</v>
      </c>
      <c r="FZ15" s="1169">
        <v>2597.6999999999998</v>
      </c>
      <c r="GA15" s="1169">
        <v>2633.9</v>
      </c>
      <c r="GB15" s="1169">
        <v>2647.8</v>
      </c>
      <c r="GC15" s="1169">
        <v>2661.2</v>
      </c>
      <c r="GD15" s="1169">
        <v>2686.2</v>
      </c>
      <c r="GE15" s="1169">
        <v>2706.5</v>
      </c>
      <c r="GF15" s="1169">
        <v>2726.3</v>
      </c>
      <c r="GG15" s="1169">
        <v>2750.1</v>
      </c>
      <c r="GH15" s="1169">
        <v>2779.6</v>
      </c>
      <c r="GI15" s="1169">
        <v>2790</v>
      </c>
      <c r="GJ15" s="1169">
        <v>2823.8</v>
      </c>
      <c r="GK15" s="1169">
        <v>2837</v>
      </c>
      <c r="GL15" s="1169">
        <v>2892.6</v>
      </c>
      <c r="GM15" s="1169">
        <v>2918.5</v>
      </c>
      <c r="GN15" s="1169">
        <v>2939.4</v>
      </c>
      <c r="GO15" s="1169">
        <v>2954</v>
      </c>
      <c r="GP15" s="1169">
        <v>3039.6</v>
      </c>
      <c r="GQ15" s="1169">
        <v>3074.1</v>
      </c>
      <c r="GR15" s="1169">
        <v>3101</v>
      </c>
      <c r="GS15" s="1169">
        <v>3117.9</v>
      </c>
      <c r="GT15" s="1169">
        <v>3173.8</v>
      </c>
      <c r="GU15" s="1169">
        <v>5570.5</v>
      </c>
      <c r="GV15" s="1169">
        <v>4310.5</v>
      </c>
      <c r="GW15" s="1169">
        <v>3670.2</v>
      </c>
      <c r="GX15" s="1169">
        <v>5920.6</v>
      </c>
      <c r="GY15" s="1169">
        <v>4257.8</v>
      </c>
      <c r="GZ15" s="1169">
        <v>4069.6</v>
      </c>
      <c r="HA15" s="1169">
        <v>3875.5</v>
      </c>
    </row>
    <row r="16" spans="1:209" x14ac:dyDescent="0.35">
      <c r="A16" s="1169" t="s">
        <v>856</v>
      </c>
      <c r="B16" s="1169">
        <v>1.2</v>
      </c>
      <c r="C16" s="1169">
        <v>1.3</v>
      </c>
      <c r="D16" s="1169">
        <v>1.3</v>
      </c>
      <c r="E16" s="1169">
        <v>1.3</v>
      </c>
      <c r="F16" s="1169">
        <v>1.4</v>
      </c>
      <c r="G16" s="1169">
        <v>1.4</v>
      </c>
      <c r="H16" s="1169">
        <v>1.5</v>
      </c>
      <c r="I16" s="1169">
        <v>1.5</v>
      </c>
      <c r="J16" s="1169">
        <v>1.7</v>
      </c>
      <c r="K16" s="1169">
        <v>1.8</v>
      </c>
      <c r="L16" s="1169">
        <v>1.8</v>
      </c>
      <c r="M16" s="1169">
        <v>1.9</v>
      </c>
      <c r="N16" s="1169">
        <v>1.8</v>
      </c>
      <c r="O16" s="1169">
        <v>1.8</v>
      </c>
      <c r="P16" s="1169">
        <v>1.8</v>
      </c>
      <c r="Q16" s="1169">
        <v>1.9</v>
      </c>
      <c r="R16" s="1169">
        <v>1.9</v>
      </c>
      <c r="S16" s="1169">
        <v>2</v>
      </c>
      <c r="T16" s="1169">
        <v>2.1</v>
      </c>
      <c r="U16" s="1169">
        <v>2.2000000000000002</v>
      </c>
      <c r="V16" s="1169">
        <v>2.2999999999999998</v>
      </c>
      <c r="W16" s="1169">
        <v>2.4</v>
      </c>
      <c r="X16" s="1169">
        <v>2.6</v>
      </c>
      <c r="Y16" s="1169">
        <v>2.7</v>
      </c>
      <c r="Z16" s="1169">
        <v>2.8</v>
      </c>
      <c r="AA16" s="1169">
        <v>3</v>
      </c>
      <c r="AB16" s="1169">
        <v>3.1</v>
      </c>
      <c r="AC16" s="1169">
        <v>3.2</v>
      </c>
      <c r="AD16" s="1169">
        <v>3.3</v>
      </c>
      <c r="AE16" s="1169">
        <v>3.4</v>
      </c>
      <c r="AF16" s="1169">
        <v>3.5</v>
      </c>
      <c r="AG16" s="1169">
        <v>3.6</v>
      </c>
      <c r="AH16" s="1169">
        <v>3.7</v>
      </c>
      <c r="AI16" s="1169">
        <v>3.8</v>
      </c>
      <c r="AJ16" s="1169">
        <v>3.9</v>
      </c>
      <c r="AK16" s="1169">
        <v>4</v>
      </c>
      <c r="AL16" s="1169">
        <v>4.0999999999999996</v>
      </c>
      <c r="AM16" s="1169">
        <v>4.3</v>
      </c>
      <c r="AN16" s="1169">
        <v>4.4000000000000004</v>
      </c>
      <c r="AO16" s="1169">
        <v>4.5</v>
      </c>
      <c r="AP16" s="1169">
        <v>4.5999999999999996</v>
      </c>
      <c r="AQ16" s="1169">
        <v>4.8</v>
      </c>
      <c r="AR16" s="1169">
        <v>5</v>
      </c>
      <c r="AS16" s="1169">
        <v>5.3</v>
      </c>
      <c r="AT16" s="1169">
        <v>5.6</v>
      </c>
      <c r="AU16" s="1169">
        <v>5.9</v>
      </c>
      <c r="AV16" s="1169">
        <v>6.1</v>
      </c>
      <c r="AW16" s="1169">
        <v>6.3</v>
      </c>
      <c r="AX16" s="1169">
        <v>6.7</v>
      </c>
      <c r="AY16" s="1169">
        <v>6.9</v>
      </c>
      <c r="AZ16" s="1169">
        <v>7.2</v>
      </c>
      <c r="BA16" s="1169">
        <v>7.5</v>
      </c>
      <c r="BB16" s="1169">
        <v>7.7</v>
      </c>
      <c r="BC16" s="1169">
        <v>8</v>
      </c>
      <c r="BD16" s="1169">
        <v>8.3000000000000007</v>
      </c>
      <c r="BE16" s="1169">
        <v>8.5</v>
      </c>
      <c r="BF16" s="1169">
        <v>8.8000000000000007</v>
      </c>
      <c r="BG16" s="1169">
        <v>9.1</v>
      </c>
      <c r="BH16" s="1169">
        <v>9.3000000000000007</v>
      </c>
      <c r="BI16" s="1169">
        <v>9.5</v>
      </c>
      <c r="BJ16" s="1169">
        <v>9.9</v>
      </c>
      <c r="BK16" s="1169">
        <v>10.199999999999999</v>
      </c>
      <c r="BL16" s="1169">
        <v>10.6</v>
      </c>
      <c r="BM16" s="1169">
        <v>11</v>
      </c>
      <c r="BN16" s="1169">
        <v>11.3</v>
      </c>
      <c r="BO16" s="1169">
        <v>11.7</v>
      </c>
      <c r="BP16" s="1169">
        <v>12.1</v>
      </c>
      <c r="BQ16" s="1169">
        <v>12.7</v>
      </c>
      <c r="BR16" s="1169">
        <v>12.7</v>
      </c>
      <c r="BS16" s="1169">
        <v>12.9</v>
      </c>
      <c r="BT16" s="1169">
        <v>13.5</v>
      </c>
      <c r="BU16" s="1169">
        <v>13.7</v>
      </c>
      <c r="BV16" s="1169">
        <v>14.2</v>
      </c>
      <c r="BW16" s="1169">
        <v>14.8</v>
      </c>
      <c r="BX16" s="1169">
        <v>15.1</v>
      </c>
      <c r="BY16" s="1169">
        <v>15.4</v>
      </c>
      <c r="BZ16" s="1169">
        <v>15.9</v>
      </c>
      <c r="CA16" s="1169">
        <v>16.3</v>
      </c>
      <c r="CB16" s="1169">
        <v>16.7</v>
      </c>
      <c r="CC16" s="1169">
        <v>17.100000000000001</v>
      </c>
      <c r="CD16" s="1169">
        <v>17.3</v>
      </c>
      <c r="CE16" s="1169">
        <v>17.899999999999999</v>
      </c>
      <c r="CF16" s="1169">
        <v>18.7</v>
      </c>
      <c r="CG16" s="1169">
        <v>19.600000000000001</v>
      </c>
      <c r="CH16" s="1169">
        <v>20.9</v>
      </c>
      <c r="CI16" s="1169">
        <v>22.1</v>
      </c>
      <c r="CJ16" s="1169">
        <v>23.1</v>
      </c>
      <c r="CK16" s="1169">
        <v>24.2</v>
      </c>
      <c r="CL16" s="1169">
        <v>25</v>
      </c>
      <c r="CM16" s="1169">
        <v>25.8</v>
      </c>
      <c r="CN16" s="1169">
        <v>26.4</v>
      </c>
      <c r="CO16" s="1169">
        <v>26.8</v>
      </c>
      <c r="CP16" s="1169">
        <v>28</v>
      </c>
      <c r="CQ16" s="1169">
        <v>28.3</v>
      </c>
      <c r="CR16" s="1169">
        <v>28.7</v>
      </c>
      <c r="CS16" s="1169">
        <v>29.2</v>
      </c>
      <c r="CT16" s="1169">
        <v>30.1</v>
      </c>
      <c r="CU16" s="1169">
        <v>30.7</v>
      </c>
      <c r="CV16" s="1169">
        <v>31.2</v>
      </c>
      <c r="CW16" s="1169">
        <v>31.6</v>
      </c>
      <c r="CX16" s="1169">
        <v>31.9</v>
      </c>
      <c r="CY16" s="1169">
        <v>32.299999999999997</v>
      </c>
      <c r="CZ16" s="1169">
        <v>32.9</v>
      </c>
      <c r="DA16" s="1169">
        <v>33.5</v>
      </c>
      <c r="DB16" s="1169">
        <v>34</v>
      </c>
      <c r="DC16" s="1169">
        <v>34.6</v>
      </c>
      <c r="DD16" s="1169">
        <v>35.200000000000003</v>
      </c>
      <c r="DE16" s="1169">
        <v>35.799999999999997</v>
      </c>
      <c r="DF16" s="1169">
        <v>37.200000000000003</v>
      </c>
      <c r="DG16" s="1169">
        <v>38</v>
      </c>
      <c r="DH16" s="1169">
        <v>38.6</v>
      </c>
      <c r="DI16" s="1169">
        <v>39</v>
      </c>
      <c r="DJ16" s="1169">
        <v>39.1</v>
      </c>
      <c r="DK16" s="1169">
        <v>39.299999999999997</v>
      </c>
      <c r="DL16" s="1169">
        <v>40</v>
      </c>
      <c r="DM16" s="1169">
        <v>41.1</v>
      </c>
      <c r="DN16" s="1169">
        <v>42.3</v>
      </c>
      <c r="DO16" s="1169">
        <v>43.5</v>
      </c>
      <c r="DP16" s="1169">
        <v>44.7</v>
      </c>
      <c r="DQ16" s="1169">
        <v>45.8</v>
      </c>
      <c r="DR16" s="1169">
        <v>46.9</v>
      </c>
      <c r="DS16" s="1169">
        <v>48.1</v>
      </c>
      <c r="DT16" s="1169">
        <v>49.3</v>
      </c>
      <c r="DU16" s="1169">
        <v>50.6</v>
      </c>
      <c r="DV16" s="1169">
        <v>51.5</v>
      </c>
      <c r="DW16" s="1169">
        <v>52.5</v>
      </c>
      <c r="DX16" s="1169">
        <v>53.4</v>
      </c>
      <c r="DY16" s="1169">
        <v>54.3</v>
      </c>
      <c r="DZ16" s="1169">
        <v>55.2</v>
      </c>
      <c r="EA16" s="1169">
        <v>56</v>
      </c>
      <c r="EB16" s="1169">
        <v>56.8</v>
      </c>
      <c r="EC16" s="1169">
        <v>57.6</v>
      </c>
      <c r="ED16" s="1169">
        <v>58.5</v>
      </c>
      <c r="EE16" s="1169">
        <v>59.7</v>
      </c>
      <c r="EF16" s="1169">
        <v>61.1</v>
      </c>
      <c r="EG16" s="1169">
        <v>62.7</v>
      </c>
      <c r="EH16" s="1169">
        <v>64.8</v>
      </c>
      <c r="EI16" s="1169">
        <v>66.400000000000006</v>
      </c>
      <c r="EJ16" s="1169">
        <v>67.7</v>
      </c>
      <c r="EK16" s="1169">
        <v>68.7</v>
      </c>
      <c r="EL16" s="1169">
        <v>70.3</v>
      </c>
      <c r="EM16" s="1169">
        <v>71.2</v>
      </c>
      <c r="EN16" s="1169">
        <v>72.099999999999994</v>
      </c>
      <c r="EO16" s="1169">
        <v>73</v>
      </c>
      <c r="EP16" s="1169">
        <v>74.400000000000006</v>
      </c>
      <c r="EQ16" s="1169">
        <v>74.900000000000006</v>
      </c>
      <c r="ER16" s="1169">
        <v>75.5</v>
      </c>
      <c r="ES16" s="1169">
        <v>76.3</v>
      </c>
      <c r="ET16" s="1169">
        <v>78</v>
      </c>
      <c r="EU16" s="1169">
        <v>78.8</v>
      </c>
      <c r="EV16" s="1169">
        <v>79.599999999999994</v>
      </c>
      <c r="EW16" s="1169">
        <v>80.3</v>
      </c>
      <c r="EX16" s="1169">
        <v>80.5</v>
      </c>
      <c r="EY16" s="1169">
        <v>81</v>
      </c>
      <c r="EZ16" s="1169">
        <v>81.2</v>
      </c>
      <c r="FA16" s="1169">
        <v>81.2</v>
      </c>
      <c r="FB16" s="1169">
        <v>80.599999999999994</v>
      </c>
      <c r="FC16" s="1169">
        <v>80.3</v>
      </c>
      <c r="FD16" s="1169">
        <v>79.900000000000006</v>
      </c>
      <c r="FE16" s="1169">
        <v>79.5</v>
      </c>
      <c r="FF16" s="1169">
        <v>79.5</v>
      </c>
      <c r="FG16" s="1169">
        <v>79.3</v>
      </c>
      <c r="FH16" s="1169">
        <v>79.3</v>
      </c>
      <c r="FI16" s="1169">
        <v>79.5</v>
      </c>
      <c r="FJ16" s="1169">
        <v>80.400000000000006</v>
      </c>
      <c r="FK16" s="1169">
        <v>81.5</v>
      </c>
      <c r="FL16" s="1169">
        <v>82.7</v>
      </c>
      <c r="FM16" s="1169">
        <v>84.1</v>
      </c>
      <c r="FN16" s="1169">
        <v>85.2</v>
      </c>
      <c r="FO16" s="1169">
        <v>86.3</v>
      </c>
      <c r="FP16" s="1169">
        <v>86.9</v>
      </c>
      <c r="FQ16" s="1169">
        <v>86.8</v>
      </c>
      <c r="FR16" s="1169">
        <v>86.6</v>
      </c>
      <c r="FS16" s="1169">
        <v>86.8</v>
      </c>
      <c r="FT16" s="1169">
        <v>87.5</v>
      </c>
      <c r="FU16" s="1169">
        <v>88.9</v>
      </c>
      <c r="FV16" s="1169">
        <v>90.9</v>
      </c>
      <c r="FW16" s="1169">
        <v>92.6</v>
      </c>
      <c r="FX16" s="1169">
        <v>94.2</v>
      </c>
      <c r="FY16" s="1169">
        <v>95.7</v>
      </c>
      <c r="FZ16" s="1169">
        <v>99.4</v>
      </c>
      <c r="GA16" s="1169">
        <v>100.7</v>
      </c>
      <c r="GB16" s="1169">
        <v>101.6</v>
      </c>
      <c r="GC16" s="1169">
        <v>101.9</v>
      </c>
      <c r="GD16" s="1169">
        <v>103</v>
      </c>
      <c r="GE16" s="1169">
        <v>103.1</v>
      </c>
      <c r="GF16" s="1169">
        <v>103.4</v>
      </c>
      <c r="GG16" s="1169">
        <v>104</v>
      </c>
      <c r="GH16" s="1169">
        <v>105.8</v>
      </c>
      <c r="GI16" s="1169">
        <v>106.8</v>
      </c>
      <c r="GJ16" s="1169">
        <v>108</v>
      </c>
      <c r="GK16" s="1169">
        <v>109.3</v>
      </c>
      <c r="GL16" s="1169">
        <v>111.5</v>
      </c>
      <c r="GM16" s="1169">
        <v>113.1</v>
      </c>
      <c r="GN16" s="1169">
        <v>114.7</v>
      </c>
      <c r="GO16" s="1169">
        <v>116.4</v>
      </c>
      <c r="GP16" s="1169">
        <v>117.6</v>
      </c>
      <c r="GQ16" s="1169">
        <v>118.7</v>
      </c>
      <c r="GR16" s="1169">
        <v>119.1</v>
      </c>
      <c r="GS16" s="1169">
        <v>118.8</v>
      </c>
      <c r="GT16" s="1169">
        <v>114.9</v>
      </c>
      <c r="GU16" s="1169">
        <v>114.4</v>
      </c>
      <c r="GV16" s="1169">
        <v>114.3</v>
      </c>
      <c r="GW16" s="1169">
        <v>114.8</v>
      </c>
      <c r="GX16" s="1169">
        <v>115.3</v>
      </c>
      <c r="GY16" s="1169">
        <v>116</v>
      </c>
      <c r="GZ16" s="1169">
        <v>116.8</v>
      </c>
      <c r="HA16" s="1169">
        <v>117.5</v>
      </c>
    </row>
    <row r="17" spans="1:209" x14ac:dyDescent="0.35">
      <c r="A17" s="1169" t="s">
        <v>857</v>
      </c>
      <c r="B17" s="1169">
        <v>104.6</v>
      </c>
      <c r="C17" s="1169">
        <v>105.5</v>
      </c>
      <c r="D17" s="1169">
        <v>100.7</v>
      </c>
      <c r="E17" s="1169">
        <v>101.5</v>
      </c>
      <c r="F17" s="1169">
        <v>98.3</v>
      </c>
      <c r="G17" s="1169">
        <v>100.7</v>
      </c>
      <c r="H17" s="1169">
        <v>102.3</v>
      </c>
      <c r="I17" s="1169">
        <v>105.5</v>
      </c>
      <c r="J17" s="1169">
        <v>119.8</v>
      </c>
      <c r="K17" s="1169">
        <v>123.4</v>
      </c>
      <c r="L17" s="1169">
        <v>124.3</v>
      </c>
      <c r="M17" s="1169">
        <v>127.1</v>
      </c>
      <c r="N17" s="1169">
        <v>126.4</v>
      </c>
      <c r="O17" s="1169">
        <v>129.19999999999999</v>
      </c>
      <c r="P17" s="1169">
        <v>134.1</v>
      </c>
      <c r="Q17" s="1169">
        <v>140</v>
      </c>
      <c r="R17" s="1169">
        <v>142.80000000000001</v>
      </c>
      <c r="S17" s="1169">
        <v>148.9</v>
      </c>
      <c r="T17" s="1169">
        <v>154.9</v>
      </c>
      <c r="U17" s="1169">
        <v>157.6</v>
      </c>
      <c r="V17" s="1169">
        <v>158</v>
      </c>
      <c r="W17" s="1169">
        <v>121.1</v>
      </c>
      <c r="X17" s="1169">
        <v>152.80000000000001</v>
      </c>
      <c r="Y17" s="1169">
        <v>158.5</v>
      </c>
      <c r="Z17" s="1169">
        <v>162.5</v>
      </c>
      <c r="AA17" s="1169">
        <v>169.3</v>
      </c>
      <c r="AB17" s="1169">
        <v>176.1</v>
      </c>
      <c r="AC17" s="1169">
        <v>182.7</v>
      </c>
      <c r="AD17" s="1169">
        <v>188.8</v>
      </c>
      <c r="AE17" s="1169">
        <v>195.7</v>
      </c>
      <c r="AF17" s="1169">
        <v>198.6</v>
      </c>
      <c r="AG17" s="1169">
        <v>208.5</v>
      </c>
      <c r="AH17" s="1169">
        <v>212</v>
      </c>
      <c r="AI17" s="1169">
        <v>223.1</v>
      </c>
      <c r="AJ17" s="1169">
        <v>236.3</v>
      </c>
      <c r="AK17" s="1169">
        <v>247.2</v>
      </c>
      <c r="AL17" s="1169">
        <v>253.6</v>
      </c>
      <c r="AM17" s="1169">
        <v>262</v>
      </c>
      <c r="AN17" s="1169">
        <v>274.8</v>
      </c>
      <c r="AO17" s="1169">
        <v>285.2</v>
      </c>
      <c r="AP17" s="1169">
        <v>284.8</v>
      </c>
      <c r="AQ17" s="1169">
        <v>292.2</v>
      </c>
      <c r="AR17" s="1169">
        <v>302.2</v>
      </c>
      <c r="AS17" s="1169">
        <v>318.89999999999998</v>
      </c>
      <c r="AT17" s="1169">
        <v>330.9</v>
      </c>
      <c r="AU17" s="1169">
        <v>342.7</v>
      </c>
      <c r="AV17" s="1169">
        <v>356.9</v>
      </c>
      <c r="AW17" s="1169">
        <v>352.7</v>
      </c>
      <c r="AX17" s="1169">
        <v>352.5</v>
      </c>
      <c r="AY17" s="1169">
        <v>359.7</v>
      </c>
      <c r="AZ17" s="1169">
        <v>350.1</v>
      </c>
      <c r="BA17" s="1169">
        <v>356.6</v>
      </c>
      <c r="BB17" s="1169">
        <v>350.9</v>
      </c>
      <c r="BC17" s="1169">
        <v>359.6</v>
      </c>
      <c r="BD17" s="1169">
        <v>345.4</v>
      </c>
      <c r="BE17" s="1169">
        <v>355.7</v>
      </c>
      <c r="BF17" s="1169">
        <v>361.2</v>
      </c>
      <c r="BG17" s="1169">
        <v>370.4</v>
      </c>
      <c r="BH17" s="1169">
        <v>384.1</v>
      </c>
      <c r="BI17" s="1169">
        <v>395.9</v>
      </c>
      <c r="BJ17" s="1169">
        <v>432.3</v>
      </c>
      <c r="BK17" s="1169">
        <v>388.5</v>
      </c>
      <c r="BL17" s="1169">
        <v>421.5</v>
      </c>
      <c r="BM17" s="1169">
        <v>428.9</v>
      </c>
      <c r="BN17" s="1169">
        <v>426.3</v>
      </c>
      <c r="BO17" s="1169">
        <v>429.4</v>
      </c>
      <c r="BP17" s="1169">
        <v>439.5</v>
      </c>
      <c r="BQ17" s="1169">
        <v>456</v>
      </c>
      <c r="BR17" s="1169">
        <v>450.7</v>
      </c>
      <c r="BS17" s="1169">
        <v>511.7</v>
      </c>
      <c r="BT17" s="1169">
        <v>489</v>
      </c>
      <c r="BU17" s="1169">
        <v>507</v>
      </c>
      <c r="BV17" s="1169">
        <v>502.1</v>
      </c>
      <c r="BW17" s="1169">
        <v>497.8</v>
      </c>
      <c r="BX17" s="1169">
        <v>506.7</v>
      </c>
      <c r="BY17" s="1169">
        <v>517.20000000000005</v>
      </c>
      <c r="BZ17" s="1169">
        <v>552.9</v>
      </c>
      <c r="CA17" s="1169">
        <v>566.70000000000005</v>
      </c>
      <c r="CB17" s="1169">
        <v>571.6</v>
      </c>
      <c r="CC17" s="1169">
        <v>579.79999999999995</v>
      </c>
      <c r="CD17" s="1169">
        <v>582.5</v>
      </c>
      <c r="CE17" s="1169">
        <v>594.6</v>
      </c>
      <c r="CF17" s="1169">
        <v>600.70000000000005</v>
      </c>
      <c r="CG17" s="1169">
        <v>600.79999999999995</v>
      </c>
      <c r="CH17" s="1169">
        <v>580.79999999999995</v>
      </c>
      <c r="CI17" s="1169">
        <v>585.9</v>
      </c>
      <c r="CJ17" s="1169">
        <v>590.20000000000005</v>
      </c>
      <c r="CK17" s="1169">
        <v>598.70000000000005</v>
      </c>
      <c r="CL17" s="1169">
        <v>588.9</v>
      </c>
      <c r="CM17" s="1169">
        <v>607.20000000000005</v>
      </c>
      <c r="CN17" s="1169">
        <v>616.20000000000005</v>
      </c>
      <c r="CO17" s="1169">
        <v>638.9</v>
      </c>
      <c r="CP17" s="1169">
        <v>617</v>
      </c>
      <c r="CQ17" s="1169">
        <v>643.5</v>
      </c>
      <c r="CR17" s="1169">
        <v>659.2</v>
      </c>
      <c r="CS17" s="1169">
        <v>675.3</v>
      </c>
      <c r="CT17" s="1169">
        <v>673.7</v>
      </c>
      <c r="CU17" s="1169">
        <v>697.8</v>
      </c>
      <c r="CV17" s="1169">
        <v>695.4</v>
      </c>
      <c r="CW17" s="1169">
        <v>705.4</v>
      </c>
      <c r="CX17" s="1169">
        <v>724.6</v>
      </c>
      <c r="CY17" s="1169">
        <v>746.8</v>
      </c>
      <c r="CZ17" s="1169">
        <v>752.2</v>
      </c>
      <c r="DA17" s="1169">
        <v>770</v>
      </c>
      <c r="DB17" s="1169">
        <v>801.7</v>
      </c>
      <c r="DC17" s="1169">
        <v>839.6</v>
      </c>
      <c r="DD17" s="1169">
        <v>843.5</v>
      </c>
      <c r="DE17" s="1169">
        <v>863.5</v>
      </c>
      <c r="DF17" s="1169">
        <v>902.1</v>
      </c>
      <c r="DG17" s="1169">
        <v>916.2</v>
      </c>
      <c r="DH17" s="1169">
        <v>941.1</v>
      </c>
      <c r="DI17" s="1169">
        <v>967.8</v>
      </c>
      <c r="DJ17" s="1169">
        <v>996.1</v>
      </c>
      <c r="DK17" s="1169">
        <v>1022.4</v>
      </c>
      <c r="DL17" s="1169">
        <v>1043.2</v>
      </c>
      <c r="DM17" s="1169">
        <v>1068</v>
      </c>
      <c r="DN17" s="1169">
        <v>1077.9000000000001</v>
      </c>
      <c r="DO17" s="1169">
        <v>1095.2</v>
      </c>
      <c r="DP17" s="1169">
        <v>1120.5999999999999</v>
      </c>
      <c r="DQ17" s="1169">
        <v>1154</v>
      </c>
      <c r="DR17" s="1169">
        <v>1208.8</v>
      </c>
      <c r="DS17" s="1169">
        <v>1230.2</v>
      </c>
      <c r="DT17" s="1169">
        <v>1247.7</v>
      </c>
      <c r="DU17" s="1169">
        <v>1258.7</v>
      </c>
      <c r="DV17" s="1169">
        <v>1301.9000000000001</v>
      </c>
      <c r="DW17" s="1169">
        <v>1308.9000000000001</v>
      </c>
      <c r="DX17" s="1169">
        <v>1113.5999999999999</v>
      </c>
      <c r="DY17" s="1169">
        <v>1231.8</v>
      </c>
      <c r="DZ17" s="1169">
        <v>1075.2</v>
      </c>
      <c r="EA17" s="1169">
        <v>1051</v>
      </c>
      <c r="EB17" s="1169">
        <v>1044.0999999999999</v>
      </c>
      <c r="EC17" s="1169">
        <v>1038.4000000000001</v>
      </c>
      <c r="ED17" s="1169">
        <v>1021.3</v>
      </c>
      <c r="EE17" s="1169">
        <v>1020.8</v>
      </c>
      <c r="EF17" s="1169">
        <v>950.7</v>
      </c>
      <c r="EG17" s="1169">
        <v>1021.3</v>
      </c>
      <c r="EH17" s="1169">
        <v>1012.3</v>
      </c>
      <c r="EI17" s="1169">
        <v>1026.8</v>
      </c>
      <c r="EJ17" s="1169">
        <v>1064.4000000000001</v>
      </c>
      <c r="EK17" s="1169">
        <v>1091.5999999999999</v>
      </c>
      <c r="EL17" s="1169">
        <v>1172.3</v>
      </c>
      <c r="EM17" s="1169">
        <v>1196.3</v>
      </c>
      <c r="EN17" s="1169">
        <v>1225.5</v>
      </c>
      <c r="EO17" s="1169">
        <v>1255.8</v>
      </c>
      <c r="EP17" s="1169">
        <v>1320.5</v>
      </c>
      <c r="EQ17" s="1169">
        <v>1351.3</v>
      </c>
      <c r="ER17" s="1169">
        <v>1358.6</v>
      </c>
      <c r="ES17" s="1169">
        <v>1397.5</v>
      </c>
      <c r="ET17" s="1169">
        <v>1466.5</v>
      </c>
      <c r="EU17" s="1169">
        <v>1495.9</v>
      </c>
      <c r="EV17" s="1169">
        <v>1498.9</v>
      </c>
      <c r="EW17" s="1169">
        <v>1508.6</v>
      </c>
      <c r="EX17" s="1169">
        <v>1535.1</v>
      </c>
      <c r="EY17" s="1169">
        <v>1552.5</v>
      </c>
      <c r="EZ17" s="1169">
        <v>1497.5</v>
      </c>
      <c r="FA17" s="1169">
        <v>1444.9</v>
      </c>
      <c r="FB17" s="1169">
        <v>1202.4000000000001</v>
      </c>
      <c r="FC17" s="1169">
        <v>1131.0999999999999</v>
      </c>
      <c r="FD17" s="1169">
        <v>1135.3</v>
      </c>
      <c r="FE17" s="1169">
        <v>1140.7</v>
      </c>
      <c r="FF17" s="1169">
        <v>1191.8</v>
      </c>
      <c r="FG17" s="1169">
        <v>1213.2</v>
      </c>
      <c r="FH17" s="1169">
        <v>1256.3</v>
      </c>
      <c r="FI17" s="1169">
        <v>1289.0999999999999</v>
      </c>
      <c r="FJ17" s="1169">
        <v>1426.6</v>
      </c>
      <c r="FK17" s="1169">
        <v>1445.9</v>
      </c>
      <c r="FL17" s="1169">
        <v>1471.4</v>
      </c>
      <c r="FM17" s="1169">
        <v>1470.9</v>
      </c>
      <c r="FN17" s="1169">
        <v>1468.3</v>
      </c>
      <c r="FO17" s="1169">
        <v>1487.7</v>
      </c>
      <c r="FP17" s="1169">
        <v>1510</v>
      </c>
      <c r="FQ17" s="1169">
        <v>1572</v>
      </c>
      <c r="FR17" s="1169">
        <v>1650</v>
      </c>
      <c r="FS17" s="1169">
        <v>1682.5</v>
      </c>
      <c r="FT17" s="1169">
        <v>1674.9</v>
      </c>
      <c r="FU17" s="1169">
        <v>1698.1</v>
      </c>
      <c r="FV17" s="1169">
        <v>1744.8</v>
      </c>
      <c r="FW17" s="1169">
        <v>1758.4</v>
      </c>
      <c r="FX17" s="1169">
        <v>1798.6</v>
      </c>
      <c r="FY17" s="1169">
        <v>1836.5</v>
      </c>
      <c r="FZ17" s="1169">
        <v>1904.6</v>
      </c>
      <c r="GA17" s="1169">
        <v>1943</v>
      </c>
      <c r="GB17" s="1169">
        <v>1947.3</v>
      </c>
      <c r="GC17" s="1169">
        <v>1964.9</v>
      </c>
      <c r="GD17" s="1169">
        <v>1924.6</v>
      </c>
      <c r="GE17" s="1169">
        <v>1943.4</v>
      </c>
      <c r="GF17" s="1169">
        <v>1972</v>
      </c>
      <c r="GG17" s="1169">
        <v>1992.9</v>
      </c>
      <c r="GH17" s="1169">
        <v>2005</v>
      </c>
      <c r="GI17" s="1169">
        <v>2007.2</v>
      </c>
      <c r="GJ17" s="1169">
        <v>2056.1</v>
      </c>
      <c r="GK17" s="1169">
        <v>2127.6</v>
      </c>
      <c r="GL17" s="1169">
        <v>2076.1999999999998</v>
      </c>
      <c r="GM17" s="1169">
        <v>2049.8000000000002</v>
      </c>
      <c r="GN17" s="1169">
        <v>2091.3000000000002</v>
      </c>
      <c r="GO17" s="1169">
        <v>2087.6999999999998</v>
      </c>
      <c r="GP17" s="1169">
        <v>2169.3000000000002</v>
      </c>
      <c r="GQ17" s="1169">
        <v>2222.8000000000002</v>
      </c>
      <c r="GR17" s="1169">
        <v>2205.1999999999998</v>
      </c>
      <c r="GS17" s="1169">
        <v>2223.1999999999998</v>
      </c>
      <c r="GT17" s="1169">
        <v>2241.6</v>
      </c>
      <c r="GU17" s="1169">
        <v>2099</v>
      </c>
      <c r="GV17" s="1169">
        <v>2181.8000000000002</v>
      </c>
      <c r="GW17" s="1169">
        <v>2259.8000000000002</v>
      </c>
      <c r="GX17" s="1169">
        <v>2412.1</v>
      </c>
      <c r="GY17" s="1169">
        <v>2532.5</v>
      </c>
      <c r="GZ17" s="1169">
        <v>2641.1</v>
      </c>
      <c r="HA17" s="1169">
        <v>2744.9</v>
      </c>
    </row>
    <row r="18" spans="1:209" x14ac:dyDescent="0.35">
      <c r="A18" s="1169" t="s">
        <v>858</v>
      </c>
      <c r="B18" s="1169">
        <v>88.5</v>
      </c>
      <c r="C18" s="1169">
        <v>90.5</v>
      </c>
      <c r="D18" s="1169">
        <v>92.5</v>
      </c>
      <c r="E18" s="1169">
        <v>94.1</v>
      </c>
      <c r="F18" s="1169">
        <v>97.7</v>
      </c>
      <c r="G18" s="1169">
        <v>98.9</v>
      </c>
      <c r="H18" s="1169">
        <v>101.7</v>
      </c>
      <c r="I18" s="1169">
        <v>103.7</v>
      </c>
      <c r="J18" s="1169">
        <v>104.6</v>
      </c>
      <c r="K18" s="1169">
        <v>106.8</v>
      </c>
      <c r="L18" s="1169">
        <v>108.9</v>
      </c>
      <c r="M18" s="1169">
        <v>111.5</v>
      </c>
      <c r="N18" s="1169">
        <v>114.6</v>
      </c>
      <c r="O18" s="1169">
        <v>116.2</v>
      </c>
      <c r="P18" s="1169">
        <v>118.4</v>
      </c>
      <c r="Q18" s="1169">
        <v>119.7</v>
      </c>
      <c r="R18" s="1169">
        <v>120.8</v>
      </c>
      <c r="S18" s="1169">
        <v>124.1</v>
      </c>
      <c r="T18" s="1169">
        <v>127.1</v>
      </c>
      <c r="U18" s="1169">
        <v>127.7</v>
      </c>
      <c r="V18" s="1169">
        <v>128.80000000000001</v>
      </c>
      <c r="W18" s="1169">
        <v>133</v>
      </c>
      <c r="X18" s="1169">
        <v>138.19999999999999</v>
      </c>
      <c r="Y18" s="1169">
        <v>141.1</v>
      </c>
      <c r="Z18" s="1169">
        <v>141.69999999999999</v>
      </c>
      <c r="AA18" s="1169">
        <v>144.9</v>
      </c>
      <c r="AB18" s="1169">
        <v>147.69999999999999</v>
      </c>
      <c r="AC18" s="1169">
        <v>151.30000000000001</v>
      </c>
      <c r="AD18" s="1169">
        <v>154.80000000000001</v>
      </c>
      <c r="AE18" s="1169">
        <v>158</v>
      </c>
      <c r="AF18" s="1169">
        <v>161.5</v>
      </c>
      <c r="AG18" s="1169">
        <v>164.3</v>
      </c>
      <c r="AH18" s="1169">
        <v>166.9</v>
      </c>
      <c r="AI18" s="1169">
        <v>173.1</v>
      </c>
      <c r="AJ18" s="1169">
        <v>169.7</v>
      </c>
      <c r="AK18" s="1169">
        <v>173.9</v>
      </c>
      <c r="AL18" s="1169">
        <v>176.4</v>
      </c>
      <c r="AM18" s="1169">
        <v>178.5</v>
      </c>
      <c r="AN18" s="1169">
        <v>180.9</v>
      </c>
      <c r="AO18" s="1169">
        <v>184.6</v>
      </c>
      <c r="AP18" s="1169">
        <v>189.5</v>
      </c>
      <c r="AQ18" s="1169">
        <v>196.9</v>
      </c>
      <c r="AR18" s="1169">
        <v>204.3</v>
      </c>
      <c r="AS18" s="1169">
        <v>210.6</v>
      </c>
      <c r="AT18" s="1169">
        <v>230.8</v>
      </c>
      <c r="AU18" s="1169">
        <v>235.5</v>
      </c>
      <c r="AV18" s="1169">
        <v>237.5</v>
      </c>
      <c r="AW18" s="1169">
        <v>238.8</v>
      </c>
      <c r="AX18" s="1169">
        <v>237.4</v>
      </c>
      <c r="AY18" s="1169">
        <v>238.3</v>
      </c>
      <c r="AZ18" s="1169">
        <v>241.8</v>
      </c>
      <c r="BA18" s="1169">
        <v>246.3</v>
      </c>
      <c r="BB18" s="1169">
        <v>250.7</v>
      </c>
      <c r="BC18" s="1169">
        <v>261.2</v>
      </c>
      <c r="BD18" s="1169">
        <v>267.5</v>
      </c>
      <c r="BE18" s="1169">
        <v>273.7</v>
      </c>
      <c r="BF18" s="1169">
        <v>281.60000000000002</v>
      </c>
      <c r="BG18" s="1169">
        <v>287.7</v>
      </c>
      <c r="BH18" s="1169">
        <v>292.2</v>
      </c>
      <c r="BI18" s="1169">
        <v>297.5</v>
      </c>
      <c r="BJ18" s="1169">
        <v>301</v>
      </c>
      <c r="BK18" s="1169">
        <v>305.7</v>
      </c>
      <c r="BL18" s="1169">
        <v>311.89999999999998</v>
      </c>
      <c r="BM18" s="1169">
        <v>313.89999999999998</v>
      </c>
      <c r="BN18" s="1169">
        <v>317.5</v>
      </c>
      <c r="BO18" s="1169">
        <v>319.5</v>
      </c>
      <c r="BP18" s="1169">
        <v>326.2</v>
      </c>
      <c r="BQ18" s="1169">
        <v>330.4</v>
      </c>
      <c r="BR18" s="1169">
        <v>336</v>
      </c>
      <c r="BS18" s="1169">
        <v>344.4</v>
      </c>
      <c r="BT18" s="1169">
        <v>352.4</v>
      </c>
      <c r="BU18" s="1169">
        <v>357.4</v>
      </c>
      <c r="BV18" s="1169">
        <v>365.2</v>
      </c>
      <c r="BW18" s="1169">
        <v>372.5</v>
      </c>
      <c r="BX18" s="1169">
        <v>377.5</v>
      </c>
      <c r="BY18" s="1169">
        <v>382.6</v>
      </c>
      <c r="BZ18" s="1169">
        <v>391</v>
      </c>
      <c r="CA18" s="1169">
        <v>397.5</v>
      </c>
      <c r="CB18" s="1169">
        <v>403.9</v>
      </c>
      <c r="CC18" s="1169">
        <v>403</v>
      </c>
      <c r="CD18" s="1169">
        <v>419.5</v>
      </c>
      <c r="CE18" s="1169">
        <v>419.5</v>
      </c>
      <c r="CF18" s="1169">
        <v>426.8</v>
      </c>
      <c r="CG18" s="1169">
        <v>434.2</v>
      </c>
      <c r="CH18" s="1169">
        <v>444</v>
      </c>
      <c r="CI18" s="1169">
        <v>451.6</v>
      </c>
      <c r="CJ18" s="1169">
        <v>461.3</v>
      </c>
      <c r="CK18" s="1169">
        <v>471.5</v>
      </c>
      <c r="CL18" s="1169">
        <v>476.4</v>
      </c>
      <c r="CM18" s="1169">
        <v>481.2</v>
      </c>
      <c r="CN18" s="1169">
        <v>486</v>
      </c>
      <c r="CO18" s="1169">
        <v>489.9</v>
      </c>
      <c r="CP18" s="1169">
        <v>489.7</v>
      </c>
      <c r="CQ18" s="1169">
        <v>497.6</v>
      </c>
      <c r="CR18" s="1169">
        <v>504.9</v>
      </c>
      <c r="CS18" s="1169">
        <v>520.29999999999995</v>
      </c>
      <c r="CT18" s="1169">
        <v>531.5</v>
      </c>
      <c r="CU18" s="1169">
        <v>544.4</v>
      </c>
      <c r="CV18" s="1169">
        <v>550.5</v>
      </c>
      <c r="CW18" s="1169">
        <v>554.6</v>
      </c>
      <c r="CX18" s="1169">
        <v>555.29999999999995</v>
      </c>
      <c r="CY18" s="1169">
        <v>553.6</v>
      </c>
      <c r="CZ18" s="1169">
        <v>558.9</v>
      </c>
      <c r="DA18" s="1169">
        <v>563.79999999999995</v>
      </c>
      <c r="DB18" s="1169">
        <v>570.4</v>
      </c>
      <c r="DC18" s="1169">
        <v>577.70000000000005</v>
      </c>
      <c r="DD18" s="1169">
        <v>581.79999999999995</v>
      </c>
      <c r="DE18" s="1169">
        <v>593.20000000000005</v>
      </c>
      <c r="DF18" s="1169">
        <v>595.70000000000005</v>
      </c>
      <c r="DG18" s="1169">
        <v>610.4</v>
      </c>
      <c r="DH18" s="1169">
        <v>616.6</v>
      </c>
      <c r="DI18" s="1169">
        <v>623.79999999999995</v>
      </c>
      <c r="DJ18" s="1169">
        <v>629.1</v>
      </c>
      <c r="DK18" s="1169">
        <v>635.5</v>
      </c>
      <c r="DL18" s="1169">
        <v>643</v>
      </c>
      <c r="DM18" s="1169">
        <v>650.29999999999995</v>
      </c>
      <c r="DN18" s="1169">
        <v>657.5</v>
      </c>
      <c r="DO18" s="1169">
        <v>667.1</v>
      </c>
      <c r="DP18" s="1169">
        <v>679</v>
      </c>
      <c r="DQ18" s="1169">
        <v>690.7</v>
      </c>
      <c r="DR18" s="1169">
        <v>698.6</v>
      </c>
      <c r="DS18" s="1169">
        <v>707.3</v>
      </c>
      <c r="DT18" s="1169">
        <v>711.3</v>
      </c>
      <c r="DU18" s="1169">
        <v>717.1</v>
      </c>
      <c r="DV18" s="1169">
        <v>724.2</v>
      </c>
      <c r="DW18" s="1169">
        <v>724.1</v>
      </c>
      <c r="DX18" s="1169">
        <v>725.3</v>
      </c>
      <c r="DY18" s="1169">
        <v>737.1</v>
      </c>
      <c r="DZ18" s="1169">
        <v>744</v>
      </c>
      <c r="EA18" s="1169">
        <v>751.3</v>
      </c>
      <c r="EB18" s="1169">
        <v>768.5</v>
      </c>
      <c r="EC18" s="1169">
        <v>776.3</v>
      </c>
      <c r="ED18" s="1169">
        <v>788.6</v>
      </c>
      <c r="EE18" s="1169">
        <v>800</v>
      </c>
      <c r="EF18" s="1169">
        <v>813</v>
      </c>
      <c r="EG18" s="1169">
        <v>820.9</v>
      </c>
      <c r="EH18" s="1169">
        <v>847.3</v>
      </c>
      <c r="EI18" s="1169">
        <v>859.9</v>
      </c>
      <c r="EJ18" s="1169">
        <v>871.3</v>
      </c>
      <c r="EK18" s="1169">
        <v>893.8</v>
      </c>
      <c r="EL18" s="1169">
        <v>915.1</v>
      </c>
      <c r="EM18" s="1169">
        <v>937.3</v>
      </c>
      <c r="EN18" s="1169">
        <v>952.1</v>
      </c>
      <c r="EO18" s="1169">
        <v>965.3</v>
      </c>
      <c r="EP18" s="1169">
        <v>981.8</v>
      </c>
      <c r="EQ18" s="1169">
        <v>991.7</v>
      </c>
      <c r="ER18" s="1169">
        <v>1004.1</v>
      </c>
      <c r="ES18" s="1169">
        <v>1010.5</v>
      </c>
      <c r="ET18" s="1169">
        <v>1025.9000000000001</v>
      </c>
      <c r="EU18" s="1169">
        <v>1033.0999999999999</v>
      </c>
      <c r="EV18" s="1169">
        <v>1035.8</v>
      </c>
      <c r="EW18" s="1169">
        <v>1052.5999999999999</v>
      </c>
      <c r="EX18" s="1169">
        <v>1045.7</v>
      </c>
      <c r="EY18" s="1169">
        <v>1054.7</v>
      </c>
      <c r="EZ18" s="1169">
        <v>1058.5</v>
      </c>
      <c r="FA18" s="1169">
        <v>1040</v>
      </c>
      <c r="FB18" s="1169">
        <v>1015.9</v>
      </c>
      <c r="FC18" s="1169">
        <v>1017.3</v>
      </c>
      <c r="FD18" s="1169">
        <v>1028.8</v>
      </c>
      <c r="FE18" s="1169">
        <v>1045.3</v>
      </c>
      <c r="FF18" s="1169">
        <v>1044.5999999999999</v>
      </c>
      <c r="FG18" s="1169">
        <v>1062.0999999999999</v>
      </c>
      <c r="FH18" s="1169">
        <v>1069.0999999999999</v>
      </c>
      <c r="FI18" s="1169">
        <v>1076.4000000000001</v>
      </c>
      <c r="FJ18" s="1169">
        <v>1091.5</v>
      </c>
      <c r="FK18" s="1169">
        <v>1105.5</v>
      </c>
      <c r="FL18" s="1169">
        <v>1103.9000000000001</v>
      </c>
      <c r="FM18" s="1169">
        <v>1114</v>
      </c>
      <c r="FN18" s="1169">
        <v>1130.9000000000001</v>
      </c>
      <c r="FO18" s="1169">
        <v>1133.9000000000001</v>
      </c>
      <c r="FP18" s="1169">
        <v>1131.3</v>
      </c>
      <c r="FQ18" s="1169">
        <v>1148.4000000000001</v>
      </c>
      <c r="FR18" s="1169">
        <v>1174.5999999999999</v>
      </c>
      <c r="FS18" s="1169">
        <v>1180.8</v>
      </c>
      <c r="FT18" s="1169">
        <v>1195</v>
      </c>
      <c r="FU18" s="1169">
        <v>1204.0999999999999</v>
      </c>
      <c r="FV18" s="1169">
        <v>1220.5</v>
      </c>
      <c r="FW18" s="1169">
        <v>1237.5</v>
      </c>
      <c r="FX18" s="1169">
        <v>1248.4000000000001</v>
      </c>
      <c r="FY18" s="1169">
        <v>1257</v>
      </c>
      <c r="FZ18" s="1169">
        <v>1262.2</v>
      </c>
      <c r="GA18" s="1169">
        <v>1273.0999999999999</v>
      </c>
      <c r="GB18" s="1169">
        <v>1275.5</v>
      </c>
      <c r="GC18" s="1169">
        <v>1289.9000000000001</v>
      </c>
      <c r="GD18" s="1169">
        <v>1295.9000000000001</v>
      </c>
      <c r="GE18" s="1169">
        <v>1301</v>
      </c>
      <c r="GF18" s="1169">
        <v>1320.8</v>
      </c>
      <c r="GG18" s="1169">
        <v>1328.9</v>
      </c>
      <c r="GH18" s="1169">
        <v>1339.4</v>
      </c>
      <c r="GI18" s="1169">
        <v>1359.4</v>
      </c>
      <c r="GJ18" s="1169">
        <v>1372.1</v>
      </c>
      <c r="GK18" s="1169">
        <v>1394.4</v>
      </c>
      <c r="GL18" s="1169">
        <v>1427.2</v>
      </c>
      <c r="GM18" s="1169">
        <v>1448.6</v>
      </c>
      <c r="GN18" s="1169">
        <v>1468.9</v>
      </c>
      <c r="GO18" s="1169">
        <v>1502.2</v>
      </c>
      <c r="GP18" s="1169">
        <v>1504.8</v>
      </c>
      <c r="GQ18" s="1169">
        <v>1520.9</v>
      </c>
      <c r="GR18" s="1169">
        <v>1547.4</v>
      </c>
      <c r="GS18" s="1169">
        <v>1556.3</v>
      </c>
      <c r="GT18" s="1169">
        <v>1577.1</v>
      </c>
      <c r="GU18" s="1169">
        <v>1460.5</v>
      </c>
      <c r="GV18" s="1169">
        <v>1544</v>
      </c>
      <c r="GW18" s="1169">
        <v>1557</v>
      </c>
      <c r="GX18" s="1169">
        <v>1580.1</v>
      </c>
      <c r="GY18" s="1169">
        <v>1636.3</v>
      </c>
      <c r="GZ18" s="1169">
        <v>1654.7</v>
      </c>
      <c r="HA18" s="1169">
        <v>1693.4</v>
      </c>
    </row>
    <row r="19" spans="1:209" x14ac:dyDescent="0.35">
      <c r="A19" s="1169" t="s">
        <v>859</v>
      </c>
      <c r="B19" s="1169">
        <v>30.7</v>
      </c>
      <c r="C19" s="1169">
        <v>30.8</v>
      </c>
      <c r="D19" s="1169">
        <v>31.7</v>
      </c>
      <c r="E19" s="1169">
        <v>30.2</v>
      </c>
      <c r="F19" s="1169">
        <v>34</v>
      </c>
      <c r="G19" s="1169">
        <v>34.9</v>
      </c>
      <c r="H19" s="1169">
        <v>34.1</v>
      </c>
      <c r="I19" s="1169">
        <v>34.6</v>
      </c>
      <c r="J19" s="1169">
        <v>36.799999999999997</v>
      </c>
      <c r="K19" s="1169">
        <v>37.1</v>
      </c>
      <c r="L19" s="1169">
        <v>38.299999999999997</v>
      </c>
      <c r="M19" s="1169">
        <v>42.4</v>
      </c>
      <c r="N19" s="1169">
        <v>45.3</v>
      </c>
      <c r="O19" s="1169">
        <v>45.4</v>
      </c>
      <c r="P19" s="1169">
        <v>43.4</v>
      </c>
      <c r="Q19" s="1169">
        <v>45.6</v>
      </c>
      <c r="R19" s="1169">
        <v>43.7</v>
      </c>
      <c r="S19" s="1169">
        <v>45.9</v>
      </c>
      <c r="T19" s="1169">
        <v>50.8</v>
      </c>
      <c r="U19" s="1169">
        <v>44.6</v>
      </c>
      <c r="V19" s="1169">
        <v>37.6</v>
      </c>
      <c r="W19" s="1169">
        <v>40.799999999999997</v>
      </c>
      <c r="X19" s="1169">
        <v>51.4</v>
      </c>
      <c r="Y19" s="1169">
        <v>52.3</v>
      </c>
      <c r="Z19" s="1169">
        <v>59.6</v>
      </c>
      <c r="AA19" s="1169">
        <v>58.6</v>
      </c>
      <c r="AB19" s="1169">
        <v>58.1</v>
      </c>
      <c r="AC19" s="1169">
        <v>57.1</v>
      </c>
      <c r="AD19" s="1169">
        <v>61.5</v>
      </c>
      <c r="AE19" s="1169">
        <v>67.099999999999994</v>
      </c>
      <c r="AF19" s="1169">
        <v>69.7</v>
      </c>
      <c r="AG19" s="1169">
        <v>70.099999999999994</v>
      </c>
      <c r="AH19" s="1169">
        <v>65</v>
      </c>
      <c r="AI19" s="1169">
        <v>78.599999999999994</v>
      </c>
      <c r="AJ19" s="1169">
        <v>79.099999999999994</v>
      </c>
      <c r="AK19" s="1169">
        <v>83.3</v>
      </c>
      <c r="AL19" s="1169">
        <v>80.3</v>
      </c>
      <c r="AM19" s="1169">
        <v>80.3</v>
      </c>
      <c r="AN19" s="1169">
        <v>78.900000000000006</v>
      </c>
      <c r="AO19" s="1169">
        <v>75.3</v>
      </c>
      <c r="AP19" s="1169">
        <v>83.1</v>
      </c>
      <c r="AQ19" s="1169">
        <v>62.6</v>
      </c>
      <c r="AR19" s="1169">
        <v>69.900000000000006</v>
      </c>
      <c r="AS19" s="1169">
        <v>76.8</v>
      </c>
      <c r="AT19" s="1169">
        <v>75.400000000000006</v>
      </c>
      <c r="AU19" s="1169">
        <v>65.900000000000006</v>
      </c>
      <c r="AV19" s="1169">
        <v>68.400000000000006</v>
      </c>
      <c r="AW19" s="1169">
        <v>58.9</v>
      </c>
      <c r="AX19" s="1169">
        <v>47.6</v>
      </c>
      <c r="AY19" s="1169">
        <v>49</v>
      </c>
      <c r="AZ19" s="1169">
        <v>49.8</v>
      </c>
      <c r="BA19" s="1169">
        <v>45.1</v>
      </c>
      <c r="BB19" s="1169">
        <v>47.1</v>
      </c>
      <c r="BC19" s="1169">
        <v>61.9</v>
      </c>
      <c r="BD19" s="1169">
        <v>70.7</v>
      </c>
      <c r="BE19" s="1169">
        <v>72.400000000000006</v>
      </c>
      <c r="BF19" s="1169">
        <v>84.9</v>
      </c>
      <c r="BG19" s="1169">
        <v>83.7</v>
      </c>
      <c r="BH19" s="1169">
        <v>71.3</v>
      </c>
      <c r="BI19" s="1169">
        <v>72.099999999999994</v>
      </c>
      <c r="BJ19" s="1169">
        <v>77.7</v>
      </c>
      <c r="BK19" s="1169">
        <v>76</v>
      </c>
      <c r="BL19" s="1169">
        <v>81.7</v>
      </c>
      <c r="BM19" s="1169">
        <v>79.5</v>
      </c>
      <c r="BN19" s="1169">
        <v>84.4</v>
      </c>
      <c r="BO19" s="1169">
        <v>85.5</v>
      </c>
      <c r="BP19" s="1169">
        <v>86.9</v>
      </c>
      <c r="BQ19" s="1169">
        <v>97.9</v>
      </c>
      <c r="BR19" s="1169">
        <v>98.7</v>
      </c>
      <c r="BS19" s="1169">
        <v>111.8</v>
      </c>
      <c r="BT19" s="1169">
        <v>116.2</v>
      </c>
      <c r="BU19" s="1169">
        <v>110.7</v>
      </c>
      <c r="BV19" s="1169">
        <v>108</v>
      </c>
      <c r="BW19" s="1169">
        <v>115.3</v>
      </c>
      <c r="BX19" s="1169">
        <v>125.1</v>
      </c>
      <c r="BY19" s="1169">
        <v>130.9</v>
      </c>
      <c r="BZ19" s="1169">
        <v>132.69999999999999</v>
      </c>
      <c r="CA19" s="1169">
        <v>118.7</v>
      </c>
      <c r="CB19" s="1169">
        <v>114.4</v>
      </c>
      <c r="CC19" s="1169">
        <v>113.5</v>
      </c>
      <c r="CD19" s="1169">
        <v>112.5</v>
      </c>
      <c r="CE19" s="1169">
        <v>116.8</v>
      </c>
      <c r="CF19" s="1169">
        <v>119.9</v>
      </c>
      <c r="CG19" s="1169">
        <v>118.8</v>
      </c>
      <c r="CH19" s="1169">
        <v>115.3</v>
      </c>
      <c r="CI19" s="1169">
        <v>110.9</v>
      </c>
      <c r="CJ19" s="1169">
        <v>111.9</v>
      </c>
      <c r="CK19" s="1169">
        <v>113.1</v>
      </c>
      <c r="CL19" s="1169">
        <v>125</v>
      </c>
      <c r="CM19" s="1169">
        <v>126.8</v>
      </c>
      <c r="CN19" s="1169">
        <v>122.1</v>
      </c>
      <c r="CO19" s="1169">
        <v>131.6</v>
      </c>
      <c r="CP19" s="1169">
        <v>136.4</v>
      </c>
      <c r="CQ19" s="1169">
        <v>148.69999999999999</v>
      </c>
      <c r="CR19" s="1169">
        <v>140.69999999999999</v>
      </c>
      <c r="CS19" s="1169">
        <v>171.9</v>
      </c>
      <c r="CT19" s="1169">
        <v>149.5</v>
      </c>
      <c r="CU19" s="1169">
        <v>158</v>
      </c>
      <c r="CV19" s="1169">
        <v>173.8</v>
      </c>
      <c r="CW19" s="1169">
        <v>183.6</v>
      </c>
      <c r="CX19" s="1169">
        <v>187.8</v>
      </c>
      <c r="CY19" s="1169">
        <v>184.4</v>
      </c>
      <c r="CZ19" s="1169">
        <v>191</v>
      </c>
      <c r="DA19" s="1169">
        <v>187.1</v>
      </c>
      <c r="DB19" s="1169">
        <v>194.3</v>
      </c>
      <c r="DC19" s="1169">
        <v>205.5</v>
      </c>
      <c r="DD19" s="1169">
        <v>205.9</v>
      </c>
      <c r="DE19" s="1169">
        <v>208.6</v>
      </c>
      <c r="DF19" s="1169">
        <v>210</v>
      </c>
      <c r="DG19" s="1169">
        <v>214</v>
      </c>
      <c r="DH19" s="1169">
        <v>226</v>
      </c>
      <c r="DI19" s="1169">
        <v>215.9</v>
      </c>
      <c r="DJ19" s="1169">
        <v>213.5</v>
      </c>
      <c r="DK19" s="1169">
        <v>209.9</v>
      </c>
      <c r="DL19" s="1169">
        <v>215.8</v>
      </c>
      <c r="DM19" s="1169">
        <v>211.3</v>
      </c>
      <c r="DN19" s="1169">
        <v>222.3</v>
      </c>
      <c r="DO19" s="1169">
        <v>219.9</v>
      </c>
      <c r="DP19" s="1169">
        <v>223.3</v>
      </c>
      <c r="DQ19" s="1169">
        <v>228</v>
      </c>
      <c r="DR19" s="1169">
        <v>239.4</v>
      </c>
      <c r="DS19" s="1169">
        <v>237.6</v>
      </c>
      <c r="DT19" s="1169">
        <v>219</v>
      </c>
      <c r="DU19" s="1169">
        <v>221.3</v>
      </c>
      <c r="DV19" s="1169">
        <v>185.1</v>
      </c>
      <c r="DW19" s="1169">
        <v>179</v>
      </c>
      <c r="DX19" s="1169">
        <v>159.30000000000001</v>
      </c>
      <c r="DY19" s="1169">
        <v>142.4</v>
      </c>
      <c r="DZ19" s="1169">
        <v>143.80000000000001</v>
      </c>
      <c r="EA19" s="1169">
        <v>150</v>
      </c>
      <c r="EB19" s="1169">
        <v>158</v>
      </c>
      <c r="EC19" s="1169">
        <v>175.5</v>
      </c>
      <c r="ED19" s="1169">
        <v>196.1</v>
      </c>
      <c r="EE19" s="1169">
        <v>192.6</v>
      </c>
      <c r="EF19" s="1169">
        <v>213.9</v>
      </c>
      <c r="EG19" s="1169">
        <v>236.6</v>
      </c>
      <c r="EH19" s="1169">
        <v>247</v>
      </c>
      <c r="EI19" s="1169">
        <v>266.8</v>
      </c>
      <c r="EJ19" s="1169">
        <v>288.3</v>
      </c>
      <c r="EK19" s="1169">
        <v>293.60000000000002</v>
      </c>
      <c r="EL19" s="1169">
        <v>370.6</v>
      </c>
      <c r="EM19" s="1169">
        <v>359</v>
      </c>
      <c r="EN19" s="1169">
        <v>365.2</v>
      </c>
      <c r="EO19" s="1169">
        <v>402.9</v>
      </c>
      <c r="EP19" s="1169">
        <v>416.9</v>
      </c>
      <c r="EQ19" s="1169">
        <v>427.6</v>
      </c>
      <c r="ER19" s="1169">
        <v>446.6</v>
      </c>
      <c r="ES19" s="1169">
        <v>409.8</v>
      </c>
      <c r="ET19" s="1169">
        <v>413.6</v>
      </c>
      <c r="EU19" s="1169">
        <v>407.2</v>
      </c>
      <c r="EV19" s="1169">
        <v>370.9</v>
      </c>
      <c r="EW19" s="1169">
        <v>352.7</v>
      </c>
      <c r="EX19" s="1169">
        <v>291.89999999999998</v>
      </c>
      <c r="EY19" s="1169">
        <v>278.7</v>
      </c>
      <c r="EZ19" s="1169">
        <v>264.39999999999998</v>
      </c>
      <c r="FA19" s="1169">
        <v>162.6</v>
      </c>
      <c r="FB19" s="1169">
        <v>166.5</v>
      </c>
      <c r="FC19" s="1169">
        <v>188.6</v>
      </c>
      <c r="FD19" s="1169">
        <v>200.7</v>
      </c>
      <c r="FE19" s="1169">
        <v>234.2</v>
      </c>
      <c r="FF19" s="1169">
        <v>249.8</v>
      </c>
      <c r="FG19" s="1169">
        <v>255.6</v>
      </c>
      <c r="FH19" s="1169">
        <v>272.60000000000002</v>
      </c>
      <c r="FI19" s="1169">
        <v>284</v>
      </c>
      <c r="FJ19" s="1169">
        <v>277.3</v>
      </c>
      <c r="FK19" s="1169">
        <v>276.89999999999998</v>
      </c>
      <c r="FL19" s="1169">
        <v>248.2</v>
      </c>
      <c r="FM19" s="1169">
        <v>287</v>
      </c>
      <c r="FN19" s="1169">
        <v>310.7</v>
      </c>
      <c r="FO19" s="1169">
        <v>325</v>
      </c>
      <c r="FP19" s="1169">
        <v>332.9</v>
      </c>
      <c r="FQ19" s="1169">
        <v>332.8</v>
      </c>
      <c r="FR19" s="1169">
        <v>350.8</v>
      </c>
      <c r="FS19" s="1169">
        <v>347.3</v>
      </c>
      <c r="FT19" s="1169">
        <v>354.3</v>
      </c>
      <c r="FU19" s="1169">
        <v>356.9</v>
      </c>
      <c r="FV19" s="1169">
        <v>392.8</v>
      </c>
      <c r="FW19" s="1169">
        <v>415.1</v>
      </c>
      <c r="FX19" s="1169">
        <v>387.1</v>
      </c>
      <c r="FY19" s="1169">
        <v>389.8</v>
      </c>
      <c r="FZ19" s="1169">
        <v>403.5</v>
      </c>
      <c r="GA19" s="1169">
        <v>408.5</v>
      </c>
      <c r="GB19" s="1169">
        <v>379.6</v>
      </c>
      <c r="GC19" s="1169">
        <v>349.7</v>
      </c>
      <c r="GD19" s="1169">
        <v>364.6</v>
      </c>
      <c r="GE19" s="1169">
        <v>367.7</v>
      </c>
      <c r="GF19" s="1169">
        <v>374.8</v>
      </c>
      <c r="GG19" s="1169">
        <v>353.8</v>
      </c>
      <c r="GH19" s="1169">
        <v>288.60000000000002</v>
      </c>
      <c r="GI19" s="1169">
        <v>295.2</v>
      </c>
      <c r="GJ19" s="1169">
        <v>309.8</v>
      </c>
      <c r="GK19" s="1169">
        <v>306.39999999999998</v>
      </c>
      <c r="GL19" s="1169">
        <v>244.8</v>
      </c>
      <c r="GM19" s="1169">
        <v>270.5</v>
      </c>
      <c r="GN19" s="1169">
        <v>275</v>
      </c>
      <c r="GO19" s="1169">
        <v>286.8</v>
      </c>
      <c r="GP19" s="1169">
        <v>284.39999999999998</v>
      </c>
      <c r="GQ19" s="1169">
        <v>291.7</v>
      </c>
      <c r="GR19" s="1169">
        <v>279.60000000000002</v>
      </c>
      <c r="GS19" s="1169">
        <v>303.89999999999998</v>
      </c>
      <c r="GT19" s="1169">
        <v>233.3</v>
      </c>
      <c r="GU19" s="1169">
        <v>229.3</v>
      </c>
      <c r="GV19" s="1169">
        <v>288.5</v>
      </c>
      <c r="GW19" s="1169">
        <v>304</v>
      </c>
      <c r="GX19" s="1169">
        <v>331.9</v>
      </c>
      <c r="GY19" s="1169">
        <v>366.9</v>
      </c>
      <c r="GZ19" s="1169">
        <v>381.2</v>
      </c>
      <c r="HA19" s="1169">
        <v>396.6</v>
      </c>
    </row>
    <row r="20" spans="1:209" x14ac:dyDescent="0.35">
      <c r="A20" s="1169" t="s">
        <v>860</v>
      </c>
      <c r="B20" s="1169">
        <v>247.9</v>
      </c>
      <c r="C20" s="1169">
        <v>249.1</v>
      </c>
      <c r="D20" s="1169">
        <v>254.6</v>
      </c>
      <c r="E20" s="1169">
        <v>258.7</v>
      </c>
      <c r="F20" s="1169">
        <v>261.89999999999998</v>
      </c>
      <c r="G20" s="1169">
        <v>266.10000000000002</v>
      </c>
      <c r="H20" s="1169">
        <v>269.8</v>
      </c>
      <c r="I20" s="1169">
        <v>272.10000000000002</v>
      </c>
      <c r="J20" s="1169">
        <v>282.2</v>
      </c>
      <c r="K20" s="1169">
        <v>286.5</v>
      </c>
      <c r="L20" s="1169">
        <v>284.3</v>
      </c>
      <c r="M20" s="1169">
        <v>291.7</v>
      </c>
      <c r="N20" s="1169">
        <v>299.60000000000002</v>
      </c>
      <c r="O20" s="1169">
        <v>302.7</v>
      </c>
      <c r="P20" s="1169">
        <v>304.2</v>
      </c>
      <c r="Q20" s="1169">
        <v>312.60000000000002</v>
      </c>
      <c r="R20" s="1169">
        <v>324.60000000000002</v>
      </c>
      <c r="S20" s="1169">
        <v>335</v>
      </c>
      <c r="T20" s="1169">
        <v>346.7</v>
      </c>
      <c r="U20" s="1169">
        <v>359.2</v>
      </c>
      <c r="V20" s="1169">
        <v>370.1</v>
      </c>
      <c r="W20" s="1169">
        <v>373.4</v>
      </c>
      <c r="X20" s="1169">
        <v>385.4</v>
      </c>
      <c r="Y20" s="1169">
        <v>395.6</v>
      </c>
      <c r="Z20" s="1169">
        <v>401.3</v>
      </c>
      <c r="AA20" s="1169">
        <v>401</v>
      </c>
      <c r="AB20" s="1169">
        <v>403.5</v>
      </c>
      <c r="AC20" s="1169">
        <v>410.8</v>
      </c>
      <c r="AD20" s="1169">
        <v>421.2</v>
      </c>
      <c r="AE20" s="1169">
        <v>431.4</v>
      </c>
      <c r="AF20" s="1169">
        <v>438</v>
      </c>
      <c r="AG20" s="1169">
        <v>446.7</v>
      </c>
      <c r="AH20" s="1169">
        <v>452.6</v>
      </c>
      <c r="AI20" s="1169">
        <v>472.3</v>
      </c>
      <c r="AJ20" s="1169">
        <v>484.2</v>
      </c>
      <c r="AK20" s="1169">
        <v>496.2</v>
      </c>
      <c r="AL20" s="1169">
        <v>501.8</v>
      </c>
      <c r="AM20" s="1169">
        <v>516.5</v>
      </c>
      <c r="AN20" s="1169">
        <v>533.1</v>
      </c>
      <c r="AO20" s="1169">
        <v>547.79999999999995</v>
      </c>
      <c r="AP20" s="1169">
        <v>568.79999999999995</v>
      </c>
      <c r="AQ20" s="1169">
        <v>588.5</v>
      </c>
      <c r="AR20" s="1169">
        <v>592.20000000000005</v>
      </c>
      <c r="AS20" s="1169">
        <v>608.9</v>
      </c>
      <c r="AT20" s="1169">
        <v>633.4</v>
      </c>
      <c r="AU20" s="1169">
        <v>648.70000000000005</v>
      </c>
      <c r="AV20" s="1169">
        <v>657.8</v>
      </c>
      <c r="AW20" s="1169">
        <v>677.7</v>
      </c>
      <c r="AX20" s="1169">
        <v>688.1</v>
      </c>
      <c r="AY20" s="1169">
        <v>703.1</v>
      </c>
      <c r="AZ20" s="1169">
        <v>717.3</v>
      </c>
      <c r="BA20" s="1169">
        <v>737.4</v>
      </c>
      <c r="BB20" s="1169">
        <v>747.9</v>
      </c>
      <c r="BC20" s="1169">
        <v>761.1</v>
      </c>
      <c r="BD20" s="1169">
        <v>782.2</v>
      </c>
      <c r="BE20" s="1169">
        <v>775.1</v>
      </c>
      <c r="BF20" s="1169">
        <v>794</v>
      </c>
      <c r="BG20" s="1169">
        <v>819.1</v>
      </c>
      <c r="BH20" s="1169">
        <v>835.7</v>
      </c>
      <c r="BI20" s="1169">
        <v>862.8</v>
      </c>
      <c r="BJ20" s="1169">
        <v>875.6</v>
      </c>
      <c r="BK20" s="1169">
        <v>900.5</v>
      </c>
      <c r="BL20" s="1169">
        <v>927.4</v>
      </c>
      <c r="BM20" s="1169">
        <v>938.6</v>
      </c>
      <c r="BN20" s="1169">
        <v>946.8</v>
      </c>
      <c r="BO20" s="1169">
        <v>967.5</v>
      </c>
      <c r="BP20" s="1169">
        <v>993.6</v>
      </c>
      <c r="BQ20" s="1169">
        <v>996.4</v>
      </c>
      <c r="BR20" s="1169">
        <v>1008.7</v>
      </c>
      <c r="BS20" s="1169">
        <v>1025.2</v>
      </c>
      <c r="BT20" s="1169">
        <v>1036.2</v>
      </c>
      <c r="BU20" s="1169">
        <v>1056</v>
      </c>
      <c r="BV20" s="1169">
        <v>1056.9000000000001</v>
      </c>
      <c r="BW20" s="1169">
        <v>1070.4000000000001</v>
      </c>
      <c r="BX20" s="1169">
        <v>1078.2</v>
      </c>
      <c r="BY20" s="1169">
        <v>1109.9000000000001</v>
      </c>
      <c r="BZ20" s="1169">
        <v>1116.5999999999999</v>
      </c>
      <c r="CA20" s="1169">
        <v>1145.8</v>
      </c>
      <c r="CB20" s="1169">
        <v>1164.5999999999999</v>
      </c>
      <c r="CC20" s="1169">
        <v>1180.5</v>
      </c>
      <c r="CD20" s="1169">
        <v>1212.5</v>
      </c>
      <c r="CE20" s="1169">
        <v>1230.7</v>
      </c>
      <c r="CF20" s="1169">
        <v>1242.5999999999999</v>
      </c>
      <c r="CG20" s="1169">
        <v>1268.5</v>
      </c>
      <c r="CH20" s="1169">
        <v>1284.2</v>
      </c>
      <c r="CI20" s="1169">
        <v>1296.5999999999999</v>
      </c>
      <c r="CJ20" s="1169">
        <v>1306.3</v>
      </c>
      <c r="CK20" s="1169">
        <v>1308.8</v>
      </c>
      <c r="CL20" s="1169">
        <v>1326.4</v>
      </c>
      <c r="CM20" s="1169">
        <v>1334.8</v>
      </c>
      <c r="CN20" s="1169">
        <v>1354</v>
      </c>
      <c r="CO20" s="1169">
        <v>1362.8</v>
      </c>
      <c r="CP20" s="1169">
        <v>1351.8</v>
      </c>
      <c r="CQ20" s="1169">
        <v>1359.1</v>
      </c>
      <c r="CR20" s="1169">
        <v>1367.4</v>
      </c>
      <c r="CS20" s="1169">
        <v>1381.4</v>
      </c>
      <c r="CT20" s="1169">
        <v>1373.4</v>
      </c>
      <c r="CU20" s="1169">
        <v>1389.4</v>
      </c>
      <c r="CV20" s="1169">
        <v>1423.4</v>
      </c>
      <c r="CW20" s="1169">
        <v>1422.9</v>
      </c>
      <c r="CX20" s="1169">
        <v>1437.6</v>
      </c>
      <c r="CY20" s="1169">
        <v>1452.9</v>
      </c>
      <c r="CZ20" s="1169">
        <v>1455.7</v>
      </c>
      <c r="DA20" s="1169">
        <v>1451.6</v>
      </c>
      <c r="DB20" s="1169">
        <v>1471.3</v>
      </c>
      <c r="DC20" s="1169">
        <v>1487.7</v>
      </c>
      <c r="DD20" s="1169">
        <v>1496.7</v>
      </c>
      <c r="DE20" s="1169">
        <v>1515.7</v>
      </c>
      <c r="DF20" s="1169">
        <v>1516</v>
      </c>
      <c r="DG20" s="1169">
        <v>1542.5</v>
      </c>
      <c r="DH20" s="1169">
        <v>1555.2</v>
      </c>
      <c r="DI20" s="1169">
        <v>1574.8</v>
      </c>
      <c r="DJ20" s="1169">
        <v>1568</v>
      </c>
      <c r="DK20" s="1169">
        <v>1603.7</v>
      </c>
      <c r="DL20" s="1169">
        <v>1627.3</v>
      </c>
      <c r="DM20" s="1169">
        <v>1647.5</v>
      </c>
      <c r="DN20" s="1169">
        <v>1669.1</v>
      </c>
      <c r="DO20" s="1169">
        <v>1694.8</v>
      </c>
      <c r="DP20" s="1169">
        <v>1734</v>
      </c>
      <c r="DQ20" s="1169">
        <v>1781.7</v>
      </c>
      <c r="DR20" s="1169">
        <v>1789.9</v>
      </c>
      <c r="DS20" s="1169">
        <v>1822.5</v>
      </c>
      <c r="DT20" s="1169">
        <v>1832.1</v>
      </c>
      <c r="DU20" s="1169">
        <v>1861.3</v>
      </c>
      <c r="DV20" s="1169">
        <v>1906.3</v>
      </c>
      <c r="DW20" s="1169">
        <v>1947.7</v>
      </c>
      <c r="DX20" s="1169">
        <v>1953.4</v>
      </c>
      <c r="DY20" s="1169">
        <v>1992.7</v>
      </c>
      <c r="DZ20" s="1169">
        <v>2040</v>
      </c>
      <c r="EA20" s="1169">
        <v>2074.5</v>
      </c>
      <c r="EB20" s="1169">
        <v>2101.3000000000002</v>
      </c>
      <c r="EC20" s="1169">
        <v>2142.1999999999998</v>
      </c>
      <c r="ED20" s="1169">
        <v>2172</v>
      </c>
      <c r="EE20" s="1169">
        <v>2198.8000000000002</v>
      </c>
      <c r="EF20" s="1169">
        <v>2220.4</v>
      </c>
      <c r="EG20" s="1169">
        <v>2251.1999999999998</v>
      </c>
      <c r="EH20" s="1169">
        <v>2286.6</v>
      </c>
      <c r="EI20" s="1169">
        <v>2320.6999999999998</v>
      </c>
      <c r="EJ20" s="1169">
        <v>2356.4</v>
      </c>
      <c r="EK20" s="1169">
        <v>2388.8000000000002</v>
      </c>
      <c r="EL20" s="1169">
        <v>2426.1</v>
      </c>
      <c r="EM20" s="1169">
        <v>2452.1999999999998</v>
      </c>
      <c r="EN20" s="1169">
        <v>2494.4</v>
      </c>
      <c r="EO20" s="1169">
        <v>2528.4</v>
      </c>
      <c r="EP20" s="1169">
        <v>2580.1</v>
      </c>
      <c r="EQ20" s="1169">
        <v>2610.6</v>
      </c>
      <c r="ER20" s="1169">
        <v>2630.3</v>
      </c>
      <c r="ES20" s="1169">
        <v>2674.5</v>
      </c>
      <c r="ET20" s="1169">
        <v>2718.5</v>
      </c>
      <c r="EU20" s="1169">
        <v>2770</v>
      </c>
      <c r="EV20" s="1169">
        <v>2808.7</v>
      </c>
      <c r="EW20" s="1169">
        <v>2865.1</v>
      </c>
      <c r="EX20" s="1169">
        <v>2909.6</v>
      </c>
      <c r="EY20" s="1169">
        <v>2971.6</v>
      </c>
      <c r="EZ20" s="1169">
        <v>3029</v>
      </c>
      <c r="FA20" s="1169">
        <v>3021.8</v>
      </c>
      <c r="FB20" s="1169">
        <v>3022</v>
      </c>
      <c r="FC20" s="1169">
        <v>3070.5</v>
      </c>
      <c r="FD20" s="1169">
        <v>3092.1</v>
      </c>
      <c r="FE20" s="1169">
        <v>3120.8</v>
      </c>
      <c r="FF20" s="1169">
        <v>3133.8</v>
      </c>
      <c r="FG20" s="1169">
        <v>3165.8</v>
      </c>
      <c r="FH20" s="1169">
        <v>3158.3</v>
      </c>
      <c r="FI20" s="1169">
        <v>3164.3</v>
      </c>
      <c r="FJ20" s="1169">
        <v>3155.8</v>
      </c>
      <c r="FK20" s="1169">
        <v>3168.3</v>
      </c>
      <c r="FL20" s="1169">
        <v>3136.9</v>
      </c>
      <c r="FM20" s="1169">
        <v>3130.8</v>
      </c>
      <c r="FN20" s="1169">
        <v>3144</v>
      </c>
      <c r="FO20" s="1169">
        <v>3130.5</v>
      </c>
      <c r="FP20" s="1169">
        <v>3139.1</v>
      </c>
      <c r="FQ20" s="1169">
        <v>3132.3</v>
      </c>
      <c r="FR20" s="1169">
        <v>3125.4</v>
      </c>
      <c r="FS20" s="1169">
        <v>3132.6</v>
      </c>
      <c r="FT20" s="1169">
        <v>3134.8</v>
      </c>
      <c r="FU20" s="1169">
        <v>3139.3</v>
      </c>
      <c r="FV20" s="1169">
        <v>3138.2</v>
      </c>
      <c r="FW20" s="1169">
        <v>3154.1</v>
      </c>
      <c r="FX20" s="1169">
        <v>3191.8</v>
      </c>
      <c r="FY20" s="1169">
        <v>3191.2</v>
      </c>
      <c r="FZ20" s="1169">
        <v>3189.3</v>
      </c>
      <c r="GA20" s="1169">
        <v>3232</v>
      </c>
      <c r="GB20" s="1169">
        <v>3250.6</v>
      </c>
      <c r="GC20" s="1169">
        <v>3254.5</v>
      </c>
      <c r="GD20" s="1169">
        <v>3270.2</v>
      </c>
      <c r="GE20" s="1169">
        <v>3287.4</v>
      </c>
      <c r="GF20" s="1169">
        <v>3315.8</v>
      </c>
      <c r="GG20" s="1169">
        <v>3338.8</v>
      </c>
      <c r="GH20" s="1169">
        <v>3357.3</v>
      </c>
      <c r="GI20" s="1169">
        <v>3378.2</v>
      </c>
      <c r="GJ20" s="1169">
        <v>3400.8</v>
      </c>
      <c r="GK20" s="1169">
        <v>3459.9</v>
      </c>
      <c r="GL20" s="1169">
        <v>3505.5</v>
      </c>
      <c r="GM20" s="1169">
        <v>3564.3</v>
      </c>
      <c r="GN20" s="1169">
        <v>3600.9</v>
      </c>
      <c r="GO20" s="1169">
        <v>3617.4</v>
      </c>
      <c r="GP20" s="1169">
        <v>3650.5</v>
      </c>
      <c r="GQ20" s="1169">
        <v>3702.9</v>
      </c>
      <c r="GR20" s="1169">
        <v>3731.3</v>
      </c>
      <c r="GS20" s="1169">
        <v>3771</v>
      </c>
      <c r="GT20" s="1169">
        <v>3831.6</v>
      </c>
      <c r="GU20" s="1169">
        <v>3859.6</v>
      </c>
      <c r="GV20" s="1169">
        <v>3861.7</v>
      </c>
      <c r="GW20" s="1169">
        <v>3885.3</v>
      </c>
      <c r="GX20" s="1169">
        <v>3977.3</v>
      </c>
      <c r="GY20" s="1169">
        <v>4015.9</v>
      </c>
      <c r="GZ20" s="1169">
        <v>4084.9</v>
      </c>
      <c r="HA20" s="1169">
        <v>4132.8999999999996</v>
      </c>
    </row>
    <row r="21" spans="1:209" x14ac:dyDescent="0.35">
      <c r="A21" s="1169" t="s">
        <v>861</v>
      </c>
      <c r="B21" s="1169">
        <v>46.2</v>
      </c>
      <c r="C21" s="1169">
        <v>46.5</v>
      </c>
      <c r="D21" s="1169">
        <v>46.9</v>
      </c>
      <c r="E21" s="1169">
        <v>46.7</v>
      </c>
      <c r="F21" s="1169">
        <v>50.8</v>
      </c>
      <c r="G21" s="1169">
        <v>51.4</v>
      </c>
      <c r="H21" s="1169">
        <v>51.6</v>
      </c>
      <c r="I21" s="1169">
        <v>52.2</v>
      </c>
      <c r="J21" s="1169">
        <v>58.5</v>
      </c>
      <c r="K21" s="1169">
        <v>59.2</v>
      </c>
      <c r="L21" s="1169">
        <v>59.9</v>
      </c>
      <c r="M21" s="1169">
        <v>60.8</v>
      </c>
      <c r="N21" s="1169">
        <v>74.099999999999994</v>
      </c>
      <c r="O21" s="1169">
        <v>75.3</v>
      </c>
      <c r="P21" s="1169">
        <v>76.599999999999994</v>
      </c>
      <c r="Q21" s="1169">
        <v>78.099999999999994</v>
      </c>
      <c r="R21" s="1169">
        <v>83.7</v>
      </c>
      <c r="S21" s="1169">
        <v>85.3</v>
      </c>
      <c r="T21" s="1169">
        <v>86.9</v>
      </c>
      <c r="U21" s="1169">
        <v>87.1</v>
      </c>
      <c r="V21" s="1169">
        <v>88.2</v>
      </c>
      <c r="W21" s="1169">
        <v>88.6</v>
      </c>
      <c r="X21" s="1169">
        <v>90.3</v>
      </c>
      <c r="Y21" s="1169">
        <v>92.4</v>
      </c>
      <c r="Z21" s="1169">
        <v>99.6</v>
      </c>
      <c r="AA21" s="1169">
        <v>101.1</v>
      </c>
      <c r="AB21" s="1169">
        <v>102.8</v>
      </c>
      <c r="AC21" s="1169">
        <v>104.4</v>
      </c>
      <c r="AD21" s="1169">
        <v>110</v>
      </c>
      <c r="AE21" s="1169">
        <v>112.8</v>
      </c>
      <c r="AF21" s="1169">
        <v>115.1</v>
      </c>
      <c r="AG21" s="1169">
        <v>117.5</v>
      </c>
      <c r="AH21" s="1169">
        <v>124.7</v>
      </c>
      <c r="AI21" s="1169">
        <v>129.9</v>
      </c>
      <c r="AJ21" s="1169">
        <v>134.19999999999999</v>
      </c>
      <c r="AK21" s="1169">
        <v>139.6</v>
      </c>
      <c r="AL21" s="1169">
        <v>146.9</v>
      </c>
      <c r="AM21" s="1169">
        <v>151.19999999999999</v>
      </c>
      <c r="AN21" s="1169">
        <v>156.30000000000001</v>
      </c>
      <c r="AO21" s="1169">
        <v>160.30000000000001</v>
      </c>
      <c r="AP21" s="1169">
        <v>162.9</v>
      </c>
      <c r="AQ21" s="1169">
        <v>163.9</v>
      </c>
      <c r="AR21" s="1169">
        <v>168</v>
      </c>
      <c r="AS21" s="1169">
        <v>174</v>
      </c>
      <c r="AT21" s="1169">
        <v>191</v>
      </c>
      <c r="AU21" s="1169">
        <v>194.8</v>
      </c>
      <c r="AV21" s="1169">
        <v>199.5</v>
      </c>
      <c r="AW21" s="1169">
        <v>202.2</v>
      </c>
      <c r="AX21" s="1169">
        <v>207.2</v>
      </c>
      <c r="AY21" s="1169">
        <v>209.2</v>
      </c>
      <c r="AZ21" s="1169">
        <v>211.5</v>
      </c>
      <c r="BA21" s="1169">
        <v>212.4</v>
      </c>
      <c r="BB21" s="1169">
        <v>220.2</v>
      </c>
      <c r="BC21" s="1169">
        <v>224.2</v>
      </c>
      <c r="BD21" s="1169">
        <v>228.9</v>
      </c>
      <c r="BE21" s="1169">
        <v>235.5</v>
      </c>
      <c r="BF21" s="1169">
        <v>250.8</v>
      </c>
      <c r="BG21" s="1169">
        <v>256.8</v>
      </c>
      <c r="BH21" s="1169">
        <v>261.8</v>
      </c>
      <c r="BI21" s="1169">
        <v>265.8</v>
      </c>
      <c r="BJ21" s="1169">
        <v>275.7</v>
      </c>
      <c r="BK21" s="1169">
        <v>279.8</v>
      </c>
      <c r="BL21" s="1169">
        <v>284.60000000000002</v>
      </c>
      <c r="BM21" s="1169">
        <v>291.10000000000002</v>
      </c>
      <c r="BN21" s="1169">
        <v>298.2</v>
      </c>
      <c r="BO21" s="1169">
        <v>301.89999999999998</v>
      </c>
      <c r="BP21" s="1169">
        <v>306.89999999999998</v>
      </c>
      <c r="BQ21" s="1169">
        <v>312.60000000000002</v>
      </c>
      <c r="BR21" s="1169">
        <v>317.39999999999998</v>
      </c>
      <c r="BS21" s="1169">
        <v>321.5</v>
      </c>
      <c r="BT21" s="1169">
        <v>326.3</v>
      </c>
      <c r="BU21" s="1169">
        <v>333.3</v>
      </c>
      <c r="BV21" s="1169">
        <v>352.7</v>
      </c>
      <c r="BW21" s="1169">
        <v>360</v>
      </c>
      <c r="BX21" s="1169">
        <v>366.2</v>
      </c>
      <c r="BY21" s="1169">
        <v>373.7</v>
      </c>
      <c r="BZ21" s="1169">
        <v>379.7</v>
      </c>
      <c r="CA21" s="1169">
        <v>384.3</v>
      </c>
      <c r="CB21" s="1169">
        <v>388.9</v>
      </c>
      <c r="CC21" s="1169">
        <v>394.9</v>
      </c>
      <c r="CD21" s="1169">
        <v>403.5</v>
      </c>
      <c r="CE21" s="1169">
        <v>408.8</v>
      </c>
      <c r="CF21" s="1169">
        <v>416.6</v>
      </c>
      <c r="CG21" s="1169">
        <v>419.4</v>
      </c>
      <c r="CH21" s="1169">
        <v>423</v>
      </c>
      <c r="CI21" s="1169">
        <v>429.7</v>
      </c>
      <c r="CJ21" s="1169">
        <v>435.6</v>
      </c>
      <c r="CK21" s="1169">
        <v>440.6</v>
      </c>
      <c r="CL21" s="1169">
        <v>452.5</v>
      </c>
      <c r="CM21" s="1169">
        <v>458.1</v>
      </c>
      <c r="CN21" s="1169">
        <v>461.2</v>
      </c>
      <c r="CO21" s="1169">
        <v>456.5</v>
      </c>
      <c r="CP21" s="1169">
        <v>475.9</v>
      </c>
      <c r="CQ21" s="1169">
        <v>476.4</v>
      </c>
      <c r="CR21" s="1169">
        <v>481</v>
      </c>
      <c r="CS21" s="1169">
        <v>485.2</v>
      </c>
      <c r="CT21" s="1169">
        <v>500.4</v>
      </c>
      <c r="CU21" s="1169">
        <v>507.6</v>
      </c>
      <c r="CV21" s="1169">
        <v>513.6</v>
      </c>
      <c r="CW21" s="1169">
        <v>521.1</v>
      </c>
      <c r="CX21" s="1169">
        <v>528.20000000000005</v>
      </c>
      <c r="CY21" s="1169">
        <v>532.70000000000005</v>
      </c>
      <c r="CZ21" s="1169">
        <v>538.1</v>
      </c>
      <c r="DA21" s="1169">
        <v>543.1</v>
      </c>
      <c r="DB21" s="1169">
        <v>545.9</v>
      </c>
      <c r="DC21" s="1169">
        <v>554.4</v>
      </c>
      <c r="DD21" s="1169">
        <v>561.79999999999995</v>
      </c>
      <c r="DE21" s="1169">
        <v>569.4</v>
      </c>
      <c r="DF21" s="1169">
        <v>577.29999999999995</v>
      </c>
      <c r="DG21" s="1169">
        <v>584.9</v>
      </c>
      <c r="DH21" s="1169">
        <v>593.6</v>
      </c>
      <c r="DI21" s="1169">
        <v>605.29999999999995</v>
      </c>
      <c r="DJ21" s="1169">
        <v>613.29999999999995</v>
      </c>
      <c r="DK21" s="1169">
        <v>622.79999999999995</v>
      </c>
      <c r="DL21" s="1169">
        <v>632.6</v>
      </c>
      <c r="DM21" s="1169">
        <v>642.4</v>
      </c>
      <c r="DN21" s="1169">
        <v>653.29999999999995</v>
      </c>
      <c r="DO21" s="1169">
        <v>659</v>
      </c>
      <c r="DP21" s="1169">
        <v>666.4</v>
      </c>
      <c r="DQ21" s="1169">
        <v>679.6</v>
      </c>
      <c r="DR21" s="1169">
        <v>699.5</v>
      </c>
      <c r="DS21" s="1169">
        <v>701.9</v>
      </c>
      <c r="DT21" s="1169">
        <v>715.2</v>
      </c>
      <c r="DU21" s="1169">
        <v>721</v>
      </c>
      <c r="DV21" s="1169">
        <v>736.1</v>
      </c>
      <c r="DW21" s="1169">
        <v>736.9</v>
      </c>
      <c r="DX21" s="1169">
        <v>736.1</v>
      </c>
      <c r="DY21" s="1169">
        <v>738.7</v>
      </c>
      <c r="DZ21" s="1169">
        <v>746.9</v>
      </c>
      <c r="EA21" s="1169">
        <v>755.3</v>
      </c>
      <c r="EB21" s="1169">
        <v>758.1</v>
      </c>
      <c r="EC21" s="1169">
        <v>760.8</v>
      </c>
      <c r="ED21" s="1169">
        <v>767.1</v>
      </c>
      <c r="EE21" s="1169">
        <v>777.8</v>
      </c>
      <c r="EF21" s="1169">
        <v>787.7</v>
      </c>
      <c r="EG21" s="1169">
        <v>800.1</v>
      </c>
      <c r="EH21" s="1169">
        <v>813.4</v>
      </c>
      <c r="EI21" s="1169">
        <v>828</v>
      </c>
      <c r="EJ21" s="1169">
        <v>843.7</v>
      </c>
      <c r="EK21" s="1169">
        <v>849.5</v>
      </c>
      <c r="EL21" s="1169">
        <v>862.7</v>
      </c>
      <c r="EM21" s="1169">
        <v>871</v>
      </c>
      <c r="EN21" s="1169">
        <v>884.2</v>
      </c>
      <c r="EO21" s="1169">
        <v>894.1</v>
      </c>
      <c r="EP21" s="1169">
        <v>917.9</v>
      </c>
      <c r="EQ21" s="1169">
        <v>922.7</v>
      </c>
      <c r="ER21" s="1169">
        <v>927.2</v>
      </c>
      <c r="ES21" s="1169">
        <v>940.8</v>
      </c>
      <c r="ET21" s="1169">
        <v>960.4</v>
      </c>
      <c r="EU21" s="1169">
        <v>962</v>
      </c>
      <c r="EV21" s="1169">
        <v>965.3</v>
      </c>
      <c r="EW21" s="1169">
        <v>976.9</v>
      </c>
      <c r="EX21" s="1169">
        <v>988.8</v>
      </c>
      <c r="EY21" s="1169">
        <v>991</v>
      </c>
      <c r="EZ21" s="1169">
        <v>996.4</v>
      </c>
      <c r="FA21" s="1169">
        <v>996.6</v>
      </c>
      <c r="FB21" s="1169">
        <v>964.7</v>
      </c>
      <c r="FC21" s="1169">
        <v>971.2</v>
      </c>
      <c r="FD21" s="1169">
        <v>968.8</v>
      </c>
      <c r="FE21" s="1169">
        <v>972.2</v>
      </c>
      <c r="FF21" s="1169">
        <v>978.6</v>
      </c>
      <c r="FG21" s="1169">
        <v>989.5</v>
      </c>
      <c r="FH21" s="1169">
        <v>992.3</v>
      </c>
      <c r="FI21" s="1169">
        <v>994.3</v>
      </c>
      <c r="FJ21" s="1169">
        <v>916.2</v>
      </c>
      <c r="FK21" s="1169">
        <v>918.9</v>
      </c>
      <c r="FL21" s="1169">
        <v>927.3</v>
      </c>
      <c r="FM21" s="1169">
        <v>921.9</v>
      </c>
      <c r="FN21" s="1169">
        <v>944.9</v>
      </c>
      <c r="FO21" s="1169">
        <v>949.4</v>
      </c>
      <c r="FP21" s="1169">
        <v>952.3</v>
      </c>
      <c r="FQ21" s="1169">
        <v>974.1</v>
      </c>
      <c r="FR21" s="1169">
        <v>1095.9000000000001</v>
      </c>
      <c r="FS21" s="1169">
        <v>1108.2</v>
      </c>
      <c r="FT21" s="1169">
        <v>1111.4000000000001</v>
      </c>
      <c r="FU21" s="1169">
        <v>1122.3</v>
      </c>
      <c r="FV21" s="1169">
        <v>1145</v>
      </c>
      <c r="FW21" s="1169">
        <v>1149.7</v>
      </c>
      <c r="FX21" s="1169">
        <v>1161.4000000000001</v>
      </c>
      <c r="FY21" s="1169">
        <v>1179.0999999999999</v>
      </c>
      <c r="FZ21" s="1169">
        <v>1194.2</v>
      </c>
      <c r="GA21" s="1169">
        <v>1206.0999999999999</v>
      </c>
      <c r="GB21" s="1169">
        <v>1216.0999999999999</v>
      </c>
      <c r="GC21" s="1169">
        <v>1223.5999999999999</v>
      </c>
      <c r="GD21" s="1169">
        <v>1230.8</v>
      </c>
      <c r="GE21" s="1169">
        <v>1237</v>
      </c>
      <c r="GF21" s="1169">
        <v>1248.0999999999999</v>
      </c>
      <c r="GG21" s="1169">
        <v>1261.5</v>
      </c>
      <c r="GH21" s="1169">
        <v>1282.4000000000001</v>
      </c>
      <c r="GI21" s="1169">
        <v>1294.8</v>
      </c>
      <c r="GJ21" s="1169">
        <v>1310</v>
      </c>
      <c r="GK21" s="1169">
        <v>1328.9</v>
      </c>
      <c r="GL21" s="1169">
        <v>1348.7</v>
      </c>
      <c r="GM21" s="1169">
        <v>1358.3</v>
      </c>
      <c r="GN21" s="1169">
        <v>1374.5</v>
      </c>
      <c r="GO21" s="1169">
        <v>1381.9</v>
      </c>
      <c r="GP21" s="1169">
        <v>1413</v>
      </c>
      <c r="GQ21" s="1169">
        <v>1419.8</v>
      </c>
      <c r="GR21" s="1169">
        <v>1427.2</v>
      </c>
      <c r="GS21" s="1169">
        <v>1446.5</v>
      </c>
      <c r="GT21" s="1169">
        <v>1477.2</v>
      </c>
      <c r="GU21" s="1169">
        <v>1410.8</v>
      </c>
      <c r="GV21" s="1169">
        <v>1463.7</v>
      </c>
      <c r="GW21" s="1169">
        <v>1506.5</v>
      </c>
      <c r="GX21" s="1169">
        <v>1539.2</v>
      </c>
      <c r="GY21" s="1169">
        <v>1577.7</v>
      </c>
      <c r="GZ21" s="1169">
        <v>1616.9</v>
      </c>
      <c r="HA21" s="1169">
        <v>1652.9</v>
      </c>
    </row>
    <row r="22" spans="1:209" x14ac:dyDescent="0.35">
      <c r="A22" s="1169" t="s">
        <v>862</v>
      </c>
      <c r="B22" s="1169">
        <v>20.568999999999999</v>
      </c>
      <c r="C22" s="1169">
        <v>20.797000000000001</v>
      </c>
      <c r="D22" s="1169">
        <v>20.998999999999999</v>
      </c>
      <c r="E22" s="1169">
        <v>21.271000000000001</v>
      </c>
      <c r="F22" s="1169">
        <v>21.472000000000001</v>
      </c>
      <c r="G22" s="1169">
        <v>21.716000000000001</v>
      </c>
      <c r="H22" s="1169">
        <v>21.928999999999998</v>
      </c>
      <c r="I22" s="1169">
        <v>22.064</v>
      </c>
      <c r="J22" s="1169">
        <v>22.295999999999999</v>
      </c>
      <c r="K22" s="1169">
        <v>22.425000000000001</v>
      </c>
      <c r="L22" s="1169">
        <v>22.622</v>
      </c>
      <c r="M22" s="1169">
        <v>22.806999999999999</v>
      </c>
      <c r="N22" s="1169">
        <v>23.084</v>
      </c>
      <c r="O22" s="1169">
        <v>23.529</v>
      </c>
      <c r="P22" s="1169">
        <v>23.957999999999998</v>
      </c>
      <c r="Q22" s="1169">
        <v>24.45</v>
      </c>
      <c r="R22" s="1169">
        <v>25.178000000000001</v>
      </c>
      <c r="S22" s="1169">
        <v>25.890999999999998</v>
      </c>
      <c r="T22" s="1169">
        <v>26.588999999999999</v>
      </c>
      <c r="U22" s="1169">
        <v>27.262</v>
      </c>
      <c r="V22" s="1169">
        <v>27.771000000000001</v>
      </c>
      <c r="W22" s="1169">
        <v>28.109000000000002</v>
      </c>
      <c r="X22" s="1169">
        <v>28.634</v>
      </c>
      <c r="Y22" s="1169">
        <v>29.114999999999998</v>
      </c>
      <c r="Z22" s="1169">
        <v>29.437000000000001</v>
      </c>
      <c r="AA22" s="1169">
        <v>29.684999999999999</v>
      </c>
      <c r="AB22" s="1169">
        <v>30.137</v>
      </c>
      <c r="AC22" s="1169">
        <v>30.614000000000001</v>
      </c>
      <c r="AD22" s="1169">
        <v>31.164999999999999</v>
      </c>
      <c r="AE22" s="1169">
        <v>31.698</v>
      </c>
      <c r="AF22" s="1169">
        <v>32.173999999999999</v>
      </c>
      <c r="AG22" s="1169">
        <v>32.631</v>
      </c>
      <c r="AH22" s="1169">
        <v>33.164999999999999</v>
      </c>
      <c r="AI22" s="1169">
        <v>33.845999999999997</v>
      </c>
      <c r="AJ22" s="1169">
        <v>34.441000000000003</v>
      </c>
      <c r="AK22" s="1169">
        <v>35.091999999999999</v>
      </c>
      <c r="AL22" s="1169">
        <v>35.755000000000003</v>
      </c>
      <c r="AM22" s="1169">
        <v>36.732999999999997</v>
      </c>
      <c r="AN22" s="1169">
        <v>37.646000000000001</v>
      </c>
      <c r="AO22" s="1169">
        <v>38.558</v>
      </c>
      <c r="AP22" s="1169">
        <v>39.716000000000001</v>
      </c>
      <c r="AQ22" s="1169">
        <v>40.689</v>
      </c>
      <c r="AR22" s="1169">
        <v>41.640999999999998</v>
      </c>
      <c r="AS22" s="1169">
        <v>42.673000000000002</v>
      </c>
      <c r="AT22" s="1169">
        <v>43.780999999999999</v>
      </c>
      <c r="AU22" s="1169">
        <v>44.515000000000001</v>
      </c>
      <c r="AV22" s="1169">
        <v>45.247999999999998</v>
      </c>
      <c r="AW22" s="1169">
        <v>45.94</v>
      </c>
      <c r="AX22" s="1169">
        <v>46.521000000000001</v>
      </c>
      <c r="AY22" s="1169">
        <v>46.966999999999999</v>
      </c>
      <c r="AZ22" s="1169">
        <v>47.707000000000001</v>
      </c>
      <c r="BA22" s="1169">
        <v>48.231999999999999</v>
      </c>
      <c r="BB22" s="1169">
        <v>48.628999999999998</v>
      </c>
      <c r="BC22" s="1169">
        <v>49.073</v>
      </c>
      <c r="BD22" s="1169">
        <v>49.718000000000004</v>
      </c>
      <c r="BE22" s="1169">
        <v>50.048000000000002</v>
      </c>
      <c r="BF22" s="1169">
        <v>50.591999999999999</v>
      </c>
      <c r="BG22" s="1169">
        <v>51.082999999999998</v>
      </c>
      <c r="BH22" s="1169">
        <v>51.478000000000002</v>
      </c>
      <c r="BI22" s="1169">
        <v>51.795999999999999</v>
      </c>
      <c r="BJ22" s="1169">
        <v>52.405999999999999</v>
      </c>
      <c r="BK22" s="1169">
        <v>52.831000000000003</v>
      </c>
      <c r="BL22" s="1169">
        <v>53.244999999999997</v>
      </c>
      <c r="BM22" s="1169">
        <v>53.618000000000002</v>
      </c>
      <c r="BN22" s="1169">
        <v>53.999000000000002</v>
      </c>
      <c r="BO22" s="1169">
        <v>53.942999999999998</v>
      </c>
      <c r="BP22" s="1169">
        <v>54.228000000000002</v>
      </c>
      <c r="BQ22" s="1169">
        <v>54.555</v>
      </c>
      <c r="BR22" s="1169">
        <v>55.067999999999998</v>
      </c>
      <c r="BS22" s="1169">
        <v>55.597999999999999</v>
      </c>
      <c r="BT22" s="1169">
        <v>56.122999999999998</v>
      </c>
      <c r="BU22" s="1169">
        <v>56.606999999999999</v>
      </c>
      <c r="BV22" s="1169">
        <v>57.054000000000002</v>
      </c>
      <c r="BW22" s="1169">
        <v>57.683999999999997</v>
      </c>
      <c r="BX22" s="1169">
        <v>58.395000000000003</v>
      </c>
      <c r="BY22" s="1169">
        <v>58.987000000000002</v>
      </c>
      <c r="BZ22" s="1169">
        <v>59.664999999999999</v>
      </c>
      <c r="CA22" s="1169">
        <v>60.47</v>
      </c>
      <c r="CB22" s="1169">
        <v>60.828000000000003</v>
      </c>
      <c r="CC22" s="1169">
        <v>61.308</v>
      </c>
      <c r="CD22" s="1169">
        <v>62.198</v>
      </c>
      <c r="CE22" s="1169">
        <v>62.764000000000003</v>
      </c>
      <c r="CF22" s="1169">
        <v>63.561999999999998</v>
      </c>
      <c r="CG22" s="1169">
        <v>64.402000000000001</v>
      </c>
      <c r="CH22" s="1169">
        <v>64.739999999999995</v>
      </c>
      <c r="CI22" s="1169">
        <v>65.091999999999999</v>
      </c>
      <c r="CJ22" s="1169">
        <v>65.533000000000001</v>
      </c>
      <c r="CK22" s="1169">
        <v>66.007999999999996</v>
      </c>
      <c r="CL22" s="1169">
        <v>66.421000000000006</v>
      </c>
      <c r="CM22" s="1169">
        <v>66.861999999999995</v>
      </c>
      <c r="CN22" s="1169">
        <v>67.287999999999997</v>
      </c>
      <c r="CO22" s="1169">
        <v>67.757000000000005</v>
      </c>
      <c r="CP22" s="1169">
        <v>68.162000000000006</v>
      </c>
      <c r="CQ22" s="1169">
        <v>68.62</v>
      </c>
      <c r="CR22" s="1169">
        <v>68.918000000000006</v>
      </c>
      <c r="CS22" s="1169">
        <v>69.314999999999998</v>
      </c>
      <c r="CT22" s="1169">
        <v>69.563999999999993</v>
      </c>
      <c r="CU22" s="1169">
        <v>69.951999999999998</v>
      </c>
      <c r="CV22" s="1169">
        <v>70.453999999999994</v>
      </c>
      <c r="CW22" s="1169">
        <v>70.784999999999997</v>
      </c>
      <c r="CX22" s="1169">
        <v>71.132000000000005</v>
      </c>
      <c r="CY22" s="1169">
        <v>71.546000000000006</v>
      </c>
      <c r="CZ22" s="1169">
        <v>71.837999999999994</v>
      </c>
      <c r="DA22" s="1169">
        <v>72.153999999999996</v>
      </c>
      <c r="DB22" s="1169">
        <v>72.555000000000007</v>
      </c>
      <c r="DC22" s="1169">
        <v>73.040000000000006</v>
      </c>
      <c r="DD22" s="1169">
        <v>73.352000000000004</v>
      </c>
      <c r="DE22" s="1169">
        <v>73.852000000000004</v>
      </c>
      <c r="DF22" s="1169">
        <v>74.177999999999997</v>
      </c>
      <c r="DG22" s="1169">
        <v>74.364999999999995</v>
      </c>
      <c r="DH22" s="1169">
        <v>74.561000000000007</v>
      </c>
      <c r="DI22" s="1169">
        <v>74.795000000000002</v>
      </c>
      <c r="DJ22" s="1169">
        <v>74.801000000000002</v>
      </c>
      <c r="DK22" s="1169">
        <v>74.936000000000007</v>
      </c>
      <c r="DL22" s="1169">
        <v>75.167000000000002</v>
      </c>
      <c r="DM22" s="1169">
        <v>75.364000000000004</v>
      </c>
      <c r="DN22" s="1169">
        <v>75.510999999999996</v>
      </c>
      <c r="DO22" s="1169">
        <v>75.938999999999993</v>
      </c>
      <c r="DP22" s="1169">
        <v>76.356999999999999</v>
      </c>
      <c r="DQ22" s="1169">
        <v>76.820999999999998</v>
      </c>
      <c r="DR22" s="1169">
        <v>77.445999999999998</v>
      </c>
      <c r="DS22" s="1169">
        <v>77.814999999999998</v>
      </c>
      <c r="DT22" s="1169">
        <v>78.317999999999998</v>
      </c>
      <c r="DU22" s="1169">
        <v>78.762</v>
      </c>
      <c r="DV22" s="1169">
        <v>79.347999999999999</v>
      </c>
      <c r="DW22" s="1169">
        <v>79.72</v>
      </c>
      <c r="DX22" s="1169">
        <v>79.760000000000005</v>
      </c>
      <c r="DY22" s="1169">
        <v>79.793000000000006</v>
      </c>
      <c r="DZ22" s="1169">
        <v>79.951999999999998</v>
      </c>
      <c r="EA22" s="1169">
        <v>80.543999999999997</v>
      </c>
      <c r="EB22" s="1169">
        <v>80.960999999999999</v>
      </c>
      <c r="EC22" s="1169">
        <v>81.337999999999994</v>
      </c>
      <c r="ED22" s="1169">
        <v>81.96</v>
      </c>
      <c r="EE22" s="1169">
        <v>82.042000000000002</v>
      </c>
      <c r="EF22" s="1169">
        <v>82.581999999999994</v>
      </c>
      <c r="EG22" s="1169">
        <v>82.986999999999995</v>
      </c>
      <c r="EH22" s="1169">
        <v>83.626999999999995</v>
      </c>
      <c r="EI22" s="1169">
        <v>84.188999999999993</v>
      </c>
      <c r="EJ22" s="1169">
        <v>84.602999999999994</v>
      </c>
      <c r="EK22" s="1169">
        <v>85.325999999999993</v>
      </c>
      <c r="EL22" s="1169">
        <v>85.822000000000003</v>
      </c>
      <c r="EM22" s="1169">
        <v>86.364000000000004</v>
      </c>
      <c r="EN22" s="1169">
        <v>87.296999999999997</v>
      </c>
      <c r="EO22" s="1169">
        <v>87.992999999999995</v>
      </c>
      <c r="EP22" s="1169">
        <v>88.451999999999998</v>
      </c>
      <c r="EQ22" s="1169">
        <v>89.228999999999999</v>
      </c>
      <c r="ER22" s="1169">
        <v>89.870999999999995</v>
      </c>
      <c r="ES22" s="1169">
        <v>89.722999999999999</v>
      </c>
      <c r="ET22" s="1169">
        <v>90.542000000000002</v>
      </c>
      <c r="EU22" s="1169">
        <v>91.31</v>
      </c>
      <c r="EV22" s="1169">
        <v>91.826999999999998</v>
      </c>
      <c r="EW22" s="1169">
        <v>92.762</v>
      </c>
      <c r="EX22" s="1169">
        <v>93.518000000000001</v>
      </c>
      <c r="EY22" s="1169">
        <v>94.43</v>
      </c>
      <c r="EZ22" s="1169">
        <v>95.438000000000002</v>
      </c>
      <c r="FA22" s="1169">
        <v>93.915000000000006</v>
      </c>
      <c r="FB22" s="1169">
        <v>93.28</v>
      </c>
      <c r="FC22" s="1169">
        <v>93.65</v>
      </c>
      <c r="FD22" s="1169">
        <v>94.295000000000002</v>
      </c>
      <c r="FE22" s="1169">
        <v>95.022000000000006</v>
      </c>
      <c r="FF22" s="1169">
        <v>95.388999999999996</v>
      </c>
      <c r="FG22" s="1169">
        <v>95.536000000000001</v>
      </c>
      <c r="FH22" s="1169">
        <v>95.72</v>
      </c>
      <c r="FI22" s="1169">
        <v>96.332999999999998</v>
      </c>
      <c r="FJ22" s="1169">
        <v>97.143000000000001</v>
      </c>
      <c r="FK22" s="1169">
        <v>98.099000000000004</v>
      </c>
      <c r="FL22" s="1169">
        <v>98.552999999999997</v>
      </c>
      <c r="FM22" s="1169">
        <v>98.878</v>
      </c>
      <c r="FN22" s="1169">
        <v>99.533000000000001</v>
      </c>
      <c r="FO22" s="1169">
        <v>99.774000000000001</v>
      </c>
      <c r="FP22" s="1169">
        <v>100.06399999999999</v>
      </c>
      <c r="FQ22" s="1169">
        <v>100.625</v>
      </c>
      <c r="FR22" s="1169">
        <v>100.98699999999999</v>
      </c>
      <c r="FS22" s="1169">
        <v>101.059</v>
      </c>
      <c r="FT22" s="1169">
        <v>101.46899999999999</v>
      </c>
      <c r="FU22" s="1169">
        <v>101.89400000000001</v>
      </c>
      <c r="FV22" s="1169">
        <v>102.384</v>
      </c>
      <c r="FW22" s="1169">
        <v>102.896</v>
      </c>
      <c r="FX22" s="1169">
        <v>103.187</v>
      </c>
      <c r="FY22" s="1169">
        <v>103.069</v>
      </c>
      <c r="FZ22" s="1169">
        <v>102.64100000000001</v>
      </c>
      <c r="GA22" s="1169">
        <v>103.139</v>
      </c>
      <c r="GB22" s="1169">
        <v>103.389</v>
      </c>
      <c r="GC22" s="1169">
        <v>103.286</v>
      </c>
      <c r="GD22" s="1169">
        <v>103.34</v>
      </c>
      <c r="GE22" s="1169">
        <v>103.989</v>
      </c>
      <c r="GF22" s="1169">
        <v>104.379</v>
      </c>
      <c r="GG22" s="1169">
        <v>104.872</v>
      </c>
      <c r="GH22" s="1169">
        <v>105.449</v>
      </c>
      <c r="GI22" s="1169">
        <v>105.747</v>
      </c>
      <c r="GJ22" s="1169">
        <v>106.142</v>
      </c>
      <c r="GK22" s="1169">
        <v>106.851</v>
      </c>
      <c r="GL22" s="1169">
        <v>107.553</v>
      </c>
      <c r="GM22" s="1169">
        <v>108.18</v>
      </c>
      <c r="GN22" s="1169">
        <v>108.542</v>
      </c>
      <c r="GO22" s="1169">
        <v>108.983</v>
      </c>
      <c r="GP22" s="1169">
        <v>109.09699999999999</v>
      </c>
      <c r="GQ22" s="1169">
        <v>109.833</v>
      </c>
      <c r="GR22" s="1169">
        <v>110.136</v>
      </c>
      <c r="GS22" s="1169">
        <v>110.604</v>
      </c>
      <c r="GT22" s="1169">
        <v>110.946</v>
      </c>
      <c r="GU22" s="1169">
        <v>110.491</v>
      </c>
      <c r="GV22" s="1169">
        <v>111.49</v>
      </c>
      <c r="GW22" s="1169">
        <v>111.91</v>
      </c>
      <c r="GX22" s="1169">
        <v>112.97</v>
      </c>
      <c r="GY22" s="1169">
        <v>114.753</v>
      </c>
      <c r="GZ22" s="1169">
        <v>116.25700000000001</v>
      </c>
      <c r="HA22" s="1169">
        <v>118.062</v>
      </c>
    </row>
    <row r="23" spans="1:209" x14ac:dyDescent="0.35">
      <c r="A23" s="1169" t="s">
        <v>462</v>
      </c>
      <c r="B23" s="1169">
        <v>133.6</v>
      </c>
      <c r="C23" s="1169">
        <v>131.80000000000001</v>
      </c>
      <c r="D23" s="1169">
        <v>132.4</v>
      </c>
      <c r="E23" s="1169">
        <v>133.5</v>
      </c>
      <c r="F23" s="1169">
        <v>133.30000000000001</v>
      </c>
      <c r="G23" s="1169">
        <v>134.30000000000001</v>
      </c>
      <c r="H23" s="1169">
        <v>135.6</v>
      </c>
      <c r="I23" s="1169">
        <v>134.69999999999999</v>
      </c>
      <c r="J23" s="1169">
        <v>141.4</v>
      </c>
      <c r="K23" s="1169">
        <v>144.19999999999999</v>
      </c>
      <c r="L23" s="1169">
        <v>138.80000000000001</v>
      </c>
      <c r="M23" s="1169">
        <v>142.19999999999999</v>
      </c>
      <c r="N23" s="1169">
        <v>146.4</v>
      </c>
      <c r="O23" s="1169">
        <v>146.5</v>
      </c>
      <c r="P23" s="1169">
        <v>144.19999999999999</v>
      </c>
      <c r="Q23" s="1169">
        <v>147.6</v>
      </c>
      <c r="R23" s="1169">
        <v>152.69999999999999</v>
      </c>
      <c r="S23" s="1169">
        <v>154.9</v>
      </c>
      <c r="T23" s="1169">
        <v>160.4</v>
      </c>
      <c r="U23" s="1169">
        <v>167.4</v>
      </c>
      <c r="V23" s="1169">
        <v>168.6</v>
      </c>
      <c r="W23" s="1169">
        <v>169.4</v>
      </c>
      <c r="X23" s="1169">
        <v>176.1</v>
      </c>
      <c r="Y23" s="1169">
        <v>180.8</v>
      </c>
      <c r="Z23" s="1169">
        <v>181.6</v>
      </c>
      <c r="AA23" s="1169">
        <v>182.5</v>
      </c>
      <c r="AB23" s="1169">
        <v>184.9</v>
      </c>
      <c r="AC23" s="1169">
        <v>190.2</v>
      </c>
      <c r="AD23" s="1169">
        <v>194.2</v>
      </c>
      <c r="AE23" s="1169">
        <v>198.9</v>
      </c>
      <c r="AF23" s="1169">
        <v>201.9</v>
      </c>
      <c r="AG23" s="1169">
        <v>206.3</v>
      </c>
      <c r="AH23" s="1169">
        <v>208.8</v>
      </c>
      <c r="AI23" s="1169">
        <v>217</v>
      </c>
      <c r="AJ23" s="1169">
        <v>222.1</v>
      </c>
      <c r="AK23" s="1169">
        <v>227.8</v>
      </c>
      <c r="AL23" s="1169">
        <v>231.7</v>
      </c>
      <c r="AM23" s="1169">
        <v>237.6</v>
      </c>
      <c r="AN23" s="1169">
        <v>243.7</v>
      </c>
      <c r="AO23" s="1169">
        <v>249.3</v>
      </c>
      <c r="AP23" s="1169">
        <v>261.10000000000002</v>
      </c>
      <c r="AQ23" s="1169">
        <v>276.5</v>
      </c>
      <c r="AR23" s="1169">
        <v>276.10000000000002</v>
      </c>
      <c r="AS23" s="1169">
        <v>285.8</v>
      </c>
      <c r="AT23" s="1169">
        <v>297.2</v>
      </c>
      <c r="AU23" s="1169">
        <v>311.89999999999998</v>
      </c>
      <c r="AV23" s="1169">
        <v>317.39999999999998</v>
      </c>
      <c r="AW23" s="1169">
        <v>329.3</v>
      </c>
      <c r="AX23" s="1169">
        <v>334.9</v>
      </c>
      <c r="AY23" s="1169">
        <v>342.9</v>
      </c>
      <c r="AZ23" s="1169">
        <v>351.5</v>
      </c>
      <c r="BA23" s="1169">
        <v>364.1</v>
      </c>
      <c r="BB23" s="1169">
        <v>370.5</v>
      </c>
      <c r="BC23" s="1169">
        <v>380.3</v>
      </c>
      <c r="BD23" s="1169">
        <v>394.4</v>
      </c>
      <c r="BE23" s="1169">
        <v>384.2</v>
      </c>
      <c r="BF23" s="1169">
        <v>392.4</v>
      </c>
      <c r="BG23" s="1169">
        <v>408.3</v>
      </c>
      <c r="BH23" s="1169">
        <v>414</v>
      </c>
      <c r="BI23" s="1169">
        <v>432.5</v>
      </c>
      <c r="BJ23" s="1169">
        <v>434.8</v>
      </c>
      <c r="BK23" s="1169">
        <v>447.3</v>
      </c>
      <c r="BL23" s="1169">
        <v>463.1</v>
      </c>
      <c r="BM23" s="1169">
        <v>466.4</v>
      </c>
      <c r="BN23" s="1169">
        <v>464</v>
      </c>
      <c r="BO23" s="1169">
        <v>477.8</v>
      </c>
      <c r="BP23" s="1169">
        <v>495.1</v>
      </c>
      <c r="BQ23" s="1169">
        <v>489.8</v>
      </c>
      <c r="BR23" s="1169">
        <v>492.1</v>
      </c>
      <c r="BS23" s="1169">
        <v>501.2</v>
      </c>
      <c r="BT23" s="1169">
        <v>504.1</v>
      </c>
      <c r="BU23" s="1169">
        <v>513.70000000000005</v>
      </c>
      <c r="BV23" s="1169">
        <v>505.8</v>
      </c>
      <c r="BW23" s="1169">
        <v>506.9</v>
      </c>
      <c r="BX23" s="1169">
        <v>507.4</v>
      </c>
      <c r="BY23" s="1169">
        <v>525.6</v>
      </c>
      <c r="BZ23" s="1169">
        <v>519.9</v>
      </c>
      <c r="CA23" s="1169">
        <v>534.29999999999995</v>
      </c>
      <c r="CB23" s="1169">
        <v>541.4</v>
      </c>
      <c r="CC23" s="1169">
        <v>540.79999999999995</v>
      </c>
      <c r="CD23" s="1169">
        <v>553.70000000000005</v>
      </c>
      <c r="CE23" s="1169">
        <v>563.9</v>
      </c>
      <c r="CF23" s="1169">
        <v>562.20000000000005</v>
      </c>
      <c r="CG23" s="1169">
        <v>569.70000000000005</v>
      </c>
      <c r="CH23" s="1169">
        <v>581.4</v>
      </c>
      <c r="CI23" s="1169">
        <v>586.6</v>
      </c>
      <c r="CJ23" s="1169">
        <v>586.29999999999995</v>
      </c>
      <c r="CK23" s="1169">
        <v>577.4</v>
      </c>
      <c r="CL23" s="1169">
        <v>580.29999999999995</v>
      </c>
      <c r="CM23" s="1169">
        <v>580.9</v>
      </c>
      <c r="CN23" s="1169">
        <v>594.20000000000005</v>
      </c>
      <c r="CO23" s="1169">
        <v>598.4</v>
      </c>
      <c r="CP23" s="1169">
        <v>580.29999999999995</v>
      </c>
      <c r="CQ23" s="1169">
        <v>576.70000000000005</v>
      </c>
      <c r="CR23" s="1169">
        <v>578.70000000000005</v>
      </c>
      <c r="CS23" s="1169">
        <v>584.9</v>
      </c>
      <c r="CT23" s="1169">
        <v>567</v>
      </c>
      <c r="CU23" s="1169">
        <v>569.4</v>
      </c>
      <c r="CV23" s="1169">
        <v>586.5</v>
      </c>
      <c r="CW23" s="1169">
        <v>575.79999999999995</v>
      </c>
      <c r="CX23" s="1169">
        <v>579.1</v>
      </c>
      <c r="CY23" s="1169">
        <v>581</v>
      </c>
      <c r="CZ23" s="1169">
        <v>579.29999999999995</v>
      </c>
      <c r="DA23" s="1169">
        <v>567.29999999999995</v>
      </c>
      <c r="DB23" s="1169">
        <v>579.79999999999995</v>
      </c>
      <c r="DC23" s="1169">
        <v>582.1</v>
      </c>
      <c r="DD23" s="1169">
        <v>577.79999999999995</v>
      </c>
      <c r="DE23" s="1169">
        <v>576.9</v>
      </c>
      <c r="DF23" s="1169">
        <v>570.70000000000005</v>
      </c>
      <c r="DG23" s="1169">
        <v>587.20000000000005</v>
      </c>
      <c r="DH23" s="1169">
        <v>586</v>
      </c>
      <c r="DI23" s="1169">
        <v>589.20000000000005</v>
      </c>
      <c r="DJ23" s="1169">
        <v>572.20000000000005</v>
      </c>
      <c r="DK23" s="1169">
        <v>587.1</v>
      </c>
      <c r="DL23" s="1169">
        <v>588.6</v>
      </c>
      <c r="DM23" s="1169">
        <v>594.20000000000005</v>
      </c>
      <c r="DN23" s="1169">
        <v>595.1</v>
      </c>
      <c r="DO23" s="1169">
        <v>599.20000000000005</v>
      </c>
      <c r="DP23" s="1169">
        <v>614.20000000000005</v>
      </c>
      <c r="DQ23" s="1169">
        <v>634.29999999999995</v>
      </c>
      <c r="DR23" s="1169">
        <v>619.4</v>
      </c>
      <c r="DS23" s="1169">
        <v>641.20000000000005</v>
      </c>
      <c r="DT23" s="1169">
        <v>633.6</v>
      </c>
      <c r="DU23" s="1169">
        <v>638.20000000000005</v>
      </c>
      <c r="DV23" s="1169">
        <v>653.29999999999995</v>
      </c>
      <c r="DW23" s="1169">
        <v>666.2</v>
      </c>
      <c r="DX23" s="1169">
        <v>674.4</v>
      </c>
      <c r="DY23" s="1169">
        <v>686.9</v>
      </c>
      <c r="DZ23" s="1169">
        <v>714</v>
      </c>
      <c r="EA23" s="1169">
        <v>734.8</v>
      </c>
      <c r="EB23" s="1169">
        <v>748.4</v>
      </c>
      <c r="EC23" s="1169">
        <v>775.2</v>
      </c>
      <c r="ED23" s="1169">
        <v>792.7</v>
      </c>
      <c r="EE23" s="1169">
        <v>826</v>
      </c>
      <c r="EF23" s="1169">
        <v>833.3</v>
      </c>
      <c r="EG23" s="1169">
        <v>855.1</v>
      </c>
      <c r="EH23" s="1169">
        <v>871.8</v>
      </c>
      <c r="EI23" s="1169">
        <v>884.6</v>
      </c>
      <c r="EJ23" s="1169">
        <v>902.5</v>
      </c>
      <c r="EK23" s="1169">
        <v>909.6</v>
      </c>
      <c r="EL23" s="1169">
        <v>931.8</v>
      </c>
      <c r="EM23" s="1169">
        <v>939.3</v>
      </c>
      <c r="EN23" s="1169">
        <v>956.4</v>
      </c>
      <c r="EO23" s="1169">
        <v>963.7</v>
      </c>
      <c r="EP23" s="1169">
        <v>997.1</v>
      </c>
      <c r="EQ23" s="1169">
        <v>997.2</v>
      </c>
      <c r="ER23" s="1169">
        <v>995.4</v>
      </c>
      <c r="ES23" s="1169">
        <v>1015.1</v>
      </c>
      <c r="ET23" s="1169">
        <v>1017.5</v>
      </c>
      <c r="EU23" s="1169">
        <v>1042.5</v>
      </c>
      <c r="EV23" s="1169">
        <v>1058.8</v>
      </c>
      <c r="EW23" s="1169">
        <v>1085.3</v>
      </c>
      <c r="EX23" s="1169">
        <v>1111.2</v>
      </c>
      <c r="EY23" s="1169">
        <v>1146.5999999999999</v>
      </c>
      <c r="EZ23" s="1169">
        <v>1170.2</v>
      </c>
      <c r="FA23" s="1169">
        <v>1179.8</v>
      </c>
      <c r="FB23" s="1169">
        <v>1185.2</v>
      </c>
      <c r="FC23" s="1169">
        <v>1213.5</v>
      </c>
      <c r="FD23" s="1169">
        <v>1228.3</v>
      </c>
      <c r="FE23" s="1169">
        <v>1256.2</v>
      </c>
      <c r="FF23" s="1169">
        <v>1278.4000000000001</v>
      </c>
      <c r="FG23" s="1169">
        <v>1305.0999999999999</v>
      </c>
      <c r="FH23" s="1169">
        <v>1304.3</v>
      </c>
      <c r="FI23" s="1169">
        <v>1312.9</v>
      </c>
      <c r="FJ23" s="1169">
        <v>1306</v>
      </c>
      <c r="FK23" s="1169">
        <v>1312.7</v>
      </c>
      <c r="FL23" s="1169">
        <v>1288.7</v>
      </c>
      <c r="FM23" s="1169">
        <v>1291.7</v>
      </c>
      <c r="FN23" s="1169">
        <v>1296.0999999999999</v>
      </c>
      <c r="FO23" s="1169">
        <v>1288.5999999999999</v>
      </c>
      <c r="FP23" s="1169">
        <v>1293.8</v>
      </c>
      <c r="FQ23" s="1169">
        <v>1269.5</v>
      </c>
      <c r="FR23" s="1169">
        <v>1240.5</v>
      </c>
      <c r="FS23" s="1169">
        <v>1232.9000000000001</v>
      </c>
      <c r="FT23" s="1169">
        <v>1219</v>
      </c>
      <c r="FU23" s="1169">
        <v>1216.3</v>
      </c>
      <c r="FV23" s="1169">
        <v>1211.8</v>
      </c>
      <c r="FW23" s="1169">
        <v>1210</v>
      </c>
      <c r="FX23" s="1169">
        <v>1229.3</v>
      </c>
      <c r="FY23" s="1169">
        <v>1212.9000000000001</v>
      </c>
      <c r="FZ23" s="1169">
        <v>1216</v>
      </c>
      <c r="GA23" s="1169">
        <v>1220.5999999999999</v>
      </c>
      <c r="GB23" s="1169">
        <v>1221.2</v>
      </c>
      <c r="GC23" s="1169">
        <v>1229.3</v>
      </c>
      <c r="GD23" s="1169">
        <v>1229.3</v>
      </c>
      <c r="GE23" s="1169">
        <v>1225.8</v>
      </c>
      <c r="GF23" s="1169">
        <v>1238.0999999999999</v>
      </c>
      <c r="GG23" s="1169">
        <v>1244.8</v>
      </c>
      <c r="GH23" s="1169">
        <v>1242.5</v>
      </c>
      <c r="GI23" s="1169">
        <v>1257.5999999999999</v>
      </c>
      <c r="GJ23" s="1169">
        <v>1263.3</v>
      </c>
      <c r="GK23" s="1169">
        <v>1287.7</v>
      </c>
      <c r="GL23" s="1169">
        <v>1305.8</v>
      </c>
      <c r="GM23" s="1169">
        <v>1331.7</v>
      </c>
      <c r="GN23" s="1169">
        <v>1350.8</v>
      </c>
      <c r="GO23" s="1169">
        <v>1367.7</v>
      </c>
      <c r="GP23" s="1169">
        <v>1387</v>
      </c>
      <c r="GQ23" s="1169">
        <v>1406.9</v>
      </c>
      <c r="GR23" s="1169">
        <v>1424.1</v>
      </c>
      <c r="GS23" s="1169">
        <v>1441.7</v>
      </c>
      <c r="GT23" s="1169">
        <v>1454.7</v>
      </c>
      <c r="GU23" s="1169">
        <v>1525</v>
      </c>
      <c r="GV23" s="1169">
        <v>1515.1</v>
      </c>
      <c r="GW23" s="1169">
        <v>1512.3</v>
      </c>
      <c r="GX23" s="1169">
        <v>1568.6</v>
      </c>
      <c r="GY23" s="1169">
        <v>1563.3</v>
      </c>
      <c r="GZ23" s="1169">
        <v>1562</v>
      </c>
      <c r="HA23" s="1169">
        <v>1566.2</v>
      </c>
    </row>
    <row r="24" spans="1:209" x14ac:dyDescent="0.35">
      <c r="A24" s="1169" t="s">
        <v>472</v>
      </c>
      <c r="B24" s="1169">
        <v>114.3</v>
      </c>
      <c r="C24" s="1169">
        <v>117.4</v>
      </c>
      <c r="D24" s="1169">
        <v>122.2</v>
      </c>
      <c r="E24" s="1169">
        <v>125.2</v>
      </c>
      <c r="F24" s="1169">
        <v>128.6</v>
      </c>
      <c r="G24" s="1169">
        <v>131.9</v>
      </c>
      <c r="H24" s="1169">
        <v>134.19999999999999</v>
      </c>
      <c r="I24" s="1169">
        <v>137.4</v>
      </c>
      <c r="J24" s="1169">
        <v>140.80000000000001</v>
      </c>
      <c r="K24" s="1169">
        <v>142.19999999999999</v>
      </c>
      <c r="L24" s="1169">
        <v>145.6</v>
      </c>
      <c r="M24" s="1169">
        <v>149.6</v>
      </c>
      <c r="N24" s="1169">
        <v>153.19999999999999</v>
      </c>
      <c r="O24" s="1169">
        <v>156.19999999999999</v>
      </c>
      <c r="P24" s="1169">
        <v>159.9</v>
      </c>
      <c r="Q24" s="1169">
        <v>165</v>
      </c>
      <c r="R24" s="1169">
        <v>171.9</v>
      </c>
      <c r="S24" s="1169">
        <v>180.1</v>
      </c>
      <c r="T24" s="1169">
        <v>186.3</v>
      </c>
      <c r="U24" s="1169">
        <v>191.9</v>
      </c>
      <c r="V24" s="1169">
        <v>201.5</v>
      </c>
      <c r="W24" s="1169">
        <v>204</v>
      </c>
      <c r="X24" s="1169">
        <v>209.3</v>
      </c>
      <c r="Y24" s="1169">
        <v>214.8</v>
      </c>
      <c r="Z24" s="1169">
        <v>219.7</v>
      </c>
      <c r="AA24" s="1169">
        <v>218.5</v>
      </c>
      <c r="AB24" s="1169">
        <v>218.6</v>
      </c>
      <c r="AC24" s="1169">
        <v>220.6</v>
      </c>
      <c r="AD24" s="1169">
        <v>227</v>
      </c>
      <c r="AE24" s="1169">
        <v>232.4</v>
      </c>
      <c r="AF24" s="1169">
        <v>236.1</v>
      </c>
      <c r="AG24" s="1169">
        <v>240.5</v>
      </c>
      <c r="AH24" s="1169">
        <v>243.8</v>
      </c>
      <c r="AI24" s="1169">
        <v>255.3</v>
      </c>
      <c r="AJ24" s="1169">
        <v>262.2</v>
      </c>
      <c r="AK24" s="1169">
        <v>268.39999999999998</v>
      </c>
      <c r="AL24" s="1169">
        <v>270.10000000000002</v>
      </c>
      <c r="AM24" s="1169">
        <v>278.89999999999998</v>
      </c>
      <c r="AN24" s="1169">
        <v>289.39999999999998</v>
      </c>
      <c r="AO24" s="1169">
        <v>298.39999999999998</v>
      </c>
      <c r="AP24" s="1169">
        <v>307.7</v>
      </c>
      <c r="AQ24" s="1169">
        <v>312</v>
      </c>
      <c r="AR24" s="1169">
        <v>316.10000000000002</v>
      </c>
      <c r="AS24" s="1169">
        <v>323.10000000000002</v>
      </c>
      <c r="AT24" s="1169">
        <v>336.1</v>
      </c>
      <c r="AU24" s="1169">
        <v>336.8</v>
      </c>
      <c r="AV24" s="1169">
        <v>340.3</v>
      </c>
      <c r="AW24" s="1169">
        <v>348.4</v>
      </c>
      <c r="AX24" s="1169">
        <v>353.2</v>
      </c>
      <c r="AY24" s="1169">
        <v>360.2</v>
      </c>
      <c r="AZ24" s="1169">
        <v>365.8</v>
      </c>
      <c r="BA24" s="1169">
        <v>373.3</v>
      </c>
      <c r="BB24" s="1169">
        <v>377.4</v>
      </c>
      <c r="BC24" s="1169">
        <v>380.7</v>
      </c>
      <c r="BD24" s="1169">
        <v>387.8</v>
      </c>
      <c r="BE24" s="1169">
        <v>390.9</v>
      </c>
      <c r="BF24" s="1169">
        <v>401.6</v>
      </c>
      <c r="BG24" s="1169">
        <v>410.8</v>
      </c>
      <c r="BH24" s="1169">
        <v>421.7</v>
      </c>
      <c r="BI24" s="1169">
        <v>430.2</v>
      </c>
      <c r="BJ24" s="1169">
        <v>440.8</v>
      </c>
      <c r="BK24" s="1169">
        <v>453.2</v>
      </c>
      <c r="BL24" s="1169">
        <v>464.3</v>
      </c>
      <c r="BM24" s="1169">
        <v>472.1</v>
      </c>
      <c r="BN24" s="1169">
        <v>482.8</v>
      </c>
      <c r="BO24" s="1169">
        <v>489.7</v>
      </c>
      <c r="BP24" s="1169">
        <v>498.5</v>
      </c>
      <c r="BQ24" s="1169">
        <v>506.6</v>
      </c>
      <c r="BR24" s="1169">
        <v>516.5</v>
      </c>
      <c r="BS24" s="1169">
        <v>524</v>
      </c>
      <c r="BT24" s="1169">
        <v>532.1</v>
      </c>
      <c r="BU24" s="1169">
        <v>542.29999999999995</v>
      </c>
      <c r="BV24" s="1169">
        <v>551.1</v>
      </c>
      <c r="BW24" s="1169">
        <v>563.5</v>
      </c>
      <c r="BX24" s="1169">
        <v>570.79999999999995</v>
      </c>
      <c r="BY24" s="1169">
        <v>584.29999999999995</v>
      </c>
      <c r="BZ24" s="1169">
        <v>596.70000000000005</v>
      </c>
      <c r="CA24" s="1169">
        <v>611.5</v>
      </c>
      <c r="CB24" s="1169">
        <v>623.20000000000005</v>
      </c>
      <c r="CC24" s="1169">
        <v>639.70000000000005</v>
      </c>
      <c r="CD24" s="1169">
        <v>658.8</v>
      </c>
      <c r="CE24" s="1169">
        <v>666.8</v>
      </c>
      <c r="CF24" s="1169">
        <v>680.3</v>
      </c>
      <c r="CG24" s="1169">
        <v>698.8</v>
      </c>
      <c r="CH24" s="1169">
        <v>702.8</v>
      </c>
      <c r="CI24" s="1169">
        <v>709.9</v>
      </c>
      <c r="CJ24" s="1169">
        <v>719.9</v>
      </c>
      <c r="CK24" s="1169">
        <v>731.4</v>
      </c>
      <c r="CL24" s="1169">
        <v>746.1</v>
      </c>
      <c r="CM24" s="1169">
        <v>753.9</v>
      </c>
      <c r="CN24" s="1169">
        <v>759.8</v>
      </c>
      <c r="CO24" s="1169">
        <v>764.4</v>
      </c>
      <c r="CP24" s="1169">
        <v>771.5</v>
      </c>
      <c r="CQ24" s="1169">
        <v>782.3</v>
      </c>
      <c r="CR24" s="1169">
        <v>788.7</v>
      </c>
      <c r="CS24" s="1169">
        <v>796.5</v>
      </c>
      <c r="CT24" s="1169">
        <v>806.3</v>
      </c>
      <c r="CU24" s="1169">
        <v>820</v>
      </c>
      <c r="CV24" s="1169">
        <v>836.9</v>
      </c>
      <c r="CW24" s="1169">
        <v>847.1</v>
      </c>
      <c r="CX24" s="1169">
        <v>858.5</v>
      </c>
      <c r="CY24" s="1169">
        <v>871.9</v>
      </c>
      <c r="CZ24" s="1169">
        <v>876.3</v>
      </c>
      <c r="DA24" s="1169">
        <v>884.3</v>
      </c>
      <c r="DB24" s="1169">
        <v>891.5</v>
      </c>
      <c r="DC24" s="1169">
        <v>905.5</v>
      </c>
      <c r="DD24" s="1169">
        <v>919</v>
      </c>
      <c r="DE24" s="1169">
        <v>938.8</v>
      </c>
      <c r="DF24" s="1169">
        <v>945.3</v>
      </c>
      <c r="DG24" s="1169">
        <v>955.4</v>
      </c>
      <c r="DH24" s="1169">
        <v>969.2</v>
      </c>
      <c r="DI24" s="1169">
        <v>985.6</v>
      </c>
      <c r="DJ24" s="1169">
        <v>995.9</v>
      </c>
      <c r="DK24" s="1169">
        <v>1016.6</v>
      </c>
      <c r="DL24" s="1169">
        <v>1038.5999999999999</v>
      </c>
      <c r="DM24" s="1169">
        <v>1053.2</v>
      </c>
      <c r="DN24" s="1169">
        <v>1074</v>
      </c>
      <c r="DO24" s="1169">
        <v>1095.5</v>
      </c>
      <c r="DP24" s="1169">
        <v>1119.8</v>
      </c>
      <c r="DQ24" s="1169">
        <v>1147.4000000000001</v>
      </c>
      <c r="DR24" s="1169">
        <v>1170.5</v>
      </c>
      <c r="DS24" s="1169">
        <v>1181.3</v>
      </c>
      <c r="DT24" s="1169">
        <v>1198.5</v>
      </c>
      <c r="DU24" s="1169">
        <v>1223.0999999999999</v>
      </c>
      <c r="DV24" s="1169">
        <v>1253</v>
      </c>
      <c r="DW24" s="1169">
        <v>1281.5</v>
      </c>
      <c r="DX24" s="1169">
        <v>1279</v>
      </c>
      <c r="DY24" s="1169">
        <v>1305.9000000000001</v>
      </c>
      <c r="DZ24" s="1169">
        <v>1326</v>
      </c>
      <c r="EA24" s="1169">
        <v>1339.7</v>
      </c>
      <c r="EB24" s="1169">
        <v>1352.9</v>
      </c>
      <c r="EC24" s="1169">
        <v>1367</v>
      </c>
      <c r="ED24" s="1169">
        <v>1379.3</v>
      </c>
      <c r="EE24" s="1169">
        <v>1372.8</v>
      </c>
      <c r="EF24" s="1169">
        <v>1387.2</v>
      </c>
      <c r="EG24" s="1169">
        <v>1396</v>
      </c>
      <c r="EH24" s="1169">
        <v>1414.8</v>
      </c>
      <c r="EI24" s="1169">
        <v>1436.1</v>
      </c>
      <c r="EJ24" s="1169">
        <v>1453.9</v>
      </c>
      <c r="EK24" s="1169">
        <v>1479.2</v>
      </c>
      <c r="EL24" s="1169">
        <v>1494.3</v>
      </c>
      <c r="EM24" s="1169">
        <v>1513</v>
      </c>
      <c r="EN24" s="1169">
        <v>1538</v>
      </c>
      <c r="EO24" s="1169">
        <v>1564.8</v>
      </c>
      <c r="EP24" s="1169">
        <v>1583</v>
      </c>
      <c r="EQ24" s="1169">
        <v>1613.4</v>
      </c>
      <c r="ER24" s="1169">
        <v>1634.8</v>
      </c>
      <c r="ES24" s="1169">
        <v>1659.4</v>
      </c>
      <c r="ET24" s="1169">
        <v>1700.9</v>
      </c>
      <c r="EU24" s="1169">
        <v>1727.5</v>
      </c>
      <c r="EV24" s="1169">
        <v>1749.9</v>
      </c>
      <c r="EW24" s="1169">
        <v>1779.8</v>
      </c>
      <c r="EX24" s="1169">
        <v>1798.5</v>
      </c>
      <c r="EY24" s="1169">
        <v>1825</v>
      </c>
      <c r="EZ24" s="1169">
        <v>1858.8</v>
      </c>
      <c r="FA24" s="1169">
        <v>1842</v>
      </c>
      <c r="FB24" s="1169">
        <v>1836.8</v>
      </c>
      <c r="FC24" s="1169">
        <v>1857</v>
      </c>
      <c r="FD24" s="1169">
        <v>1863.8</v>
      </c>
      <c r="FE24" s="1169">
        <v>1864.6</v>
      </c>
      <c r="FF24" s="1169">
        <v>1855.5</v>
      </c>
      <c r="FG24" s="1169">
        <v>1860.7</v>
      </c>
      <c r="FH24" s="1169">
        <v>1854</v>
      </c>
      <c r="FI24" s="1169">
        <v>1851.4</v>
      </c>
      <c r="FJ24" s="1169">
        <v>1849.8</v>
      </c>
      <c r="FK24" s="1169">
        <v>1855.5</v>
      </c>
      <c r="FL24" s="1169">
        <v>1848.3</v>
      </c>
      <c r="FM24" s="1169">
        <v>1839.1</v>
      </c>
      <c r="FN24" s="1169">
        <v>1847.9</v>
      </c>
      <c r="FO24" s="1169">
        <v>1841.8</v>
      </c>
      <c r="FP24" s="1169">
        <v>1845.3</v>
      </c>
      <c r="FQ24" s="1169">
        <v>1862.7</v>
      </c>
      <c r="FR24" s="1169">
        <v>1884.9</v>
      </c>
      <c r="FS24" s="1169">
        <v>1899.8</v>
      </c>
      <c r="FT24" s="1169">
        <v>1915.8</v>
      </c>
      <c r="FU24" s="1169">
        <v>1923</v>
      </c>
      <c r="FV24" s="1169">
        <v>1926.4</v>
      </c>
      <c r="FW24" s="1169">
        <v>1944.1</v>
      </c>
      <c r="FX24" s="1169">
        <v>1962.5</v>
      </c>
      <c r="FY24" s="1169">
        <v>1978.3</v>
      </c>
      <c r="FZ24" s="1169">
        <v>1973.3</v>
      </c>
      <c r="GA24" s="1169">
        <v>2011.4</v>
      </c>
      <c r="GB24" s="1169">
        <v>2029.4</v>
      </c>
      <c r="GC24" s="1169">
        <v>2025.2</v>
      </c>
      <c r="GD24" s="1169">
        <v>2040.9</v>
      </c>
      <c r="GE24" s="1169">
        <v>2061.6</v>
      </c>
      <c r="GF24" s="1169">
        <v>2077.6999999999998</v>
      </c>
      <c r="GG24" s="1169">
        <v>2094</v>
      </c>
      <c r="GH24" s="1169">
        <v>2114.8000000000002</v>
      </c>
      <c r="GI24" s="1169">
        <v>2120.6</v>
      </c>
      <c r="GJ24" s="1169">
        <v>2137.5</v>
      </c>
      <c r="GK24" s="1169">
        <v>2172.1999999999998</v>
      </c>
      <c r="GL24" s="1169">
        <v>2199.6999999999998</v>
      </c>
      <c r="GM24" s="1169">
        <v>2232.6</v>
      </c>
      <c r="GN24" s="1169">
        <v>2250.1</v>
      </c>
      <c r="GO24" s="1169">
        <v>2249.6999999999998</v>
      </c>
      <c r="GP24" s="1169">
        <v>2263.5</v>
      </c>
      <c r="GQ24" s="1169">
        <v>2296</v>
      </c>
      <c r="GR24" s="1169">
        <v>2307.1999999999998</v>
      </c>
      <c r="GS24" s="1169">
        <v>2329.1999999999998</v>
      </c>
      <c r="GT24" s="1169">
        <v>2376.9</v>
      </c>
      <c r="GU24" s="1169">
        <v>2334.6</v>
      </c>
      <c r="GV24" s="1169">
        <v>2346.5</v>
      </c>
      <c r="GW24" s="1169">
        <v>2373</v>
      </c>
      <c r="GX24" s="1169">
        <v>2408.6999999999998</v>
      </c>
      <c r="GY24" s="1169">
        <v>2452.6</v>
      </c>
      <c r="GZ24" s="1169">
        <v>2522.9</v>
      </c>
      <c r="HA24" s="1169">
        <v>2566.6999999999998</v>
      </c>
    </row>
    <row r="25" spans="1:209" x14ac:dyDescent="0.35">
      <c r="A25" s="1169" t="s">
        <v>863</v>
      </c>
      <c r="B25" s="1169">
        <v>714</v>
      </c>
      <c r="C25" s="1169">
        <v>695.2</v>
      </c>
      <c r="D25" s="1169">
        <v>686.7</v>
      </c>
      <c r="E25" s="1169">
        <v>684.1</v>
      </c>
      <c r="F25" s="1169">
        <v>662.1</v>
      </c>
      <c r="G25" s="1169">
        <v>654.4</v>
      </c>
      <c r="H25" s="1169">
        <v>651.5</v>
      </c>
      <c r="I25" s="1169">
        <v>634.4</v>
      </c>
      <c r="J25" s="1169">
        <v>639.70000000000005</v>
      </c>
      <c r="K25" s="1169">
        <v>645.9</v>
      </c>
      <c r="L25" s="1169">
        <v>616.29999999999995</v>
      </c>
      <c r="M25" s="1169">
        <v>617.9</v>
      </c>
      <c r="N25" s="1169">
        <v>625.9</v>
      </c>
      <c r="O25" s="1169">
        <v>615.79999999999995</v>
      </c>
      <c r="P25" s="1169">
        <v>594</v>
      </c>
      <c r="Q25" s="1169">
        <v>595.4</v>
      </c>
      <c r="R25" s="1169">
        <v>609.70000000000005</v>
      </c>
      <c r="S25" s="1169">
        <v>607.6</v>
      </c>
      <c r="T25" s="1169">
        <v>611.5</v>
      </c>
      <c r="U25" s="1169">
        <v>617.6</v>
      </c>
      <c r="V25" s="1169">
        <v>611.1</v>
      </c>
      <c r="W25" s="1169">
        <v>605</v>
      </c>
      <c r="X25" s="1169">
        <v>620.6</v>
      </c>
      <c r="Y25" s="1169">
        <v>622.70000000000005</v>
      </c>
      <c r="Z25" s="1169">
        <v>616.5</v>
      </c>
      <c r="AA25" s="1169">
        <v>614.4</v>
      </c>
      <c r="AB25" s="1169">
        <v>615.29999999999995</v>
      </c>
      <c r="AC25" s="1169">
        <v>616.70000000000005</v>
      </c>
      <c r="AD25" s="1169">
        <v>620.9</v>
      </c>
      <c r="AE25" s="1169">
        <v>628.79999999999995</v>
      </c>
      <c r="AF25" s="1169">
        <v>635.1</v>
      </c>
      <c r="AG25" s="1169">
        <v>630.70000000000005</v>
      </c>
      <c r="AH25" s="1169">
        <v>631.1</v>
      </c>
      <c r="AI25" s="1169">
        <v>643.29999999999995</v>
      </c>
      <c r="AJ25" s="1169">
        <v>647.5</v>
      </c>
      <c r="AK25" s="1169">
        <v>653</v>
      </c>
      <c r="AL25" s="1169">
        <v>652</v>
      </c>
      <c r="AM25" s="1169">
        <v>658.6</v>
      </c>
      <c r="AN25" s="1169">
        <v>660.2</v>
      </c>
      <c r="AO25" s="1169">
        <v>660.9</v>
      </c>
      <c r="AP25" s="1169">
        <v>678.5</v>
      </c>
      <c r="AQ25" s="1169">
        <v>691.9</v>
      </c>
      <c r="AR25" s="1169">
        <v>684</v>
      </c>
      <c r="AS25" s="1169">
        <v>687.4</v>
      </c>
      <c r="AT25" s="1169">
        <v>700.9</v>
      </c>
      <c r="AU25" s="1169">
        <v>718.9</v>
      </c>
      <c r="AV25" s="1169">
        <v>715.9</v>
      </c>
      <c r="AW25" s="1169">
        <v>728.8</v>
      </c>
      <c r="AX25" s="1169">
        <v>729.3</v>
      </c>
      <c r="AY25" s="1169">
        <v>732.3</v>
      </c>
      <c r="AZ25" s="1169">
        <v>744.3</v>
      </c>
      <c r="BA25" s="1169">
        <v>761.9</v>
      </c>
      <c r="BB25" s="1169">
        <v>773.9</v>
      </c>
      <c r="BC25" s="1169">
        <v>788.3</v>
      </c>
      <c r="BD25" s="1169">
        <v>808.7</v>
      </c>
      <c r="BE25" s="1169">
        <v>782.5</v>
      </c>
      <c r="BF25" s="1169">
        <v>789.2</v>
      </c>
      <c r="BG25" s="1169">
        <v>813.1</v>
      </c>
      <c r="BH25" s="1169">
        <v>812.3</v>
      </c>
      <c r="BI25" s="1169">
        <v>838.4</v>
      </c>
      <c r="BJ25" s="1169">
        <v>846</v>
      </c>
      <c r="BK25" s="1169">
        <v>868.3</v>
      </c>
      <c r="BL25" s="1169">
        <v>894.2</v>
      </c>
      <c r="BM25" s="1169">
        <v>894.7</v>
      </c>
      <c r="BN25" s="1169">
        <v>892.2</v>
      </c>
      <c r="BO25" s="1169">
        <v>921.1</v>
      </c>
      <c r="BP25" s="1169">
        <v>953</v>
      </c>
      <c r="BQ25" s="1169">
        <v>941.8</v>
      </c>
      <c r="BR25" s="1169">
        <v>947.9</v>
      </c>
      <c r="BS25" s="1169">
        <v>960.8</v>
      </c>
      <c r="BT25" s="1169">
        <v>959.5</v>
      </c>
      <c r="BU25" s="1169">
        <v>975.7</v>
      </c>
      <c r="BV25" s="1169">
        <v>947.7</v>
      </c>
      <c r="BW25" s="1169">
        <v>940.6</v>
      </c>
      <c r="BX25" s="1169">
        <v>936.1</v>
      </c>
      <c r="BY25" s="1169">
        <v>962.1</v>
      </c>
      <c r="BZ25" s="1169">
        <v>944.5</v>
      </c>
      <c r="CA25" s="1169">
        <v>963.7</v>
      </c>
      <c r="CB25" s="1169">
        <v>971.6</v>
      </c>
      <c r="CC25" s="1169">
        <v>967.1</v>
      </c>
      <c r="CD25" s="1169">
        <v>983.2</v>
      </c>
      <c r="CE25" s="1169">
        <v>984.5</v>
      </c>
      <c r="CF25" s="1169">
        <v>980.1</v>
      </c>
      <c r="CG25" s="1169">
        <v>981.3</v>
      </c>
      <c r="CH25" s="1169">
        <v>992.5</v>
      </c>
      <c r="CI25" s="1169">
        <v>996.6</v>
      </c>
      <c r="CJ25" s="1169">
        <v>983.4</v>
      </c>
      <c r="CK25" s="1169">
        <v>958.8</v>
      </c>
      <c r="CL25" s="1169">
        <v>962.4</v>
      </c>
      <c r="CM25" s="1169">
        <v>959.9</v>
      </c>
      <c r="CN25" s="1169">
        <v>973.4</v>
      </c>
      <c r="CO25" s="1169">
        <v>974.1</v>
      </c>
      <c r="CP25" s="1169">
        <v>942.2</v>
      </c>
      <c r="CQ25" s="1169">
        <v>932.3</v>
      </c>
      <c r="CR25" s="1169">
        <v>928.8</v>
      </c>
      <c r="CS25" s="1169">
        <v>930.4</v>
      </c>
      <c r="CT25" s="1169">
        <v>897.9</v>
      </c>
      <c r="CU25" s="1169">
        <v>894.1</v>
      </c>
      <c r="CV25" s="1169">
        <v>915.8</v>
      </c>
      <c r="CW25" s="1169">
        <v>891.7</v>
      </c>
      <c r="CX25" s="1169">
        <v>889.2</v>
      </c>
      <c r="CY25" s="1169">
        <v>886.2</v>
      </c>
      <c r="CZ25" s="1169">
        <v>879.1</v>
      </c>
      <c r="DA25" s="1169">
        <v>849.1</v>
      </c>
      <c r="DB25" s="1169">
        <v>865.9</v>
      </c>
      <c r="DC25" s="1169">
        <v>874.1</v>
      </c>
      <c r="DD25" s="1169">
        <v>862.5</v>
      </c>
      <c r="DE25" s="1169">
        <v>858.3</v>
      </c>
      <c r="DF25" s="1169">
        <v>846.2</v>
      </c>
      <c r="DG25" s="1169">
        <v>865</v>
      </c>
      <c r="DH25" s="1169">
        <v>861.3</v>
      </c>
      <c r="DI25" s="1169">
        <v>859.9</v>
      </c>
      <c r="DJ25" s="1169">
        <v>838.5</v>
      </c>
      <c r="DK25" s="1169">
        <v>854.9</v>
      </c>
      <c r="DL25" s="1169">
        <v>851.6</v>
      </c>
      <c r="DM25" s="1169">
        <v>857</v>
      </c>
      <c r="DN25" s="1169">
        <v>856.3</v>
      </c>
      <c r="DO25" s="1169">
        <v>855.4</v>
      </c>
      <c r="DP25" s="1169">
        <v>869</v>
      </c>
      <c r="DQ25" s="1169">
        <v>886.8</v>
      </c>
      <c r="DR25" s="1169">
        <v>857.6</v>
      </c>
      <c r="DS25" s="1169">
        <v>884.1</v>
      </c>
      <c r="DT25" s="1169">
        <v>867</v>
      </c>
      <c r="DU25" s="1169">
        <v>868.9</v>
      </c>
      <c r="DV25" s="1169">
        <v>887.5</v>
      </c>
      <c r="DW25" s="1169">
        <v>900.4</v>
      </c>
      <c r="DX25" s="1169">
        <v>905.8</v>
      </c>
      <c r="DY25" s="1169">
        <v>916.6</v>
      </c>
      <c r="DZ25" s="1169">
        <v>946.8</v>
      </c>
      <c r="EA25" s="1169">
        <v>965.2</v>
      </c>
      <c r="EB25" s="1169">
        <v>974.7</v>
      </c>
      <c r="EC25" s="1169">
        <v>991.3</v>
      </c>
      <c r="ED25" s="1169">
        <v>1002.5</v>
      </c>
      <c r="EE25" s="1169">
        <v>1037.0999999999999</v>
      </c>
      <c r="EF25" s="1169">
        <v>1036.8</v>
      </c>
      <c r="EG25" s="1169">
        <v>1056.0999999999999</v>
      </c>
      <c r="EH25" s="1169">
        <v>1067.5999999999999</v>
      </c>
      <c r="EI25" s="1169">
        <v>1073.9000000000001</v>
      </c>
      <c r="EJ25" s="1169">
        <v>1085.7</v>
      </c>
      <c r="EK25" s="1169">
        <v>1083.7</v>
      </c>
      <c r="EL25" s="1169">
        <v>1095.8</v>
      </c>
      <c r="EM25" s="1169">
        <v>1094.5999999999999</v>
      </c>
      <c r="EN25" s="1169">
        <v>1103.0999999999999</v>
      </c>
      <c r="EO25" s="1169">
        <v>1103.5</v>
      </c>
      <c r="EP25" s="1169">
        <v>1132.2</v>
      </c>
      <c r="EQ25" s="1169">
        <v>1124.4000000000001</v>
      </c>
      <c r="ER25" s="1169">
        <v>1114.3</v>
      </c>
      <c r="ES25" s="1169">
        <v>1130.4000000000001</v>
      </c>
      <c r="ET25" s="1169">
        <v>1123.7</v>
      </c>
      <c r="EU25" s="1169">
        <v>1142.0999999999999</v>
      </c>
      <c r="EV25" s="1169">
        <v>1152.0999999999999</v>
      </c>
      <c r="EW25" s="1169">
        <v>1171.3</v>
      </c>
      <c r="EX25" s="1169">
        <v>1189.0999999999999</v>
      </c>
      <c r="EY25" s="1169">
        <v>1214.5</v>
      </c>
      <c r="EZ25" s="1169">
        <v>1230.3</v>
      </c>
      <c r="FA25" s="1169">
        <v>1246.3</v>
      </c>
      <c r="FB25" s="1169">
        <v>1262.8</v>
      </c>
      <c r="FC25" s="1169">
        <v>1292.8</v>
      </c>
      <c r="FD25" s="1169">
        <v>1304.5999999999999</v>
      </c>
      <c r="FE25" s="1169">
        <v>1324</v>
      </c>
      <c r="FF25" s="1169">
        <v>1338.8</v>
      </c>
      <c r="FG25" s="1169">
        <v>1356.4</v>
      </c>
      <c r="FH25" s="1169">
        <v>1350.2</v>
      </c>
      <c r="FI25" s="1169">
        <v>1348</v>
      </c>
      <c r="FJ25" s="1169">
        <v>1329</v>
      </c>
      <c r="FK25" s="1169">
        <v>1323.9</v>
      </c>
      <c r="FL25" s="1169">
        <v>1295.0999999999999</v>
      </c>
      <c r="FM25" s="1169">
        <v>1299.9000000000001</v>
      </c>
      <c r="FN25" s="1169">
        <v>1299.9000000000001</v>
      </c>
      <c r="FO25" s="1169">
        <v>1289.5</v>
      </c>
      <c r="FP25" s="1169">
        <v>1292.2</v>
      </c>
      <c r="FQ25" s="1169">
        <v>1266.4000000000001</v>
      </c>
      <c r="FR25" s="1169">
        <v>1237.4000000000001</v>
      </c>
      <c r="FS25" s="1169">
        <v>1227.4000000000001</v>
      </c>
      <c r="FT25" s="1169">
        <v>1209.5999999999999</v>
      </c>
      <c r="FU25" s="1169">
        <v>1188.9000000000001</v>
      </c>
      <c r="FV25" s="1169">
        <v>1187.7</v>
      </c>
      <c r="FW25" s="1169">
        <v>1180.7</v>
      </c>
      <c r="FX25" s="1169">
        <v>1193.9000000000001</v>
      </c>
      <c r="FY25" s="1169">
        <v>1176.5</v>
      </c>
      <c r="FZ25" s="1169">
        <v>1181.3</v>
      </c>
      <c r="GA25" s="1169">
        <v>1183.5</v>
      </c>
      <c r="GB25" s="1169">
        <v>1182.3</v>
      </c>
      <c r="GC25" s="1169">
        <v>1191.0999999999999</v>
      </c>
      <c r="GD25" s="1169">
        <v>1194</v>
      </c>
      <c r="GE25" s="1169">
        <v>1184.3</v>
      </c>
      <c r="GF25" s="1169">
        <v>1191.5</v>
      </c>
      <c r="GG25" s="1169">
        <v>1192.3</v>
      </c>
      <c r="GH25" s="1169">
        <v>1183.8</v>
      </c>
      <c r="GI25" s="1169">
        <v>1193.7</v>
      </c>
      <c r="GJ25" s="1169">
        <v>1193.4000000000001</v>
      </c>
      <c r="GK25" s="1169">
        <v>1207.7</v>
      </c>
      <c r="GL25" s="1169">
        <v>1213</v>
      </c>
      <c r="GM25" s="1169">
        <v>1228.0999999999999</v>
      </c>
      <c r="GN25" s="1169">
        <v>1238.5</v>
      </c>
      <c r="GO25" s="1169">
        <v>1244.2</v>
      </c>
      <c r="GP25" s="1169">
        <v>1248.7</v>
      </c>
      <c r="GQ25" s="1169">
        <v>1275.5</v>
      </c>
      <c r="GR25" s="1169">
        <v>1286.8</v>
      </c>
      <c r="GS25" s="1169">
        <v>1298</v>
      </c>
      <c r="GT25" s="1169">
        <v>1305.8</v>
      </c>
      <c r="GU25" s="1169">
        <v>1368.4</v>
      </c>
      <c r="GV25" s="1169">
        <v>1349.6</v>
      </c>
      <c r="GW25" s="1169">
        <v>1338.8</v>
      </c>
      <c r="GX25" s="1169">
        <v>1375.2</v>
      </c>
      <c r="GY25" s="1169">
        <v>1356.7</v>
      </c>
      <c r="GZ25" s="1169">
        <v>1339.1</v>
      </c>
      <c r="HA25" s="1169">
        <v>1324.3</v>
      </c>
    </row>
    <row r="26" spans="1:209" x14ac:dyDescent="0.35">
      <c r="A26" s="1169" t="s">
        <v>864</v>
      </c>
      <c r="B26" s="1169">
        <v>834.4</v>
      </c>
      <c r="C26" s="1169">
        <v>838.9</v>
      </c>
      <c r="D26" s="1169">
        <v>858.1</v>
      </c>
      <c r="E26" s="1169">
        <v>862.4</v>
      </c>
      <c r="F26" s="1169">
        <v>866</v>
      </c>
      <c r="G26" s="1169">
        <v>872.4</v>
      </c>
      <c r="H26" s="1169">
        <v>875.4</v>
      </c>
      <c r="I26" s="1169">
        <v>886.4</v>
      </c>
      <c r="J26" s="1169">
        <v>888.8</v>
      </c>
      <c r="K26" s="1169">
        <v>887.3</v>
      </c>
      <c r="L26" s="1169">
        <v>894.4</v>
      </c>
      <c r="M26" s="1169">
        <v>906.7</v>
      </c>
      <c r="N26" s="1169">
        <v>910.9</v>
      </c>
      <c r="O26" s="1169">
        <v>912.4</v>
      </c>
      <c r="P26" s="1169">
        <v>921.9</v>
      </c>
      <c r="Q26" s="1169">
        <v>933.1</v>
      </c>
      <c r="R26" s="1169">
        <v>944.9</v>
      </c>
      <c r="S26" s="1169">
        <v>956.6</v>
      </c>
      <c r="T26" s="1169">
        <v>954.8</v>
      </c>
      <c r="U26" s="1169">
        <v>955.2</v>
      </c>
      <c r="V26" s="1169">
        <v>983.4</v>
      </c>
      <c r="W26" s="1169">
        <v>976.4</v>
      </c>
      <c r="X26" s="1169">
        <v>988.9</v>
      </c>
      <c r="Y26" s="1169">
        <v>1002.1</v>
      </c>
      <c r="Z26" s="1169">
        <v>1013.3</v>
      </c>
      <c r="AA26" s="1169">
        <v>995.6</v>
      </c>
      <c r="AB26" s="1169">
        <v>989</v>
      </c>
      <c r="AC26" s="1169">
        <v>986</v>
      </c>
      <c r="AD26" s="1169">
        <v>995.8</v>
      </c>
      <c r="AE26" s="1169">
        <v>1001.9</v>
      </c>
      <c r="AF26" s="1169">
        <v>1000.8</v>
      </c>
      <c r="AG26" s="1169">
        <v>1002.4</v>
      </c>
      <c r="AH26" s="1169">
        <v>1002.2</v>
      </c>
      <c r="AI26" s="1169">
        <v>1032.3</v>
      </c>
      <c r="AJ26" s="1169">
        <v>1044.2</v>
      </c>
      <c r="AK26" s="1169">
        <v>1054.0999999999999</v>
      </c>
      <c r="AL26" s="1169">
        <v>1036.2</v>
      </c>
      <c r="AM26" s="1169">
        <v>1046</v>
      </c>
      <c r="AN26" s="1169">
        <v>1049.5999999999999</v>
      </c>
      <c r="AO26" s="1169">
        <v>1061.4000000000001</v>
      </c>
      <c r="AP26" s="1169">
        <v>1066.3</v>
      </c>
      <c r="AQ26" s="1169">
        <v>1052.2</v>
      </c>
      <c r="AR26" s="1169">
        <v>1035.9000000000001</v>
      </c>
      <c r="AS26" s="1169">
        <v>1030.8</v>
      </c>
      <c r="AT26" s="1169">
        <v>1038.9000000000001</v>
      </c>
      <c r="AU26" s="1169">
        <v>1019</v>
      </c>
      <c r="AV26" s="1169">
        <v>1016.1</v>
      </c>
      <c r="AW26" s="1169">
        <v>1024</v>
      </c>
      <c r="AX26" s="1169">
        <v>1021.2</v>
      </c>
      <c r="AY26" s="1169">
        <v>1024.8</v>
      </c>
      <c r="AZ26" s="1169">
        <v>1024.8</v>
      </c>
      <c r="BA26" s="1169">
        <v>1032.5</v>
      </c>
      <c r="BB26" s="1169">
        <v>1036.3</v>
      </c>
      <c r="BC26" s="1169">
        <v>1034.2</v>
      </c>
      <c r="BD26" s="1169">
        <v>1043.2</v>
      </c>
      <c r="BE26" s="1169">
        <v>1043.9000000000001</v>
      </c>
      <c r="BF26" s="1169">
        <v>1057.0999999999999</v>
      </c>
      <c r="BG26" s="1169">
        <v>1071.2</v>
      </c>
      <c r="BH26" s="1169">
        <v>1089.5</v>
      </c>
      <c r="BI26" s="1169">
        <v>1100.5</v>
      </c>
      <c r="BJ26" s="1169">
        <v>1114.4000000000001</v>
      </c>
      <c r="BK26" s="1169">
        <v>1134.5999999999999</v>
      </c>
      <c r="BL26" s="1169">
        <v>1152.7</v>
      </c>
      <c r="BM26" s="1169">
        <v>1161.5</v>
      </c>
      <c r="BN26" s="1169">
        <v>1182.9000000000001</v>
      </c>
      <c r="BO26" s="1169">
        <v>1194.4000000000001</v>
      </c>
      <c r="BP26" s="1169">
        <v>1205.5</v>
      </c>
      <c r="BQ26" s="1169">
        <v>1209.5</v>
      </c>
      <c r="BR26" s="1169">
        <v>1215.9000000000001</v>
      </c>
      <c r="BS26" s="1169">
        <v>1218.5999999999999</v>
      </c>
      <c r="BT26" s="1169">
        <v>1222.8</v>
      </c>
      <c r="BU26" s="1169">
        <v>1238.9000000000001</v>
      </c>
      <c r="BV26" s="1169">
        <v>1252.5999999999999</v>
      </c>
      <c r="BW26" s="1169">
        <v>1268.4000000000001</v>
      </c>
      <c r="BX26" s="1169">
        <v>1274.0999999999999</v>
      </c>
      <c r="BY26" s="1169">
        <v>1289.4000000000001</v>
      </c>
      <c r="BZ26" s="1169">
        <v>1299.8</v>
      </c>
      <c r="CA26" s="1169">
        <v>1314.2</v>
      </c>
      <c r="CB26" s="1169">
        <v>1326.9</v>
      </c>
      <c r="CC26" s="1169">
        <v>1344.6</v>
      </c>
      <c r="CD26" s="1169">
        <v>1365.4</v>
      </c>
      <c r="CE26" s="1169">
        <v>1367.9</v>
      </c>
      <c r="CF26" s="1169">
        <v>1377</v>
      </c>
      <c r="CG26" s="1169">
        <v>1392.4</v>
      </c>
      <c r="CH26" s="1169">
        <v>1394.5</v>
      </c>
      <c r="CI26" s="1169">
        <v>1400.1</v>
      </c>
      <c r="CJ26" s="1169">
        <v>1408.3</v>
      </c>
      <c r="CK26" s="1169">
        <v>1418.2</v>
      </c>
      <c r="CL26" s="1169">
        <v>1436.5</v>
      </c>
      <c r="CM26" s="1169">
        <v>1434.4</v>
      </c>
      <c r="CN26" s="1169">
        <v>1435</v>
      </c>
      <c r="CO26" s="1169">
        <v>1433.9</v>
      </c>
      <c r="CP26" s="1169">
        <v>1438.9</v>
      </c>
      <c r="CQ26" s="1169">
        <v>1450.6</v>
      </c>
      <c r="CR26" s="1169">
        <v>1458.2</v>
      </c>
      <c r="CS26" s="1169">
        <v>1465.3</v>
      </c>
      <c r="CT26" s="1169">
        <v>1471.3</v>
      </c>
      <c r="CU26" s="1169">
        <v>1488.1</v>
      </c>
      <c r="CV26" s="1169">
        <v>1505.6</v>
      </c>
      <c r="CW26" s="1169">
        <v>1511.1</v>
      </c>
      <c r="CX26" s="1169">
        <v>1522.9</v>
      </c>
      <c r="CY26" s="1169">
        <v>1534.9</v>
      </c>
      <c r="CZ26" s="1169">
        <v>1536.4</v>
      </c>
      <c r="DA26" s="1169">
        <v>1544.4</v>
      </c>
      <c r="DB26" s="1169">
        <v>1541.6</v>
      </c>
      <c r="DC26" s="1169">
        <v>1563.8</v>
      </c>
      <c r="DD26" s="1169">
        <v>1577.1</v>
      </c>
      <c r="DE26" s="1169">
        <v>1599.6</v>
      </c>
      <c r="DF26" s="1169">
        <v>1600.1</v>
      </c>
      <c r="DG26" s="1169">
        <v>1611.9</v>
      </c>
      <c r="DH26" s="1169">
        <v>1628.1</v>
      </c>
      <c r="DI26" s="1169">
        <v>1642.8</v>
      </c>
      <c r="DJ26" s="1169">
        <v>1657.8</v>
      </c>
      <c r="DK26" s="1169">
        <v>1684.9</v>
      </c>
      <c r="DL26" s="1169">
        <v>1708.6</v>
      </c>
      <c r="DM26" s="1169">
        <v>1718.3</v>
      </c>
      <c r="DN26" s="1169">
        <v>1737.3</v>
      </c>
      <c r="DO26" s="1169">
        <v>1748.4</v>
      </c>
      <c r="DP26" s="1169">
        <v>1766</v>
      </c>
      <c r="DQ26" s="1169">
        <v>1788.9</v>
      </c>
      <c r="DR26" s="1169">
        <v>1801.7</v>
      </c>
      <c r="DS26" s="1169">
        <v>1799.2</v>
      </c>
      <c r="DT26" s="1169">
        <v>1806.2</v>
      </c>
      <c r="DU26" s="1169">
        <v>1820.6</v>
      </c>
      <c r="DV26" s="1169">
        <v>1842.9</v>
      </c>
      <c r="DW26" s="1169">
        <v>1877.7</v>
      </c>
      <c r="DX26" s="1169">
        <v>1869</v>
      </c>
      <c r="DY26" s="1169">
        <v>1904.3</v>
      </c>
      <c r="DZ26" s="1169">
        <v>1923.7</v>
      </c>
      <c r="EA26" s="1169">
        <v>1926.3</v>
      </c>
      <c r="EB26" s="1169">
        <v>1931.3</v>
      </c>
      <c r="EC26" s="1169">
        <v>1935.3</v>
      </c>
      <c r="ED26" s="1169">
        <v>1925.3</v>
      </c>
      <c r="EE26" s="1169">
        <v>1914.9</v>
      </c>
      <c r="EF26" s="1169">
        <v>1921.9</v>
      </c>
      <c r="EG26" s="1169">
        <v>1919.2</v>
      </c>
      <c r="EH26" s="1169">
        <v>1920.6</v>
      </c>
      <c r="EI26" s="1169">
        <v>1922.1</v>
      </c>
      <c r="EJ26" s="1169">
        <v>1914.9</v>
      </c>
      <c r="EK26" s="1169">
        <v>1915.3</v>
      </c>
      <c r="EL26" s="1169">
        <v>1917.6</v>
      </c>
      <c r="EM26" s="1169">
        <v>1917</v>
      </c>
      <c r="EN26" s="1169">
        <v>1918.2</v>
      </c>
      <c r="EO26" s="1169">
        <v>1920.2</v>
      </c>
      <c r="EP26" s="1169">
        <v>1928.9</v>
      </c>
      <c r="EQ26" s="1169">
        <v>1936.2</v>
      </c>
      <c r="ER26" s="1169">
        <v>1942.4</v>
      </c>
      <c r="ES26" s="1169">
        <v>1951</v>
      </c>
      <c r="ET26" s="1169">
        <v>1962.4</v>
      </c>
      <c r="EU26" s="1169">
        <v>1971.8</v>
      </c>
      <c r="EV26" s="1169">
        <v>1975.8</v>
      </c>
      <c r="EW26" s="1169">
        <v>1980.8</v>
      </c>
      <c r="EX26" s="1169">
        <v>1970</v>
      </c>
      <c r="EY26" s="1169">
        <v>1971.6</v>
      </c>
      <c r="EZ26" s="1169">
        <v>1981.5</v>
      </c>
      <c r="FA26" s="1169">
        <v>1987.3</v>
      </c>
      <c r="FB26" s="1169">
        <v>2007.7</v>
      </c>
      <c r="FC26" s="1169">
        <v>2025.2</v>
      </c>
      <c r="FD26" s="1169">
        <v>2022.3</v>
      </c>
      <c r="FE26" s="1169">
        <v>2008.4</v>
      </c>
      <c r="FF26" s="1169">
        <v>1978.9</v>
      </c>
      <c r="FG26" s="1169">
        <v>1971.3</v>
      </c>
      <c r="FH26" s="1169">
        <v>1953.9</v>
      </c>
      <c r="FI26" s="1169">
        <v>1934.9</v>
      </c>
      <c r="FJ26" s="1169">
        <v>1913.8</v>
      </c>
      <c r="FK26" s="1169">
        <v>1896.9</v>
      </c>
      <c r="FL26" s="1169">
        <v>1879.8</v>
      </c>
      <c r="FM26" s="1169">
        <v>1872.6</v>
      </c>
      <c r="FN26" s="1169">
        <v>1859</v>
      </c>
      <c r="FO26" s="1169">
        <v>1852.9</v>
      </c>
      <c r="FP26" s="1169">
        <v>1845.5</v>
      </c>
      <c r="FQ26" s="1169">
        <v>1840.5</v>
      </c>
      <c r="FR26" s="1169">
        <v>1841.3</v>
      </c>
      <c r="FS26" s="1169">
        <v>1846</v>
      </c>
      <c r="FT26" s="1169">
        <v>1847</v>
      </c>
      <c r="FU26" s="1169">
        <v>1843.4</v>
      </c>
      <c r="FV26" s="1169">
        <v>1832.2</v>
      </c>
      <c r="FW26" s="1169">
        <v>1842.7</v>
      </c>
      <c r="FX26" s="1169">
        <v>1849.9</v>
      </c>
      <c r="FY26" s="1169">
        <v>1865.4</v>
      </c>
      <c r="FZ26" s="1169">
        <v>1876.3</v>
      </c>
      <c r="GA26" s="1169">
        <v>1900</v>
      </c>
      <c r="GB26" s="1169">
        <v>1915.1</v>
      </c>
      <c r="GC26" s="1169">
        <v>1917.5</v>
      </c>
      <c r="GD26" s="1169">
        <v>1946.9</v>
      </c>
      <c r="GE26" s="1169">
        <v>1951.6</v>
      </c>
      <c r="GF26" s="1169">
        <v>1960.4</v>
      </c>
      <c r="GG26" s="1169">
        <v>1966.2</v>
      </c>
      <c r="GH26" s="1169">
        <v>1967.8</v>
      </c>
      <c r="GI26" s="1169">
        <v>1967.5</v>
      </c>
      <c r="GJ26" s="1169">
        <v>1965.3</v>
      </c>
      <c r="GK26" s="1169">
        <v>1973.4</v>
      </c>
      <c r="GL26" s="1169">
        <v>1974.9</v>
      </c>
      <c r="GM26" s="1169">
        <v>1982.5</v>
      </c>
      <c r="GN26" s="1169">
        <v>1980.2</v>
      </c>
      <c r="GO26" s="1169">
        <v>1968.1</v>
      </c>
      <c r="GP26" s="1169">
        <v>1985.4</v>
      </c>
      <c r="GQ26" s="1169">
        <v>1998.7</v>
      </c>
      <c r="GR26" s="1169">
        <v>2004.3</v>
      </c>
      <c r="GS26" s="1169">
        <v>2017.6</v>
      </c>
      <c r="GT26" s="1169">
        <v>2039.7</v>
      </c>
      <c r="GU26" s="1169">
        <v>2011</v>
      </c>
      <c r="GV26" s="1169">
        <v>2011.4</v>
      </c>
      <c r="GW26" s="1169">
        <v>2017.6</v>
      </c>
      <c r="GX26" s="1169">
        <v>2017.1</v>
      </c>
      <c r="GY26" s="1169">
        <v>2017.9</v>
      </c>
      <c r="GZ26" s="1169">
        <v>2042.1</v>
      </c>
      <c r="HA26" s="1169">
        <v>2034</v>
      </c>
    </row>
    <row r="27" spans="1:209" x14ac:dyDescent="0.35">
      <c r="A27" s="1169" t="s">
        <v>129</v>
      </c>
      <c r="B27" s="1169">
        <v>90.6</v>
      </c>
      <c r="C27" s="1169">
        <v>91.4</v>
      </c>
      <c r="D27" s="1169">
        <v>86.3</v>
      </c>
      <c r="E27" s="1169">
        <v>87.2</v>
      </c>
      <c r="F27" s="1169">
        <v>83.6</v>
      </c>
      <c r="G27" s="1169">
        <v>85.1</v>
      </c>
      <c r="H27" s="1169">
        <v>86.3</v>
      </c>
      <c r="I27" s="1169">
        <v>88.2</v>
      </c>
      <c r="J27" s="1169">
        <v>100.3</v>
      </c>
      <c r="K27" s="1169">
        <v>102.4</v>
      </c>
      <c r="L27" s="1169">
        <v>103.1</v>
      </c>
      <c r="M27" s="1169">
        <v>105.3</v>
      </c>
      <c r="N27" s="1169">
        <v>104.5</v>
      </c>
      <c r="O27" s="1169">
        <v>106.9</v>
      </c>
      <c r="P27" s="1169">
        <v>111</v>
      </c>
      <c r="Q27" s="1169">
        <v>116</v>
      </c>
      <c r="R27" s="1169">
        <v>119.5</v>
      </c>
      <c r="S27" s="1169">
        <v>124.8</v>
      </c>
      <c r="T27" s="1169">
        <v>129.69999999999999</v>
      </c>
      <c r="U27" s="1169">
        <v>132</v>
      </c>
      <c r="V27" s="1169">
        <v>132.30000000000001</v>
      </c>
      <c r="W27" s="1169">
        <v>94.6</v>
      </c>
      <c r="X27" s="1169">
        <v>125.7</v>
      </c>
      <c r="Y27" s="1169">
        <v>130.4</v>
      </c>
      <c r="Z27" s="1169">
        <v>133</v>
      </c>
      <c r="AA27" s="1169">
        <v>138.69999999999999</v>
      </c>
      <c r="AB27" s="1169">
        <v>144.5</v>
      </c>
      <c r="AC27" s="1169">
        <v>150.1</v>
      </c>
      <c r="AD27" s="1169">
        <v>155.30000000000001</v>
      </c>
      <c r="AE27" s="1169">
        <v>161</v>
      </c>
      <c r="AF27" s="1169">
        <v>162.6</v>
      </c>
      <c r="AG27" s="1169">
        <v>171.2</v>
      </c>
      <c r="AH27" s="1169">
        <v>173.4</v>
      </c>
      <c r="AI27" s="1169">
        <v>182.9</v>
      </c>
      <c r="AJ27" s="1169">
        <v>195.4</v>
      </c>
      <c r="AK27" s="1169">
        <v>205.1</v>
      </c>
      <c r="AL27" s="1169">
        <v>211.6</v>
      </c>
      <c r="AM27" s="1169">
        <v>219.9</v>
      </c>
      <c r="AN27" s="1169">
        <v>229.4</v>
      </c>
      <c r="AO27" s="1169">
        <v>238.6</v>
      </c>
      <c r="AP27" s="1169">
        <v>238.3</v>
      </c>
      <c r="AQ27" s="1169">
        <v>244.2</v>
      </c>
      <c r="AR27" s="1169">
        <v>252.8</v>
      </c>
      <c r="AS27" s="1169">
        <v>267.2</v>
      </c>
      <c r="AT27" s="1169">
        <v>278.39999999999998</v>
      </c>
      <c r="AU27" s="1169">
        <v>289</v>
      </c>
      <c r="AV27" s="1169">
        <v>301.39999999999998</v>
      </c>
      <c r="AW27" s="1169">
        <v>295.89999999999998</v>
      </c>
      <c r="AX27" s="1169">
        <v>295.2</v>
      </c>
      <c r="AY27" s="1169">
        <v>301.7</v>
      </c>
      <c r="AZ27" s="1169">
        <v>289.7</v>
      </c>
      <c r="BA27" s="1169">
        <v>295.8</v>
      </c>
      <c r="BB27" s="1169">
        <v>289.5</v>
      </c>
      <c r="BC27" s="1169">
        <v>295.3</v>
      </c>
      <c r="BD27" s="1169">
        <v>277.3</v>
      </c>
      <c r="BE27" s="1169">
        <v>284.89999999999998</v>
      </c>
      <c r="BF27" s="1169">
        <v>287.89999999999998</v>
      </c>
      <c r="BG27" s="1169">
        <v>294.60000000000002</v>
      </c>
      <c r="BH27" s="1169">
        <v>307.3</v>
      </c>
      <c r="BI27" s="1169">
        <v>317.7</v>
      </c>
      <c r="BJ27" s="1169">
        <v>353</v>
      </c>
      <c r="BK27" s="1169">
        <v>307.60000000000002</v>
      </c>
      <c r="BL27" s="1169">
        <v>340</v>
      </c>
      <c r="BM27" s="1169">
        <v>345.2</v>
      </c>
      <c r="BN27" s="1169">
        <v>341.8</v>
      </c>
      <c r="BO27" s="1169">
        <v>344.4</v>
      </c>
      <c r="BP27" s="1169">
        <v>352</v>
      </c>
      <c r="BQ27" s="1169">
        <v>364.2</v>
      </c>
      <c r="BR27" s="1169">
        <v>358.3</v>
      </c>
      <c r="BS27" s="1169">
        <v>410.2</v>
      </c>
      <c r="BT27" s="1169">
        <v>394.9</v>
      </c>
      <c r="BU27" s="1169">
        <v>408.5</v>
      </c>
      <c r="BV27" s="1169">
        <v>402.6</v>
      </c>
      <c r="BW27" s="1169">
        <v>400.6</v>
      </c>
      <c r="BX27" s="1169">
        <v>402.5</v>
      </c>
      <c r="BY27" s="1169">
        <v>409.6</v>
      </c>
      <c r="BZ27" s="1169">
        <v>439.5</v>
      </c>
      <c r="CA27" s="1169">
        <v>448.4</v>
      </c>
      <c r="CB27" s="1169">
        <v>457.1</v>
      </c>
      <c r="CC27" s="1169">
        <v>467.4</v>
      </c>
      <c r="CD27" s="1169">
        <v>463.2</v>
      </c>
      <c r="CE27" s="1169">
        <v>472</v>
      </c>
      <c r="CF27" s="1169">
        <v>477</v>
      </c>
      <c r="CG27" s="1169">
        <v>476.2</v>
      </c>
      <c r="CH27" s="1169">
        <v>459.6</v>
      </c>
      <c r="CI27" s="1169">
        <v>461.4</v>
      </c>
      <c r="CJ27" s="1169">
        <v>464.1</v>
      </c>
      <c r="CK27" s="1169">
        <v>469.2</v>
      </c>
      <c r="CL27" s="1169">
        <v>461.3</v>
      </c>
      <c r="CM27" s="1169">
        <v>470.2</v>
      </c>
      <c r="CN27" s="1169">
        <v>479.4</v>
      </c>
      <c r="CO27" s="1169">
        <v>499</v>
      </c>
      <c r="CP27" s="1169">
        <v>480.3</v>
      </c>
      <c r="CQ27" s="1169">
        <v>505.3</v>
      </c>
      <c r="CR27" s="1169">
        <v>515.6</v>
      </c>
      <c r="CS27" s="1169">
        <v>529.5</v>
      </c>
      <c r="CT27" s="1169">
        <v>526.70000000000005</v>
      </c>
      <c r="CU27" s="1169">
        <v>555.9</v>
      </c>
      <c r="CV27" s="1169">
        <v>544.20000000000005</v>
      </c>
      <c r="CW27" s="1169">
        <v>553.4</v>
      </c>
      <c r="CX27" s="1169">
        <v>567.70000000000005</v>
      </c>
      <c r="CY27" s="1169">
        <v>594.4</v>
      </c>
      <c r="CZ27" s="1169">
        <v>591.5</v>
      </c>
      <c r="DA27" s="1169">
        <v>607.6</v>
      </c>
      <c r="DB27" s="1169">
        <v>636.4</v>
      </c>
      <c r="DC27" s="1169">
        <v>673.6</v>
      </c>
      <c r="DD27" s="1169">
        <v>674.2</v>
      </c>
      <c r="DE27" s="1169">
        <v>689.4</v>
      </c>
      <c r="DF27" s="1169">
        <v>724.3</v>
      </c>
      <c r="DG27" s="1169">
        <v>739.3</v>
      </c>
      <c r="DH27" s="1169">
        <v>757</v>
      </c>
      <c r="DI27" s="1169">
        <v>778.6</v>
      </c>
      <c r="DJ27" s="1169">
        <v>800.6</v>
      </c>
      <c r="DK27" s="1169">
        <v>820.9</v>
      </c>
      <c r="DL27" s="1169">
        <v>841.6</v>
      </c>
      <c r="DM27" s="1169">
        <v>861.7</v>
      </c>
      <c r="DN27" s="1169">
        <v>869.8</v>
      </c>
      <c r="DO27" s="1169">
        <v>885.8</v>
      </c>
      <c r="DP27" s="1169">
        <v>904.2</v>
      </c>
      <c r="DQ27" s="1169">
        <v>930</v>
      </c>
      <c r="DR27" s="1169">
        <v>976.6</v>
      </c>
      <c r="DS27" s="1169">
        <v>986.9</v>
      </c>
      <c r="DT27" s="1169">
        <v>1011.1</v>
      </c>
      <c r="DU27" s="1169">
        <v>1023.9</v>
      </c>
      <c r="DV27" s="1169">
        <v>1051</v>
      </c>
      <c r="DW27" s="1169">
        <v>1049</v>
      </c>
      <c r="DX27" s="1169">
        <v>881.7</v>
      </c>
      <c r="DY27" s="1169">
        <v>1002.4</v>
      </c>
      <c r="DZ27" s="1169">
        <v>847.8</v>
      </c>
      <c r="EA27" s="1169">
        <v>836.7</v>
      </c>
      <c r="EB27" s="1169">
        <v>825.3</v>
      </c>
      <c r="EC27" s="1169">
        <v>819.6</v>
      </c>
      <c r="ED27" s="1169">
        <v>803.5</v>
      </c>
      <c r="EE27" s="1169">
        <v>812.9</v>
      </c>
      <c r="EF27" s="1169">
        <v>716.5</v>
      </c>
      <c r="EG27" s="1169">
        <v>781.6</v>
      </c>
      <c r="EH27" s="1169">
        <v>773.2</v>
      </c>
      <c r="EI27" s="1169">
        <v>792.4</v>
      </c>
      <c r="EJ27" s="1169">
        <v>816.7</v>
      </c>
      <c r="EK27" s="1169">
        <v>829.8</v>
      </c>
      <c r="EL27" s="1169">
        <v>902.9</v>
      </c>
      <c r="EM27" s="1169">
        <v>925.8</v>
      </c>
      <c r="EN27" s="1169">
        <v>949.5</v>
      </c>
      <c r="EO27" s="1169">
        <v>970.6</v>
      </c>
      <c r="EP27" s="1169">
        <v>1025.5</v>
      </c>
      <c r="EQ27" s="1169">
        <v>1041.2</v>
      </c>
      <c r="ER27" s="1169">
        <v>1060.9000000000001</v>
      </c>
      <c r="ES27" s="1169">
        <v>1095.8</v>
      </c>
      <c r="ET27" s="1169">
        <v>1146</v>
      </c>
      <c r="EU27" s="1169">
        <v>1163.9000000000001</v>
      </c>
      <c r="EV27" s="1169">
        <v>1179.3</v>
      </c>
      <c r="EW27" s="1169">
        <v>1194.4000000000001</v>
      </c>
      <c r="EX27" s="1169">
        <v>1201.7</v>
      </c>
      <c r="EY27" s="1169">
        <v>1191.3</v>
      </c>
      <c r="EZ27" s="1169">
        <v>1173.7</v>
      </c>
      <c r="FA27" s="1169">
        <v>1139.8</v>
      </c>
      <c r="FB27" s="1169">
        <v>921.2</v>
      </c>
      <c r="FC27" s="1169">
        <v>855.5</v>
      </c>
      <c r="FD27" s="1169">
        <v>842</v>
      </c>
      <c r="FE27" s="1169">
        <v>847.5</v>
      </c>
      <c r="FF27" s="1169">
        <v>903.4</v>
      </c>
      <c r="FG27" s="1169">
        <v>935.2</v>
      </c>
      <c r="FH27" s="1169">
        <v>958.5</v>
      </c>
      <c r="FI27" s="1169">
        <v>977.2</v>
      </c>
      <c r="FJ27" s="1169">
        <v>1111.4000000000001</v>
      </c>
      <c r="FK27" s="1169">
        <v>1126.5</v>
      </c>
      <c r="FL27" s="1169">
        <v>1144.2</v>
      </c>
      <c r="FM27" s="1169">
        <v>1141</v>
      </c>
      <c r="FN27" s="1169">
        <v>1138.3</v>
      </c>
      <c r="FO27" s="1169">
        <v>1150.5999999999999</v>
      </c>
      <c r="FP27" s="1169">
        <v>1163.8</v>
      </c>
      <c r="FQ27" s="1169">
        <v>1212.9000000000001</v>
      </c>
      <c r="FR27" s="1169">
        <v>1273.5</v>
      </c>
      <c r="FS27" s="1169">
        <v>1296.4000000000001</v>
      </c>
      <c r="FT27" s="1169">
        <v>1308.3</v>
      </c>
      <c r="FU27" s="1169">
        <v>1333.2</v>
      </c>
      <c r="FV27" s="1169">
        <v>1369.1</v>
      </c>
      <c r="FW27" s="1169">
        <v>1389</v>
      </c>
      <c r="FX27" s="1169">
        <v>1413.3</v>
      </c>
      <c r="FY27" s="1169">
        <v>1443.5</v>
      </c>
      <c r="FZ27" s="1169">
        <v>1509.1</v>
      </c>
      <c r="GA27" s="1169">
        <v>1527.7</v>
      </c>
      <c r="GB27" s="1169">
        <v>1540.9</v>
      </c>
      <c r="GC27" s="1169">
        <v>1552.6</v>
      </c>
      <c r="GD27" s="1169">
        <v>1526.8</v>
      </c>
      <c r="GE27" s="1169">
        <v>1536.7</v>
      </c>
      <c r="GF27" s="1169">
        <v>1553.8</v>
      </c>
      <c r="GG27" s="1169">
        <v>1574.5</v>
      </c>
      <c r="GH27" s="1169">
        <v>1580.3</v>
      </c>
      <c r="GI27" s="1169">
        <v>1600.7</v>
      </c>
      <c r="GJ27" s="1169">
        <v>1623.8</v>
      </c>
      <c r="GK27" s="1169">
        <v>1649.4</v>
      </c>
      <c r="GL27" s="1169">
        <v>1597.2</v>
      </c>
      <c r="GM27" s="1169">
        <v>1607.4</v>
      </c>
      <c r="GN27" s="1169">
        <v>1627.1</v>
      </c>
      <c r="GO27" s="1169">
        <v>1634.1</v>
      </c>
      <c r="GP27" s="1169">
        <v>1696.4</v>
      </c>
      <c r="GQ27" s="1169">
        <v>1701.9</v>
      </c>
      <c r="GR27" s="1169">
        <v>1707.8</v>
      </c>
      <c r="GS27" s="1169">
        <v>1728.6</v>
      </c>
      <c r="GT27" s="1169">
        <v>1737.9</v>
      </c>
      <c r="GU27" s="1169">
        <v>1581.5</v>
      </c>
      <c r="GV27" s="1169">
        <v>1662.2</v>
      </c>
      <c r="GW27" s="1169">
        <v>1736.9</v>
      </c>
      <c r="GX27" s="1169">
        <v>1851.9</v>
      </c>
      <c r="GY27" s="1169">
        <v>1946.1</v>
      </c>
      <c r="GZ27" s="1169">
        <v>2036</v>
      </c>
      <c r="HA27" s="1169">
        <v>2115.8000000000002</v>
      </c>
    </row>
    <row r="28" spans="1:209" x14ac:dyDescent="0.35">
      <c r="A28" s="1169" t="s">
        <v>131</v>
      </c>
      <c r="B28" s="1169">
        <v>17.899999999999999</v>
      </c>
      <c r="C28" s="1169">
        <v>18.100000000000001</v>
      </c>
      <c r="D28" s="1169">
        <v>18.2</v>
      </c>
      <c r="E28" s="1169">
        <v>18.2</v>
      </c>
      <c r="F28" s="1169">
        <v>19.399999999999999</v>
      </c>
      <c r="G28" s="1169">
        <v>18.7</v>
      </c>
      <c r="H28" s="1169">
        <v>18.899999999999999</v>
      </c>
      <c r="I28" s="1169">
        <v>19</v>
      </c>
      <c r="J28" s="1169">
        <v>18.2</v>
      </c>
      <c r="K28" s="1169">
        <v>18.3</v>
      </c>
      <c r="L28" s="1169">
        <v>18.5</v>
      </c>
      <c r="M28" s="1169">
        <v>19</v>
      </c>
      <c r="N28" s="1169">
        <v>19.5</v>
      </c>
      <c r="O28" s="1169">
        <v>19.899999999999999</v>
      </c>
      <c r="P28" s="1169">
        <v>19.7</v>
      </c>
      <c r="Q28" s="1169">
        <v>20.100000000000001</v>
      </c>
      <c r="R28" s="1169">
        <v>19.8</v>
      </c>
      <c r="S28" s="1169">
        <v>20.100000000000001</v>
      </c>
      <c r="T28" s="1169">
        <v>20.2</v>
      </c>
      <c r="U28" s="1169">
        <v>20.2</v>
      </c>
      <c r="V28" s="1169">
        <v>19.8</v>
      </c>
      <c r="W28" s="1169">
        <v>21.3</v>
      </c>
      <c r="X28" s="1169">
        <v>23.3</v>
      </c>
      <c r="Y28" s="1169">
        <v>23.9</v>
      </c>
      <c r="Z28" s="1169">
        <v>20.8</v>
      </c>
      <c r="AA28" s="1169">
        <v>21.3</v>
      </c>
      <c r="AB28" s="1169">
        <v>21.7</v>
      </c>
      <c r="AC28" s="1169">
        <v>21.7</v>
      </c>
      <c r="AD28" s="1169">
        <v>22</v>
      </c>
      <c r="AE28" s="1169">
        <v>22.5</v>
      </c>
      <c r="AF28" s="1169">
        <v>23.2</v>
      </c>
      <c r="AG28" s="1169">
        <v>23.2</v>
      </c>
      <c r="AH28" s="1169">
        <v>24</v>
      </c>
      <c r="AI28" s="1169">
        <v>25.4</v>
      </c>
      <c r="AJ28" s="1169">
        <v>25.5</v>
      </c>
      <c r="AK28" s="1169">
        <v>26.3</v>
      </c>
      <c r="AL28" s="1169">
        <v>25.9</v>
      </c>
      <c r="AM28" s="1169">
        <v>25.9</v>
      </c>
      <c r="AN28" s="1169">
        <v>25.3</v>
      </c>
      <c r="AO28" s="1169">
        <v>25.6</v>
      </c>
      <c r="AP28" s="1169">
        <v>27.6</v>
      </c>
      <c r="AQ28" s="1169">
        <v>33.6</v>
      </c>
      <c r="AR28" s="1169">
        <v>36.1</v>
      </c>
      <c r="AS28" s="1169">
        <v>37.299999999999997</v>
      </c>
      <c r="AT28" s="1169">
        <v>50.7</v>
      </c>
      <c r="AU28" s="1169">
        <v>51.8</v>
      </c>
      <c r="AV28" s="1169">
        <v>49.1</v>
      </c>
      <c r="AW28" s="1169">
        <v>48.1</v>
      </c>
      <c r="AX28" s="1169">
        <v>43.5</v>
      </c>
      <c r="AY28" s="1169">
        <v>40</v>
      </c>
      <c r="AZ28" s="1169">
        <v>40.1</v>
      </c>
      <c r="BA28" s="1169">
        <v>40.299999999999997</v>
      </c>
      <c r="BB28" s="1169">
        <v>41.1</v>
      </c>
      <c r="BC28" s="1169">
        <v>45.3</v>
      </c>
      <c r="BD28" s="1169">
        <v>45.5</v>
      </c>
      <c r="BE28" s="1169">
        <v>45.8</v>
      </c>
      <c r="BF28" s="1169">
        <v>47</v>
      </c>
      <c r="BG28" s="1169">
        <v>47.5</v>
      </c>
      <c r="BH28" s="1169">
        <v>47.4</v>
      </c>
      <c r="BI28" s="1169">
        <v>47.3</v>
      </c>
      <c r="BJ28" s="1169">
        <v>46.4</v>
      </c>
      <c r="BK28" s="1169">
        <v>45.7</v>
      </c>
      <c r="BL28" s="1169">
        <v>46.8</v>
      </c>
      <c r="BM28" s="1169">
        <v>45.4</v>
      </c>
      <c r="BN28" s="1169">
        <v>44.5</v>
      </c>
      <c r="BO28" s="1169">
        <v>42.9</v>
      </c>
      <c r="BP28" s="1169">
        <v>43.8</v>
      </c>
      <c r="BQ28" s="1169">
        <v>43.6</v>
      </c>
      <c r="BR28" s="1169">
        <v>44.1</v>
      </c>
      <c r="BS28" s="1169">
        <v>45.8</v>
      </c>
      <c r="BT28" s="1169">
        <v>46.4</v>
      </c>
      <c r="BU28" s="1169">
        <v>47.4</v>
      </c>
      <c r="BV28" s="1169">
        <v>49.6</v>
      </c>
      <c r="BW28" s="1169">
        <v>49.3</v>
      </c>
      <c r="BX28" s="1169">
        <v>50.2</v>
      </c>
      <c r="BY28" s="1169">
        <v>50.2</v>
      </c>
      <c r="BZ28" s="1169">
        <v>50.8</v>
      </c>
      <c r="CA28" s="1169">
        <v>49.2</v>
      </c>
      <c r="CB28" s="1169">
        <v>50</v>
      </c>
      <c r="CC28" s="1169">
        <v>48.9</v>
      </c>
      <c r="CD28" s="1169">
        <v>50.3</v>
      </c>
      <c r="CE28" s="1169">
        <v>50.8</v>
      </c>
      <c r="CF28" s="1169">
        <v>51.1</v>
      </c>
      <c r="CG28" s="1169">
        <v>51.5</v>
      </c>
      <c r="CH28" s="1169">
        <v>59.7</v>
      </c>
      <c r="CI28" s="1169">
        <v>61.3</v>
      </c>
      <c r="CJ28" s="1169">
        <v>61.8</v>
      </c>
      <c r="CK28" s="1169">
        <v>64.2</v>
      </c>
      <c r="CL28" s="1169">
        <v>63.6</v>
      </c>
      <c r="CM28" s="1169">
        <v>63.1</v>
      </c>
      <c r="CN28" s="1169">
        <v>61.9</v>
      </c>
      <c r="CO28" s="1169">
        <v>64.599999999999994</v>
      </c>
      <c r="CP28" s="1169">
        <v>62.2</v>
      </c>
      <c r="CQ28" s="1169">
        <v>64.8</v>
      </c>
      <c r="CR28" s="1169">
        <v>65.400000000000006</v>
      </c>
      <c r="CS28" s="1169">
        <v>73.099999999999994</v>
      </c>
      <c r="CT28" s="1169">
        <v>75.5</v>
      </c>
      <c r="CU28" s="1169">
        <v>78.599999999999994</v>
      </c>
      <c r="CV28" s="1169">
        <v>80.5</v>
      </c>
      <c r="CW28" s="1169">
        <v>81.400000000000006</v>
      </c>
      <c r="CX28" s="1169">
        <v>76.599999999999994</v>
      </c>
      <c r="CY28" s="1169">
        <v>75.7</v>
      </c>
      <c r="CZ28" s="1169">
        <v>75.400000000000006</v>
      </c>
      <c r="DA28" s="1169">
        <v>74.5</v>
      </c>
      <c r="DB28" s="1169">
        <v>72.599999999999994</v>
      </c>
      <c r="DC28" s="1169">
        <v>71.2</v>
      </c>
      <c r="DD28" s="1169">
        <v>71.7</v>
      </c>
      <c r="DE28" s="1169">
        <v>75.900000000000006</v>
      </c>
      <c r="DF28" s="1169">
        <v>72</v>
      </c>
      <c r="DG28" s="1169">
        <v>79.7</v>
      </c>
      <c r="DH28" s="1169">
        <v>79.900000000000006</v>
      </c>
      <c r="DI28" s="1169">
        <v>79.7</v>
      </c>
      <c r="DJ28" s="1169">
        <v>79.5</v>
      </c>
      <c r="DK28" s="1169">
        <v>80.099999999999994</v>
      </c>
      <c r="DL28" s="1169">
        <v>81.5</v>
      </c>
      <c r="DM28" s="1169">
        <v>81.7</v>
      </c>
      <c r="DN28" s="1169">
        <v>81.3</v>
      </c>
      <c r="DO28" s="1169">
        <v>81.599999999999994</v>
      </c>
      <c r="DP28" s="1169">
        <v>83.8</v>
      </c>
      <c r="DQ28" s="1169">
        <v>87</v>
      </c>
      <c r="DR28" s="1169">
        <v>86.1</v>
      </c>
      <c r="DS28" s="1169">
        <v>88.4</v>
      </c>
      <c r="DT28" s="1169">
        <v>87.5</v>
      </c>
      <c r="DU28" s="1169">
        <v>87</v>
      </c>
      <c r="DV28" s="1169">
        <v>87.1</v>
      </c>
      <c r="DW28" s="1169">
        <v>86.3</v>
      </c>
      <c r="DX28" s="1169">
        <v>83.6</v>
      </c>
      <c r="DY28" s="1169">
        <v>84.1</v>
      </c>
      <c r="DZ28" s="1169">
        <v>84.7</v>
      </c>
      <c r="EA28" s="1169">
        <v>87.3</v>
      </c>
      <c r="EB28" s="1169">
        <v>88</v>
      </c>
      <c r="EC28" s="1169">
        <v>87.3</v>
      </c>
      <c r="ED28" s="1169">
        <v>90.1</v>
      </c>
      <c r="EE28" s="1169">
        <v>90</v>
      </c>
      <c r="EF28" s="1169">
        <v>89.6</v>
      </c>
      <c r="EG28" s="1169">
        <v>91.1</v>
      </c>
      <c r="EH28" s="1169">
        <v>94.1</v>
      </c>
      <c r="EI28" s="1169">
        <v>94.8</v>
      </c>
      <c r="EJ28" s="1169">
        <v>95.9</v>
      </c>
      <c r="EK28" s="1169">
        <v>96.2</v>
      </c>
      <c r="EL28" s="1169">
        <v>97.2</v>
      </c>
      <c r="EM28" s="1169">
        <v>101.4</v>
      </c>
      <c r="EN28" s="1169">
        <v>100.3</v>
      </c>
      <c r="EO28" s="1169">
        <v>98.7</v>
      </c>
      <c r="EP28" s="1169">
        <v>99.1</v>
      </c>
      <c r="EQ28" s="1169">
        <v>99.5</v>
      </c>
      <c r="ER28" s="1169">
        <v>100.2</v>
      </c>
      <c r="ES28" s="1169">
        <v>98.1</v>
      </c>
      <c r="ET28" s="1169">
        <v>93.9</v>
      </c>
      <c r="EU28" s="1169">
        <v>93.7</v>
      </c>
      <c r="EV28" s="1169">
        <v>95.4</v>
      </c>
      <c r="EW28" s="1169">
        <v>95.5</v>
      </c>
      <c r="EX28" s="1169">
        <v>93.2</v>
      </c>
      <c r="EY28" s="1169">
        <v>95.3</v>
      </c>
      <c r="EZ28" s="1169">
        <v>93.7</v>
      </c>
      <c r="FA28" s="1169">
        <v>93.7</v>
      </c>
      <c r="FB28" s="1169">
        <v>86.7</v>
      </c>
      <c r="FC28" s="1169">
        <v>94.3</v>
      </c>
      <c r="FD28" s="1169">
        <v>91.4</v>
      </c>
      <c r="FE28" s="1169">
        <v>93.2</v>
      </c>
      <c r="FF28" s="1169">
        <v>93.1</v>
      </c>
      <c r="FG28" s="1169">
        <v>96.4</v>
      </c>
      <c r="FH28" s="1169">
        <v>98.9</v>
      </c>
      <c r="FI28" s="1169">
        <v>98.7</v>
      </c>
      <c r="FJ28" s="1169">
        <v>104.7</v>
      </c>
      <c r="FK28" s="1169">
        <v>109.1</v>
      </c>
      <c r="FL28" s="1169">
        <v>109.4</v>
      </c>
      <c r="FM28" s="1169">
        <v>111.4</v>
      </c>
      <c r="FN28" s="1169">
        <v>113.9</v>
      </c>
      <c r="FO28" s="1169">
        <v>114.4</v>
      </c>
      <c r="FP28" s="1169">
        <v>114.7</v>
      </c>
      <c r="FQ28" s="1169">
        <v>117.6</v>
      </c>
      <c r="FR28" s="1169">
        <v>122.3</v>
      </c>
      <c r="FS28" s="1169">
        <v>124.4</v>
      </c>
      <c r="FT28" s="1169">
        <v>126.4</v>
      </c>
      <c r="FU28" s="1169">
        <v>128.80000000000001</v>
      </c>
      <c r="FV28" s="1169">
        <v>136.6</v>
      </c>
      <c r="FW28" s="1169">
        <v>135.30000000000001</v>
      </c>
      <c r="FX28" s="1169">
        <v>136.9</v>
      </c>
      <c r="FY28" s="1169">
        <v>136.4</v>
      </c>
      <c r="FZ28" s="1169">
        <v>139.9</v>
      </c>
      <c r="GA28" s="1169">
        <v>143.5</v>
      </c>
      <c r="GB28" s="1169">
        <v>136.1</v>
      </c>
      <c r="GC28" s="1169">
        <v>141.69999999999999</v>
      </c>
      <c r="GD28" s="1169">
        <v>138.19999999999999</v>
      </c>
      <c r="GE28" s="1169">
        <v>135.69999999999999</v>
      </c>
      <c r="GF28" s="1169">
        <v>136</v>
      </c>
      <c r="GG28" s="1169">
        <v>136.1</v>
      </c>
      <c r="GH28" s="1169">
        <v>127.7</v>
      </c>
      <c r="GI28" s="1169">
        <v>132.30000000000001</v>
      </c>
      <c r="GJ28" s="1169">
        <v>131.9</v>
      </c>
      <c r="GK28" s="1169">
        <v>134.5</v>
      </c>
      <c r="GL28" s="1169">
        <v>150.9</v>
      </c>
      <c r="GM28" s="1169">
        <v>157.4</v>
      </c>
      <c r="GN28" s="1169">
        <v>162.5</v>
      </c>
      <c r="GO28" s="1169">
        <v>183.7</v>
      </c>
      <c r="GP28" s="1169">
        <v>173.4</v>
      </c>
      <c r="GQ28" s="1169">
        <v>172.2</v>
      </c>
      <c r="GR28" s="1169">
        <v>175.3</v>
      </c>
      <c r="GS28" s="1169">
        <v>177.9</v>
      </c>
      <c r="GT28" s="1169">
        <v>185.8</v>
      </c>
      <c r="GU28" s="1169">
        <v>138.30000000000001</v>
      </c>
      <c r="GV28" s="1169">
        <v>151.30000000000001</v>
      </c>
      <c r="GW28" s="1169">
        <v>156.6</v>
      </c>
      <c r="GX28" s="1169">
        <v>166.2</v>
      </c>
      <c r="GY28" s="1169">
        <v>177.8</v>
      </c>
      <c r="GZ28" s="1169">
        <v>172.9</v>
      </c>
      <c r="HA28" s="1169">
        <v>178.3</v>
      </c>
    </row>
    <row r="29" spans="1:209" x14ac:dyDescent="0.35">
      <c r="A29" s="1169" t="s">
        <v>133</v>
      </c>
      <c r="B29" s="1169">
        <v>27</v>
      </c>
      <c r="C29" s="1169">
        <v>27</v>
      </c>
      <c r="D29" s="1169">
        <v>27.9</v>
      </c>
      <c r="E29" s="1169">
        <v>26.6</v>
      </c>
      <c r="F29" s="1169">
        <v>29.9</v>
      </c>
      <c r="G29" s="1169">
        <v>30.7</v>
      </c>
      <c r="H29" s="1169">
        <v>29.8</v>
      </c>
      <c r="I29" s="1169">
        <v>30.1</v>
      </c>
      <c r="J29" s="1169">
        <v>31.8</v>
      </c>
      <c r="K29" s="1169">
        <v>32</v>
      </c>
      <c r="L29" s="1169">
        <v>33.1</v>
      </c>
      <c r="M29" s="1169">
        <v>36.6</v>
      </c>
      <c r="N29" s="1169">
        <v>39.299999999999997</v>
      </c>
      <c r="O29" s="1169">
        <v>39.4</v>
      </c>
      <c r="P29" s="1169">
        <v>37.6</v>
      </c>
      <c r="Q29" s="1169">
        <v>39.4</v>
      </c>
      <c r="R29" s="1169">
        <v>37.4</v>
      </c>
      <c r="S29" s="1169">
        <v>39.299999999999997</v>
      </c>
      <c r="T29" s="1169">
        <v>43.5</v>
      </c>
      <c r="U29" s="1169">
        <v>38.1</v>
      </c>
      <c r="V29" s="1169">
        <v>31.5</v>
      </c>
      <c r="W29" s="1169">
        <v>34.200000000000003</v>
      </c>
      <c r="X29" s="1169">
        <v>43.2</v>
      </c>
      <c r="Y29" s="1169">
        <v>43.9</v>
      </c>
      <c r="Z29" s="1169">
        <v>49.9</v>
      </c>
      <c r="AA29" s="1169">
        <v>49</v>
      </c>
      <c r="AB29" s="1169">
        <v>48.5</v>
      </c>
      <c r="AC29" s="1169">
        <v>47.5</v>
      </c>
      <c r="AD29" s="1169">
        <v>51</v>
      </c>
      <c r="AE29" s="1169">
        <v>55.7</v>
      </c>
      <c r="AF29" s="1169">
        <v>57.9</v>
      </c>
      <c r="AG29" s="1169">
        <v>58.1</v>
      </c>
      <c r="AH29" s="1169">
        <v>54.4</v>
      </c>
      <c r="AI29" s="1169">
        <v>66.2</v>
      </c>
      <c r="AJ29" s="1169">
        <v>66.7</v>
      </c>
      <c r="AK29" s="1169">
        <v>70.3</v>
      </c>
      <c r="AL29" s="1169">
        <v>66.599999999999994</v>
      </c>
      <c r="AM29" s="1169">
        <v>66.5</v>
      </c>
      <c r="AN29" s="1169">
        <v>65.3</v>
      </c>
      <c r="AO29" s="1169">
        <v>62.1</v>
      </c>
      <c r="AP29" s="1169">
        <v>67</v>
      </c>
      <c r="AQ29" s="1169">
        <v>49.8</v>
      </c>
      <c r="AR29" s="1169">
        <v>56</v>
      </c>
      <c r="AS29" s="1169">
        <v>61.7</v>
      </c>
      <c r="AT29" s="1169">
        <v>58.5</v>
      </c>
      <c r="AU29" s="1169">
        <v>50.7</v>
      </c>
      <c r="AV29" s="1169">
        <v>52.7</v>
      </c>
      <c r="AW29" s="1169">
        <v>44.8</v>
      </c>
      <c r="AX29" s="1169">
        <v>33.5</v>
      </c>
      <c r="AY29" s="1169">
        <v>34.700000000000003</v>
      </c>
      <c r="AZ29" s="1169">
        <v>35.4</v>
      </c>
      <c r="BA29" s="1169">
        <v>31.7</v>
      </c>
      <c r="BB29" s="1169">
        <v>34.299999999999997</v>
      </c>
      <c r="BC29" s="1169">
        <v>46.3</v>
      </c>
      <c r="BD29" s="1169">
        <v>53.3</v>
      </c>
      <c r="BE29" s="1169">
        <v>54.6</v>
      </c>
      <c r="BF29" s="1169">
        <v>64.8</v>
      </c>
      <c r="BG29" s="1169">
        <v>63.8</v>
      </c>
      <c r="BH29" s="1169">
        <v>53.8</v>
      </c>
      <c r="BI29" s="1169">
        <v>54.3</v>
      </c>
      <c r="BJ29" s="1169">
        <v>57.7</v>
      </c>
      <c r="BK29" s="1169">
        <v>56.3</v>
      </c>
      <c r="BL29" s="1169">
        <v>60.8</v>
      </c>
      <c r="BM29" s="1169">
        <v>59</v>
      </c>
      <c r="BN29" s="1169">
        <v>63</v>
      </c>
      <c r="BO29" s="1169">
        <v>63.4</v>
      </c>
      <c r="BP29" s="1169">
        <v>64.599999999999994</v>
      </c>
      <c r="BQ29" s="1169">
        <v>73.099999999999994</v>
      </c>
      <c r="BR29" s="1169">
        <v>76</v>
      </c>
      <c r="BS29" s="1169">
        <v>87.3</v>
      </c>
      <c r="BT29" s="1169">
        <v>91.3</v>
      </c>
      <c r="BU29" s="1169">
        <v>87.1</v>
      </c>
      <c r="BV29" s="1169">
        <v>84.5</v>
      </c>
      <c r="BW29" s="1169">
        <v>90</v>
      </c>
      <c r="BX29" s="1169">
        <v>97.8</v>
      </c>
      <c r="BY29" s="1169">
        <v>102.7</v>
      </c>
      <c r="BZ29" s="1169">
        <v>104.9</v>
      </c>
      <c r="CA29" s="1169">
        <v>94.4</v>
      </c>
      <c r="CB29" s="1169">
        <v>91.6</v>
      </c>
      <c r="CC29" s="1169">
        <v>91.4</v>
      </c>
      <c r="CD29" s="1169">
        <v>91.1</v>
      </c>
      <c r="CE29" s="1169">
        <v>94.7</v>
      </c>
      <c r="CF29" s="1169">
        <v>97</v>
      </c>
      <c r="CG29" s="1169">
        <v>95.4</v>
      </c>
      <c r="CH29" s="1169">
        <v>91.5</v>
      </c>
      <c r="CI29" s="1169">
        <v>87.5</v>
      </c>
      <c r="CJ29" s="1169">
        <v>88.2</v>
      </c>
      <c r="CK29" s="1169">
        <v>89.5</v>
      </c>
      <c r="CL29" s="1169">
        <v>99.8</v>
      </c>
      <c r="CM29" s="1169">
        <v>102</v>
      </c>
      <c r="CN29" s="1169">
        <v>98.9</v>
      </c>
      <c r="CO29" s="1169">
        <v>107.2</v>
      </c>
      <c r="CP29" s="1169">
        <v>111.5</v>
      </c>
      <c r="CQ29" s="1169">
        <v>121.9</v>
      </c>
      <c r="CR29" s="1169">
        <v>115.5</v>
      </c>
      <c r="CS29" s="1169">
        <v>141</v>
      </c>
      <c r="CT29" s="1169">
        <v>122.4</v>
      </c>
      <c r="CU29" s="1169">
        <v>129.30000000000001</v>
      </c>
      <c r="CV29" s="1169">
        <v>142.4</v>
      </c>
      <c r="CW29" s="1169">
        <v>150.9</v>
      </c>
      <c r="CX29" s="1169">
        <v>155.30000000000001</v>
      </c>
      <c r="CY29" s="1169">
        <v>153.1</v>
      </c>
      <c r="CZ29" s="1169">
        <v>159.1</v>
      </c>
      <c r="DA29" s="1169">
        <v>156.19999999999999</v>
      </c>
      <c r="DB29" s="1169">
        <v>162.4</v>
      </c>
      <c r="DC29" s="1169">
        <v>171.9</v>
      </c>
      <c r="DD29" s="1169">
        <v>172.6</v>
      </c>
      <c r="DE29" s="1169">
        <v>175.3</v>
      </c>
      <c r="DF29" s="1169">
        <v>176.9</v>
      </c>
      <c r="DG29" s="1169">
        <v>180.5</v>
      </c>
      <c r="DH29" s="1169">
        <v>190.5</v>
      </c>
      <c r="DI29" s="1169">
        <v>181.5</v>
      </c>
      <c r="DJ29" s="1169">
        <v>178.8</v>
      </c>
      <c r="DK29" s="1169">
        <v>175.4</v>
      </c>
      <c r="DL29" s="1169">
        <v>180.1</v>
      </c>
      <c r="DM29" s="1169">
        <v>176.4</v>
      </c>
      <c r="DN29" s="1169">
        <v>186</v>
      </c>
      <c r="DO29" s="1169">
        <v>184.4</v>
      </c>
      <c r="DP29" s="1169">
        <v>187.7</v>
      </c>
      <c r="DQ29" s="1169">
        <v>192.1</v>
      </c>
      <c r="DR29" s="1169">
        <v>202.2</v>
      </c>
      <c r="DS29" s="1169">
        <v>201.1</v>
      </c>
      <c r="DT29" s="1169">
        <v>185.6</v>
      </c>
      <c r="DU29" s="1169">
        <v>187.6</v>
      </c>
      <c r="DV29" s="1169">
        <v>154.9</v>
      </c>
      <c r="DW29" s="1169">
        <v>148.69999999999999</v>
      </c>
      <c r="DX29" s="1169">
        <v>130.9</v>
      </c>
      <c r="DY29" s="1169">
        <v>115.8</v>
      </c>
      <c r="DZ29" s="1169">
        <v>115.5</v>
      </c>
      <c r="EA29" s="1169">
        <v>119.9</v>
      </c>
      <c r="EB29" s="1169">
        <v>126.5</v>
      </c>
      <c r="EC29" s="1169">
        <v>142</v>
      </c>
      <c r="ED29" s="1169">
        <v>161.5</v>
      </c>
      <c r="EE29" s="1169">
        <v>160.9</v>
      </c>
      <c r="EF29" s="1169">
        <v>180.3</v>
      </c>
      <c r="EG29" s="1169">
        <v>200.4</v>
      </c>
      <c r="EH29" s="1169">
        <v>209.2</v>
      </c>
      <c r="EI29" s="1169">
        <v>226</v>
      </c>
      <c r="EJ29" s="1169">
        <v>244.5</v>
      </c>
      <c r="EK29" s="1169">
        <v>249.2</v>
      </c>
      <c r="EL29" s="1169">
        <v>315.3</v>
      </c>
      <c r="EM29" s="1169">
        <v>306.10000000000002</v>
      </c>
      <c r="EN29" s="1169">
        <v>311.89999999999998</v>
      </c>
      <c r="EO29" s="1169">
        <v>344.7</v>
      </c>
      <c r="EP29" s="1169">
        <v>357.2</v>
      </c>
      <c r="EQ29" s="1169">
        <v>367.3</v>
      </c>
      <c r="ER29" s="1169">
        <v>384.8</v>
      </c>
      <c r="ES29" s="1169">
        <v>354.6</v>
      </c>
      <c r="ET29" s="1169">
        <v>354.5</v>
      </c>
      <c r="EU29" s="1169">
        <v>347.7</v>
      </c>
      <c r="EV29" s="1169">
        <v>314.60000000000002</v>
      </c>
      <c r="EW29" s="1169">
        <v>296.2</v>
      </c>
      <c r="EX29" s="1169">
        <v>241.7</v>
      </c>
      <c r="EY29" s="1169">
        <v>227.1</v>
      </c>
      <c r="EZ29" s="1169">
        <v>211.5</v>
      </c>
      <c r="FA29" s="1169">
        <v>127.5</v>
      </c>
      <c r="FB29" s="1169">
        <v>122.7</v>
      </c>
      <c r="FC29" s="1169">
        <v>138.9</v>
      </c>
      <c r="FD29" s="1169">
        <v>159.4</v>
      </c>
      <c r="FE29" s="1169">
        <v>190.8</v>
      </c>
      <c r="FF29" s="1169">
        <v>204.7</v>
      </c>
      <c r="FG29" s="1169">
        <v>212.2</v>
      </c>
      <c r="FH29" s="1169">
        <v>227.1</v>
      </c>
      <c r="FI29" s="1169">
        <v>233.6</v>
      </c>
      <c r="FJ29" s="1169">
        <v>228.9</v>
      </c>
      <c r="FK29" s="1169">
        <v>227.2</v>
      </c>
      <c r="FL29" s="1169">
        <v>201.7</v>
      </c>
      <c r="FM29" s="1169">
        <v>238</v>
      </c>
      <c r="FN29" s="1169">
        <v>261.5</v>
      </c>
      <c r="FO29" s="1169">
        <v>275.5</v>
      </c>
      <c r="FP29" s="1169">
        <v>280.8</v>
      </c>
      <c r="FQ29" s="1169">
        <v>280.89999999999998</v>
      </c>
      <c r="FR29" s="1169">
        <v>297</v>
      </c>
      <c r="FS29" s="1169">
        <v>293.2</v>
      </c>
      <c r="FT29" s="1169">
        <v>301.2</v>
      </c>
      <c r="FU29" s="1169">
        <v>302.3</v>
      </c>
      <c r="FV29" s="1169">
        <v>336.4</v>
      </c>
      <c r="FW29" s="1169">
        <v>360</v>
      </c>
      <c r="FX29" s="1169">
        <v>330.1</v>
      </c>
      <c r="FY29" s="1169">
        <v>332.1</v>
      </c>
      <c r="FZ29" s="1169">
        <v>345.9</v>
      </c>
      <c r="GA29" s="1169">
        <v>351</v>
      </c>
      <c r="GB29" s="1169">
        <v>323.8</v>
      </c>
      <c r="GC29" s="1169">
        <v>295.60000000000002</v>
      </c>
      <c r="GD29" s="1169">
        <v>310.60000000000002</v>
      </c>
      <c r="GE29" s="1169">
        <v>315.2</v>
      </c>
      <c r="GF29" s="1169">
        <v>322</v>
      </c>
      <c r="GG29" s="1169">
        <v>299.60000000000002</v>
      </c>
      <c r="GH29" s="1169">
        <v>233.3</v>
      </c>
      <c r="GI29" s="1169">
        <v>241.6</v>
      </c>
      <c r="GJ29" s="1169">
        <v>255.4</v>
      </c>
      <c r="GK29" s="1169">
        <v>251.3</v>
      </c>
      <c r="GL29" s="1169">
        <v>189.2</v>
      </c>
      <c r="GM29" s="1169">
        <v>210.3</v>
      </c>
      <c r="GN29" s="1169">
        <v>213.3</v>
      </c>
      <c r="GO29" s="1169">
        <v>222.5</v>
      </c>
      <c r="GP29" s="1169">
        <v>211.3</v>
      </c>
      <c r="GQ29" s="1169">
        <v>218.9</v>
      </c>
      <c r="GR29" s="1169">
        <v>206.5</v>
      </c>
      <c r="GS29" s="1169">
        <v>231.4</v>
      </c>
      <c r="GT29" s="1169">
        <v>166.7</v>
      </c>
      <c r="GU29" s="1169">
        <v>167.4</v>
      </c>
      <c r="GV29" s="1169">
        <v>211.7</v>
      </c>
      <c r="GW29" s="1169">
        <v>225.1</v>
      </c>
      <c r="GX29" s="1169">
        <v>246.4</v>
      </c>
      <c r="GY29" s="1169">
        <v>275.10000000000002</v>
      </c>
      <c r="GZ29" s="1169">
        <v>285.89999999999998</v>
      </c>
      <c r="HA29" s="1169">
        <v>281.2</v>
      </c>
    </row>
    <row r="30" spans="1:209" x14ac:dyDescent="0.35">
      <c r="A30" s="1169" t="s">
        <v>135</v>
      </c>
      <c r="B30" s="1169">
        <v>45.1</v>
      </c>
      <c r="C30" s="1169">
        <v>45.4</v>
      </c>
      <c r="D30" s="1169">
        <v>45.9</v>
      </c>
      <c r="E30" s="1169">
        <v>45.6</v>
      </c>
      <c r="F30" s="1169">
        <v>49.6</v>
      </c>
      <c r="G30" s="1169">
        <v>50.2</v>
      </c>
      <c r="H30" s="1169">
        <v>50.5</v>
      </c>
      <c r="I30" s="1169">
        <v>51</v>
      </c>
      <c r="J30" s="1169">
        <v>57.3</v>
      </c>
      <c r="K30" s="1169">
        <v>57.9</v>
      </c>
      <c r="L30" s="1169">
        <v>58.5</v>
      </c>
      <c r="M30" s="1169">
        <v>59.4</v>
      </c>
      <c r="N30" s="1169">
        <v>72.7</v>
      </c>
      <c r="O30" s="1169">
        <v>73.8</v>
      </c>
      <c r="P30" s="1169">
        <v>75.099999999999994</v>
      </c>
      <c r="Q30" s="1169">
        <v>76.599999999999994</v>
      </c>
      <c r="R30" s="1169">
        <v>82.1</v>
      </c>
      <c r="S30" s="1169">
        <v>83.6</v>
      </c>
      <c r="T30" s="1169">
        <v>85.2</v>
      </c>
      <c r="U30" s="1169">
        <v>85.4</v>
      </c>
      <c r="V30" s="1169">
        <v>86.5</v>
      </c>
      <c r="W30" s="1169">
        <v>86.8</v>
      </c>
      <c r="X30" s="1169">
        <v>88.5</v>
      </c>
      <c r="Y30" s="1169">
        <v>90.5</v>
      </c>
      <c r="Z30" s="1169">
        <v>97.5</v>
      </c>
      <c r="AA30" s="1169">
        <v>98.9</v>
      </c>
      <c r="AB30" s="1169">
        <v>100.6</v>
      </c>
      <c r="AC30" s="1169">
        <v>102.1</v>
      </c>
      <c r="AD30" s="1169">
        <v>107.5</v>
      </c>
      <c r="AE30" s="1169">
        <v>110.1</v>
      </c>
      <c r="AF30" s="1169">
        <v>112.2</v>
      </c>
      <c r="AG30" s="1169">
        <v>114.4</v>
      </c>
      <c r="AH30" s="1169">
        <v>121.6</v>
      </c>
      <c r="AI30" s="1169">
        <v>126.5</v>
      </c>
      <c r="AJ30" s="1169">
        <v>130.80000000000001</v>
      </c>
      <c r="AK30" s="1169">
        <v>136</v>
      </c>
      <c r="AL30" s="1169">
        <v>143.1</v>
      </c>
      <c r="AM30" s="1169">
        <v>147.4</v>
      </c>
      <c r="AN30" s="1169">
        <v>152.4</v>
      </c>
      <c r="AO30" s="1169">
        <v>156.30000000000001</v>
      </c>
      <c r="AP30" s="1169">
        <v>159.30000000000001</v>
      </c>
      <c r="AQ30" s="1169">
        <v>161</v>
      </c>
      <c r="AR30" s="1169">
        <v>164.2</v>
      </c>
      <c r="AS30" s="1169">
        <v>170.1</v>
      </c>
      <c r="AT30" s="1169">
        <v>187.3</v>
      </c>
      <c r="AU30" s="1169">
        <v>190.9</v>
      </c>
      <c r="AV30" s="1169">
        <v>195.6</v>
      </c>
      <c r="AW30" s="1169">
        <v>198.2</v>
      </c>
      <c r="AX30" s="1169">
        <v>203.2</v>
      </c>
      <c r="AY30" s="1169">
        <v>205.2</v>
      </c>
      <c r="AZ30" s="1169">
        <v>207.5</v>
      </c>
      <c r="BA30" s="1169">
        <v>208.3</v>
      </c>
      <c r="BB30" s="1169">
        <v>216.1</v>
      </c>
      <c r="BC30" s="1169">
        <v>220.2</v>
      </c>
      <c r="BD30" s="1169">
        <v>224.8</v>
      </c>
      <c r="BE30" s="1169">
        <v>231.2</v>
      </c>
      <c r="BF30" s="1169">
        <v>246.3</v>
      </c>
      <c r="BG30" s="1169">
        <v>252.1</v>
      </c>
      <c r="BH30" s="1169">
        <v>257.10000000000002</v>
      </c>
      <c r="BI30" s="1169">
        <v>261.10000000000002</v>
      </c>
      <c r="BJ30" s="1169">
        <v>271</v>
      </c>
      <c r="BK30" s="1169">
        <v>275</v>
      </c>
      <c r="BL30" s="1169">
        <v>279.7</v>
      </c>
      <c r="BM30" s="1169">
        <v>285.89999999999998</v>
      </c>
      <c r="BN30" s="1169">
        <v>292.7</v>
      </c>
      <c r="BO30" s="1169">
        <v>296.10000000000002</v>
      </c>
      <c r="BP30" s="1169">
        <v>300.8</v>
      </c>
      <c r="BQ30" s="1169">
        <v>306.2</v>
      </c>
      <c r="BR30" s="1169">
        <v>310.7</v>
      </c>
      <c r="BS30" s="1169">
        <v>314.5</v>
      </c>
      <c r="BT30" s="1169">
        <v>319</v>
      </c>
      <c r="BU30" s="1169">
        <v>325.60000000000002</v>
      </c>
      <c r="BV30" s="1169">
        <v>344.7</v>
      </c>
      <c r="BW30" s="1169">
        <v>351.7</v>
      </c>
      <c r="BX30" s="1169">
        <v>357.7</v>
      </c>
      <c r="BY30" s="1169">
        <v>365</v>
      </c>
      <c r="BZ30" s="1169">
        <v>370.9</v>
      </c>
      <c r="CA30" s="1169">
        <v>375.4</v>
      </c>
      <c r="CB30" s="1169">
        <v>379.8</v>
      </c>
      <c r="CC30" s="1169">
        <v>385.6</v>
      </c>
      <c r="CD30" s="1169">
        <v>394</v>
      </c>
      <c r="CE30" s="1169">
        <v>399</v>
      </c>
      <c r="CF30" s="1169">
        <v>406.4</v>
      </c>
      <c r="CG30" s="1169">
        <v>408.9</v>
      </c>
      <c r="CH30" s="1169">
        <v>412</v>
      </c>
      <c r="CI30" s="1169">
        <v>418.3</v>
      </c>
      <c r="CJ30" s="1169">
        <v>423.7</v>
      </c>
      <c r="CK30" s="1169">
        <v>428.4</v>
      </c>
      <c r="CL30" s="1169">
        <v>439.9</v>
      </c>
      <c r="CM30" s="1169">
        <v>445.1</v>
      </c>
      <c r="CN30" s="1169">
        <v>447.9</v>
      </c>
      <c r="CO30" s="1169">
        <v>442.9</v>
      </c>
      <c r="CP30" s="1169">
        <v>462.1</v>
      </c>
      <c r="CQ30" s="1169">
        <v>462.4</v>
      </c>
      <c r="CR30" s="1169">
        <v>466.8</v>
      </c>
      <c r="CS30" s="1169">
        <v>470.8</v>
      </c>
      <c r="CT30" s="1169">
        <v>485.8</v>
      </c>
      <c r="CU30" s="1169">
        <v>493</v>
      </c>
      <c r="CV30" s="1169">
        <v>499</v>
      </c>
      <c r="CW30" s="1169">
        <v>506.8</v>
      </c>
      <c r="CX30" s="1169">
        <v>514.20000000000005</v>
      </c>
      <c r="CY30" s="1169">
        <v>519</v>
      </c>
      <c r="CZ30" s="1169">
        <v>524.6</v>
      </c>
      <c r="DA30" s="1169">
        <v>529.9</v>
      </c>
      <c r="DB30" s="1169">
        <v>532.9</v>
      </c>
      <c r="DC30" s="1169">
        <v>541.70000000000005</v>
      </c>
      <c r="DD30" s="1169">
        <v>549.5</v>
      </c>
      <c r="DE30" s="1169">
        <v>557.5</v>
      </c>
      <c r="DF30" s="1169">
        <v>566</v>
      </c>
      <c r="DG30" s="1169">
        <v>574</v>
      </c>
      <c r="DH30" s="1169">
        <v>582.9</v>
      </c>
      <c r="DI30" s="1169">
        <v>594.79999999999995</v>
      </c>
      <c r="DJ30" s="1169">
        <v>602.79999999999995</v>
      </c>
      <c r="DK30" s="1169">
        <v>612.29999999999995</v>
      </c>
      <c r="DL30" s="1169">
        <v>622.20000000000005</v>
      </c>
      <c r="DM30" s="1169">
        <v>632.20000000000005</v>
      </c>
      <c r="DN30" s="1169">
        <v>643.5</v>
      </c>
      <c r="DO30" s="1169">
        <v>649.29999999999995</v>
      </c>
      <c r="DP30" s="1169">
        <v>656.7</v>
      </c>
      <c r="DQ30" s="1169">
        <v>669.8</v>
      </c>
      <c r="DR30" s="1169">
        <v>689.4</v>
      </c>
      <c r="DS30" s="1169">
        <v>691.5</v>
      </c>
      <c r="DT30" s="1169">
        <v>704.2</v>
      </c>
      <c r="DU30" s="1169">
        <v>709.2</v>
      </c>
      <c r="DV30" s="1169">
        <v>723.4</v>
      </c>
      <c r="DW30" s="1169">
        <v>723.4</v>
      </c>
      <c r="DX30" s="1169">
        <v>722</v>
      </c>
      <c r="DY30" s="1169">
        <v>724.2</v>
      </c>
      <c r="DZ30" s="1169">
        <v>732</v>
      </c>
      <c r="EA30" s="1169">
        <v>739.9</v>
      </c>
      <c r="EB30" s="1169">
        <v>742</v>
      </c>
      <c r="EC30" s="1169">
        <v>743.8</v>
      </c>
      <c r="ED30" s="1169">
        <v>749.1</v>
      </c>
      <c r="EE30" s="1169">
        <v>758.6</v>
      </c>
      <c r="EF30" s="1169">
        <v>767.2</v>
      </c>
      <c r="EG30" s="1169">
        <v>778.2</v>
      </c>
      <c r="EH30" s="1169">
        <v>790</v>
      </c>
      <c r="EI30" s="1169">
        <v>803.5</v>
      </c>
      <c r="EJ30" s="1169">
        <v>818.4</v>
      </c>
      <c r="EK30" s="1169">
        <v>824</v>
      </c>
      <c r="EL30" s="1169">
        <v>837.4</v>
      </c>
      <c r="EM30" s="1169">
        <v>846</v>
      </c>
      <c r="EN30" s="1169">
        <v>859.8</v>
      </c>
      <c r="EO30" s="1169">
        <v>870.4</v>
      </c>
      <c r="EP30" s="1169">
        <v>895.1</v>
      </c>
      <c r="EQ30" s="1169">
        <v>900.8</v>
      </c>
      <c r="ER30" s="1169">
        <v>906.2</v>
      </c>
      <c r="ES30" s="1169">
        <v>920.6</v>
      </c>
      <c r="ET30" s="1169">
        <v>940.9</v>
      </c>
      <c r="EU30" s="1169">
        <v>943.1</v>
      </c>
      <c r="EV30" s="1169">
        <v>946.7</v>
      </c>
      <c r="EW30" s="1169">
        <v>958.4</v>
      </c>
      <c r="EX30" s="1169">
        <v>970.2</v>
      </c>
      <c r="EY30" s="1169">
        <v>972.3</v>
      </c>
      <c r="EZ30" s="1169">
        <v>977.6</v>
      </c>
      <c r="FA30" s="1169">
        <v>977.8</v>
      </c>
      <c r="FB30" s="1169">
        <v>946</v>
      </c>
      <c r="FC30" s="1169">
        <v>952.6</v>
      </c>
      <c r="FD30" s="1169">
        <v>950.3</v>
      </c>
      <c r="FE30" s="1169">
        <v>953.9</v>
      </c>
      <c r="FF30" s="1169">
        <v>960.6</v>
      </c>
      <c r="FG30" s="1169">
        <v>971.7</v>
      </c>
      <c r="FH30" s="1169">
        <v>974.6</v>
      </c>
      <c r="FI30" s="1169">
        <v>976.6</v>
      </c>
      <c r="FJ30" s="1169">
        <v>898.3</v>
      </c>
      <c r="FK30" s="1169">
        <v>900.9</v>
      </c>
      <c r="FL30" s="1169">
        <v>909.4</v>
      </c>
      <c r="FM30" s="1169">
        <v>904.2</v>
      </c>
      <c r="FN30" s="1169">
        <v>927.5</v>
      </c>
      <c r="FO30" s="1169">
        <v>932.2</v>
      </c>
      <c r="FP30" s="1169">
        <v>935.2</v>
      </c>
      <c r="FQ30" s="1169">
        <v>957</v>
      </c>
      <c r="FR30" s="1169">
        <v>1078.5999999999999</v>
      </c>
      <c r="FS30" s="1169">
        <v>1090.7</v>
      </c>
      <c r="FT30" s="1169">
        <v>1093.5999999999999</v>
      </c>
      <c r="FU30" s="1169">
        <v>1104.2</v>
      </c>
      <c r="FV30" s="1169">
        <v>1126.5999999999999</v>
      </c>
      <c r="FW30" s="1169">
        <v>1131</v>
      </c>
      <c r="FX30" s="1169">
        <v>1142.5</v>
      </c>
      <c r="FY30" s="1169">
        <v>1160.0999999999999</v>
      </c>
      <c r="FZ30" s="1169">
        <v>1175.2</v>
      </c>
      <c r="GA30" s="1169">
        <v>1187</v>
      </c>
      <c r="GB30" s="1169">
        <v>1196.8</v>
      </c>
      <c r="GC30" s="1169">
        <v>1204.0999999999999</v>
      </c>
      <c r="GD30" s="1169">
        <v>1211</v>
      </c>
      <c r="GE30" s="1169">
        <v>1217</v>
      </c>
      <c r="GF30" s="1169">
        <v>1228</v>
      </c>
      <c r="GG30" s="1169">
        <v>1241.5</v>
      </c>
      <c r="GH30" s="1169">
        <v>1262.5</v>
      </c>
      <c r="GI30" s="1169">
        <v>1275.0999999999999</v>
      </c>
      <c r="GJ30" s="1169">
        <v>1290.2</v>
      </c>
      <c r="GK30" s="1169">
        <v>1308.9000000000001</v>
      </c>
      <c r="GL30" s="1169">
        <v>1328.5</v>
      </c>
      <c r="GM30" s="1169">
        <v>1338</v>
      </c>
      <c r="GN30" s="1169">
        <v>1353.9</v>
      </c>
      <c r="GO30" s="1169">
        <v>1361.4</v>
      </c>
      <c r="GP30" s="1169">
        <v>1392.4</v>
      </c>
      <c r="GQ30" s="1169">
        <v>1399.3</v>
      </c>
      <c r="GR30" s="1169">
        <v>1406.9</v>
      </c>
      <c r="GS30" s="1169">
        <v>1426.4</v>
      </c>
      <c r="GT30" s="1169">
        <v>1457.1</v>
      </c>
      <c r="GU30" s="1169">
        <v>1391.6</v>
      </c>
      <c r="GV30" s="1169">
        <v>1443.8</v>
      </c>
      <c r="GW30" s="1169">
        <v>1486</v>
      </c>
      <c r="GX30" s="1169">
        <v>1517.9</v>
      </c>
      <c r="GY30" s="1169">
        <v>1555.7</v>
      </c>
      <c r="GZ30" s="1169">
        <v>1594.4</v>
      </c>
      <c r="HA30" s="1169">
        <v>1630.1</v>
      </c>
    </row>
    <row r="31" spans="1:209" x14ac:dyDescent="0.35">
      <c r="A31" s="1169" t="s">
        <v>576</v>
      </c>
      <c r="B31" s="1169">
        <v>48.3</v>
      </c>
      <c r="C31" s="1169">
        <v>57.5</v>
      </c>
      <c r="D31" s="1169">
        <v>56.9</v>
      </c>
      <c r="E31" s="1169">
        <v>59.8</v>
      </c>
      <c r="F31" s="1169">
        <v>61</v>
      </c>
      <c r="G31" s="1169">
        <v>67.900000000000006</v>
      </c>
      <c r="H31" s="1169">
        <v>67.2</v>
      </c>
      <c r="I31" s="1169">
        <v>68.2</v>
      </c>
      <c r="J31" s="1169">
        <v>70.2</v>
      </c>
      <c r="K31" s="1169">
        <v>70.2</v>
      </c>
      <c r="L31" s="1169">
        <v>70.3</v>
      </c>
      <c r="M31" s="1169">
        <v>80.599999999999994</v>
      </c>
      <c r="N31" s="1169">
        <v>82.2</v>
      </c>
      <c r="O31" s="1169">
        <v>83.6</v>
      </c>
      <c r="P31" s="1169">
        <v>85.1</v>
      </c>
      <c r="Q31" s="1169">
        <v>87.3</v>
      </c>
      <c r="R31" s="1169">
        <v>94.1</v>
      </c>
      <c r="S31" s="1169">
        <v>100.7</v>
      </c>
      <c r="T31" s="1169">
        <v>106.4</v>
      </c>
      <c r="U31" s="1169">
        <v>112</v>
      </c>
      <c r="V31" s="1169">
        <v>120.5</v>
      </c>
      <c r="W31" s="1169">
        <v>134.19999999999999</v>
      </c>
      <c r="X31" s="1169">
        <v>136.80000000000001</v>
      </c>
      <c r="Y31" s="1169">
        <v>137.80000000000001</v>
      </c>
      <c r="Z31" s="1169">
        <v>141.30000000000001</v>
      </c>
      <c r="AA31" s="1169">
        <v>139.6</v>
      </c>
      <c r="AB31" s="1169">
        <v>145.4</v>
      </c>
      <c r="AC31" s="1169">
        <v>147.69999999999999</v>
      </c>
      <c r="AD31" s="1169">
        <v>149.80000000000001</v>
      </c>
      <c r="AE31" s="1169">
        <v>148.9</v>
      </c>
      <c r="AF31" s="1169">
        <v>154.4</v>
      </c>
      <c r="AG31" s="1169">
        <v>156.6</v>
      </c>
      <c r="AH31" s="1169">
        <v>158.5</v>
      </c>
      <c r="AI31" s="1169">
        <v>158</v>
      </c>
      <c r="AJ31" s="1169">
        <v>165.9</v>
      </c>
      <c r="AK31" s="1169">
        <v>168.3</v>
      </c>
      <c r="AL31" s="1169">
        <v>172.5</v>
      </c>
      <c r="AM31" s="1169">
        <v>175.7</v>
      </c>
      <c r="AN31" s="1169">
        <v>190.1</v>
      </c>
      <c r="AO31" s="1169">
        <v>193.8</v>
      </c>
      <c r="AP31" s="1169">
        <v>202.1</v>
      </c>
      <c r="AQ31" s="1169">
        <v>207.3</v>
      </c>
      <c r="AR31" s="1169">
        <v>235.4</v>
      </c>
      <c r="AS31" s="1169">
        <v>236.4</v>
      </c>
      <c r="AT31" s="1169">
        <v>240.5</v>
      </c>
      <c r="AU31" s="1169">
        <v>241.6</v>
      </c>
      <c r="AV31" s="1169">
        <v>259.3</v>
      </c>
      <c r="AW31" s="1169">
        <v>261.5</v>
      </c>
      <c r="AX31" s="1169">
        <v>265.2</v>
      </c>
      <c r="AY31" s="1169">
        <v>272.2</v>
      </c>
      <c r="AZ31" s="1169">
        <v>287.5</v>
      </c>
      <c r="BA31" s="1169">
        <v>302.60000000000002</v>
      </c>
      <c r="BB31" s="1169">
        <v>302.2</v>
      </c>
      <c r="BC31" s="1169">
        <v>307.39999999999998</v>
      </c>
      <c r="BD31" s="1169">
        <v>301.3</v>
      </c>
      <c r="BE31" s="1169">
        <v>303.5</v>
      </c>
      <c r="BF31" s="1169">
        <v>306.39999999999998</v>
      </c>
      <c r="BG31" s="1169">
        <v>308.39999999999998</v>
      </c>
      <c r="BH31" s="1169">
        <v>309.10000000000002</v>
      </c>
      <c r="BI31" s="1169">
        <v>315.10000000000002</v>
      </c>
      <c r="BJ31" s="1169">
        <v>323.2</v>
      </c>
      <c r="BK31" s="1169">
        <v>324.2</v>
      </c>
      <c r="BL31" s="1169">
        <v>327.5</v>
      </c>
      <c r="BM31" s="1169">
        <v>328.5</v>
      </c>
      <c r="BN31" s="1169">
        <v>338.3</v>
      </c>
      <c r="BO31" s="1169">
        <v>342</v>
      </c>
      <c r="BP31" s="1169">
        <v>347.8</v>
      </c>
      <c r="BQ31" s="1169">
        <v>348.9</v>
      </c>
      <c r="BR31" s="1169">
        <v>353.6</v>
      </c>
      <c r="BS31" s="1169">
        <v>357.6</v>
      </c>
      <c r="BT31" s="1169">
        <v>357.9</v>
      </c>
      <c r="BU31" s="1169">
        <v>359.7</v>
      </c>
      <c r="BV31" s="1169">
        <v>375</v>
      </c>
      <c r="BW31" s="1169">
        <v>376.1</v>
      </c>
      <c r="BX31" s="1169">
        <v>379.3</v>
      </c>
      <c r="BY31" s="1169">
        <v>383</v>
      </c>
      <c r="BZ31" s="1169">
        <v>403.9</v>
      </c>
      <c r="CA31" s="1169">
        <v>408.3</v>
      </c>
      <c r="CB31" s="1169">
        <v>413.7</v>
      </c>
      <c r="CC31" s="1169">
        <v>420.9</v>
      </c>
      <c r="CD31" s="1169">
        <v>437.5</v>
      </c>
      <c r="CE31" s="1169">
        <v>443.4</v>
      </c>
      <c r="CF31" s="1169">
        <v>447.9</v>
      </c>
      <c r="CG31" s="1169">
        <v>459.4</v>
      </c>
      <c r="CH31" s="1169">
        <v>481</v>
      </c>
      <c r="CI31" s="1169">
        <v>491.3</v>
      </c>
      <c r="CJ31" s="1169">
        <v>495.1</v>
      </c>
      <c r="CK31" s="1169">
        <v>508.5</v>
      </c>
      <c r="CL31" s="1169">
        <v>540</v>
      </c>
      <c r="CM31" s="1169">
        <v>550.5</v>
      </c>
      <c r="CN31" s="1169">
        <v>555.5</v>
      </c>
      <c r="CO31" s="1169">
        <v>561.1</v>
      </c>
      <c r="CP31" s="1169">
        <v>577.6</v>
      </c>
      <c r="CQ31" s="1169">
        <v>582</v>
      </c>
      <c r="CR31" s="1169">
        <v>585.70000000000005</v>
      </c>
      <c r="CS31" s="1169">
        <v>589.6</v>
      </c>
      <c r="CT31" s="1169">
        <v>601.79999999999995</v>
      </c>
      <c r="CU31" s="1169">
        <v>606.20000000000005</v>
      </c>
      <c r="CV31" s="1169">
        <v>610</v>
      </c>
      <c r="CW31" s="1169">
        <v>618.1</v>
      </c>
      <c r="CX31" s="1169">
        <v>637.6</v>
      </c>
      <c r="CY31" s="1169">
        <v>644.9</v>
      </c>
      <c r="CZ31" s="1169">
        <v>650</v>
      </c>
      <c r="DA31" s="1169">
        <v>655.8</v>
      </c>
      <c r="DB31" s="1169">
        <v>675</v>
      </c>
      <c r="DC31" s="1169">
        <v>680.7</v>
      </c>
      <c r="DD31" s="1169">
        <v>683.7</v>
      </c>
      <c r="DE31" s="1169">
        <v>688.9</v>
      </c>
      <c r="DF31" s="1169">
        <v>704.5</v>
      </c>
      <c r="DG31" s="1169">
        <v>707.5</v>
      </c>
      <c r="DH31" s="1169">
        <v>709.2</v>
      </c>
      <c r="DI31" s="1169">
        <v>710.2</v>
      </c>
      <c r="DJ31" s="1169">
        <v>719.7</v>
      </c>
      <c r="DK31" s="1169">
        <v>720.7</v>
      </c>
      <c r="DL31" s="1169">
        <v>723.5</v>
      </c>
      <c r="DM31" s="1169">
        <v>724.7</v>
      </c>
      <c r="DN31" s="1169">
        <v>735.5</v>
      </c>
      <c r="DO31" s="1169">
        <v>738.6</v>
      </c>
      <c r="DP31" s="1169">
        <v>741.1</v>
      </c>
      <c r="DQ31" s="1169">
        <v>744.2</v>
      </c>
      <c r="DR31" s="1169">
        <v>756.8</v>
      </c>
      <c r="DS31" s="1169">
        <v>772.9</v>
      </c>
      <c r="DT31" s="1169">
        <v>777.5</v>
      </c>
      <c r="DU31" s="1169">
        <v>786.5</v>
      </c>
      <c r="DV31" s="1169">
        <v>817.3</v>
      </c>
      <c r="DW31" s="1169">
        <v>831</v>
      </c>
      <c r="DX31" s="1169">
        <v>849.4</v>
      </c>
      <c r="DY31" s="1169">
        <v>865.2</v>
      </c>
      <c r="DZ31" s="1169">
        <v>895</v>
      </c>
      <c r="EA31" s="1169">
        <v>921</v>
      </c>
      <c r="EB31" s="1169">
        <v>925.2</v>
      </c>
      <c r="EC31" s="1169">
        <v>930.8</v>
      </c>
      <c r="ED31" s="1169">
        <v>947.7</v>
      </c>
      <c r="EE31" s="1169">
        <v>964.3</v>
      </c>
      <c r="EF31" s="1169">
        <v>973.7</v>
      </c>
      <c r="EG31" s="1169">
        <v>984.3</v>
      </c>
      <c r="EH31" s="1169">
        <v>1003.6</v>
      </c>
      <c r="EI31" s="1169">
        <v>1013.5</v>
      </c>
      <c r="EJ31" s="1169">
        <v>1024.0999999999999</v>
      </c>
      <c r="EK31" s="1169">
        <v>1036.9000000000001</v>
      </c>
      <c r="EL31" s="1169">
        <v>1065.3</v>
      </c>
      <c r="EM31" s="1169">
        <v>1076</v>
      </c>
      <c r="EN31" s="1169">
        <v>1091.8</v>
      </c>
      <c r="EO31" s="1169">
        <v>1104.4000000000001</v>
      </c>
      <c r="EP31" s="1169">
        <v>1172.7</v>
      </c>
      <c r="EQ31" s="1169">
        <v>1184</v>
      </c>
      <c r="ER31" s="1169">
        <v>1194.0999999999999</v>
      </c>
      <c r="ES31" s="1169">
        <v>1205.5999999999999</v>
      </c>
      <c r="ET31" s="1169">
        <v>1240.0999999999999</v>
      </c>
      <c r="EU31" s="1169">
        <v>1256.7</v>
      </c>
      <c r="EV31" s="1169">
        <v>1270.2</v>
      </c>
      <c r="EW31" s="1169">
        <v>1286.3</v>
      </c>
      <c r="EX31" s="1169">
        <v>1321.9</v>
      </c>
      <c r="EY31" s="1169">
        <v>1657</v>
      </c>
      <c r="EZ31" s="1169">
        <v>1445.3</v>
      </c>
      <c r="FA31" s="1169">
        <v>1428.7</v>
      </c>
      <c r="FB31" s="1169">
        <v>1521.8</v>
      </c>
      <c r="FC31" s="1169">
        <v>1648</v>
      </c>
      <c r="FD31" s="1169">
        <v>1634.5</v>
      </c>
      <c r="FE31" s="1169">
        <v>1653.9</v>
      </c>
      <c r="FF31" s="1169">
        <v>1753.5</v>
      </c>
      <c r="FG31" s="1169">
        <v>1755.7</v>
      </c>
      <c r="FH31" s="1169">
        <v>1758.8</v>
      </c>
      <c r="FI31" s="1169">
        <v>1761.9</v>
      </c>
      <c r="FJ31" s="1169">
        <v>1768.6</v>
      </c>
      <c r="FK31" s="1169">
        <v>1777.4</v>
      </c>
      <c r="FL31" s="1169">
        <v>1782.4</v>
      </c>
      <c r="FM31" s="1169">
        <v>1789.3</v>
      </c>
      <c r="FN31" s="1169">
        <v>1772.9</v>
      </c>
      <c r="FO31" s="1169">
        <v>1777.5</v>
      </c>
      <c r="FP31" s="1169">
        <v>1783.6</v>
      </c>
      <c r="FQ31" s="1169">
        <v>1793.4</v>
      </c>
      <c r="FR31" s="1169">
        <v>1817.3</v>
      </c>
      <c r="FS31" s="1169">
        <v>1815.5</v>
      </c>
      <c r="FT31" s="1169">
        <v>1823.2</v>
      </c>
      <c r="FU31" s="1169">
        <v>1830.1</v>
      </c>
      <c r="FV31" s="1169">
        <v>1848.1</v>
      </c>
      <c r="FW31" s="1169">
        <v>1876.8</v>
      </c>
      <c r="FX31" s="1169">
        <v>1890.5</v>
      </c>
      <c r="FY31" s="1169">
        <v>1909</v>
      </c>
      <c r="FZ31" s="1169">
        <v>1945.5</v>
      </c>
      <c r="GA31" s="1169">
        <v>1966.6</v>
      </c>
      <c r="GB31" s="1169">
        <v>1977.6</v>
      </c>
      <c r="GC31" s="1169">
        <v>1989.7</v>
      </c>
      <c r="GD31" s="1169">
        <v>2006.2</v>
      </c>
      <c r="GE31" s="1169">
        <v>2018</v>
      </c>
      <c r="GF31" s="1169">
        <v>2029.1</v>
      </c>
      <c r="GG31" s="1169">
        <v>2043.5</v>
      </c>
      <c r="GH31" s="1169">
        <v>2074.9</v>
      </c>
      <c r="GI31" s="1169">
        <v>2088.5</v>
      </c>
      <c r="GJ31" s="1169">
        <v>2106.8000000000002</v>
      </c>
      <c r="GK31" s="1169">
        <v>2124.9</v>
      </c>
      <c r="GL31" s="1169">
        <v>2172.9</v>
      </c>
      <c r="GM31" s="1169">
        <v>2186.8000000000002</v>
      </c>
      <c r="GN31" s="1169">
        <v>2203.5</v>
      </c>
      <c r="GO31" s="1169">
        <v>2222.3000000000002</v>
      </c>
      <c r="GP31" s="1169">
        <v>2298.1</v>
      </c>
      <c r="GQ31" s="1169">
        <v>2315.5</v>
      </c>
      <c r="GR31" s="1169">
        <v>2333.1999999999998</v>
      </c>
      <c r="GS31" s="1169">
        <v>2350.8000000000002</v>
      </c>
      <c r="GT31" s="1169">
        <v>2417.9</v>
      </c>
      <c r="GU31" s="1169">
        <v>4766.7</v>
      </c>
      <c r="GV31" s="1169">
        <v>3468.3</v>
      </c>
      <c r="GW31" s="1169">
        <v>2839.1</v>
      </c>
      <c r="GX31" s="1169">
        <v>5070.6000000000004</v>
      </c>
      <c r="GY31" s="1169">
        <v>3372.3</v>
      </c>
      <c r="GZ31" s="1169">
        <v>3136.3</v>
      </c>
      <c r="HA31" s="1169">
        <v>2936.3</v>
      </c>
    </row>
    <row r="32" spans="1:209" x14ac:dyDescent="0.35">
      <c r="A32" s="1169" t="s">
        <v>411</v>
      </c>
      <c r="B32" s="1169">
        <v>16.600000000000001</v>
      </c>
      <c r="C32" s="1169">
        <v>17.899999999999999</v>
      </c>
      <c r="D32" s="1169">
        <v>19.2</v>
      </c>
      <c r="E32" s="1169">
        <v>19.8</v>
      </c>
      <c r="F32" s="1169">
        <v>20.5</v>
      </c>
      <c r="G32" s="1169">
        <v>22.1</v>
      </c>
      <c r="H32" s="1169">
        <v>22.4</v>
      </c>
      <c r="I32" s="1169">
        <v>23.7</v>
      </c>
      <c r="J32" s="1169">
        <v>24.4</v>
      </c>
      <c r="K32" s="1169">
        <v>32.700000000000003</v>
      </c>
      <c r="L32" s="1169">
        <v>25.6</v>
      </c>
      <c r="M32" s="1169">
        <v>39.299999999999997</v>
      </c>
      <c r="N32" s="1169">
        <v>34.299999999999997</v>
      </c>
      <c r="O32" s="1169">
        <v>33.4</v>
      </c>
      <c r="P32" s="1169">
        <v>32.6</v>
      </c>
      <c r="Q32" s="1169">
        <v>33.6</v>
      </c>
      <c r="R32" s="1169">
        <v>33.299999999999997</v>
      </c>
      <c r="S32" s="1169">
        <v>34.1</v>
      </c>
      <c r="T32" s="1169">
        <v>35.4</v>
      </c>
      <c r="U32" s="1169">
        <v>36.799999999999997</v>
      </c>
      <c r="V32" s="1169">
        <v>39.299999999999997</v>
      </c>
      <c r="W32" s="1169">
        <v>44.3</v>
      </c>
      <c r="X32" s="1169">
        <v>45</v>
      </c>
      <c r="Y32" s="1169">
        <v>45.9</v>
      </c>
      <c r="Z32" s="1169">
        <v>47</v>
      </c>
      <c r="AA32" s="1169">
        <v>47.8</v>
      </c>
      <c r="AB32" s="1169">
        <v>48.7</v>
      </c>
      <c r="AC32" s="1169">
        <v>52.7</v>
      </c>
      <c r="AD32" s="1169">
        <v>50.7</v>
      </c>
      <c r="AE32" s="1169">
        <v>53.7</v>
      </c>
      <c r="AF32" s="1169">
        <v>57.3</v>
      </c>
      <c r="AG32" s="1169">
        <v>57.3</v>
      </c>
      <c r="AH32" s="1169">
        <v>61.5</v>
      </c>
      <c r="AI32" s="1169">
        <v>64.099999999999994</v>
      </c>
      <c r="AJ32" s="1169">
        <v>63.4</v>
      </c>
      <c r="AK32" s="1169">
        <v>64.900000000000006</v>
      </c>
      <c r="AL32" s="1169">
        <v>62.1</v>
      </c>
      <c r="AM32" s="1169">
        <v>62.6</v>
      </c>
      <c r="AN32" s="1169">
        <v>65.2</v>
      </c>
      <c r="AO32" s="1169">
        <v>65.900000000000006</v>
      </c>
      <c r="AP32" s="1169">
        <v>66.7</v>
      </c>
      <c r="AQ32" s="1169">
        <v>68.2</v>
      </c>
      <c r="AR32" s="1169">
        <v>70.7</v>
      </c>
      <c r="AS32" s="1169">
        <v>73.099999999999994</v>
      </c>
      <c r="AT32" s="1169">
        <v>71.5</v>
      </c>
      <c r="AU32" s="1169">
        <v>71.400000000000006</v>
      </c>
      <c r="AV32" s="1169">
        <v>68.8</v>
      </c>
      <c r="AW32" s="1169">
        <v>66</v>
      </c>
      <c r="AX32" s="1169">
        <v>65.8</v>
      </c>
      <c r="AY32" s="1169">
        <v>67.3</v>
      </c>
      <c r="AZ32" s="1169">
        <v>65.599999999999994</v>
      </c>
      <c r="BA32" s="1169">
        <v>66.3</v>
      </c>
      <c r="BB32" s="1169">
        <v>67.2</v>
      </c>
      <c r="BC32" s="1169">
        <v>69.2</v>
      </c>
      <c r="BD32" s="1169">
        <v>68.400000000000006</v>
      </c>
      <c r="BE32" s="1169">
        <v>67</v>
      </c>
      <c r="BF32" s="1169">
        <v>71.3</v>
      </c>
      <c r="BG32" s="1169">
        <v>73.099999999999994</v>
      </c>
      <c r="BH32" s="1169">
        <v>70.7</v>
      </c>
      <c r="BI32" s="1169">
        <v>74.3</v>
      </c>
      <c r="BJ32" s="1169">
        <v>74.8</v>
      </c>
      <c r="BK32" s="1169">
        <v>75.3</v>
      </c>
      <c r="BL32" s="1169">
        <v>76.400000000000006</v>
      </c>
      <c r="BM32" s="1169">
        <v>78.099999999999994</v>
      </c>
      <c r="BN32" s="1169">
        <v>79.7</v>
      </c>
      <c r="BO32" s="1169">
        <v>83.8</v>
      </c>
      <c r="BP32" s="1169">
        <v>86.7</v>
      </c>
      <c r="BQ32" s="1169">
        <v>79.5</v>
      </c>
      <c r="BR32" s="1169">
        <v>76.900000000000006</v>
      </c>
      <c r="BS32" s="1169">
        <v>80.2</v>
      </c>
      <c r="BT32" s="1169">
        <v>78.2</v>
      </c>
      <c r="BU32" s="1169">
        <v>78.2</v>
      </c>
      <c r="BV32" s="1169">
        <v>84.1</v>
      </c>
      <c r="BW32" s="1169">
        <v>84.1</v>
      </c>
      <c r="BX32" s="1169">
        <v>87</v>
      </c>
      <c r="BY32" s="1169">
        <v>87.7</v>
      </c>
      <c r="BZ32" s="1169">
        <v>88.7</v>
      </c>
      <c r="CA32" s="1169">
        <v>89.1</v>
      </c>
      <c r="CB32" s="1169">
        <v>95</v>
      </c>
      <c r="CC32" s="1169">
        <v>94.5</v>
      </c>
      <c r="CD32" s="1169">
        <v>99.9</v>
      </c>
      <c r="CE32" s="1169">
        <v>103.2</v>
      </c>
      <c r="CF32" s="1169">
        <v>105.5</v>
      </c>
      <c r="CG32" s="1169">
        <v>108.8</v>
      </c>
      <c r="CH32" s="1169">
        <v>115.6</v>
      </c>
      <c r="CI32" s="1169">
        <v>120.5</v>
      </c>
      <c r="CJ32" s="1169">
        <v>127</v>
      </c>
      <c r="CK32" s="1169">
        <v>132.9</v>
      </c>
      <c r="CL32" s="1169">
        <v>136.19999999999999</v>
      </c>
      <c r="CM32" s="1169">
        <v>139</v>
      </c>
      <c r="CN32" s="1169">
        <v>145</v>
      </c>
      <c r="CO32" s="1169">
        <v>146.5</v>
      </c>
      <c r="CP32" s="1169">
        <v>148.80000000000001</v>
      </c>
      <c r="CQ32" s="1169">
        <v>151.4</v>
      </c>
      <c r="CR32" s="1169">
        <v>157.19999999999999</v>
      </c>
      <c r="CS32" s="1169">
        <v>165.5</v>
      </c>
      <c r="CT32" s="1169">
        <v>162.4</v>
      </c>
      <c r="CU32" s="1169">
        <v>164.9</v>
      </c>
      <c r="CV32" s="1169">
        <v>167.3</v>
      </c>
      <c r="CW32" s="1169">
        <v>172.8</v>
      </c>
      <c r="CX32" s="1169">
        <v>175.6</v>
      </c>
      <c r="CY32" s="1169">
        <v>174.8</v>
      </c>
      <c r="CZ32" s="1169">
        <v>175.8</v>
      </c>
      <c r="DA32" s="1169">
        <v>171.7</v>
      </c>
      <c r="DB32" s="1169">
        <v>177.1</v>
      </c>
      <c r="DC32" s="1169">
        <v>185.5</v>
      </c>
      <c r="DD32" s="1169">
        <v>182.9</v>
      </c>
      <c r="DE32" s="1169">
        <v>180.3</v>
      </c>
      <c r="DF32" s="1169">
        <v>184.6</v>
      </c>
      <c r="DG32" s="1169">
        <v>184.2</v>
      </c>
      <c r="DH32" s="1169">
        <v>187.5</v>
      </c>
      <c r="DI32" s="1169">
        <v>196.3</v>
      </c>
      <c r="DJ32" s="1169">
        <v>197.3</v>
      </c>
      <c r="DK32" s="1169">
        <v>197</v>
      </c>
      <c r="DL32" s="1169">
        <v>201.8</v>
      </c>
      <c r="DM32" s="1169">
        <v>207</v>
      </c>
      <c r="DN32" s="1169">
        <v>214.7</v>
      </c>
      <c r="DO32" s="1169">
        <v>211.8</v>
      </c>
      <c r="DP32" s="1169">
        <v>223.1</v>
      </c>
      <c r="DQ32" s="1169">
        <v>227</v>
      </c>
      <c r="DR32" s="1169">
        <v>224.5</v>
      </c>
      <c r="DS32" s="1169">
        <v>227.4</v>
      </c>
      <c r="DT32" s="1169">
        <v>239.5</v>
      </c>
      <c r="DU32" s="1169">
        <v>241.1</v>
      </c>
      <c r="DV32" s="1169">
        <v>254</v>
      </c>
      <c r="DW32" s="1169">
        <v>262.2</v>
      </c>
      <c r="DX32" s="1169">
        <v>258.5</v>
      </c>
      <c r="DY32" s="1169">
        <v>270.39999999999998</v>
      </c>
      <c r="DZ32" s="1169">
        <v>277.3</v>
      </c>
      <c r="EA32" s="1169">
        <v>285.7</v>
      </c>
      <c r="EB32" s="1169">
        <v>294.3</v>
      </c>
      <c r="EC32" s="1169">
        <v>297.39999999999998</v>
      </c>
      <c r="ED32" s="1169">
        <v>299.60000000000002</v>
      </c>
      <c r="EE32" s="1169">
        <v>323.3</v>
      </c>
      <c r="EF32" s="1169">
        <v>329.6</v>
      </c>
      <c r="EG32" s="1169">
        <v>334.3</v>
      </c>
      <c r="EH32" s="1169">
        <v>328</v>
      </c>
      <c r="EI32" s="1169">
        <v>332.8</v>
      </c>
      <c r="EJ32" s="1169">
        <v>328.4</v>
      </c>
      <c r="EK32" s="1169">
        <v>340</v>
      </c>
      <c r="EL32" s="1169">
        <v>341.6</v>
      </c>
      <c r="EM32" s="1169">
        <v>344.8</v>
      </c>
      <c r="EN32" s="1169">
        <v>342.5</v>
      </c>
      <c r="EO32" s="1169">
        <v>345.1</v>
      </c>
      <c r="EP32" s="1169">
        <v>340</v>
      </c>
      <c r="EQ32" s="1169">
        <v>341.5</v>
      </c>
      <c r="ER32" s="1169">
        <v>347.9</v>
      </c>
      <c r="ES32" s="1169">
        <v>334.7</v>
      </c>
      <c r="ET32" s="1169">
        <v>358.4</v>
      </c>
      <c r="EU32" s="1169">
        <v>359.4</v>
      </c>
      <c r="EV32" s="1169">
        <v>359.8</v>
      </c>
      <c r="EW32" s="1169">
        <v>358.9</v>
      </c>
      <c r="EX32" s="1169">
        <v>365.7</v>
      </c>
      <c r="EY32" s="1169">
        <v>371.5</v>
      </c>
      <c r="EZ32" s="1169">
        <v>368.8</v>
      </c>
      <c r="FA32" s="1169">
        <v>378.6</v>
      </c>
      <c r="FB32" s="1169">
        <v>421.1</v>
      </c>
      <c r="FC32" s="1169">
        <v>473.9</v>
      </c>
      <c r="FD32" s="1169">
        <v>465.4</v>
      </c>
      <c r="FE32" s="1169">
        <v>472.1</v>
      </c>
      <c r="FF32" s="1169">
        <v>496.2</v>
      </c>
      <c r="FG32" s="1169">
        <v>492.6</v>
      </c>
      <c r="FH32" s="1169">
        <v>517.79999999999995</v>
      </c>
      <c r="FI32" s="1169">
        <v>514.4</v>
      </c>
      <c r="FJ32" s="1169">
        <v>500.5</v>
      </c>
      <c r="FK32" s="1169">
        <v>503.4</v>
      </c>
      <c r="FL32" s="1169">
        <v>448.3</v>
      </c>
      <c r="FM32" s="1169">
        <v>437.7</v>
      </c>
      <c r="FN32" s="1169">
        <v>441.7</v>
      </c>
      <c r="FO32" s="1169">
        <v>447.9</v>
      </c>
      <c r="FP32" s="1169">
        <v>440</v>
      </c>
      <c r="FQ32" s="1169">
        <v>448.2</v>
      </c>
      <c r="FR32" s="1169">
        <v>440</v>
      </c>
      <c r="FS32" s="1169">
        <v>459.2</v>
      </c>
      <c r="FT32" s="1169">
        <v>454</v>
      </c>
      <c r="FU32" s="1169">
        <v>447.3</v>
      </c>
      <c r="FV32" s="1169">
        <v>467.8</v>
      </c>
      <c r="FW32" s="1169">
        <v>492.5</v>
      </c>
      <c r="FX32" s="1169">
        <v>511.1</v>
      </c>
      <c r="FY32" s="1169">
        <v>508.8</v>
      </c>
      <c r="FZ32" s="1169">
        <v>524.79999999999995</v>
      </c>
      <c r="GA32" s="1169">
        <v>528.9</v>
      </c>
      <c r="GB32" s="1169">
        <v>530.4</v>
      </c>
      <c r="GC32" s="1169">
        <v>548.20000000000005</v>
      </c>
      <c r="GD32" s="1169">
        <v>544.4</v>
      </c>
      <c r="GE32" s="1169">
        <v>546.6</v>
      </c>
      <c r="GF32" s="1169">
        <v>562.79999999999995</v>
      </c>
      <c r="GG32" s="1169">
        <v>573.1</v>
      </c>
      <c r="GH32" s="1169">
        <v>563.29999999999995</v>
      </c>
      <c r="GI32" s="1169">
        <v>539.70000000000005</v>
      </c>
      <c r="GJ32" s="1169">
        <v>563</v>
      </c>
      <c r="GK32" s="1169">
        <v>575.79999999999995</v>
      </c>
      <c r="GL32" s="1169">
        <v>582.70000000000005</v>
      </c>
      <c r="GM32" s="1169">
        <v>575.70000000000005</v>
      </c>
      <c r="GN32" s="1169">
        <v>582.70000000000005</v>
      </c>
      <c r="GO32" s="1169">
        <v>588.9</v>
      </c>
      <c r="GP32" s="1169">
        <v>593.79999999999995</v>
      </c>
      <c r="GQ32" s="1169">
        <v>610.5</v>
      </c>
      <c r="GR32" s="1169">
        <v>610.4</v>
      </c>
      <c r="GS32" s="1169">
        <v>622.4</v>
      </c>
      <c r="GT32" s="1169">
        <v>640.6</v>
      </c>
      <c r="GU32" s="1169">
        <v>1400</v>
      </c>
      <c r="GV32" s="1169">
        <v>738.5</v>
      </c>
      <c r="GW32" s="1169">
        <v>743</v>
      </c>
      <c r="GX32" s="1169">
        <v>781.5</v>
      </c>
      <c r="GY32" s="1169">
        <v>1632.2</v>
      </c>
      <c r="GZ32" s="1169">
        <v>1057.0999999999999</v>
      </c>
      <c r="HA32" s="1169">
        <v>904.2</v>
      </c>
    </row>
    <row r="33" spans="1:209" x14ac:dyDescent="0.35">
      <c r="A33" s="1169" t="s">
        <v>597</v>
      </c>
      <c r="B33" s="1169">
        <v>14</v>
      </c>
      <c r="C33" s="1169">
        <v>14.1</v>
      </c>
      <c r="D33" s="1169">
        <v>14.3</v>
      </c>
      <c r="E33" s="1169">
        <v>14.4</v>
      </c>
      <c r="F33" s="1169">
        <v>14.7</v>
      </c>
      <c r="G33" s="1169">
        <v>15.6</v>
      </c>
      <c r="H33" s="1169">
        <v>16</v>
      </c>
      <c r="I33" s="1169">
        <v>17.3</v>
      </c>
      <c r="J33" s="1169">
        <v>19.5</v>
      </c>
      <c r="K33" s="1169">
        <v>21</v>
      </c>
      <c r="L33" s="1169">
        <v>21.2</v>
      </c>
      <c r="M33" s="1169">
        <v>21.8</v>
      </c>
      <c r="N33" s="1169">
        <v>21.9</v>
      </c>
      <c r="O33" s="1169">
        <v>22.3</v>
      </c>
      <c r="P33" s="1169">
        <v>23.1</v>
      </c>
      <c r="Q33" s="1169">
        <v>24</v>
      </c>
      <c r="R33" s="1169">
        <v>23.3</v>
      </c>
      <c r="S33" s="1169">
        <v>24.1</v>
      </c>
      <c r="T33" s="1169">
        <v>25.2</v>
      </c>
      <c r="U33" s="1169">
        <v>25.6</v>
      </c>
      <c r="V33" s="1169">
        <v>25.7</v>
      </c>
      <c r="W33" s="1169">
        <v>26.5</v>
      </c>
      <c r="X33" s="1169">
        <v>27.2</v>
      </c>
      <c r="Y33" s="1169">
        <v>28.2</v>
      </c>
      <c r="Z33" s="1169">
        <v>29.5</v>
      </c>
      <c r="AA33" s="1169">
        <v>30.6</v>
      </c>
      <c r="AB33" s="1169">
        <v>31.6</v>
      </c>
      <c r="AC33" s="1169">
        <v>32.6</v>
      </c>
      <c r="AD33" s="1169">
        <v>33.5</v>
      </c>
      <c r="AE33" s="1169">
        <v>34.700000000000003</v>
      </c>
      <c r="AF33" s="1169">
        <v>35.9</v>
      </c>
      <c r="AG33" s="1169">
        <v>37.299999999999997</v>
      </c>
      <c r="AH33" s="1169">
        <v>38.6</v>
      </c>
      <c r="AI33" s="1169">
        <v>40.1</v>
      </c>
      <c r="AJ33" s="1169">
        <v>40.9</v>
      </c>
      <c r="AK33" s="1169">
        <v>42.1</v>
      </c>
      <c r="AL33" s="1169">
        <v>42</v>
      </c>
      <c r="AM33" s="1169">
        <v>42.1</v>
      </c>
      <c r="AN33" s="1169">
        <v>45.4</v>
      </c>
      <c r="AO33" s="1169">
        <v>46.6</v>
      </c>
      <c r="AP33" s="1169">
        <v>46.6</v>
      </c>
      <c r="AQ33" s="1169">
        <v>48</v>
      </c>
      <c r="AR33" s="1169">
        <v>49.4</v>
      </c>
      <c r="AS33" s="1169">
        <v>51.6</v>
      </c>
      <c r="AT33" s="1169">
        <v>52.5</v>
      </c>
      <c r="AU33" s="1169">
        <v>53.7</v>
      </c>
      <c r="AV33" s="1169">
        <v>55.5</v>
      </c>
      <c r="AW33" s="1169">
        <v>56.8</v>
      </c>
      <c r="AX33" s="1169">
        <v>57.3</v>
      </c>
      <c r="AY33" s="1169">
        <v>58.1</v>
      </c>
      <c r="AZ33" s="1169">
        <v>60.4</v>
      </c>
      <c r="BA33" s="1169">
        <v>60.8</v>
      </c>
      <c r="BB33" s="1169">
        <v>61.3</v>
      </c>
      <c r="BC33" s="1169">
        <v>64.3</v>
      </c>
      <c r="BD33" s="1169">
        <v>68.099999999999994</v>
      </c>
      <c r="BE33" s="1169">
        <v>70.7</v>
      </c>
      <c r="BF33" s="1169">
        <v>73.3</v>
      </c>
      <c r="BG33" s="1169">
        <v>75.8</v>
      </c>
      <c r="BH33" s="1169">
        <v>76.8</v>
      </c>
      <c r="BI33" s="1169">
        <v>78.2</v>
      </c>
      <c r="BJ33" s="1169">
        <v>79.3</v>
      </c>
      <c r="BK33" s="1169">
        <v>80.900000000000006</v>
      </c>
      <c r="BL33" s="1169">
        <v>81.5</v>
      </c>
      <c r="BM33" s="1169">
        <v>83.7</v>
      </c>
      <c r="BN33" s="1169">
        <v>84.5</v>
      </c>
      <c r="BO33" s="1169">
        <v>85</v>
      </c>
      <c r="BP33" s="1169">
        <v>87.5</v>
      </c>
      <c r="BQ33" s="1169">
        <v>91.8</v>
      </c>
      <c r="BR33" s="1169">
        <v>92.4</v>
      </c>
      <c r="BS33" s="1169">
        <v>101.5</v>
      </c>
      <c r="BT33" s="1169">
        <v>94.1</v>
      </c>
      <c r="BU33" s="1169">
        <v>98.4</v>
      </c>
      <c r="BV33" s="1169">
        <v>99.4</v>
      </c>
      <c r="BW33" s="1169">
        <v>97.2</v>
      </c>
      <c r="BX33" s="1169">
        <v>104.1</v>
      </c>
      <c r="BY33" s="1169">
        <v>107.6</v>
      </c>
      <c r="BZ33" s="1169">
        <v>113.4</v>
      </c>
      <c r="CA33" s="1169">
        <v>118.3</v>
      </c>
      <c r="CB33" s="1169">
        <v>114.5</v>
      </c>
      <c r="CC33" s="1169">
        <v>112.4</v>
      </c>
      <c r="CD33" s="1169">
        <v>119.4</v>
      </c>
      <c r="CE33" s="1169">
        <v>122.6</v>
      </c>
      <c r="CF33" s="1169">
        <v>123.7</v>
      </c>
      <c r="CG33" s="1169">
        <v>124.6</v>
      </c>
      <c r="CH33" s="1169">
        <v>121.2</v>
      </c>
      <c r="CI33" s="1169">
        <v>124.5</v>
      </c>
      <c r="CJ33" s="1169">
        <v>126.1</v>
      </c>
      <c r="CK33" s="1169">
        <v>129.5</v>
      </c>
      <c r="CL33" s="1169">
        <v>127.6</v>
      </c>
      <c r="CM33" s="1169">
        <v>136.9</v>
      </c>
      <c r="CN33" s="1169">
        <v>136.80000000000001</v>
      </c>
      <c r="CO33" s="1169">
        <v>140</v>
      </c>
      <c r="CP33" s="1169">
        <v>136.69999999999999</v>
      </c>
      <c r="CQ33" s="1169">
        <v>138.30000000000001</v>
      </c>
      <c r="CR33" s="1169">
        <v>143.6</v>
      </c>
      <c r="CS33" s="1169">
        <v>145.80000000000001</v>
      </c>
      <c r="CT33" s="1169">
        <v>146.9</v>
      </c>
      <c r="CU33" s="1169">
        <v>141.9</v>
      </c>
      <c r="CV33" s="1169">
        <v>151.19999999999999</v>
      </c>
      <c r="CW33" s="1169">
        <v>152</v>
      </c>
      <c r="CX33" s="1169">
        <v>156.9</v>
      </c>
      <c r="CY33" s="1169">
        <v>152.4</v>
      </c>
      <c r="CZ33" s="1169">
        <v>160.69999999999999</v>
      </c>
      <c r="DA33" s="1169">
        <v>162.4</v>
      </c>
      <c r="DB33" s="1169">
        <v>165.3</v>
      </c>
      <c r="DC33" s="1169">
        <v>165.9</v>
      </c>
      <c r="DD33" s="1169">
        <v>169.3</v>
      </c>
      <c r="DE33" s="1169">
        <v>174.1</v>
      </c>
      <c r="DF33" s="1169">
        <v>177.8</v>
      </c>
      <c r="DG33" s="1169">
        <v>176.9</v>
      </c>
      <c r="DH33" s="1169">
        <v>184.1</v>
      </c>
      <c r="DI33" s="1169">
        <v>189.2</v>
      </c>
      <c r="DJ33" s="1169">
        <v>195.6</v>
      </c>
      <c r="DK33" s="1169">
        <v>201.4</v>
      </c>
      <c r="DL33" s="1169">
        <v>201.6</v>
      </c>
      <c r="DM33" s="1169">
        <v>206.3</v>
      </c>
      <c r="DN33" s="1169">
        <v>208.2</v>
      </c>
      <c r="DO33" s="1169">
        <v>209.4</v>
      </c>
      <c r="DP33" s="1169">
        <v>216.4</v>
      </c>
      <c r="DQ33" s="1169">
        <v>224</v>
      </c>
      <c r="DR33" s="1169">
        <v>232.2</v>
      </c>
      <c r="DS33" s="1169">
        <v>243.3</v>
      </c>
      <c r="DT33" s="1169">
        <v>236.6</v>
      </c>
      <c r="DU33" s="1169">
        <v>234.8</v>
      </c>
      <c r="DV33" s="1169">
        <v>250.9</v>
      </c>
      <c r="DW33" s="1169">
        <v>259.89999999999998</v>
      </c>
      <c r="DX33" s="1169">
        <v>231.9</v>
      </c>
      <c r="DY33" s="1169">
        <v>229.3</v>
      </c>
      <c r="DZ33" s="1169">
        <v>227.4</v>
      </c>
      <c r="EA33" s="1169">
        <v>214.3</v>
      </c>
      <c r="EB33" s="1169">
        <v>218.8</v>
      </c>
      <c r="EC33" s="1169">
        <v>218.9</v>
      </c>
      <c r="ED33" s="1169">
        <v>217.9</v>
      </c>
      <c r="EE33" s="1169">
        <v>207.9</v>
      </c>
      <c r="EF33" s="1169">
        <v>234.2</v>
      </c>
      <c r="EG33" s="1169">
        <v>239.7</v>
      </c>
      <c r="EH33" s="1169">
        <v>239</v>
      </c>
      <c r="EI33" s="1169">
        <v>234.3</v>
      </c>
      <c r="EJ33" s="1169">
        <v>247.7</v>
      </c>
      <c r="EK33" s="1169">
        <v>261.8</v>
      </c>
      <c r="EL33" s="1169">
        <v>269.39999999999998</v>
      </c>
      <c r="EM33" s="1169">
        <v>270.39999999999998</v>
      </c>
      <c r="EN33" s="1169">
        <v>276</v>
      </c>
      <c r="EO33" s="1169">
        <v>285.2</v>
      </c>
      <c r="EP33" s="1169">
        <v>294.89999999999998</v>
      </c>
      <c r="EQ33" s="1169">
        <v>310.10000000000002</v>
      </c>
      <c r="ER33" s="1169">
        <v>297.7</v>
      </c>
      <c r="ES33" s="1169">
        <v>301.7</v>
      </c>
      <c r="ET33" s="1169">
        <v>320.5</v>
      </c>
      <c r="EU33" s="1169">
        <v>332</v>
      </c>
      <c r="EV33" s="1169">
        <v>319.60000000000002</v>
      </c>
      <c r="EW33" s="1169">
        <v>314.2</v>
      </c>
      <c r="EX33" s="1169">
        <v>333.4</v>
      </c>
      <c r="EY33" s="1169">
        <v>361.1</v>
      </c>
      <c r="EZ33" s="1169">
        <v>323.8</v>
      </c>
      <c r="FA33" s="1169">
        <v>305.10000000000002</v>
      </c>
      <c r="FB33" s="1169">
        <v>281.10000000000002</v>
      </c>
      <c r="FC33" s="1169">
        <v>275.60000000000002</v>
      </c>
      <c r="FD33" s="1169">
        <v>293.3</v>
      </c>
      <c r="FE33" s="1169">
        <v>293.3</v>
      </c>
      <c r="FF33" s="1169">
        <v>288.39999999999998</v>
      </c>
      <c r="FG33" s="1169">
        <v>278</v>
      </c>
      <c r="FH33" s="1169">
        <v>297.8</v>
      </c>
      <c r="FI33" s="1169">
        <v>311.89999999999998</v>
      </c>
      <c r="FJ33" s="1169">
        <v>315.2</v>
      </c>
      <c r="FK33" s="1169">
        <v>319.39999999999998</v>
      </c>
      <c r="FL33" s="1169">
        <v>327.2</v>
      </c>
      <c r="FM33" s="1169">
        <v>329.9</v>
      </c>
      <c r="FN33" s="1169">
        <v>330.1</v>
      </c>
      <c r="FO33" s="1169">
        <v>337</v>
      </c>
      <c r="FP33" s="1169">
        <v>346.2</v>
      </c>
      <c r="FQ33" s="1169">
        <v>359.2</v>
      </c>
      <c r="FR33" s="1169">
        <v>376.5</v>
      </c>
      <c r="FS33" s="1169">
        <v>386.1</v>
      </c>
      <c r="FT33" s="1169">
        <v>366.6</v>
      </c>
      <c r="FU33" s="1169">
        <v>364.9</v>
      </c>
      <c r="FV33" s="1169">
        <v>375.7</v>
      </c>
      <c r="FW33" s="1169">
        <v>369.4</v>
      </c>
      <c r="FX33" s="1169">
        <v>385.3</v>
      </c>
      <c r="FY33" s="1169">
        <v>393</v>
      </c>
      <c r="FZ33" s="1169">
        <v>395.4</v>
      </c>
      <c r="GA33" s="1169">
        <v>415.3</v>
      </c>
      <c r="GB33" s="1169">
        <v>406.5</v>
      </c>
      <c r="GC33" s="1169">
        <v>412.3</v>
      </c>
      <c r="GD33" s="1169">
        <v>397.8</v>
      </c>
      <c r="GE33" s="1169">
        <v>406.6</v>
      </c>
      <c r="GF33" s="1169">
        <v>418.2</v>
      </c>
      <c r="GG33" s="1169">
        <v>418.4</v>
      </c>
      <c r="GH33" s="1169">
        <v>424.7</v>
      </c>
      <c r="GI33" s="1169">
        <v>406.5</v>
      </c>
      <c r="GJ33" s="1169">
        <v>432.4</v>
      </c>
      <c r="GK33" s="1169">
        <v>478.2</v>
      </c>
      <c r="GL33" s="1169">
        <v>479</v>
      </c>
      <c r="GM33" s="1169">
        <v>442.4</v>
      </c>
      <c r="GN33" s="1169">
        <v>464.2</v>
      </c>
      <c r="GO33" s="1169">
        <v>453.6</v>
      </c>
      <c r="GP33" s="1169">
        <v>472.9</v>
      </c>
      <c r="GQ33" s="1169">
        <v>520.9</v>
      </c>
      <c r="GR33" s="1169">
        <v>497.4</v>
      </c>
      <c r="GS33" s="1169">
        <v>494.7</v>
      </c>
      <c r="GT33" s="1169">
        <v>503.8</v>
      </c>
      <c r="GU33" s="1169">
        <v>517.5</v>
      </c>
      <c r="GV33" s="1169">
        <v>519.6</v>
      </c>
      <c r="GW33" s="1169">
        <v>522.79999999999995</v>
      </c>
      <c r="GX33" s="1169">
        <v>560.20000000000005</v>
      </c>
      <c r="GY33" s="1169">
        <v>586.4</v>
      </c>
      <c r="GZ33" s="1169">
        <v>605.1</v>
      </c>
      <c r="HA33" s="1169">
        <v>629.1</v>
      </c>
    </row>
    <row r="34" spans="1:209" x14ac:dyDescent="0.35">
      <c r="A34" s="1169" t="s">
        <v>599</v>
      </c>
      <c r="B34" s="1169">
        <v>70.599999999999994</v>
      </c>
      <c r="C34" s="1169">
        <v>72.400000000000006</v>
      </c>
      <c r="D34" s="1169">
        <v>74.3</v>
      </c>
      <c r="E34" s="1169">
        <v>76</v>
      </c>
      <c r="F34" s="1169">
        <v>78.3</v>
      </c>
      <c r="G34" s="1169">
        <v>80.2</v>
      </c>
      <c r="H34" s="1169">
        <v>82.8</v>
      </c>
      <c r="I34" s="1169">
        <v>84.7</v>
      </c>
      <c r="J34" s="1169">
        <v>86.4</v>
      </c>
      <c r="K34" s="1169">
        <v>88.5</v>
      </c>
      <c r="L34" s="1169">
        <v>90.4</v>
      </c>
      <c r="M34" s="1169">
        <v>92.5</v>
      </c>
      <c r="N34" s="1169">
        <v>95.1</v>
      </c>
      <c r="O34" s="1169">
        <v>96.3</v>
      </c>
      <c r="P34" s="1169">
        <v>98.7</v>
      </c>
      <c r="Q34" s="1169">
        <v>99.6</v>
      </c>
      <c r="R34" s="1169">
        <v>101</v>
      </c>
      <c r="S34" s="1169">
        <v>104</v>
      </c>
      <c r="T34" s="1169">
        <v>106.8</v>
      </c>
      <c r="U34" s="1169">
        <v>107.5</v>
      </c>
      <c r="V34" s="1169">
        <v>109</v>
      </c>
      <c r="W34" s="1169">
        <v>111.7</v>
      </c>
      <c r="X34" s="1169">
        <v>114.9</v>
      </c>
      <c r="Y34" s="1169">
        <v>117.3</v>
      </c>
      <c r="Z34" s="1169">
        <v>120.9</v>
      </c>
      <c r="AA34" s="1169">
        <v>123.5</v>
      </c>
      <c r="AB34" s="1169">
        <v>126</v>
      </c>
      <c r="AC34" s="1169">
        <v>129.6</v>
      </c>
      <c r="AD34" s="1169">
        <v>132.9</v>
      </c>
      <c r="AE34" s="1169">
        <v>135.5</v>
      </c>
      <c r="AF34" s="1169">
        <v>138.30000000000001</v>
      </c>
      <c r="AG34" s="1169">
        <v>141.1</v>
      </c>
      <c r="AH34" s="1169">
        <v>143</v>
      </c>
      <c r="AI34" s="1169">
        <v>147.69999999999999</v>
      </c>
      <c r="AJ34" s="1169">
        <v>144.19999999999999</v>
      </c>
      <c r="AK34" s="1169">
        <v>147.6</v>
      </c>
      <c r="AL34" s="1169">
        <v>150.6</v>
      </c>
      <c r="AM34" s="1169">
        <v>152.6</v>
      </c>
      <c r="AN34" s="1169">
        <v>155.6</v>
      </c>
      <c r="AO34" s="1169">
        <v>159</v>
      </c>
      <c r="AP34" s="1169">
        <v>161.9</v>
      </c>
      <c r="AQ34" s="1169">
        <v>163.30000000000001</v>
      </c>
      <c r="AR34" s="1169">
        <v>168.2</v>
      </c>
      <c r="AS34" s="1169">
        <v>173.3</v>
      </c>
      <c r="AT34" s="1169">
        <v>180.2</v>
      </c>
      <c r="AU34" s="1169">
        <v>183.7</v>
      </c>
      <c r="AV34" s="1169">
        <v>188.3</v>
      </c>
      <c r="AW34" s="1169">
        <v>190.7</v>
      </c>
      <c r="AX34" s="1169">
        <v>193.9</v>
      </c>
      <c r="AY34" s="1169">
        <v>198.3</v>
      </c>
      <c r="AZ34" s="1169">
        <v>201.7</v>
      </c>
      <c r="BA34" s="1169">
        <v>206</v>
      </c>
      <c r="BB34" s="1169">
        <v>209.6</v>
      </c>
      <c r="BC34" s="1169">
        <v>216</v>
      </c>
      <c r="BD34" s="1169">
        <v>222</v>
      </c>
      <c r="BE34" s="1169">
        <v>228</v>
      </c>
      <c r="BF34" s="1169">
        <v>234.7</v>
      </c>
      <c r="BG34" s="1169">
        <v>240.3</v>
      </c>
      <c r="BH34" s="1169">
        <v>244.7</v>
      </c>
      <c r="BI34" s="1169">
        <v>250.2</v>
      </c>
      <c r="BJ34" s="1169">
        <v>254.7</v>
      </c>
      <c r="BK34" s="1169">
        <v>260</v>
      </c>
      <c r="BL34" s="1169">
        <v>265.10000000000002</v>
      </c>
      <c r="BM34" s="1169">
        <v>268.5</v>
      </c>
      <c r="BN34" s="1169">
        <v>273</v>
      </c>
      <c r="BO34" s="1169">
        <v>276.60000000000002</v>
      </c>
      <c r="BP34" s="1169">
        <v>282.3</v>
      </c>
      <c r="BQ34" s="1169">
        <v>286.8</v>
      </c>
      <c r="BR34" s="1169">
        <v>291.89999999999998</v>
      </c>
      <c r="BS34" s="1169">
        <v>298.5</v>
      </c>
      <c r="BT34" s="1169">
        <v>306</v>
      </c>
      <c r="BU34" s="1169">
        <v>310</v>
      </c>
      <c r="BV34" s="1169">
        <v>315.7</v>
      </c>
      <c r="BW34" s="1169">
        <v>323.2</v>
      </c>
      <c r="BX34" s="1169">
        <v>327.3</v>
      </c>
      <c r="BY34" s="1169">
        <v>332.4</v>
      </c>
      <c r="BZ34" s="1169">
        <v>340.2</v>
      </c>
      <c r="CA34" s="1169">
        <v>348.2</v>
      </c>
      <c r="CB34" s="1169">
        <v>353.9</v>
      </c>
      <c r="CC34" s="1169">
        <v>354.2</v>
      </c>
      <c r="CD34" s="1169">
        <v>369.3</v>
      </c>
      <c r="CE34" s="1169">
        <v>368.7</v>
      </c>
      <c r="CF34" s="1169">
        <v>375.6</v>
      </c>
      <c r="CG34" s="1169">
        <v>382.7</v>
      </c>
      <c r="CH34" s="1169">
        <v>384.3</v>
      </c>
      <c r="CI34" s="1169">
        <v>390.2</v>
      </c>
      <c r="CJ34" s="1169">
        <v>399.4</v>
      </c>
      <c r="CK34" s="1169">
        <v>407.3</v>
      </c>
      <c r="CL34" s="1169">
        <v>412.8</v>
      </c>
      <c r="CM34" s="1169">
        <v>418.2</v>
      </c>
      <c r="CN34" s="1169">
        <v>424.1</v>
      </c>
      <c r="CO34" s="1169">
        <v>425.3</v>
      </c>
      <c r="CP34" s="1169">
        <v>427.5</v>
      </c>
      <c r="CQ34" s="1169">
        <v>432.8</v>
      </c>
      <c r="CR34" s="1169">
        <v>439.5</v>
      </c>
      <c r="CS34" s="1169">
        <v>447.2</v>
      </c>
      <c r="CT34" s="1169">
        <v>456</v>
      </c>
      <c r="CU34" s="1169">
        <v>465.8</v>
      </c>
      <c r="CV34" s="1169">
        <v>470</v>
      </c>
      <c r="CW34" s="1169">
        <v>473.3</v>
      </c>
      <c r="CX34" s="1169">
        <v>478.8</v>
      </c>
      <c r="CY34" s="1169">
        <v>477.9</v>
      </c>
      <c r="CZ34" s="1169">
        <v>483.5</v>
      </c>
      <c r="DA34" s="1169">
        <v>489.3</v>
      </c>
      <c r="DB34" s="1169">
        <v>497.8</v>
      </c>
      <c r="DC34" s="1169">
        <v>506.5</v>
      </c>
      <c r="DD34" s="1169">
        <v>510.1</v>
      </c>
      <c r="DE34" s="1169">
        <v>517.29999999999995</v>
      </c>
      <c r="DF34" s="1169">
        <v>523.79999999999995</v>
      </c>
      <c r="DG34" s="1169">
        <v>530.70000000000005</v>
      </c>
      <c r="DH34" s="1169">
        <v>536.6</v>
      </c>
      <c r="DI34" s="1169">
        <v>544</v>
      </c>
      <c r="DJ34" s="1169">
        <v>549.6</v>
      </c>
      <c r="DK34" s="1169">
        <v>555.4</v>
      </c>
      <c r="DL34" s="1169">
        <v>561.6</v>
      </c>
      <c r="DM34" s="1169">
        <v>568.6</v>
      </c>
      <c r="DN34" s="1169">
        <v>576.20000000000005</v>
      </c>
      <c r="DO34" s="1169">
        <v>585.4</v>
      </c>
      <c r="DP34" s="1169">
        <v>595.20000000000005</v>
      </c>
      <c r="DQ34" s="1169">
        <v>603.70000000000005</v>
      </c>
      <c r="DR34" s="1169">
        <v>612.4</v>
      </c>
      <c r="DS34" s="1169">
        <v>618.9</v>
      </c>
      <c r="DT34" s="1169">
        <v>623.70000000000005</v>
      </c>
      <c r="DU34" s="1169">
        <v>630.1</v>
      </c>
      <c r="DV34" s="1169">
        <v>637.1</v>
      </c>
      <c r="DW34" s="1169">
        <v>637.79999999999995</v>
      </c>
      <c r="DX34" s="1169">
        <v>641.70000000000005</v>
      </c>
      <c r="DY34" s="1169">
        <v>653</v>
      </c>
      <c r="DZ34" s="1169">
        <v>659.3</v>
      </c>
      <c r="EA34" s="1169">
        <v>664</v>
      </c>
      <c r="EB34" s="1169">
        <v>680.5</v>
      </c>
      <c r="EC34" s="1169">
        <v>689</v>
      </c>
      <c r="ED34" s="1169">
        <v>698.5</v>
      </c>
      <c r="EE34" s="1169">
        <v>709.9</v>
      </c>
      <c r="EF34" s="1169">
        <v>723.4</v>
      </c>
      <c r="EG34" s="1169">
        <v>729.8</v>
      </c>
      <c r="EH34" s="1169">
        <v>753.2</v>
      </c>
      <c r="EI34" s="1169">
        <v>765.1</v>
      </c>
      <c r="EJ34" s="1169">
        <v>775.4</v>
      </c>
      <c r="EK34" s="1169">
        <v>797.6</v>
      </c>
      <c r="EL34" s="1169">
        <v>817.9</v>
      </c>
      <c r="EM34" s="1169">
        <v>835.9</v>
      </c>
      <c r="EN34" s="1169">
        <v>851.8</v>
      </c>
      <c r="EO34" s="1169">
        <v>866.6</v>
      </c>
      <c r="EP34" s="1169">
        <v>882.7</v>
      </c>
      <c r="EQ34" s="1169">
        <v>892.2</v>
      </c>
      <c r="ER34" s="1169">
        <v>903.9</v>
      </c>
      <c r="ES34" s="1169">
        <v>912.4</v>
      </c>
      <c r="ET34" s="1169">
        <v>931.9</v>
      </c>
      <c r="EU34" s="1169">
        <v>939.4</v>
      </c>
      <c r="EV34" s="1169">
        <v>940.4</v>
      </c>
      <c r="EW34" s="1169">
        <v>957.1</v>
      </c>
      <c r="EX34" s="1169">
        <v>952.5</v>
      </c>
      <c r="EY34" s="1169">
        <v>959.4</v>
      </c>
      <c r="EZ34" s="1169">
        <v>964.8</v>
      </c>
      <c r="FA34" s="1169">
        <v>946.3</v>
      </c>
      <c r="FB34" s="1169">
        <v>929.2</v>
      </c>
      <c r="FC34" s="1169">
        <v>923</v>
      </c>
      <c r="FD34" s="1169">
        <v>937.4</v>
      </c>
      <c r="FE34" s="1169">
        <v>952.1</v>
      </c>
      <c r="FF34" s="1169">
        <v>951.6</v>
      </c>
      <c r="FG34" s="1169">
        <v>965.7</v>
      </c>
      <c r="FH34" s="1169">
        <v>970.1</v>
      </c>
      <c r="FI34" s="1169">
        <v>977.7</v>
      </c>
      <c r="FJ34" s="1169">
        <v>986.8</v>
      </c>
      <c r="FK34" s="1169">
        <v>996.4</v>
      </c>
      <c r="FL34" s="1169">
        <v>994.5</v>
      </c>
      <c r="FM34" s="1169">
        <v>1002.7</v>
      </c>
      <c r="FN34" s="1169">
        <v>1016.9</v>
      </c>
      <c r="FO34" s="1169">
        <v>1019.5</v>
      </c>
      <c r="FP34" s="1169">
        <v>1016.6</v>
      </c>
      <c r="FQ34" s="1169">
        <v>1030.8</v>
      </c>
      <c r="FR34" s="1169">
        <v>1052.3</v>
      </c>
      <c r="FS34" s="1169">
        <v>1056.4000000000001</v>
      </c>
      <c r="FT34" s="1169">
        <v>1068.7</v>
      </c>
      <c r="FU34" s="1169">
        <v>1075.3</v>
      </c>
      <c r="FV34" s="1169">
        <v>1083.9000000000001</v>
      </c>
      <c r="FW34" s="1169">
        <v>1102.2</v>
      </c>
      <c r="FX34" s="1169">
        <v>1111.4000000000001</v>
      </c>
      <c r="FY34" s="1169">
        <v>1120.5999999999999</v>
      </c>
      <c r="FZ34" s="1169">
        <v>1122.3</v>
      </c>
      <c r="GA34" s="1169">
        <v>1129.5999999999999</v>
      </c>
      <c r="GB34" s="1169">
        <v>1139.4000000000001</v>
      </c>
      <c r="GC34" s="1169">
        <v>1148.2</v>
      </c>
      <c r="GD34" s="1169">
        <v>1157.7</v>
      </c>
      <c r="GE34" s="1169">
        <v>1165.3</v>
      </c>
      <c r="GF34" s="1169">
        <v>1184.8</v>
      </c>
      <c r="GG34" s="1169">
        <v>1192.8</v>
      </c>
      <c r="GH34" s="1169">
        <v>1211.7</v>
      </c>
      <c r="GI34" s="1169">
        <v>1227.0999999999999</v>
      </c>
      <c r="GJ34" s="1169">
        <v>1240.2</v>
      </c>
      <c r="GK34" s="1169">
        <v>1259.8</v>
      </c>
      <c r="GL34" s="1169">
        <v>1276.3</v>
      </c>
      <c r="GM34" s="1169">
        <v>1291.2</v>
      </c>
      <c r="GN34" s="1169">
        <v>1306.4000000000001</v>
      </c>
      <c r="GO34" s="1169">
        <v>1318.5</v>
      </c>
      <c r="GP34" s="1169">
        <v>1331.4</v>
      </c>
      <c r="GQ34" s="1169">
        <v>1348.7</v>
      </c>
      <c r="GR34" s="1169">
        <v>1372.1</v>
      </c>
      <c r="GS34" s="1169">
        <v>1378.4</v>
      </c>
      <c r="GT34" s="1169">
        <v>1391.3</v>
      </c>
      <c r="GU34" s="1169">
        <v>1322.2</v>
      </c>
      <c r="GV34" s="1169">
        <v>1392.7</v>
      </c>
      <c r="GW34" s="1169">
        <v>1400.4</v>
      </c>
      <c r="GX34" s="1169">
        <v>1413.9</v>
      </c>
      <c r="GY34" s="1169">
        <v>1458.5</v>
      </c>
      <c r="GZ34" s="1169">
        <v>1481.8</v>
      </c>
      <c r="HA34" s="1169">
        <v>1515.2</v>
      </c>
    </row>
    <row r="35" spans="1:209" x14ac:dyDescent="0.35">
      <c r="A35" s="1169" t="s">
        <v>600</v>
      </c>
      <c r="B35" s="1169">
        <v>3.8</v>
      </c>
      <c r="C35" s="1169">
        <v>3.7</v>
      </c>
      <c r="D35" s="1169">
        <v>3.8</v>
      </c>
      <c r="E35" s="1169">
        <v>3.6</v>
      </c>
      <c r="F35" s="1169">
        <v>4.0999999999999996</v>
      </c>
      <c r="G35" s="1169">
        <v>4.2</v>
      </c>
      <c r="H35" s="1169">
        <v>4.4000000000000004</v>
      </c>
      <c r="I35" s="1169">
        <v>4.5</v>
      </c>
      <c r="J35" s="1169">
        <v>5</v>
      </c>
      <c r="K35" s="1169">
        <v>5</v>
      </c>
      <c r="L35" s="1169">
        <v>5.2</v>
      </c>
      <c r="M35" s="1169">
        <v>5.7</v>
      </c>
      <c r="N35" s="1169">
        <v>6</v>
      </c>
      <c r="O35" s="1169">
        <v>6.1</v>
      </c>
      <c r="P35" s="1169">
        <v>5.9</v>
      </c>
      <c r="Q35" s="1169">
        <v>6.1</v>
      </c>
      <c r="R35" s="1169">
        <v>6.3</v>
      </c>
      <c r="S35" s="1169">
        <v>6.6</v>
      </c>
      <c r="T35" s="1169">
        <v>7.3</v>
      </c>
      <c r="U35" s="1169">
        <v>6.5</v>
      </c>
      <c r="V35" s="1169">
        <v>6.1</v>
      </c>
      <c r="W35" s="1169">
        <v>6.6</v>
      </c>
      <c r="X35" s="1169">
        <v>8.1999999999999993</v>
      </c>
      <c r="Y35" s="1169">
        <v>8.4</v>
      </c>
      <c r="Z35" s="1169">
        <v>9.6999999999999993</v>
      </c>
      <c r="AA35" s="1169">
        <v>9.6</v>
      </c>
      <c r="AB35" s="1169">
        <v>9.6999999999999993</v>
      </c>
      <c r="AC35" s="1169">
        <v>9.6</v>
      </c>
      <c r="AD35" s="1169">
        <v>10.5</v>
      </c>
      <c r="AE35" s="1169">
        <v>11.4</v>
      </c>
      <c r="AF35" s="1169">
        <v>11.8</v>
      </c>
      <c r="AG35" s="1169">
        <v>12</v>
      </c>
      <c r="AH35" s="1169">
        <v>10.5</v>
      </c>
      <c r="AI35" s="1169">
        <v>12.4</v>
      </c>
      <c r="AJ35" s="1169">
        <v>12.5</v>
      </c>
      <c r="AK35" s="1169">
        <v>13.1</v>
      </c>
      <c r="AL35" s="1169">
        <v>13.7</v>
      </c>
      <c r="AM35" s="1169">
        <v>13.8</v>
      </c>
      <c r="AN35" s="1169">
        <v>13.6</v>
      </c>
      <c r="AO35" s="1169">
        <v>13.2</v>
      </c>
      <c r="AP35" s="1169">
        <v>16.100000000000001</v>
      </c>
      <c r="AQ35" s="1169">
        <v>12.8</v>
      </c>
      <c r="AR35" s="1169">
        <v>14</v>
      </c>
      <c r="AS35" s="1169">
        <v>15.1</v>
      </c>
      <c r="AT35" s="1169">
        <v>16.8</v>
      </c>
      <c r="AU35" s="1169">
        <v>15.2</v>
      </c>
      <c r="AV35" s="1169">
        <v>15.7</v>
      </c>
      <c r="AW35" s="1169">
        <v>14.1</v>
      </c>
      <c r="AX35" s="1169">
        <v>14.1</v>
      </c>
      <c r="AY35" s="1169">
        <v>14.3</v>
      </c>
      <c r="AZ35" s="1169">
        <v>14.4</v>
      </c>
      <c r="BA35" s="1169">
        <v>13.3</v>
      </c>
      <c r="BB35" s="1169">
        <v>12.8</v>
      </c>
      <c r="BC35" s="1169">
        <v>15.7</v>
      </c>
      <c r="BD35" s="1169">
        <v>17.399999999999999</v>
      </c>
      <c r="BE35" s="1169">
        <v>17.7</v>
      </c>
      <c r="BF35" s="1169">
        <v>20.100000000000001</v>
      </c>
      <c r="BG35" s="1169">
        <v>19.899999999999999</v>
      </c>
      <c r="BH35" s="1169">
        <v>17.5</v>
      </c>
      <c r="BI35" s="1169">
        <v>17.7</v>
      </c>
      <c r="BJ35" s="1169">
        <v>20</v>
      </c>
      <c r="BK35" s="1169">
        <v>19.600000000000001</v>
      </c>
      <c r="BL35" s="1169">
        <v>20.9</v>
      </c>
      <c r="BM35" s="1169">
        <v>20.5</v>
      </c>
      <c r="BN35" s="1169">
        <v>21.4</v>
      </c>
      <c r="BO35" s="1169">
        <v>22</v>
      </c>
      <c r="BP35" s="1169">
        <v>22.4</v>
      </c>
      <c r="BQ35" s="1169">
        <v>24.8</v>
      </c>
      <c r="BR35" s="1169">
        <v>22.7</v>
      </c>
      <c r="BS35" s="1169">
        <v>24.5</v>
      </c>
      <c r="BT35" s="1169">
        <v>24.8</v>
      </c>
      <c r="BU35" s="1169">
        <v>23.6</v>
      </c>
      <c r="BV35" s="1169">
        <v>23.4</v>
      </c>
      <c r="BW35" s="1169">
        <v>25.2</v>
      </c>
      <c r="BX35" s="1169">
        <v>27.3</v>
      </c>
      <c r="BY35" s="1169">
        <v>28.2</v>
      </c>
      <c r="BZ35" s="1169">
        <v>27.8</v>
      </c>
      <c r="CA35" s="1169">
        <v>24.2</v>
      </c>
      <c r="CB35" s="1169">
        <v>22.8</v>
      </c>
      <c r="CC35" s="1169">
        <v>22.1</v>
      </c>
      <c r="CD35" s="1169">
        <v>21.4</v>
      </c>
      <c r="CE35" s="1169">
        <v>22.1</v>
      </c>
      <c r="CF35" s="1169">
        <v>23</v>
      </c>
      <c r="CG35" s="1169">
        <v>23.4</v>
      </c>
      <c r="CH35" s="1169">
        <v>23.8</v>
      </c>
      <c r="CI35" s="1169">
        <v>23.4</v>
      </c>
      <c r="CJ35" s="1169">
        <v>23.7</v>
      </c>
      <c r="CK35" s="1169">
        <v>23.6</v>
      </c>
      <c r="CL35" s="1169">
        <v>25.2</v>
      </c>
      <c r="CM35" s="1169">
        <v>24.7</v>
      </c>
      <c r="CN35" s="1169">
        <v>23.2</v>
      </c>
      <c r="CO35" s="1169">
        <v>24.4</v>
      </c>
      <c r="CP35" s="1169">
        <v>24.8</v>
      </c>
      <c r="CQ35" s="1169">
        <v>26.8</v>
      </c>
      <c r="CR35" s="1169">
        <v>25.2</v>
      </c>
      <c r="CS35" s="1169">
        <v>30.8</v>
      </c>
      <c r="CT35" s="1169">
        <v>27.1</v>
      </c>
      <c r="CU35" s="1169">
        <v>28.7</v>
      </c>
      <c r="CV35" s="1169">
        <v>31.4</v>
      </c>
      <c r="CW35" s="1169">
        <v>32.700000000000003</v>
      </c>
      <c r="CX35" s="1169">
        <v>32.5</v>
      </c>
      <c r="CY35" s="1169">
        <v>31.3</v>
      </c>
      <c r="CZ35" s="1169">
        <v>31.9</v>
      </c>
      <c r="DA35" s="1169">
        <v>30.9</v>
      </c>
      <c r="DB35" s="1169">
        <v>31.9</v>
      </c>
      <c r="DC35" s="1169">
        <v>33.5</v>
      </c>
      <c r="DD35" s="1169">
        <v>33.299999999999997</v>
      </c>
      <c r="DE35" s="1169">
        <v>33.4</v>
      </c>
      <c r="DF35" s="1169">
        <v>33.1</v>
      </c>
      <c r="DG35" s="1169">
        <v>33.6</v>
      </c>
      <c r="DH35" s="1169">
        <v>35.5</v>
      </c>
      <c r="DI35" s="1169">
        <v>34.4</v>
      </c>
      <c r="DJ35" s="1169">
        <v>34.700000000000003</v>
      </c>
      <c r="DK35" s="1169">
        <v>34.5</v>
      </c>
      <c r="DL35" s="1169">
        <v>35.700000000000003</v>
      </c>
      <c r="DM35" s="1169">
        <v>34.799999999999997</v>
      </c>
      <c r="DN35" s="1169">
        <v>36.299999999999997</v>
      </c>
      <c r="DO35" s="1169">
        <v>35.5</v>
      </c>
      <c r="DP35" s="1169">
        <v>35.6</v>
      </c>
      <c r="DQ35" s="1169">
        <v>35.9</v>
      </c>
      <c r="DR35" s="1169">
        <v>37.200000000000003</v>
      </c>
      <c r="DS35" s="1169">
        <v>36.5</v>
      </c>
      <c r="DT35" s="1169">
        <v>33.5</v>
      </c>
      <c r="DU35" s="1169">
        <v>33.700000000000003</v>
      </c>
      <c r="DV35" s="1169">
        <v>30.1</v>
      </c>
      <c r="DW35" s="1169">
        <v>30.4</v>
      </c>
      <c r="DX35" s="1169">
        <v>28.3</v>
      </c>
      <c r="DY35" s="1169">
        <v>26.6</v>
      </c>
      <c r="DZ35" s="1169">
        <v>28.3</v>
      </c>
      <c r="EA35" s="1169">
        <v>30.2</v>
      </c>
      <c r="EB35" s="1169">
        <v>31.5</v>
      </c>
      <c r="EC35" s="1169">
        <v>33.5</v>
      </c>
      <c r="ED35" s="1169">
        <v>34.5</v>
      </c>
      <c r="EE35" s="1169">
        <v>31.7</v>
      </c>
      <c r="EF35" s="1169">
        <v>33.6</v>
      </c>
      <c r="EG35" s="1169">
        <v>36.200000000000003</v>
      </c>
      <c r="EH35" s="1169">
        <v>37.799999999999997</v>
      </c>
      <c r="EI35" s="1169">
        <v>40.799999999999997</v>
      </c>
      <c r="EJ35" s="1169">
        <v>43.9</v>
      </c>
      <c r="EK35" s="1169">
        <v>44.3</v>
      </c>
      <c r="EL35" s="1169">
        <v>55.3</v>
      </c>
      <c r="EM35" s="1169">
        <v>53</v>
      </c>
      <c r="EN35" s="1169">
        <v>53.3</v>
      </c>
      <c r="EO35" s="1169">
        <v>58.2</v>
      </c>
      <c r="EP35" s="1169">
        <v>59.6</v>
      </c>
      <c r="EQ35" s="1169">
        <v>60.3</v>
      </c>
      <c r="ER35" s="1169">
        <v>61.8</v>
      </c>
      <c r="ES35" s="1169">
        <v>55.2</v>
      </c>
      <c r="ET35" s="1169">
        <v>59.2</v>
      </c>
      <c r="EU35" s="1169">
        <v>59.4</v>
      </c>
      <c r="EV35" s="1169">
        <v>56.3</v>
      </c>
      <c r="EW35" s="1169">
        <v>56.6</v>
      </c>
      <c r="EX35" s="1169">
        <v>50.2</v>
      </c>
      <c r="EY35" s="1169">
        <v>51.6</v>
      </c>
      <c r="EZ35" s="1169">
        <v>52.8</v>
      </c>
      <c r="FA35" s="1169">
        <v>35.1</v>
      </c>
      <c r="FB35" s="1169">
        <v>43.7</v>
      </c>
      <c r="FC35" s="1169">
        <v>49.6</v>
      </c>
      <c r="FD35" s="1169">
        <v>41.3</v>
      </c>
      <c r="FE35" s="1169">
        <v>43.4</v>
      </c>
      <c r="FF35" s="1169">
        <v>45.1</v>
      </c>
      <c r="FG35" s="1169">
        <v>43.4</v>
      </c>
      <c r="FH35" s="1169">
        <v>45.5</v>
      </c>
      <c r="FI35" s="1169">
        <v>50.4</v>
      </c>
      <c r="FJ35" s="1169">
        <v>48.4</v>
      </c>
      <c r="FK35" s="1169">
        <v>49.8</v>
      </c>
      <c r="FL35" s="1169">
        <v>46.4</v>
      </c>
      <c r="FM35" s="1169">
        <v>49</v>
      </c>
      <c r="FN35" s="1169">
        <v>49.2</v>
      </c>
      <c r="FO35" s="1169">
        <v>49.5</v>
      </c>
      <c r="FP35" s="1169">
        <v>52.1</v>
      </c>
      <c r="FQ35" s="1169">
        <v>51.9</v>
      </c>
      <c r="FR35" s="1169">
        <v>53.8</v>
      </c>
      <c r="FS35" s="1169">
        <v>54.1</v>
      </c>
      <c r="FT35" s="1169">
        <v>53.1</v>
      </c>
      <c r="FU35" s="1169">
        <v>54.6</v>
      </c>
      <c r="FV35" s="1169">
        <v>56.4</v>
      </c>
      <c r="FW35" s="1169">
        <v>55.1</v>
      </c>
      <c r="FX35" s="1169">
        <v>57</v>
      </c>
      <c r="FY35" s="1169">
        <v>57.7</v>
      </c>
      <c r="FZ35" s="1169">
        <v>57.6</v>
      </c>
      <c r="GA35" s="1169">
        <v>57.5</v>
      </c>
      <c r="GB35" s="1169">
        <v>55.8</v>
      </c>
      <c r="GC35" s="1169">
        <v>54.1</v>
      </c>
      <c r="GD35" s="1169">
        <v>54</v>
      </c>
      <c r="GE35" s="1169">
        <v>52.4</v>
      </c>
      <c r="GF35" s="1169">
        <v>52.8</v>
      </c>
      <c r="GG35" s="1169">
        <v>54.2</v>
      </c>
      <c r="GH35" s="1169">
        <v>55.3</v>
      </c>
      <c r="GI35" s="1169">
        <v>53.6</v>
      </c>
      <c r="GJ35" s="1169">
        <v>54.3</v>
      </c>
      <c r="GK35" s="1169">
        <v>55.1</v>
      </c>
      <c r="GL35" s="1169">
        <v>55.6</v>
      </c>
      <c r="GM35" s="1169">
        <v>60.3</v>
      </c>
      <c r="GN35" s="1169">
        <v>61.7</v>
      </c>
      <c r="GO35" s="1169">
        <v>64.3</v>
      </c>
      <c r="GP35" s="1169">
        <v>73.2</v>
      </c>
      <c r="GQ35" s="1169">
        <v>72.8</v>
      </c>
      <c r="GR35" s="1169">
        <v>73.099999999999994</v>
      </c>
      <c r="GS35" s="1169">
        <v>72.400000000000006</v>
      </c>
      <c r="GT35" s="1169">
        <v>66.5</v>
      </c>
      <c r="GU35" s="1169">
        <v>61.9</v>
      </c>
      <c r="GV35" s="1169">
        <v>76.8</v>
      </c>
      <c r="GW35" s="1169">
        <v>78.8</v>
      </c>
      <c r="GX35" s="1169">
        <v>85.5</v>
      </c>
      <c r="GY35" s="1169">
        <v>91.9</v>
      </c>
      <c r="GZ35" s="1169">
        <v>95.3</v>
      </c>
      <c r="HA35" s="1169">
        <v>115.4</v>
      </c>
    </row>
    <row r="36" spans="1:209" x14ac:dyDescent="0.35">
      <c r="A36" s="1169" t="s">
        <v>598</v>
      </c>
      <c r="B36" s="1169">
        <v>1.1000000000000001</v>
      </c>
      <c r="C36" s="1169">
        <v>1.1000000000000001</v>
      </c>
      <c r="D36" s="1169">
        <v>1.1000000000000001</v>
      </c>
      <c r="E36" s="1169">
        <v>1.1000000000000001</v>
      </c>
      <c r="F36" s="1169">
        <v>1.1000000000000001</v>
      </c>
      <c r="G36" s="1169">
        <v>1.2</v>
      </c>
      <c r="H36" s="1169">
        <v>1.2</v>
      </c>
      <c r="I36" s="1169">
        <v>1.2</v>
      </c>
      <c r="J36" s="1169">
        <v>1.3</v>
      </c>
      <c r="K36" s="1169">
        <v>1.3</v>
      </c>
      <c r="L36" s="1169">
        <v>1.3</v>
      </c>
      <c r="M36" s="1169">
        <v>1.4</v>
      </c>
      <c r="N36" s="1169">
        <v>1.4</v>
      </c>
      <c r="O36" s="1169">
        <v>1.5</v>
      </c>
      <c r="P36" s="1169">
        <v>1.5</v>
      </c>
      <c r="Q36" s="1169">
        <v>1.6</v>
      </c>
      <c r="R36" s="1169">
        <v>1.6</v>
      </c>
      <c r="S36" s="1169">
        <v>1.6</v>
      </c>
      <c r="T36" s="1169">
        <v>1.7</v>
      </c>
      <c r="U36" s="1169">
        <v>1.7</v>
      </c>
      <c r="V36" s="1169">
        <v>1.8</v>
      </c>
      <c r="W36" s="1169">
        <v>1.8</v>
      </c>
      <c r="X36" s="1169">
        <v>1.9</v>
      </c>
      <c r="Y36" s="1169">
        <v>2</v>
      </c>
      <c r="Z36" s="1169">
        <v>2</v>
      </c>
      <c r="AA36" s="1169">
        <v>2.1</v>
      </c>
      <c r="AB36" s="1169">
        <v>2.2000000000000002</v>
      </c>
      <c r="AC36" s="1169">
        <v>2.2999999999999998</v>
      </c>
      <c r="AD36" s="1169">
        <v>2.5</v>
      </c>
      <c r="AE36" s="1169">
        <v>2.7</v>
      </c>
      <c r="AF36" s="1169">
        <v>2.9</v>
      </c>
      <c r="AG36" s="1169">
        <v>3</v>
      </c>
      <c r="AH36" s="1169">
        <v>3.2</v>
      </c>
      <c r="AI36" s="1169">
        <v>3.3</v>
      </c>
      <c r="AJ36" s="1169">
        <v>3.5</v>
      </c>
      <c r="AK36" s="1169">
        <v>3.6</v>
      </c>
      <c r="AL36" s="1169">
        <v>3.8</v>
      </c>
      <c r="AM36" s="1169">
        <v>3.9</v>
      </c>
      <c r="AN36" s="1169">
        <v>3.9</v>
      </c>
      <c r="AO36" s="1169">
        <v>4</v>
      </c>
      <c r="AP36" s="1169">
        <v>3.6</v>
      </c>
      <c r="AQ36" s="1169">
        <v>2.9</v>
      </c>
      <c r="AR36" s="1169">
        <v>3.8</v>
      </c>
      <c r="AS36" s="1169">
        <v>4</v>
      </c>
      <c r="AT36" s="1169">
        <v>3.7</v>
      </c>
      <c r="AU36" s="1169">
        <v>3.8</v>
      </c>
      <c r="AV36" s="1169">
        <v>3.9</v>
      </c>
      <c r="AW36" s="1169">
        <v>4</v>
      </c>
      <c r="AX36" s="1169">
        <v>4</v>
      </c>
      <c r="AY36" s="1169">
        <v>4</v>
      </c>
      <c r="AZ36" s="1169">
        <v>4.0999999999999996</v>
      </c>
      <c r="BA36" s="1169">
        <v>4.0999999999999996</v>
      </c>
      <c r="BB36" s="1169">
        <v>4</v>
      </c>
      <c r="BC36" s="1169">
        <v>4.0999999999999996</v>
      </c>
      <c r="BD36" s="1169">
        <v>4.0999999999999996</v>
      </c>
      <c r="BE36" s="1169">
        <v>4.3</v>
      </c>
      <c r="BF36" s="1169">
        <v>4.5</v>
      </c>
      <c r="BG36" s="1169">
        <v>4.7</v>
      </c>
      <c r="BH36" s="1169">
        <v>4.8</v>
      </c>
      <c r="BI36" s="1169">
        <v>4.8</v>
      </c>
      <c r="BJ36" s="1169">
        <v>4.7</v>
      </c>
      <c r="BK36" s="1169">
        <v>4.8</v>
      </c>
      <c r="BL36" s="1169">
        <v>4.9000000000000004</v>
      </c>
      <c r="BM36" s="1169">
        <v>5.2</v>
      </c>
      <c r="BN36" s="1169">
        <v>5.5</v>
      </c>
      <c r="BO36" s="1169">
        <v>5.8</v>
      </c>
      <c r="BP36" s="1169">
        <v>6.1</v>
      </c>
      <c r="BQ36" s="1169">
        <v>6.4</v>
      </c>
      <c r="BR36" s="1169">
        <v>6.7</v>
      </c>
      <c r="BS36" s="1169">
        <v>7</v>
      </c>
      <c r="BT36" s="1169">
        <v>7.3</v>
      </c>
      <c r="BU36" s="1169">
        <v>7.7</v>
      </c>
      <c r="BV36" s="1169">
        <v>8</v>
      </c>
      <c r="BW36" s="1169">
        <v>8.3000000000000007</v>
      </c>
      <c r="BX36" s="1169">
        <v>8.5</v>
      </c>
      <c r="BY36" s="1169">
        <v>8.6999999999999993</v>
      </c>
      <c r="BZ36" s="1169">
        <v>8.8000000000000007</v>
      </c>
      <c r="CA36" s="1169">
        <v>8.9</v>
      </c>
      <c r="CB36" s="1169">
        <v>9</v>
      </c>
      <c r="CC36" s="1169">
        <v>9.3000000000000007</v>
      </c>
      <c r="CD36" s="1169">
        <v>9.5</v>
      </c>
      <c r="CE36" s="1169">
        <v>9.9</v>
      </c>
      <c r="CF36" s="1169">
        <v>10.199999999999999</v>
      </c>
      <c r="CG36" s="1169">
        <v>10.5</v>
      </c>
      <c r="CH36" s="1169">
        <v>11</v>
      </c>
      <c r="CI36" s="1169">
        <v>11.4</v>
      </c>
      <c r="CJ36" s="1169">
        <v>11.8</v>
      </c>
      <c r="CK36" s="1169">
        <v>12.2</v>
      </c>
      <c r="CL36" s="1169">
        <v>12.6</v>
      </c>
      <c r="CM36" s="1169">
        <v>13</v>
      </c>
      <c r="CN36" s="1169">
        <v>13.3</v>
      </c>
      <c r="CO36" s="1169">
        <v>13.6</v>
      </c>
      <c r="CP36" s="1169">
        <v>13.8</v>
      </c>
      <c r="CQ36" s="1169">
        <v>14.1</v>
      </c>
      <c r="CR36" s="1169">
        <v>14.2</v>
      </c>
      <c r="CS36" s="1169">
        <v>14.4</v>
      </c>
      <c r="CT36" s="1169">
        <v>14.6</v>
      </c>
      <c r="CU36" s="1169">
        <v>14.6</v>
      </c>
      <c r="CV36" s="1169">
        <v>14.5</v>
      </c>
      <c r="CW36" s="1169">
        <v>14.4</v>
      </c>
      <c r="CX36" s="1169">
        <v>14</v>
      </c>
      <c r="CY36" s="1169">
        <v>13.7</v>
      </c>
      <c r="CZ36" s="1169">
        <v>13.5</v>
      </c>
      <c r="DA36" s="1169">
        <v>13.2</v>
      </c>
      <c r="DB36" s="1169">
        <v>13</v>
      </c>
      <c r="DC36" s="1169">
        <v>12.7</v>
      </c>
      <c r="DD36" s="1169">
        <v>12.3</v>
      </c>
      <c r="DE36" s="1169">
        <v>11.9</v>
      </c>
      <c r="DF36" s="1169">
        <v>11.3</v>
      </c>
      <c r="DG36" s="1169">
        <v>10.9</v>
      </c>
      <c r="DH36" s="1169">
        <v>10.6</v>
      </c>
      <c r="DI36" s="1169">
        <v>10.5</v>
      </c>
      <c r="DJ36" s="1169">
        <v>10.5</v>
      </c>
      <c r="DK36" s="1169">
        <v>10.5</v>
      </c>
      <c r="DL36" s="1169">
        <v>10.3</v>
      </c>
      <c r="DM36" s="1169">
        <v>10.1</v>
      </c>
      <c r="DN36" s="1169">
        <v>9.9</v>
      </c>
      <c r="DO36" s="1169">
        <v>9.6999999999999993</v>
      </c>
      <c r="DP36" s="1169">
        <v>9.6999999999999993</v>
      </c>
      <c r="DQ36" s="1169">
        <v>9.8000000000000007</v>
      </c>
      <c r="DR36" s="1169">
        <v>10</v>
      </c>
      <c r="DS36" s="1169">
        <v>10.4</v>
      </c>
      <c r="DT36" s="1169">
        <v>11</v>
      </c>
      <c r="DU36" s="1169">
        <v>11.8</v>
      </c>
      <c r="DV36" s="1169">
        <v>12.7</v>
      </c>
      <c r="DW36" s="1169">
        <v>13.5</v>
      </c>
      <c r="DX36" s="1169">
        <v>14.1</v>
      </c>
      <c r="DY36" s="1169">
        <v>14.5</v>
      </c>
      <c r="DZ36" s="1169">
        <v>14.9</v>
      </c>
      <c r="EA36" s="1169">
        <v>15.4</v>
      </c>
      <c r="EB36" s="1169">
        <v>16.100000000000001</v>
      </c>
      <c r="EC36" s="1169">
        <v>17</v>
      </c>
      <c r="ED36" s="1169">
        <v>18</v>
      </c>
      <c r="EE36" s="1169">
        <v>19.2</v>
      </c>
      <c r="EF36" s="1169">
        <v>20.5</v>
      </c>
      <c r="EG36" s="1169">
        <v>22</v>
      </c>
      <c r="EH36" s="1169">
        <v>23.4</v>
      </c>
      <c r="EI36" s="1169">
        <v>24.5</v>
      </c>
      <c r="EJ36" s="1169">
        <v>25.2</v>
      </c>
      <c r="EK36" s="1169">
        <v>25.5</v>
      </c>
      <c r="EL36" s="1169">
        <v>25.3</v>
      </c>
      <c r="EM36" s="1169">
        <v>25</v>
      </c>
      <c r="EN36" s="1169">
        <v>24.4</v>
      </c>
      <c r="EO36" s="1169">
        <v>23.7</v>
      </c>
      <c r="EP36" s="1169">
        <v>22.8</v>
      </c>
      <c r="EQ36" s="1169">
        <v>21.9</v>
      </c>
      <c r="ER36" s="1169">
        <v>21</v>
      </c>
      <c r="ES36" s="1169">
        <v>20.2</v>
      </c>
      <c r="ET36" s="1169">
        <v>19.399999999999999</v>
      </c>
      <c r="EU36" s="1169">
        <v>18.899999999999999</v>
      </c>
      <c r="EV36" s="1169">
        <v>18.5</v>
      </c>
      <c r="EW36" s="1169">
        <v>18.5</v>
      </c>
      <c r="EX36" s="1169">
        <v>18.600000000000001</v>
      </c>
      <c r="EY36" s="1169">
        <v>18.7</v>
      </c>
      <c r="EZ36" s="1169">
        <v>18.7</v>
      </c>
      <c r="FA36" s="1169">
        <v>18.8</v>
      </c>
      <c r="FB36" s="1169">
        <v>18.8</v>
      </c>
      <c r="FC36" s="1169">
        <v>18.7</v>
      </c>
      <c r="FD36" s="1169">
        <v>18.5</v>
      </c>
      <c r="FE36" s="1169">
        <v>18.3</v>
      </c>
      <c r="FF36" s="1169">
        <v>18</v>
      </c>
      <c r="FG36" s="1169">
        <v>17.7</v>
      </c>
      <c r="FH36" s="1169">
        <v>17.7</v>
      </c>
      <c r="FI36" s="1169">
        <v>17.7</v>
      </c>
      <c r="FJ36" s="1169">
        <v>17.899999999999999</v>
      </c>
      <c r="FK36" s="1169">
        <v>18</v>
      </c>
      <c r="FL36" s="1169">
        <v>17.899999999999999</v>
      </c>
      <c r="FM36" s="1169">
        <v>17.7</v>
      </c>
      <c r="FN36" s="1169">
        <v>17.399999999999999</v>
      </c>
      <c r="FO36" s="1169">
        <v>17.2</v>
      </c>
      <c r="FP36" s="1169">
        <v>17.100000000000001</v>
      </c>
      <c r="FQ36" s="1169">
        <v>17.100000000000001</v>
      </c>
      <c r="FR36" s="1169">
        <v>17.3</v>
      </c>
      <c r="FS36" s="1169">
        <v>17.5</v>
      </c>
      <c r="FT36" s="1169">
        <v>17.8</v>
      </c>
      <c r="FU36" s="1169">
        <v>18.100000000000001</v>
      </c>
      <c r="FV36" s="1169">
        <v>18.399999999999999</v>
      </c>
      <c r="FW36" s="1169">
        <v>18.7</v>
      </c>
      <c r="FX36" s="1169">
        <v>18.899999999999999</v>
      </c>
      <c r="FY36" s="1169">
        <v>19</v>
      </c>
      <c r="FZ36" s="1169">
        <v>19</v>
      </c>
      <c r="GA36" s="1169">
        <v>19.100000000000001</v>
      </c>
      <c r="GB36" s="1169">
        <v>19.3</v>
      </c>
      <c r="GC36" s="1169">
        <v>19.5</v>
      </c>
      <c r="GD36" s="1169">
        <v>19.8</v>
      </c>
      <c r="GE36" s="1169">
        <v>20</v>
      </c>
      <c r="GF36" s="1169">
        <v>20</v>
      </c>
      <c r="GG36" s="1169">
        <v>20</v>
      </c>
      <c r="GH36" s="1169">
        <v>19.8</v>
      </c>
      <c r="GI36" s="1169">
        <v>19.7</v>
      </c>
      <c r="GJ36" s="1169">
        <v>19.8</v>
      </c>
      <c r="GK36" s="1169">
        <v>20</v>
      </c>
      <c r="GL36" s="1169">
        <v>20.2</v>
      </c>
      <c r="GM36" s="1169">
        <v>20.399999999999999</v>
      </c>
      <c r="GN36" s="1169">
        <v>20.5</v>
      </c>
      <c r="GO36" s="1169">
        <v>20.5</v>
      </c>
      <c r="GP36" s="1169">
        <v>20.6</v>
      </c>
      <c r="GQ36" s="1169">
        <v>20.5</v>
      </c>
      <c r="GR36" s="1169">
        <v>20.3</v>
      </c>
      <c r="GS36" s="1169">
        <v>20.2</v>
      </c>
      <c r="GT36" s="1169">
        <v>20.100000000000001</v>
      </c>
      <c r="GU36" s="1169">
        <v>19.100000000000001</v>
      </c>
      <c r="GV36" s="1169">
        <v>19.899999999999999</v>
      </c>
      <c r="GW36" s="1169">
        <v>20.5</v>
      </c>
      <c r="GX36" s="1169">
        <v>21.2</v>
      </c>
      <c r="GY36" s="1169">
        <v>21.9</v>
      </c>
      <c r="GZ36" s="1169">
        <v>22.5</v>
      </c>
      <c r="HA36" s="1169">
        <v>22.8</v>
      </c>
    </row>
    <row r="37" spans="1:209" x14ac:dyDescent="0.35">
      <c r="A37" s="1169" t="s">
        <v>583</v>
      </c>
      <c r="B37" s="1169">
        <v>14.7</v>
      </c>
      <c r="C37" s="1169">
        <v>15.6</v>
      </c>
      <c r="D37" s="1169">
        <v>16.600000000000001</v>
      </c>
      <c r="E37" s="1169">
        <v>17.5</v>
      </c>
      <c r="F37" s="1169">
        <v>18.3</v>
      </c>
      <c r="G37" s="1169">
        <v>19.100000000000001</v>
      </c>
      <c r="H37" s="1169">
        <v>19.600000000000001</v>
      </c>
      <c r="I37" s="1169">
        <v>20.3</v>
      </c>
      <c r="J37" s="1169">
        <v>21.2</v>
      </c>
      <c r="K37" s="1169">
        <v>21.6</v>
      </c>
      <c r="L37" s="1169">
        <v>22.5</v>
      </c>
      <c r="M37" s="1169">
        <v>22.5</v>
      </c>
      <c r="N37" s="1169">
        <v>23.2</v>
      </c>
      <c r="O37" s="1169">
        <v>24</v>
      </c>
      <c r="P37" s="1169">
        <v>24.2</v>
      </c>
      <c r="Q37" s="1169">
        <v>25</v>
      </c>
      <c r="R37" s="1169">
        <v>23.4</v>
      </c>
      <c r="S37" s="1169">
        <v>24.7</v>
      </c>
      <c r="T37" s="1169">
        <v>25.9</v>
      </c>
      <c r="U37" s="1169">
        <v>27.1</v>
      </c>
      <c r="V37" s="1169">
        <v>29.2</v>
      </c>
      <c r="W37" s="1169">
        <v>30.5</v>
      </c>
      <c r="X37" s="1169">
        <v>31</v>
      </c>
      <c r="Y37" s="1169">
        <v>32.6</v>
      </c>
      <c r="Z37" s="1169">
        <v>33.4</v>
      </c>
      <c r="AA37" s="1169">
        <v>33.4</v>
      </c>
      <c r="AB37" s="1169">
        <v>34.700000000000003</v>
      </c>
      <c r="AC37" s="1169">
        <v>35</v>
      </c>
      <c r="AD37" s="1169">
        <v>35.700000000000003</v>
      </c>
      <c r="AE37" s="1169">
        <v>37.5</v>
      </c>
      <c r="AF37" s="1169">
        <v>37.299999999999997</v>
      </c>
      <c r="AG37" s="1169">
        <v>37.700000000000003</v>
      </c>
      <c r="AH37" s="1169">
        <v>39.200000000000003</v>
      </c>
      <c r="AI37" s="1169">
        <v>41</v>
      </c>
      <c r="AJ37" s="1169">
        <v>41.3</v>
      </c>
      <c r="AK37" s="1169">
        <v>41.7</v>
      </c>
      <c r="AL37" s="1169">
        <v>42.4</v>
      </c>
      <c r="AM37" s="1169">
        <v>43.5</v>
      </c>
      <c r="AN37" s="1169">
        <v>44.5</v>
      </c>
      <c r="AO37" s="1169">
        <v>46.9</v>
      </c>
      <c r="AP37" s="1169">
        <v>49.1</v>
      </c>
      <c r="AQ37" s="1169">
        <v>49</v>
      </c>
      <c r="AR37" s="1169">
        <v>52.4</v>
      </c>
      <c r="AS37" s="1169">
        <v>54.3</v>
      </c>
      <c r="AT37" s="1169">
        <v>55.6</v>
      </c>
      <c r="AU37" s="1169">
        <v>57.4</v>
      </c>
      <c r="AV37" s="1169">
        <v>57.7</v>
      </c>
      <c r="AW37" s="1169">
        <v>57.7</v>
      </c>
      <c r="AX37" s="1169">
        <v>59</v>
      </c>
      <c r="AY37" s="1169">
        <v>61</v>
      </c>
      <c r="AZ37" s="1169">
        <v>62.1</v>
      </c>
      <c r="BA37" s="1169">
        <v>62.6</v>
      </c>
      <c r="BB37" s="1169">
        <v>65.8</v>
      </c>
      <c r="BC37" s="1169">
        <v>66.3</v>
      </c>
      <c r="BD37" s="1169">
        <v>67.2</v>
      </c>
      <c r="BE37" s="1169">
        <v>68.3</v>
      </c>
      <c r="BF37" s="1169">
        <v>69.900000000000006</v>
      </c>
      <c r="BG37" s="1169">
        <v>70.599999999999994</v>
      </c>
      <c r="BH37" s="1169">
        <v>71.3</v>
      </c>
      <c r="BI37" s="1169">
        <v>72.8</v>
      </c>
      <c r="BJ37" s="1169">
        <v>74.900000000000006</v>
      </c>
      <c r="BK37" s="1169">
        <v>76.3</v>
      </c>
      <c r="BL37" s="1169">
        <v>78.099999999999994</v>
      </c>
      <c r="BM37" s="1169">
        <v>79.8</v>
      </c>
      <c r="BN37" s="1169">
        <v>81.599999999999994</v>
      </c>
      <c r="BO37" s="1169">
        <v>83.6</v>
      </c>
      <c r="BP37" s="1169">
        <v>85.3</v>
      </c>
      <c r="BQ37" s="1169">
        <v>86.9</v>
      </c>
      <c r="BR37" s="1169">
        <v>88.3</v>
      </c>
      <c r="BS37" s="1169">
        <v>89.9</v>
      </c>
      <c r="BT37" s="1169">
        <v>91.6</v>
      </c>
      <c r="BU37" s="1169">
        <v>93.1</v>
      </c>
      <c r="BV37" s="1169">
        <v>95.3</v>
      </c>
      <c r="BW37" s="1169">
        <v>97.3</v>
      </c>
      <c r="BX37" s="1169">
        <v>99.5</v>
      </c>
      <c r="BY37" s="1169">
        <v>101.9</v>
      </c>
      <c r="BZ37" s="1169">
        <v>104.2</v>
      </c>
      <c r="CA37" s="1169">
        <v>107.3</v>
      </c>
      <c r="CB37" s="1169">
        <v>111</v>
      </c>
      <c r="CC37" s="1169">
        <v>114.8</v>
      </c>
      <c r="CD37" s="1169">
        <v>118.8</v>
      </c>
      <c r="CE37" s="1169">
        <v>124.2</v>
      </c>
      <c r="CF37" s="1169">
        <v>130.30000000000001</v>
      </c>
      <c r="CG37" s="1169">
        <v>137.4</v>
      </c>
      <c r="CH37" s="1169">
        <v>141.5</v>
      </c>
      <c r="CI37" s="1169">
        <v>152.19999999999999</v>
      </c>
      <c r="CJ37" s="1169">
        <v>158.6</v>
      </c>
      <c r="CK37" s="1169">
        <v>173.8</v>
      </c>
      <c r="CL37" s="1169">
        <v>170.5</v>
      </c>
      <c r="CM37" s="1169">
        <v>178.6</v>
      </c>
      <c r="CN37" s="1169">
        <v>185.8</v>
      </c>
      <c r="CO37" s="1169">
        <v>185</v>
      </c>
      <c r="CP37" s="1169">
        <v>188.9</v>
      </c>
      <c r="CQ37" s="1169">
        <v>189.7</v>
      </c>
      <c r="CR37" s="1169">
        <v>200.6</v>
      </c>
      <c r="CS37" s="1169">
        <v>201.7</v>
      </c>
      <c r="CT37" s="1169">
        <v>203.6</v>
      </c>
      <c r="CU37" s="1169">
        <v>203.9</v>
      </c>
      <c r="CV37" s="1169">
        <v>203.7</v>
      </c>
      <c r="CW37" s="1169">
        <v>215.7</v>
      </c>
      <c r="CX37" s="1169">
        <v>220.4</v>
      </c>
      <c r="CY37" s="1169">
        <v>220.7</v>
      </c>
      <c r="CZ37" s="1169">
        <v>220.7</v>
      </c>
      <c r="DA37" s="1169">
        <v>208.8</v>
      </c>
      <c r="DB37" s="1169">
        <v>218.2</v>
      </c>
      <c r="DC37" s="1169">
        <v>232.2</v>
      </c>
      <c r="DD37" s="1169">
        <v>224.8</v>
      </c>
      <c r="DE37" s="1169">
        <v>221.7</v>
      </c>
      <c r="DF37" s="1169">
        <v>226</v>
      </c>
      <c r="DG37" s="1169">
        <v>223.7</v>
      </c>
      <c r="DH37" s="1169">
        <v>228</v>
      </c>
      <c r="DI37" s="1169">
        <v>232.4</v>
      </c>
      <c r="DJ37" s="1169">
        <v>232.1</v>
      </c>
      <c r="DK37" s="1169">
        <v>235.3</v>
      </c>
      <c r="DL37" s="1169">
        <v>233.9</v>
      </c>
      <c r="DM37" s="1169">
        <v>241.7</v>
      </c>
      <c r="DN37" s="1169">
        <v>247.8</v>
      </c>
      <c r="DO37" s="1169">
        <v>246.4</v>
      </c>
      <c r="DP37" s="1169">
        <v>255</v>
      </c>
      <c r="DQ37" s="1169">
        <v>260.2</v>
      </c>
      <c r="DR37" s="1169">
        <v>260.10000000000002</v>
      </c>
      <c r="DS37" s="1169">
        <v>269.39999999999998</v>
      </c>
      <c r="DT37" s="1169">
        <v>277.2</v>
      </c>
      <c r="DU37" s="1169">
        <v>279.10000000000002</v>
      </c>
      <c r="DV37" s="1169">
        <v>290.39999999999998</v>
      </c>
      <c r="DW37" s="1169">
        <v>308</v>
      </c>
      <c r="DX37" s="1169">
        <v>295.8</v>
      </c>
      <c r="DY37" s="1169">
        <v>326</v>
      </c>
      <c r="DZ37" s="1169">
        <v>326</v>
      </c>
      <c r="EA37" s="1169">
        <v>326</v>
      </c>
      <c r="EB37" s="1169">
        <v>334.7</v>
      </c>
      <c r="EC37" s="1169">
        <v>345.4</v>
      </c>
      <c r="ED37" s="1169">
        <v>347</v>
      </c>
      <c r="EE37" s="1169">
        <v>348.3</v>
      </c>
      <c r="EF37" s="1169">
        <v>361.8</v>
      </c>
      <c r="EG37" s="1169">
        <v>357</v>
      </c>
      <c r="EH37" s="1169">
        <v>376</v>
      </c>
      <c r="EI37" s="1169">
        <v>387.1</v>
      </c>
      <c r="EJ37" s="1169">
        <v>385.7</v>
      </c>
      <c r="EK37" s="1169">
        <v>391</v>
      </c>
      <c r="EL37" s="1169">
        <v>399.1</v>
      </c>
      <c r="EM37" s="1169">
        <v>410</v>
      </c>
      <c r="EN37" s="1169">
        <v>409.1</v>
      </c>
      <c r="EO37" s="1169">
        <v>407.9</v>
      </c>
      <c r="EP37" s="1169">
        <v>394</v>
      </c>
      <c r="EQ37" s="1169">
        <v>399.2</v>
      </c>
      <c r="ER37" s="1169">
        <v>414.4</v>
      </c>
      <c r="ES37" s="1169">
        <v>408.1</v>
      </c>
      <c r="ET37" s="1169">
        <v>440.1</v>
      </c>
      <c r="EU37" s="1169">
        <v>423.7</v>
      </c>
      <c r="EV37" s="1169">
        <v>429.9</v>
      </c>
      <c r="EW37" s="1169">
        <v>442.3</v>
      </c>
      <c r="EX37" s="1169">
        <v>446.3</v>
      </c>
      <c r="EY37" s="1169">
        <v>456</v>
      </c>
      <c r="EZ37" s="1169">
        <v>460</v>
      </c>
      <c r="FA37" s="1169">
        <v>462.1</v>
      </c>
      <c r="FB37" s="1169">
        <v>480.2</v>
      </c>
      <c r="FC37" s="1169">
        <v>492</v>
      </c>
      <c r="FD37" s="1169">
        <v>502.4</v>
      </c>
      <c r="FE37" s="1169">
        <v>498.2</v>
      </c>
      <c r="FF37" s="1169">
        <v>508.7</v>
      </c>
      <c r="FG37" s="1169">
        <v>513</v>
      </c>
      <c r="FH37" s="1169">
        <v>533.20000000000005</v>
      </c>
      <c r="FI37" s="1169">
        <v>540.79999999999995</v>
      </c>
      <c r="FJ37" s="1169">
        <v>544.4</v>
      </c>
      <c r="FK37" s="1169">
        <v>534.70000000000005</v>
      </c>
      <c r="FL37" s="1169">
        <v>520.70000000000005</v>
      </c>
      <c r="FM37" s="1169">
        <v>522.9</v>
      </c>
      <c r="FN37" s="1169">
        <v>523.9</v>
      </c>
      <c r="FO37" s="1169">
        <v>544.4</v>
      </c>
      <c r="FP37" s="1169">
        <v>542</v>
      </c>
      <c r="FQ37" s="1169">
        <v>552.70000000000005</v>
      </c>
      <c r="FR37" s="1169">
        <v>548.4</v>
      </c>
      <c r="FS37" s="1169">
        <v>562.79999999999995</v>
      </c>
      <c r="FT37" s="1169">
        <v>572.79999999999995</v>
      </c>
      <c r="FU37" s="1169">
        <v>573.6</v>
      </c>
      <c r="FV37" s="1169">
        <v>585.1</v>
      </c>
      <c r="FW37" s="1169">
        <v>607.79999999999995</v>
      </c>
      <c r="FX37" s="1169">
        <v>634.1</v>
      </c>
      <c r="FY37" s="1169">
        <v>643.20000000000005</v>
      </c>
      <c r="FZ37" s="1169">
        <v>652.20000000000005</v>
      </c>
      <c r="GA37" s="1169">
        <v>667.3</v>
      </c>
      <c r="GB37" s="1169">
        <v>670.2</v>
      </c>
      <c r="GC37" s="1169">
        <v>671.5</v>
      </c>
      <c r="GD37" s="1169">
        <v>679.9</v>
      </c>
      <c r="GE37" s="1169">
        <v>688.5</v>
      </c>
      <c r="GF37" s="1169">
        <v>697.2</v>
      </c>
      <c r="GG37" s="1169">
        <v>706.6</v>
      </c>
      <c r="GH37" s="1169">
        <v>704.7</v>
      </c>
      <c r="GI37" s="1169">
        <v>701.5</v>
      </c>
      <c r="GJ37" s="1169">
        <v>717</v>
      </c>
      <c r="GK37" s="1169">
        <v>712.1</v>
      </c>
      <c r="GL37" s="1169">
        <v>719.6</v>
      </c>
      <c r="GM37" s="1169">
        <v>731.7</v>
      </c>
      <c r="GN37" s="1169">
        <v>735.9</v>
      </c>
      <c r="GO37" s="1169">
        <v>731.6</v>
      </c>
      <c r="GP37" s="1169">
        <v>741.5</v>
      </c>
      <c r="GQ37" s="1169">
        <v>758.6</v>
      </c>
      <c r="GR37" s="1169">
        <v>767.8</v>
      </c>
      <c r="GS37" s="1169">
        <v>767.1</v>
      </c>
      <c r="GT37" s="1169">
        <v>755.9</v>
      </c>
      <c r="GU37" s="1169">
        <v>803.8</v>
      </c>
      <c r="GV37" s="1169">
        <v>842.2</v>
      </c>
      <c r="GW37" s="1169">
        <v>831.1</v>
      </c>
      <c r="GX37" s="1169">
        <v>850</v>
      </c>
      <c r="GY37" s="1169">
        <v>885.5</v>
      </c>
      <c r="GZ37" s="1169">
        <v>933.2</v>
      </c>
      <c r="HA37" s="1169">
        <v>939.2</v>
      </c>
    </row>
    <row r="38" spans="1:209" x14ac:dyDescent="0.35">
      <c r="A38" s="1169" t="s">
        <v>865</v>
      </c>
      <c r="B38" s="1169">
        <v>129.9</v>
      </c>
      <c r="C38" s="1169">
        <v>134.1</v>
      </c>
      <c r="D38" s="1169">
        <v>140.1</v>
      </c>
      <c r="E38" s="1169">
        <v>144.30000000000001</v>
      </c>
      <c r="F38" s="1169">
        <v>149.1</v>
      </c>
      <c r="G38" s="1169">
        <v>153.6</v>
      </c>
      <c r="H38" s="1169">
        <v>156.9</v>
      </c>
      <c r="I38" s="1169">
        <v>161</v>
      </c>
      <c r="J38" s="1169">
        <v>165.7</v>
      </c>
      <c r="K38" s="1169">
        <v>167.9</v>
      </c>
      <c r="L38" s="1169">
        <v>172.5</v>
      </c>
      <c r="M38" s="1169">
        <v>176.8</v>
      </c>
      <c r="N38" s="1169">
        <v>181.7</v>
      </c>
      <c r="O38" s="1169">
        <v>185.7</v>
      </c>
      <c r="P38" s="1169">
        <v>190</v>
      </c>
      <c r="Q38" s="1169">
        <v>195.9</v>
      </c>
      <c r="R38" s="1169">
        <v>201.1</v>
      </c>
      <c r="S38" s="1169">
        <v>210.1</v>
      </c>
      <c r="T38" s="1169">
        <v>217</v>
      </c>
      <c r="U38" s="1169">
        <v>223.7</v>
      </c>
      <c r="V38" s="1169">
        <v>235.9</v>
      </c>
      <c r="W38" s="1169">
        <v>240.3</v>
      </c>
      <c r="X38" s="1169">
        <v>246.6</v>
      </c>
      <c r="Y38" s="1169">
        <v>254.2</v>
      </c>
      <c r="Z38" s="1169">
        <v>260.3</v>
      </c>
      <c r="AA38" s="1169">
        <v>259.39999999999998</v>
      </c>
      <c r="AB38" s="1169">
        <v>261.3</v>
      </c>
      <c r="AC38" s="1169">
        <v>263.89999999999998</v>
      </c>
      <c r="AD38" s="1169">
        <v>271.10000000000002</v>
      </c>
      <c r="AE38" s="1169">
        <v>278.60000000000002</v>
      </c>
      <c r="AF38" s="1169">
        <v>282.3</v>
      </c>
      <c r="AG38" s="1169">
        <v>287.5</v>
      </c>
      <c r="AH38" s="1169">
        <v>292.5</v>
      </c>
      <c r="AI38" s="1169">
        <v>306</v>
      </c>
      <c r="AJ38" s="1169">
        <v>313.5</v>
      </c>
      <c r="AK38" s="1169">
        <v>320.5</v>
      </c>
      <c r="AL38" s="1169">
        <v>323.2</v>
      </c>
      <c r="AM38" s="1169">
        <v>333.2</v>
      </c>
      <c r="AN38" s="1169">
        <v>344.8</v>
      </c>
      <c r="AO38" s="1169">
        <v>356.1</v>
      </c>
      <c r="AP38" s="1169">
        <v>367.6</v>
      </c>
      <c r="AQ38" s="1169">
        <v>371.7</v>
      </c>
      <c r="AR38" s="1169">
        <v>379.1</v>
      </c>
      <c r="AS38" s="1169">
        <v>388.1</v>
      </c>
      <c r="AT38" s="1169">
        <v>402.6</v>
      </c>
      <c r="AU38" s="1169">
        <v>405.3</v>
      </c>
      <c r="AV38" s="1169">
        <v>409.8</v>
      </c>
      <c r="AW38" s="1169">
        <v>418.5</v>
      </c>
      <c r="AX38" s="1169">
        <v>425.5</v>
      </c>
      <c r="AY38" s="1169">
        <v>435.4</v>
      </c>
      <c r="AZ38" s="1169">
        <v>443.4</v>
      </c>
      <c r="BA38" s="1169">
        <v>452.9</v>
      </c>
      <c r="BB38" s="1169">
        <v>461.9</v>
      </c>
      <c r="BC38" s="1169">
        <v>467.5</v>
      </c>
      <c r="BD38" s="1169">
        <v>476.7</v>
      </c>
      <c r="BE38" s="1169">
        <v>482.1</v>
      </c>
      <c r="BF38" s="1169">
        <v>495.1</v>
      </c>
      <c r="BG38" s="1169">
        <v>505.9</v>
      </c>
      <c r="BH38" s="1169">
        <v>518.29999999999995</v>
      </c>
      <c r="BI38" s="1169">
        <v>529.29999999999995</v>
      </c>
      <c r="BJ38" s="1169">
        <v>542.70000000000005</v>
      </c>
      <c r="BK38" s="1169">
        <v>557.70000000000005</v>
      </c>
      <c r="BL38" s="1169">
        <v>571.6</v>
      </c>
      <c r="BM38" s="1169">
        <v>582.20000000000005</v>
      </c>
      <c r="BN38" s="1169">
        <v>595.9</v>
      </c>
      <c r="BO38" s="1169">
        <v>605.5</v>
      </c>
      <c r="BP38" s="1169">
        <v>616.5</v>
      </c>
      <c r="BQ38" s="1169">
        <v>626.29999999999995</v>
      </c>
      <c r="BR38" s="1169">
        <v>637.79999999999995</v>
      </c>
      <c r="BS38" s="1169">
        <v>646.9</v>
      </c>
      <c r="BT38" s="1169">
        <v>656.4</v>
      </c>
      <c r="BU38" s="1169">
        <v>668.1</v>
      </c>
      <c r="BV38" s="1169">
        <v>678.6</v>
      </c>
      <c r="BW38" s="1169">
        <v>693.1</v>
      </c>
      <c r="BX38" s="1169">
        <v>703.2</v>
      </c>
      <c r="BY38" s="1169">
        <v>720.1</v>
      </c>
      <c r="BZ38" s="1169">
        <v>736.6</v>
      </c>
      <c r="CA38" s="1169">
        <v>755.1</v>
      </c>
      <c r="CB38" s="1169">
        <v>770.4</v>
      </c>
      <c r="CC38" s="1169">
        <v>790</v>
      </c>
      <c r="CD38" s="1169">
        <v>811.4</v>
      </c>
      <c r="CE38" s="1169">
        <v>824.1</v>
      </c>
      <c r="CF38" s="1169">
        <v>843.9</v>
      </c>
      <c r="CG38" s="1169">
        <v>871</v>
      </c>
      <c r="CH38" s="1169">
        <v>881.6</v>
      </c>
      <c r="CI38" s="1169">
        <v>901.3</v>
      </c>
      <c r="CJ38" s="1169">
        <v>919.2</v>
      </c>
      <c r="CK38" s="1169">
        <v>947</v>
      </c>
      <c r="CL38" s="1169">
        <v>959.3</v>
      </c>
      <c r="CM38" s="1169">
        <v>975.2</v>
      </c>
      <c r="CN38" s="1169">
        <v>988.2</v>
      </c>
      <c r="CO38" s="1169">
        <v>991.3</v>
      </c>
      <c r="CP38" s="1169">
        <v>1001.1</v>
      </c>
      <c r="CQ38" s="1169">
        <v>1011.6</v>
      </c>
      <c r="CR38" s="1169">
        <v>1028.0999999999999</v>
      </c>
      <c r="CS38" s="1169">
        <v>1036.0999999999999</v>
      </c>
      <c r="CT38" s="1169">
        <v>1046.5999999999999</v>
      </c>
      <c r="CU38" s="1169">
        <v>1060.5</v>
      </c>
      <c r="CV38" s="1169">
        <v>1077.4000000000001</v>
      </c>
      <c r="CW38" s="1169">
        <v>1100.7</v>
      </c>
      <c r="CX38" s="1169">
        <v>1118.5</v>
      </c>
      <c r="CY38" s="1169">
        <v>1132.8</v>
      </c>
      <c r="CZ38" s="1169">
        <v>1136.8</v>
      </c>
      <c r="DA38" s="1169">
        <v>1131.2</v>
      </c>
      <c r="DB38" s="1169">
        <v>1145.0999999999999</v>
      </c>
      <c r="DC38" s="1169">
        <v>1171.4000000000001</v>
      </c>
      <c r="DD38" s="1169">
        <v>1176</v>
      </c>
      <c r="DE38" s="1169">
        <v>1192</v>
      </c>
      <c r="DF38" s="1169">
        <v>1202.5</v>
      </c>
      <c r="DG38" s="1169">
        <v>1209</v>
      </c>
      <c r="DH38" s="1169">
        <v>1225.5</v>
      </c>
      <c r="DI38" s="1169">
        <v>1243.5</v>
      </c>
      <c r="DJ38" s="1169">
        <v>1250.5</v>
      </c>
      <c r="DK38" s="1169">
        <v>1272.2</v>
      </c>
      <c r="DL38" s="1169">
        <v>1290.9000000000001</v>
      </c>
      <c r="DM38" s="1169">
        <v>1312.2</v>
      </c>
      <c r="DN38" s="1169">
        <v>1338.9</v>
      </c>
      <c r="DO38" s="1169">
        <v>1357.5</v>
      </c>
      <c r="DP38" s="1169">
        <v>1388.2</v>
      </c>
      <c r="DQ38" s="1169">
        <v>1417.2</v>
      </c>
      <c r="DR38" s="1169">
        <v>1435.6</v>
      </c>
      <c r="DS38" s="1169">
        <v>1453</v>
      </c>
      <c r="DT38" s="1169">
        <v>1478</v>
      </c>
      <c r="DU38" s="1169">
        <v>1507</v>
      </c>
      <c r="DV38" s="1169">
        <v>1560.6</v>
      </c>
      <c r="DW38" s="1169">
        <v>1617.6</v>
      </c>
      <c r="DX38" s="1169">
        <v>1597.3</v>
      </c>
      <c r="DY38" s="1169">
        <v>1656.2</v>
      </c>
      <c r="DZ38" s="1169">
        <v>1677.3</v>
      </c>
      <c r="EA38" s="1169">
        <v>1694.5</v>
      </c>
      <c r="EB38" s="1169">
        <v>1724.4</v>
      </c>
      <c r="EC38" s="1169">
        <v>1756.3</v>
      </c>
      <c r="ED38" s="1169">
        <v>1781.7</v>
      </c>
      <c r="EE38" s="1169">
        <v>1783.4</v>
      </c>
      <c r="EF38" s="1169">
        <v>1811.7</v>
      </c>
      <c r="EG38" s="1169">
        <v>1814.6</v>
      </c>
      <c r="EH38" s="1169">
        <v>1843.6</v>
      </c>
      <c r="EI38" s="1169">
        <v>1868.2</v>
      </c>
      <c r="EJ38" s="1169">
        <v>1895.3</v>
      </c>
      <c r="EK38" s="1169">
        <v>1903</v>
      </c>
      <c r="EL38" s="1169">
        <v>1925.1</v>
      </c>
      <c r="EM38" s="1169">
        <v>1952.9</v>
      </c>
      <c r="EN38" s="1169">
        <v>1978</v>
      </c>
      <c r="EO38" s="1169">
        <v>2024.5</v>
      </c>
      <c r="EP38" s="1169">
        <v>2008</v>
      </c>
      <c r="EQ38" s="1169">
        <v>2042.4</v>
      </c>
      <c r="ER38" s="1169">
        <v>2078.5</v>
      </c>
      <c r="ES38" s="1169">
        <v>2094.1999999999998</v>
      </c>
      <c r="ET38" s="1169">
        <v>2165.9</v>
      </c>
      <c r="EU38" s="1169">
        <v>2182.4</v>
      </c>
      <c r="EV38" s="1169">
        <v>2205.9</v>
      </c>
      <c r="EW38" s="1169">
        <v>2242.1</v>
      </c>
      <c r="EX38" s="1169">
        <v>2256.4</v>
      </c>
      <c r="EY38" s="1169">
        <v>2293.3000000000002</v>
      </c>
      <c r="EZ38" s="1169">
        <v>2337.8000000000002</v>
      </c>
      <c r="FA38" s="1169">
        <v>2337.1999999999998</v>
      </c>
      <c r="FB38" s="1169">
        <v>2371.5</v>
      </c>
      <c r="FC38" s="1169">
        <v>2419.8000000000002</v>
      </c>
      <c r="FD38" s="1169">
        <v>2446.9</v>
      </c>
      <c r="FE38" s="1169">
        <v>2444.5</v>
      </c>
      <c r="FF38" s="1169">
        <v>2439.1</v>
      </c>
      <c r="FG38" s="1169">
        <v>2443.1</v>
      </c>
      <c r="FH38" s="1169">
        <v>2451.4</v>
      </c>
      <c r="FI38" s="1169">
        <v>2452.3000000000002</v>
      </c>
      <c r="FJ38" s="1169">
        <v>2451.4</v>
      </c>
      <c r="FK38" s="1169">
        <v>2445</v>
      </c>
      <c r="FL38" s="1169">
        <v>2423.3000000000002</v>
      </c>
      <c r="FM38" s="1169">
        <v>2417.9</v>
      </c>
      <c r="FN38" s="1169">
        <v>2431.3000000000002</v>
      </c>
      <c r="FO38" s="1169">
        <v>2447.1999999999998</v>
      </c>
      <c r="FP38" s="1169">
        <v>2448.6</v>
      </c>
      <c r="FQ38" s="1169">
        <v>2475.8000000000002</v>
      </c>
      <c r="FR38" s="1169">
        <v>2485.5</v>
      </c>
      <c r="FS38" s="1169">
        <v>2507.5</v>
      </c>
      <c r="FT38" s="1169">
        <v>2527.4</v>
      </c>
      <c r="FU38" s="1169">
        <v>2529.9</v>
      </c>
      <c r="FV38" s="1169">
        <v>2541.1</v>
      </c>
      <c r="FW38" s="1169">
        <v>2578.9</v>
      </c>
      <c r="FX38" s="1169">
        <v>2622.2</v>
      </c>
      <c r="FY38" s="1169">
        <v>2647.2</v>
      </c>
      <c r="FZ38" s="1169">
        <v>2652.9</v>
      </c>
      <c r="GA38" s="1169">
        <v>2706.9</v>
      </c>
      <c r="GB38" s="1169">
        <v>2729.6</v>
      </c>
      <c r="GC38" s="1169">
        <v>2729.9</v>
      </c>
      <c r="GD38" s="1169">
        <v>2758.2</v>
      </c>
      <c r="GE38" s="1169">
        <v>2788.4</v>
      </c>
      <c r="GF38" s="1169">
        <v>2815.9</v>
      </c>
      <c r="GG38" s="1169">
        <v>2843.1</v>
      </c>
      <c r="GH38" s="1169">
        <v>2862.6</v>
      </c>
      <c r="GI38" s="1169">
        <v>2864.3</v>
      </c>
      <c r="GJ38" s="1169">
        <v>2898</v>
      </c>
      <c r="GK38" s="1169">
        <v>2918.2</v>
      </c>
      <c r="GL38" s="1169">
        <v>2945.3</v>
      </c>
      <c r="GM38" s="1169">
        <v>2984.8</v>
      </c>
      <c r="GN38" s="1169">
        <v>3006.1</v>
      </c>
      <c r="GO38" s="1169">
        <v>3004</v>
      </c>
      <c r="GP38" s="1169">
        <v>3035.3</v>
      </c>
      <c r="GQ38" s="1169">
        <v>3086.2</v>
      </c>
      <c r="GR38" s="1169">
        <v>3105.8</v>
      </c>
      <c r="GS38" s="1169">
        <v>3123.3</v>
      </c>
      <c r="GT38" s="1169">
        <v>3150.9</v>
      </c>
      <c r="GU38" s="1169">
        <v>3151.4</v>
      </c>
      <c r="GV38" s="1169">
        <v>3195.1</v>
      </c>
      <c r="GW38" s="1169">
        <v>3207.4</v>
      </c>
      <c r="GX38" s="1169">
        <v>3260.6</v>
      </c>
      <c r="GY38" s="1169">
        <v>3337.6</v>
      </c>
      <c r="GZ38" s="1169">
        <v>3438</v>
      </c>
      <c r="HA38" s="1169">
        <v>3474.7</v>
      </c>
    </row>
    <row r="39" spans="1:209" x14ac:dyDescent="0.35">
      <c r="A39" s="1169" t="s">
        <v>866</v>
      </c>
      <c r="B39" s="1169"/>
      <c r="C39" s="1169"/>
      <c r="D39" s="1169"/>
      <c r="E39" s="1169"/>
      <c r="F39" s="1169"/>
      <c r="G39" s="1169"/>
      <c r="H39" s="1169"/>
      <c r="I39" s="1169"/>
      <c r="J39" s="1169"/>
      <c r="K39" s="1169"/>
      <c r="L39" s="1169"/>
      <c r="M39" s="1169"/>
      <c r="N39" s="1169"/>
      <c r="O39" s="1169"/>
      <c r="P39" s="1169"/>
      <c r="Q39" s="1169"/>
      <c r="R39" s="1169"/>
      <c r="S39" s="1169"/>
      <c r="T39" s="1169"/>
      <c r="U39" s="1169"/>
      <c r="V39" s="1169"/>
      <c r="W39" s="1169"/>
      <c r="X39" s="1169"/>
      <c r="Y39" s="1169"/>
      <c r="Z39" s="1169"/>
      <c r="AA39" s="1169"/>
      <c r="AB39" s="1169"/>
      <c r="AC39" s="1169"/>
      <c r="AD39" s="1169"/>
      <c r="AE39" s="1169"/>
      <c r="AF39" s="1169"/>
      <c r="AG39" s="1169"/>
      <c r="AH39" s="1169"/>
      <c r="AI39" s="1169"/>
      <c r="AJ39" s="1169"/>
      <c r="AK39" s="1169"/>
      <c r="AL39" s="1169"/>
      <c r="AM39" s="1169"/>
      <c r="AN39" s="1169"/>
      <c r="AO39" s="1169"/>
      <c r="AP39" s="1169"/>
      <c r="AQ39" s="1169"/>
      <c r="AR39" s="1169"/>
      <c r="AS39" s="1169"/>
      <c r="AT39" s="1169"/>
      <c r="AU39" s="1169"/>
      <c r="AV39" s="1169"/>
      <c r="AW39" s="1169"/>
      <c r="AX39" s="1169"/>
      <c r="AY39" s="1169"/>
      <c r="AZ39" s="1169"/>
      <c r="BA39" s="1169"/>
      <c r="BB39" s="1169"/>
      <c r="BC39" s="1169"/>
      <c r="BD39" s="1169"/>
      <c r="BE39" s="1169"/>
      <c r="BF39" s="1169"/>
      <c r="BG39" s="1169"/>
      <c r="BH39" s="1169"/>
      <c r="BI39" s="1169"/>
      <c r="BJ39" s="1169"/>
      <c r="BK39" s="1169"/>
      <c r="BL39" s="1169"/>
      <c r="BM39" s="1169"/>
      <c r="BN39" s="1169"/>
      <c r="BO39" s="1169"/>
      <c r="BP39" s="1169"/>
      <c r="BQ39" s="1169"/>
      <c r="BR39" s="1169"/>
      <c r="BS39" s="1169"/>
      <c r="BT39" s="1169"/>
      <c r="BU39" s="1169"/>
      <c r="BV39" s="1169"/>
      <c r="BW39" s="1169"/>
      <c r="BX39" s="1169"/>
      <c r="BY39" s="1169"/>
      <c r="BZ39" s="1169"/>
      <c r="CA39" s="1169"/>
      <c r="CB39" s="1169"/>
      <c r="CC39" s="1169"/>
      <c r="CD39" s="1169"/>
      <c r="CE39" s="1169"/>
      <c r="CF39" s="1169"/>
      <c r="CG39" s="1169"/>
      <c r="CH39" s="1169"/>
      <c r="CI39" s="1169"/>
      <c r="CJ39" s="1169"/>
      <c r="CK39" s="1169"/>
      <c r="CL39" s="1169"/>
      <c r="CM39" s="1169"/>
      <c r="CN39" s="1169"/>
      <c r="CO39" s="1169"/>
      <c r="CP39" s="1169">
        <v>78.072000000000003</v>
      </c>
      <c r="CQ39" s="1169">
        <v>80.831000000000003</v>
      </c>
      <c r="CR39" s="1169">
        <v>85.251000000000005</v>
      </c>
      <c r="CS39" s="1169">
        <v>88.177999999999997</v>
      </c>
      <c r="CT39" s="1169">
        <v>84.001999999999995</v>
      </c>
      <c r="CU39" s="1169">
        <v>86.254999999999995</v>
      </c>
      <c r="CV39" s="1169">
        <v>87.977999999999994</v>
      </c>
      <c r="CW39" s="1169">
        <v>89.828999999999994</v>
      </c>
      <c r="CX39" s="1169">
        <v>95.218000000000004</v>
      </c>
      <c r="CY39" s="1169">
        <v>94.483999999999995</v>
      </c>
      <c r="CZ39" s="1169">
        <v>93.858000000000004</v>
      </c>
      <c r="DA39" s="1169">
        <v>92.180999999999997</v>
      </c>
      <c r="DB39" s="1169">
        <v>94.539000000000001</v>
      </c>
      <c r="DC39" s="1169">
        <v>102.461</v>
      </c>
      <c r="DD39" s="1169">
        <v>99.671999999999997</v>
      </c>
      <c r="DE39" s="1169">
        <v>97.608999999999995</v>
      </c>
      <c r="DF39" s="1169">
        <v>98.691000000000003</v>
      </c>
      <c r="DG39" s="1169">
        <v>98.641999999999996</v>
      </c>
      <c r="DH39" s="1169">
        <v>101.001</v>
      </c>
      <c r="DI39" s="1169">
        <v>105.738</v>
      </c>
      <c r="DJ39" s="1169">
        <v>103.992</v>
      </c>
      <c r="DK39" s="1169">
        <v>106.28700000000001</v>
      </c>
      <c r="DL39" s="1169">
        <v>106.646</v>
      </c>
      <c r="DM39" s="1169">
        <v>110.762</v>
      </c>
      <c r="DN39" s="1169">
        <v>114.027</v>
      </c>
      <c r="DO39" s="1169">
        <v>113.559</v>
      </c>
      <c r="DP39" s="1169">
        <v>120.524</v>
      </c>
      <c r="DQ39" s="1169">
        <v>121.904</v>
      </c>
      <c r="DR39" s="1169">
        <v>121.898</v>
      </c>
      <c r="DS39" s="1169">
        <v>123.319</v>
      </c>
      <c r="DT39" s="1169">
        <v>133.626</v>
      </c>
      <c r="DU39" s="1169">
        <v>129.62200000000001</v>
      </c>
      <c r="DV39" s="1169">
        <v>138.71600000000001</v>
      </c>
      <c r="DW39" s="1169">
        <v>145.774</v>
      </c>
      <c r="DX39" s="1169">
        <v>143.21899999999999</v>
      </c>
      <c r="DY39" s="1169">
        <v>153.809</v>
      </c>
      <c r="DZ39" s="1169">
        <v>156.084</v>
      </c>
      <c r="EA39" s="1169">
        <v>157.45500000000001</v>
      </c>
      <c r="EB39" s="1169">
        <v>164.01</v>
      </c>
      <c r="EC39" s="1169">
        <v>166.934</v>
      </c>
      <c r="ED39" s="1169">
        <v>165.90600000000001</v>
      </c>
      <c r="EE39" s="1169">
        <v>171.10599999999999</v>
      </c>
      <c r="EF39" s="1169">
        <v>186.792</v>
      </c>
      <c r="EG39" s="1169">
        <v>182.54300000000001</v>
      </c>
      <c r="EH39" s="1169">
        <v>190.07</v>
      </c>
      <c r="EI39" s="1169">
        <v>194.96299999999999</v>
      </c>
      <c r="EJ39" s="1169">
        <v>186.476</v>
      </c>
      <c r="EK39" s="1169">
        <v>191.75200000000001</v>
      </c>
      <c r="EL39" s="1169">
        <v>199.036</v>
      </c>
      <c r="EM39" s="1169">
        <v>200.24600000000001</v>
      </c>
      <c r="EN39" s="1169">
        <v>195.23099999999999</v>
      </c>
      <c r="EO39" s="1169">
        <v>197.352</v>
      </c>
      <c r="EP39" s="1169">
        <v>191.74700000000001</v>
      </c>
      <c r="EQ39" s="1169">
        <v>189.018</v>
      </c>
      <c r="ER39" s="1169">
        <v>197.488</v>
      </c>
      <c r="ES39" s="1169">
        <v>189.083</v>
      </c>
      <c r="ET39" s="1169">
        <v>209.34700000000001</v>
      </c>
      <c r="EU39" s="1169">
        <v>201.38300000000001</v>
      </c>
      <c r="EV39" s="1169">
        <v>204.31800000000001</v>
      </c>
      <c r="EW39" s="1169">
        <v>206.11</v>
      </c>
      <c r="EX39" s="1169">
        <v>209.60300000000001</v>
      </c>
      <c r="EY39" s="1169">
        <v>216.57</v>
      </c>
      <c r="EZ39" s="1169">
        <v>213.01599999999999</v>
      </c>
      <c r="FA39" s="1169">
        <v>217.49100000000001</v>
      </c>
      <c r="FB39" s="1169">
        <v>266.40699999999998</v>
      </c>
      <c r="FC39" s="1169">
        <v>284.52600000000001</v>
      </c>
      <c r="FD39" s="1169">
        <v>273.90300000000002</v>
      </c>
      <c r="FE39" s="1169">
        <v>272.34500000000003</v>
      </c>
      <c r="FF39" s="1169">
        <v>283.26799999999997</v>
      </c>
      <c r="FG39" s="1169">
        <v>290.80799999999999</v>
      </c>
      <c r="FH39" s="1169">
        <v>297.13</v>
      </c>
      <c r="FI39" s="1169">
        <v>309.66800000000001</v>
      </c>
      <c r="FJ39" s="1169">
        <v>293.83999999999997</v>
      </c>
      <c r="FK39" s="1169">
        <v>288.89999999999998</v>
      </c>
      <c r="FL39" s="1169">
        <v>248.81299999999999</v>
      </c>
      <c r="FM39" s="1169">
        <v>249.625</v>
      </c>
      <c r="FN39" s="1169">
        <v>258.161</v>
      </c>
      <c r="FO39" s="1169">
        <v>273.39</v>
      </c>
      <c r="FP39" s="1169">
        <v>263.07900000000001</v>
      </c>
      <c r="FQ39" s="1169">
        <v>269.70999999999998</v>
      </c>
      <c r="FR39" s="1169">
        <v>272.06299999999999</v>
      </c>
      <c r="FS39" s="1169">
        <v>283.40800000000002</v>
      </c>
      <c r="FT39" s="1169">
        <v>281.45499999999998</v>
      </c>
      <c r="FU39" s="1169">
        <v>282.10700000000003</v>
      </c>
      <c r="FV39" s="1169">
        <v>303.39</v>
      </c>
      <c r="FW39" s="1169">
        <v>320.01499999999999</v>
      </c>
      <c r="FX39" s="1169">
        <v>343.69200000000001</v>
      </c>
      <c r="FY39" s="1169">
        <v>345.71199999999999</v>
      </c>
      <c r="FZ39" s="1169">
        <v>362.79199999999997</v>
      </c>
      <c r="GA39" s="1169">
        <v>363.41</v>
      </c>
      <c r="GB39" s="1169">
        <v>365.38400000000001</v>
      </c>
      <c r="GC39" s="1169">
        <v>384.03199999999998</v>
      </c>
      <c r="GD39" s="1169">
        <v>378.24599999999998</v>
      </c>
      <c r="GE39" s="1169">
        <v>382.36700000000002</v>
      </c>
      <c r="GF39" s="1169">
        <v>396.21600000000001</v>
      </c>
      <c r="GG39" s="1169">
        <v>408.32299999999998</v>
      </c>
      <c r="GH39" s="1169">
        <v>396.83800000000002</v>
      </c>
      <c r="GI39" s="1169">
        <v>371.19600000000003</v>
      </c>
      <c r="GJ39" s="1169">
        <v>396.81799999999998</v>
      </c>
      <c r="GK39" s="1169">
        <v>402.67599999999999</v>
      </c>
      <c r="GL39" s="1169">
        <v>413.024</v>
      </c>
      <c r="GM39" s="1169">
        <v>403.04300000000001</v>
      </c>
      <c r="GN39" s="1169">
        <v>412.24599999999998</v>
      </c>
      <c r="GO39" s="1169">
        <v>412.041</v>
      </c>
      <c r="GP39" s="1169">
        <v>430.08</v>
      </c>
      <c r="GQ39" s="1169">
        <v>435.61799999999999</v>
      </c>
      <c r="GR39" s="1169">
        <v>436.89699999999999</v>
      </c>
      <c r="GS39" s="1169">
        <v>438.40800000000002</v>
      </c>
      <c r="GT39" s="1169">
        <v>451.67099999999999</v>
      </c>
      <c r="GU39" s="1169">
        <v>589.274</v>
      </c>
      <c r="GV39" s="1169">
        <v>532.923</v>
      </c>
      <c r="GW39" s="1169">
        <v>545.54899999999998</v>
      </c>
      <c r="GX39" s="1169">
        <v>552.85900000000004</v>
      </c>
      <c r="GY39" s="1169">
        <v>553.56399999999996</v>
      </c>
      <c r="GZ39" s="1169">
        <v>569.60599999999999</v>
      </c>
      <c r="HA39" s="1169">
        <v>592.41999999999996</v>
      </c>
    </row>
    <row r="40" spans="1:209" x14ac:dyDescent="0.35">
      <c r="A40" s="1169" t="s">
        <v>412</v>
      </c>
      <c r="B40" s="1169"/>
      <c r="C40" s="1169"/>
      <c r="D40" s="1169"/>
      <c r="E40" s="1169"/>
      <c r="F40" s="1169"/>
      <c r="G40" s="1169"/>
      <c r="H40" s="1169"/>
      <c r="I40" s="1169"/>
      <c r="J40" s="1169"/>
      <c r="K40" s="1169"/>
      <c r="L40" s="1169"/>
      <c r="M40" s="1169"/>
      <c r="N40" s="1169"/>
      <c r="O40" s="1169"/>
      <c r="P40" s="1169"/>
      <c r="Q40" s="1169"/>
      <c r="R40" s="1169"/>
      <c r="S40" s="1169"/>
      <c r="T40" s="1169"/>
      <c r="U40" s="1169"/>
      <c r="V40" s="1169"/>
      <c r="W40" s="1169"/>
      <c r="X40" s="1169"/>
      <c r="Y40" s="1169"/>
      <c r="Z40" s="1169"/>
      <c r="AA40" s="1169"/>
      <c r="AB40" s="1169"/>
      <c r="AC40" s="1169"/>
      <c r="AD40" s="1169"/>
      <c r="AE40" s="1169"/>
      <c r="AF40" s="1169"/>
      <c r="AG40" s="1169"/>
      <c r="AH40" s="1169"/>
      <c r="AI40" s="1169"/>
      <c r="AJ40" s="1169"/>
      <c r="AK40" s="1169"/>
      <c r="AL40" s="1169"/>
      <c r="AM40" s="1169"/>
      <c r="AN40" s="1169"/>
      <c r="AO40" s="1169"/>
      <c r="AP40" s="1169"/>
      <c r="AQ40" s="1169"/>
      <c r="AR40" s="1169"/>
      <c r="AS40" s="1169"/>
      <c r="AT40" s="1169"/>
      <c r="AU40" s="1169"/>
      <c r="AV40" s="1169"/>
      <c r="AW40" s="1169"/>
      <c r="AX40" s="1169"/>
      <c r="AY40" s="1169"/>
      <c r="AZ40" s="1169"/>
      <c r="BA40" s="1169"/>
      <c r="BB40" s="1169"/>
      <c r="BC40" s="1169"/>
      <c r="BD40" s="1169"/>
      <c r="BE40" s="1169"/>
      <c r="BF40" s="1169"/>
      <c r="BG40" s="1169"/>
      <c r="BH40" s="1169"/>
      <c r="BI40" s="1169"/>
      <c r="BJ40" s="1169"/>
      <c r="BK40" s="1169"/>
      <c r="BL40" s="1169"/>
      <c r="BM40" s="1169"/>
      <c r="BN40" s="1169"/>
      <c r="BO40" s="1169"/>
      <c r="BP40" s="1169"/>
      <c r="BQ40" s="1169"/>
      <c r="BR40" s="1169"/>
      <c r="BS40" s="1169"/>
      <c r="BT40" s="1169"/>
      <c r="BU40" s="1169"/>
      <c r="BV40" s="1169"/>
      <c r="BW40" s="1169"/>
      <c r="BX40" s="1169"/>
      <c r="BY40" s="1169"/>
      <c r="BZ40" s="1169"/>
      <c r="CA40" s="1169"/>
      <c r="CB40" s="1169"/>
      <c r="CC40" s="1169"/>
      <c r="CD40" s="1169"/>
      <c r="CE40" s="1169"/>
      <c r="CF40" s="1169"/>
      <c r="CG40" s="1169"/>
      <c r="CH40" s="1169"/>
      <c r="CI40" s="1169"/>
      <c r="CJ40" s="1169"/>
      <c r="CK40" s="1169"/>
      <c r="CL40" s="1169"/>
      <c r="CM40" s="1169"/>
      <c r="CN40" s="1169"/>
      <c r="CO40" s="1169"/>
      <c r="CP40" s="1169">
        <v>73.888000000000005</v>
      </c>
      <c r="CQ40" s="1169">
        <v>76.036000000000001</v>
      </c>
      <c r="CR40" s="1169">
        <v>80.603999999999999</v>
      </c>
      <c r="CS40" s="1169">
        <v>84.1</v>
      </c>
      <c r="CT40" s="1169">
        <v>78.947999999999993</v>
      </c>
      <c r="CU40" s="1169">
        <v>81.772000000000006</v>
      </c>
      <c r="CV40" s="1169">
        <v>82.891999999999996</v>
      </c>
      <c r="CW40" s="1169">
        <v>85.54</v>
      </c>
      <c r="CX40" s="1169">
        <v>90.524000000000001</v>
      </c>
      <c r="CY40" s="1169">
        <v>90.54</v>
      </c>
      <c r="CZ40" s="1169">
        <v>89.28</v>
      </c>
      <c r="DA40" s="1169">
        <v>87.567999999999998</v>
      </c>
      <c r="DB40" s="1169">
        <v>88.772000000000006</v>
      </c>
      <c r="DC40" s="1169">
        <v>96.376000000000005</v>
      </c>
      <c r="DD40" s="1169">
        <v>94.872</v>
      </c>
      <c r="DE40" s="1169">
        <v>93.891999999999996</v>
      </c>
      <c r="DF40" s="1169">
        <v>95.98</v>
      </c>
      <c r="DG40" s="1169">
        <v>94.924000000000007</v>
      </c>
      <c r="DH40" s="1169">
        <v>97.108000000000004</v>
      </c>
      <c r="DI40" s="1169">
        <v>101.384</v>
      </c>
      <c r="DJ40" s="1169">
        <v>99.444000000000003</v>
      </c>
      <c r="DK40" s="1169">
        <v>101.608</v>
      </c>
      <c r="DL40" s="1169">
        <v>102.26</v>
      </c>
      <c r="DM40" s="1169">
        <v>103.952</v>
      </c>
      <c r="DN40" s="1169">
        <v>107.1</v>
      </c>
      <c r="DO40" s="1169">
        <v>107.208</v>
      </c>
      <c r="DP40" s="1169">
        <v>113.428</v>
      </c>
      <c r="DQ40" s="1169">
        <v>114.62</v>
      </c>
      <c r="DR40" s="1169">
        <v>114.852</v>
      </c>
      <c r="DS40" s="1169">
        <v>116.16800000000001</v>
      </c>
      <c r="DT40" s="1169">
        <v>125.392</v>
      </c>
      <c r="DU40" s="1169">
        <v>121.748</v>
      </c>
      <c r="DV40" s="1169">
        <v>129.38800000000001</v>
      </c>
      <c r="DW40" s="1169">
        <v>132.12799999999999</v>
      </c>
      <c r="DX40" s="1169">
        <v>133.364</v>
      </c>
      <c r="DY40" s="1169">
        <v>143.65199999999999</v>
      </c>
      <c r="DZ40" s="1169">
        <v>145.547</v>
      </c>
      <c r="EA40" s="1169">
        <v>146.352</v>
      </c>
      <c r="EB40" s="1169">
        <v>152.89599999999999</v>
      </c>
      <c r="EC40" s="1169">
        <v>155.30699999999999</v>
      </c>
      <c r="ED40" s="1169">
        <v>154.37799999999999</v>
      </c>
      <c r="EE40" s="1169">
        <v>158.02000000000001</v>
      </c>
      <c r="EF40" s="1169">
        <v>174.22900000000001</v>
      </c>
      <c r="EG40" s="1169">
        <v>170.506</v>
      </c>
      <c r="EH40" s="1169">
        <v>177.77199999999999</v>
      </c>
      <c r="EI40" s="1169">
        <v>182.69200000000001</v>
      </c>
      <c r="EJ40" s="1169">
        <v>173.33</v>
      </c>
      <c r="EK40" s="1169">
        <v>177.28200000000001</v>
      </c>
      <c r="EL40" s="1169">
        <v>183.90799999999999</v>
      </c>
      <c r="EM40" s="1169">
        <v>185.81800000000001</v>
      </c>
      <c r="EN40" s="1169">
        <v>179.68299999999999</v>
      </c>
      <c r="EO40" s="1169">
        <v>182.94399999999999</v>
      </c>
      <c r="EP40" s="1169">
        <v>175.95599999999999</v>
      </c>
      <c r="EQ40" s="1169">
        <v>176.53</v>
      </c>
      <c r="ER40" s="1169">
        <v>186.733</v>
      </c>
      <c r="ES40" s="1169">
        <v>177.65899999999999</v>
      </c>
      <c r="ET40" s="1169">
        <v>200.21799999999999</v>
      </c>
      <c r="EU40" s="1169">
        <v>190.602</v>
      </c>
      <c r="EV40" s="1169">
        <v>194.11099999999999</v>
      </c>
      <c r="EW40" s="1169">
        <v>196.02799999999999</v>
      </c>
      <c r="EX40" s="1169">
        <v>200.29400000000001</v>
      </c>
      <c r="EY40" s="1169">
        <v>203.79400000000001</v>
      </c>
      <c r="EZ40" s="1169">
        <v>205.059</v>
      </c>
      <c r="FA40" s="1169">
        <v>208.505</v>
      </c>
      <c r="FB40" s="1169">
        <v>256.94400000000002</v>
      </c>
      <c r="FC40" s="1169">
        <v>274.66399999999999</v>
      </c>
      <c r="FD40" s="1169">
        <v>263.92399999999998</v>
      </c>
      <c r="FE40" s="1169">
        <v>261.94400000000002</v>
      </c>
      <c r="FF40" s="1169">
        <v>271.84399999999999</v>
      </c>
      <c r="FG40" s="1169">
        <v>272.45600000000002</v>
      </c>
      <c r="FH40" s="1169">
        <v>283.69099999999997</v>
      </c>
      <c r="FI40" s="1169">
        <v>297.60899999999998</v>
      </c>
      <c r="FJ40" s="1169">
        <v>282.44499999999999</v>
      </c>
      <c r="FK40" s="1169">
        <v>277.19600000000003</v>
      </c>
      <c r="FL40" s="1169">
        <v>237.739</v>
      </c>
      <c r="FM40" s="1169">
        <v>239.291</v>
      </c>
      <c r="FN40" s="1169">
        <v>246.24799999999999</v>
      </c>
      <c r="FO40" s="1169">
        <v>262.32400000000001</v>
      </c>
      <c r="FP40" s="1169">
        <v>250.54</v>
      </c>
      <c r="FQ40" s="1169">
        <v>259.56200000000001</v>
      </c>
      <c r="FR40" s="1169">
        <v>258.45</v>
      </c>
      <c r="FS40" s="1169">
        <v>270.887</v>
      </c>
      <c r="FT40" s="1169">
        <v>269.279</v>
      </c>
      <c r="FU40" s="1169">
        <v>269.98200000000003</v>
      </c>
      <c r="FV40" s="1169">
        <v>291.58999999999997</v>
      </c>
      <c r="FW40" s="1169">
        <v>307.77499999999998</v>
      </c>
      <c r="FX40" s="1169">
        <v>332.4</v>
      </c>
      <c r="FY40" s="1169">
        <v>335.61099999999999</v>
      </c>
      <c r="FZ40" s="1169">
        <v>352.18799999999999</v>
      </c>
      <c r="GA40" s="1169">
        <v>353.44200000000001</v>
      </c>
      <c r="GB40" s="1169">
        <v>352.90899999999999</v>
      </c>
      <c r="GC40" s="1169">
        <v>366.274</v>
      </c>
      <c r="GD40" s="1169">
        <v>360.221</v>
      </c>
      <c r="GE40" s="1169">
        <v>363.84399999999999</v>
      </c>
      <c r="GF40" s="1169">
        <v>377.96699999999998</v>
      </c>
      <c r="GG40" s="1169">
        <v>388.17599999999999</v>
      </c>
      <c r="GH40" s="1169">
        <v>377.15800000000002</v>
      </c>
      <c r="GI40" s="1169">
        <v>351.78300000000002</v>
      </c>
      <c r="GJ40" s="1169">
        <v>376.51499999999999</v>
      </c>
      <c r="GK40" s="1169">
        <v>383.63</v>
      </c>
      <c r="GL40" s="1169">
        <v>391.815</v>
      </c>
      <c r="GM40" s="1169">
        <v>383.23700000000002</v>
      </c>
      <c r="GN40" s="1169">
        <v>392.27300000000002</v>
      </c>
      <c r="GO40" s="1169">
        <v>390.86599999999999</v>
      </c>
      <c r="GP40" s="1169">
        <v>408.75599999999997</v>
      </c>
      <c r="GQ40" s="1169">
        <v>413.34399999999999</v>
      </c>
      <c r="GR40" s="1169">
        <v>418.529</v>
      </c>
      <c r="GS40" s="1169">
        <v>413.80599999999998</v>
      </c>
      <c r="GT40" s="1169">
        <v>428.11799999999999</v>
      </c>
      <c r="GU40" s="1169">
        <v>502.49</v>
      </c>
      <c r="GV40" s="1169">
        <v>481.71699999999998</v>
      </c>
      <c r="GW40" s="1169">
        <v>507.83699999999999</v>
      </c>
      <c r="GX40" s="1169">
        <v>511.34500000000003</v>
      </c>
      <c r="GY40" s="1169">
        <v>520.72900000000004</v>
      </c>
      <c r="GZ40" s="1169">
        <v>530.82100000000003</v>
      </c>
      <c r="HA40" s="1169">
        <v>541.83299999999997</v>
      </c>
    </row>
    <row r="41" spans="1:209" x14ac:dyDescent="0.35">
      <c r="A41" s="1169" t="s">
        <v>458</v>
      </c>
      <c r="B41" s="1169">
        <v>5.5759999999999996</v>
      </c>
      <c r="C41" s="1169">
        <v>5.2279999999999998</v>
      </c>
      <c r="D41" s="1169">
        <v>4.8159999999999998</v>
      </c>
      <c r="E41" s="1169">
        <v>4.9000000000000004</v>
      </c>
      <c r="F41" s="1169">
        <v>5.4640000000000004</v>
      </c>
      <c r="G41" s="1169">
        <v>6.3120000000000003</v>
      </c>
      <c r="H41" s="1169">
        <v>5.7560000000000002</v>
      </c>
      <c r="I41" s="1169">
        <v>5.6440000000000001</v>
      </c>
      <c r="J41" s="1169">
        <v>5.6680000000000001</v>
      </c>
      <c r="K41" s="1169">
        <v>5.2160000000000002</v>
      </c>
      <c r="L41" s="1169">
        <v>6.7240000000000002</v>
      </c>
      <c r="M41" s="1169">
        <v>5.7</v>
      </c>
      <c r="N41" s="1169">
        <v>5.74</v>
      </c>
      <c r="O41" s="1169">
        <v>6.2080000000000002</v>
      </c>
      <c r="P41" s="1169">
        <v>5.3440000000000003</v>
      </c>
      <c r="Q41" s="1169">
        <v>5.92</v>
      </c>
      <c r="R41" s="1169">
        <v>7.76</v>
      </c>
      <c r="S41" s="1169">
        <v>8.5719999999999992</v>
      </c>
      <c r="T41" s="1169">
        <v>6.4960000000000004</v>
      </c>
      <c r="U41" s="1169">
        <v>7.84</v>
      </c>
      <c r="V41" s="1169">
        <v>8.6519999999999992</v>
      </c>
      <c r="W41" s="1169">
        <v>7.8040000000000003</v>
      </c>
      <c r="X41" s="1169">
        <v>10.772</v>
      </c>
      <c r="Y41" s="1169">
        <v>10.423999999999999</v>
      </c>
      <c r="Z41" s="1169">
        <v>10.012</v>
      </c>
      <c r="AA41" s="1169">
        <v>9.76</v>
      </c>
      <c r="AB41" s="1169">
        <v>10.592000000000001</v>
      </c>
      <c r="AC41" s="1169">
        <v>11.108000000000001</v>
      </c>
      <c r="AD41" s="1169">
        <v>10.715999999999999</v>
      </c>
      <c r="AE41" s="1169">
        <v>10.651999999999999</v>
      </c>
      <c r="AF41" s="1169">
        <v>11.804</v>
      </c>
      <c r="AG41" s="1169">
        <v>10.7</v>
      </c>
      <c r="AH41" s="1169">
        <v>10.968</v>
      </c>
      <c r="AI41" s="1169">
        <v>11.528</v>
      </c>
      <c r="AJ41" s="1169">
        <v>11.907999999999999</v>
      </c>
      <c r="AK41" s="1169">
        <v>12.528</v>
      </c>
      <c r="AL41" s="1169">
        <v>13.592000000000001</v>
      </c>
      <c r="AM41" s="1169">
        <v>13.048</v>
      </c>
      <c r="AN41" s="1169">
        <v>14.292</v>
      </c>
      <c r="AO41" s="1169">
        <v>15.752000000000001</v>
      </c>
      <c r="AP41" s="1169">
        <v>16.260000000000002</v>
      </c>
      <c r="AQ41" s="1169">
        <v>16.536000000000001</v>
      </c>
      <c r="AR41" s="1169">
        <v>15.916</v>
      </c>
      <c r="AS41" s="1169">
        <v>16.628</v>
      </c>
      <c r="AT41" s="1169">
        <v>16.091999999999999</v>
      </c>
      <c r="AU41" s="1169">
        <v>15.715999999999999</v>
      </c>
      <c r="AV41" s="1169">
        <v>14.827999999999999</v>
      </c>
      <c r="AW41" s="1169">
        <v>15.012</v>
      </c>
      <c r="AX41" s="1169">
        <v>13.852</v>
      </c>
      <c r="AY41" s="1169">
        <v>14.552</v>
      </c>
      <c r="AZ41" s="1169">
        <v>14.544</v>
      </c>
      <c r="BA41" s="1169">
        <v>14.484</v>
      </c>
      <c r="BB41" s="1169">
        <v>15.9</v>
      </c>
      <c r="BC41" s="1169">
        <v>14.2</v>
      </c>
      <c r="BD41" s="1169">
        <v>15.904</v>
      </c>
      <c r="BE41" s="1169">
        <v>15.768000000000001</v>
      </c>
      <c r="BF41" s="1169">
        <v>16.556000000000001</v>
      </c>
      <c r="BG41" s="1169">
        <v>17.236000000000001</v>
      </c>
      <c r="BH41" s="1169">
        <v>18.091999999999999</v>
      </c>
      <c r="BI41" s="1169">
        <v>18.824000000000002</v>
      </c>
      <c r="BJ41" s="1169">
        <v>17.044</v>
      </c>
      <c r="BK41" s="1169">
        <v>19.408000000000001</v>
      </c>
      <c r="BL41" s="1169">
        <v>20.036000000000001</v>
      </c>
      <c r="BM41" s="1169">
        <v>21.184000000000001</v>
      </c>
      <c r="BN41" s="1169">
        <v>19.72</v>
      </c>
      <c r="BO41" s="1169">
        <v>20.556000000000001</v>
      </c>
      <c r="BP41" s="1169">
        <v>21.283999999999999</v>
      </c>
      <c r="BQ41" s="1169">
        <v>18.32</v>
      </c>
      <c r="BR41" s="1169">
        <v>18.760000000000002</v>
      </c>
      <c r="BS41" s="1169">
        <v>19.559999999999999</v>
      </c>
      <c r="BT41" s="1169">
        <v>18.827999999999999</v>
      </c>
      <c r="BU41" s="1169">
        <v>18.696000000000002</v>
      </c>
      <c r="BV41" s="1169">
        <v>18.972000000000001</v>
      </c>
      <c r="BW41" s="1169">
        <v>19.835999999999999</v>
      </c>
      <c r="BX41" s="1169">
        <v>20.388000000000002</v>
      </c>
      <c r="BY41" s="1169">
        <v>19.283999999999999</v>
      </c>
      <c r="BZ41" s="1169">
        <v>20.192</v>
      </c>
      <c r="CA41" s="1169">
        <v>19.936</v>
      </c>
      <c r="CB41" s="1169">
        <v>18.832000000000001</v>
      </c>
      <c r="CC41" s="1169">
        <v>20.492000000000001</v>
      </c>
      <c r="CD41" s="1169">
        <v>21.448</v>
      </c>
      <c r="CE41" s="1169">
        <v>20.184000000000001</v>
      </c>
      <c r="CF41" s="1169">
        <v>20.507999999999999</v>
      </c>
      <c r="CG41" s="1169">
        <v>21.187999999999999</v>
      </c>
      <c r="CH41" s="1169">
        <v>21.552</v>
      </c>
      <c r="CI41" s="1169">
        <v>21.611999999999998</v>
      </c>
      <c r="CJ41" s="1169">
        <v>21.056000000000001</v>
      </c>
      <c r="CK41" s="1169">
        <v>20.611999999999998</v>
      </c>
      <c r="CL41" s="1169">
        <v>21.388000000000002</v>
      </c>
      <c r="CM41" s="1169">
        <v>22.8</v>
      </c>
      <c r="CN41" s="1169">
        <v>22.288</v>
      </c>
      <c r="CO41" s="1169">
        <v>23.064</v>
      </c>
      <c r="CP41" s="1169">
        <v>21.783999999999999</v>
      </c>
      <c r="CQ41" s="1169">
        <v>22.472000000000001</v>
      </c>
      <c r="CR41" s="1169">
        <v>24.884</v>
      </c>
      <c r="CS41" s="1169">
        <v>24.763999999999999</v>
      </c>
      <c r="CT41" s="1169">
        <v>23.632000000000001</v>
      </c>
      <c r="CU41" s="1169">
        <v>23.952000000000002</v>
      </c>
      <c r="CV41" s="1169">
        <v>25.152000000000001</v>
      </c>
      <c r="CW41" s="1169">
        <v>26.475999999999999</v>
      </c>
      <c r="CX41" s="1169">
        <v>27.744</v>
      </c>
      <c r="CY41" s="1169">
        <v>28.027999999999999</v>
      </c>
      <c r="CZ41" s="1169">
        <v>26.448</v>
      </c>
      <c r="DA41" s="1169">
        <v>26.815999999999999</v>
      </c>
      <c r="DB41" s="1169">
        <v>29.135999999999999</v>
      </c>
      <c r="DC41" s="1169">
        <v>27.904</v>
      </c>
      <c r="DD41" s="1169">
        <v>27.116</v>
      </c>
      <c r="DE41" s="1169">
        <v>28.72</v>
      </c>
      <c r="DF41" s="1169">
        <v>28.4</v>
      </c>
      <c r="DG41" s="1169">
        <v>29.015999999999998</v>
      </c>
      <c r="DH41" s="1169">
        <v>29.084</v>
      </c>
      <c r="DI41" s="1169">
        <v>28.744</v>
      </c>
      <c r="DJ41" s="1169">
        <v>27.052</v>
      </c>
      <c r="DK41" s="1169">
        <v>27.335999999999999</v>
      </c>
      <c r="DL41" s="1169">
        <v>29.103999999999999</v>
      </c>
      <c r="DM41" s="1169">
        <v>31.231999999999999</v>
      </c>
      <c r="DN41" s="1169">
        <v>27.78</v>
      </c>
      <c r="DO41" s="1169">
        <v>32.192</v>
      </c>
      <c r="DP41" s="1169">
        <v>34.264000000000003</v>
      </c>
      <c r="DQ41" s="1169">
        <v>34.124000000000002</v>
      </c>
      <c r="DR41" s="1169">
        <v>35.572000000000003</v>
      </c>
      <c r="DS41" s="1169">
        <v>36.04</v>
      </c>
      <c r="DT41" s="1169">
        <v>35.728000000000002</v>
      </c>
      <c r="DU41" s="1169">
        <v>39.26</v>
      </c>
      <c r="DV41" s="1169">
        <v>40.316000000000003</v>
      </c>
      <c r="DW41" s="1169">
        <v>43.008000000000003</v>
      </c>
      <c r="DX41" s="1169">
        <v>42.667999999999999</v>
      </c>
      <c r="DY41" s="1169">
        <v>43.008000000000003</v>
      </c>
      <c r="DZ41" s="1169">
        <v>50.609000000000002</v>
      </c>
      <c r="EA41" s="1169">
        <v>45.405000000000001</v>
      </c>
      <c r="EB41" s="1169">
        <v>41.341999999999999</v>
      </c>
      <c r="EC41" s="1169">
        <v>44.814</v>
      </c>
      <c r="ED41" s="1169">
        <v>43.170999999999999</v>
      </c>
      <c r="EE41" s="1169">
        <v>48.719000000000001</v>
      </c>
      <c r="EF41" s="1169">
        <v>46.442999999999998</v>
      </c>
      <c r="EG41" s="1169">
        <v>45.506999999999998</v>
      </c>
      <c r="EH41" s="1169">
        <v>47.600999999999999</v>
      </c>
      <c r="EI41" s="1169">
        <v>44.213000000000001</v>
      </c>
      <c r="EJ41" s="1169">
        <v>50.412999999999997</v>
      </c>
      <c r="EK41" s="1169">
        <v>44.947000000000003</v>
      </c>
      <c r="EL41" s="1169">
        <v>49.942999999999998</v>
      </c>
      <c r="EM41" s="1169">
        <v>51.171999999999997</v>
      </c>
      <c r="EN41" s="1169">
        <v>47.383000000000003</v>
      </c>
      <c r="EO41" s="1169">
        <v>49.225000000000001</v>
      </c>
      <c r="EP41" s="1169">
        <v>53.557000000000002</v>
      </c>
      <c r="EQ41" s="1169">
        <v>53.237000000000002</v>
      </c>
      <c r="ER41" s="1169">
        <v>52.164999999999999</v>
      </c>
      <c r="ES41" s="1169">
        <v>51.704000000000001</v>
      </c>
      <c r="ET41" s="1169">
        <v>50.936999999999998</v>
      </c>
      <c r="EU41" s="1169">
        <v>56.121000000000002</v>
      </c>
      <c r="EV41" s="1169">
        <v>55.527999999999999</v>
      </c>
      <c r="EW41" s="1169">
        <v>54.619</v>
      </c>
      <c r="EX41" s="1169">
        <v>56.613</v>
      </c>
      <c r="EY41" s="1169">
        <v>58.841999999999999</v>
      </c>
      <c r="EZ41" s="1169">
        <v>56.868000000000002</v>
      </c>
      <c r="FA41" s="1169">
        <v>58.177</v>
      </c>
      <c r="FB41" s="1169">
        <v>58.334000000000003</v>
      </c>
      <c r="FC41" s="1169">
        <v>59.643000000000001</v>
      </c>
      <c r="FD41" s="1169">
        <v>67.126000000000005</v>
      </c>
      <c r="FE41" s="1169">
        <v>68.543000000000006</v>
      </c>
      <c r="FF41" s="1169">
        <v>64.721000000000004</v>
      </c>
      <c r="FG41" s="1169">
        <v>73.736999999999995</v>
      </c>
      <c r="FH41" s="1169">
        <v>74.820999999999998</v>
      </c>
      <c r="FI41" s="1169">
        <v>75.022000000000006</v>
      </c>
      <c r="FJ41" s="1169">
        <v>70.503</v>
      </c>
      <c r="FK41" s="1169">
        <v>69.144999999999996</v>
      </c>
      <c r="FL41" s="1169">
        <v>65.915999999999997</v>
      </c>
      <c r="FM41" s="1169">
        <v>70.531000000000006</v>
      </c>
      <c r="FN41" s="1169">
        <v>67.106999999999999</v>
      </c>
      <c r="FO41" s="1169">
        <v>67.67</v>
      </c>
      <c r="FP41" s="1169">
        <v>65.88</v>
      </c>
      <c r="FQ41" s="1169">
        <v>65.507000000000005</v>
      </c>
      <c r="FR41" s="1169">
        <v>67.563999999999993</v>
      </c>
      <c r="FS41" s="1169">
        <v>63.978999999999999</v>
      </c>
      <c r="FT41" s="1169">
        <v>68.013999999999996</v>
      </c>
      <c r="FU41" s="1169">
        <v>65.742000000000004</v>
      </c>
      <c r="FV41" s="1169">
        <v>65.275999999999996</v>
      </c>
      <c r="FW41" s="1169">
        <v>67.164000000000001</v>
      </c>
      <c r="FX41" s="1169">
        <v>68.84</v>
      </c>
      <c r="FY41" s="1169">
        <v>61.402999999999999</v>
      </c>
      <c r="FZ41" s="1169">
        <v>63.533999999999999</v>
      </c>
      <c r="GA41" s="1169">
        <v>62.906999999999996</v>
      </c>
      <c r="GB41" s="1169">
        <v>66.760000000000005</v>
      </c>
      <c r="GC41" s="1169">
        <v>64.462000000000003</v>
      </c>
      <c r="GD41" s="1169">
        <v>66.301000000000002</v>
      </c>
      <c r="GE41" s="1169">
        <v>67.191000000000003</v>
      </c>
      <c r="GF41" s="1169">
        <v>68.578000000000003</v>
      </c>
      <c r="GG41" s="1169">
        <v>66.980999999999995</v>
      </c>
      <c r="GH41" s="1169">
        <v>66.664000000000001</v>
      </c>
      <c r="GI41" s="1169">
        <v>68.963999999999999</v>
      </c>
      <c r="GJ41" s="1169">
        <v>64.058000000000007</v>
      </c>
      <c r="GK41" s="1169">
        <v>64.983000000000004</v>
      </c>
      <c r="GL41" s="1169">
        <v>64.022000000000006</v>
      </c>
      <c r="GM41" s="1169">
        <v>65.007999999999996</v>
      </c>
      <c r="GN41" s="1169">
        <v>69.409000000000006</v>
      </c>
      <c r="GO41" s="1169">
        <v>64.796999999999997</v>
      </c>
      <c r="GP41" s="1169">
        <v>66.022000000000006</v>
      </c>
      <c r="GQ41" s="1169">
        <v>66.850999999999999</v>
      </c>
      <c r="GR41" s="1169">
        <v>69.611000000000004</v>
      </c>
      <c r="GS41" s="1169">
        <v>70.894000000000005</v>
      </c>
      <c r="GT41" s="1169">
        <v>72.774000000000001</v>
      </c>
      <c r="GU41" s="1169">
        <v>75.275000000000006</v>
      </c>
      <c r="GV41" s="1169">
        <v>78.766999999999996</v>
      </c>
      <c r="GW41" s="1169">
        <v>76.995000000000005</v>
      </c>
      <c r="GX41" s="1169">
        <v>75.03</v>
      </c>
      <c r="GY41" s="1169">
        <v>77.703999999999994</v>
      </c>
      <c r="GZ41" s="1169">
        <v>72.766999999999996</v>
      </c>
      <c r="HA41" s="1169">
        <v>74.768000000000001</v>
      </c>
    </row>
    <row r="42" spans="1:209" x14ac:dyDescent="0.35">
      <c r="A42" s="1169" t="s">
        <v>867</v>
      </c>
      <c r="B42" s="1169">
        <v>4.7</v>
      </c>
      <c r="C42" s="1169">
        <v>4.8</v>
      </c>
      <c r="D42" s="1169">
        <v>4.7</v>
      </c>
      <c r="E42" s="1169">
        <v>4.8</v>
      </c>
      <c r="F42" s="1169">
        <v>4.7</v>
      </c>
      <c r="G42" s="1169">
        <v>4.8</v>
      </c>
      <c r="H42" s="1169">
        <v>4.5</v>
      </c>
      <c r="I42" s="1169">
        <v>4.5999999999999996</v>
      </c>
      <c r="J42" s="1169">
        <v>6.1</v>
      </c>
      <c r="K42" s="1169">
        <v>6.2</v>
      </c>
      <c r="L42" s="1169">
        <v>7.1</v>
      </c>
      <c r="M42" s="1169">
        <v>7</v>
      </c>
      <c r="N42" s="1169">
        <v>5.9</v>
      </c>
      <c r="O42" s="1169">
        <v>5.6</v>
      </c>
      <c r="P42" s="1169">
        <v>4.5999999999999996</v>
      </c>
      <c r="Q42" s="1169">
        <v>4.5</v>
      </c>
      <c r="R42" s="1169">
        <v>3.5</v>
      </c>
      <c r="S42" s="1169">
        <v>2.8</v>
      </c>
      <c r="T42" s="1169">
        <v>3.1</v>
      </c>
      <c r="U42" s="1169">
        <v>3.5</v>
      </c>
      <c r="V42" s="1169">
        <v>4.0999999999999996</v>
      </c>
      <c r="W42" s="1169">
        <v>4.0999999999999996</v>
      </c>
      <c r="X42" s="1169">
        <v>4.4000000000000004</v>
      </c>
      <c r="Y42" s="1169">
        <v>4.8</v>
      </c>
      <c r="Z42" s="1169">
        <v>5</v>
      </c>
      <c r="AA42" s="1169">
        <v>4.7</v>
      </c>
      <c r="AB42" s="1169">
        <v>4.9000000000000004</v>
      </c>
      <c r="AC42" s="1169">
        <v>5.3</v>
      </c>
      <c r="AD42" s="1169">
        <v>5.6</v>
      </c>
      <c r="AE42" s="1169">
        <v>5.7</v>
      </c>
      <c r="AF42" s="1169">
        <v>6.2</v>
      </c>
      <c r="AG42" s="1169">
        <v>10.1</v>
      </c>
      <c r="AH42" s="1169">
        <v>8.5</v>
      </c>
      <c r="AI42" s="1169">
        <v>8.1</v>
      </c>
      <c r="AJ42" s="1169">
        <v>8</v>
      </c>
      <c r="AK42" s="1169">
        <v>10.1</v>
      </c>
      <c r="AL42" s="1169">
        <v>8.1</v>
      </c>
      <c r="AM42" s="1169">
        <v>8.5</v>
      </c>
      <c r="AN42" s="1169">
        <v>7.8</v>
      </c>
      <c r="AO42" s="1169">
        <v>8.5</v>
      </c>
      <c r="AP42" s="1169">
        <v>8.9</v>
      </c>
      <c r="AQ42" s="1169">
        <v>9.3000000000000007</v>
      </c>
      <c r="AR42" s="1169">
        <v>9.6999999999999993</v>
      </c>
      <c r="AS42" s="1169">
        <v>9.9</v>
      </c>
      <c r="AT42" s="1169">
        <v>10.199999999999999</v>
      </c>
      <c r="AU42" s="1169">
        <v>10.3</v>
      </c>
      <c r="AV42" s="1169">
        <v>10.7</v>
      </c>
      <c r="AW42" s="1169">
        <v>13.1</v>
      </c>
      <c r="AX42" s="1169">
        <v>13.6</v>
      </c>
      <c r="AY42" s="1169">
        <v>13.2</v>
      </c>
      <c r="AZ42" s="1169">
        <v>12.6</v>
      </c>
      <c r="BA42" s="1169">
        <v>19</v>
      </c>
      <c r="BB42" s="1169">
        <v>19.399999999999999</v>
      </c>
      <c r="BC42" s="1169">
        <v>21.1</v>
      </c>
      <c r="BD42" s="1169">
        <v>21.8</v>
      </c>
      <c r="BE42" s="1169">
        <v>21.1</v>
      </c>
      <c r="BF42" s="1169">
        <v>20.8</v>
      </c>
      <c r="BG42" s="1169">
        <v>20.6</v>
      </c>
      <c r="BH42" s="1169">
        <v>20.5</v>
      </c>
      <c r="BI42" s="1169">
        <v>20.8</v>
      </c>
      <c r="BJ42" s="1169">
        <v>20.8</v>
      </c>
      <c r="BK42" s="1169">
        <v>20.7</v>
      </c>
      <c r="BL42" s="1169">
        <v>21</v>
      </c>
      <c r="BM42" s="1169">
        <v>21.7</v>
      </c>
      <c r="BN42" s="1169">
        <v>22.8</v>
      </c>
      <c r="BO42" s="1169">
        <v>23.9</v>
      </c>
      <c r="BP42" s="1169">
        <v>25.1</v>
      </c>
      <c r="BQ42" s="1169">
        <v>26.5</v>
      </c>
      <c r="BR42" s="1169">
        <v>28</v>
      </c>
      <c r="BS42" s="1169">
        <v>30.2</v>
      </c>
      <c r="BT42" s="1169">
        <v>31</v>
      </c>
      <c r="BU42" s="1169">
        <v>30.8</v>
      </c>
      <c r="BV42" s="1169">
        <v>30</v>
      </c>
      <c r="BW42" s="1169">
        <v>29.5</v>
      </c>
      <c r="BX42" s="1169">
        <v>28.9</v>
      </c>
      <c r="BY42" s="1169">
        <v>28.2</v>
      </c>
      <c r="BZ42" s="1169">
        <v>27.6</v>
      </c>
      <c r="CA42" s="1169">
        <v>27</v>
      </c>
      <c r="CB42" s="1169">
        <v>26.7</v>
      </c>
      <c r="CC42" s="1169">
        <v>26.9</v>
      </c>
      <c r="CD42" s="1169">
        <v>26.8</v>
      </c>
      <c r="CE42" s="1169">
        <v>26.6</v>
      </c>
      <c r="CF42" s="1169">
        <v>26.6</v>
      </c>
      <c r="CG42" s="1169">
        <v>26.6</v>
      </c>
      <c r="CH42" s="1169">
        <v>26.7</v>
      </c>
      <c r="CI42" s="1169">
        <v>26.8</v>
      </c>
      <c r="CJ42" s="1169">
        <v>27.1</v>
      </c>
      <c r="CK42" s="1169">
        <v>27.7</v>
      </c>
      <c r="CL42" s="1169">
        <v>28.2</v>
      </c>
      <c r="CM42" s="1169">
        <v>28.8</v>
      </c>
      <c r="CN42" s="1169">
        <v>30</v>
      </c>
      <c r="CO42" s="1169">
        <v>31.8</v>
      </c>
      <c r="CP42" s="1169">
        <v>35.1</v>
      </c>
      <c r="CQ42" s="1169">
        <v>37.200000000000003</v>
      </c>
      <c r="CR42" s="1169">
        <v>37.299999999999997</v>
      </c>
      <c r="CS42" s="1169">
        <v>35.700000000000003</v>
      </c>
      <c r="CT42" s="1169">
        <v>33.200000000000003</v>
      </c>
      <c r="CU42" s="1169">
        <v>32</v>
      </c>
      <c r="CV42" s="1169">
        <v>31.6</v>
      </c>
      <c r="CW42" s="1169">
        <v>31.9</v>
      </c>
      <c r="CX42" s="1169">
        <v>33.6</v>
      </c>
      <c r="CY42" s="1169">
        <v>34.299999999999997</v>
      </c>
      <c r="CZ42" s="1169">
        <v>34.799999999999997</v>
      </c>
      <c r="DA42" s="1169">
        <v>35.200000000000003</v>
      </c>
      <c r="DB42" s="1169">
        <v>35.200000000000003</v>
      </c>
      <c r="DC42" s="1169">
        <v>35.1</v>
      </c>
      <c r="DD42" s="1169">
        <v>34.9</v>
      </c>
      <c r="DE42" s="1169">
        <v>34.4</v>
      </c>
      <c r="DF42" s="1169">
        <v>34</v>
      </c>
      <c r="DG42" s="1169">
        <v>33.200000000000003</v>
      </c>
      <c r="DH42" s="1169">
        <v>33</v>
      </c>
      <c r="DI42" s="1169">
        <v>33.299999999999997</v>
      </c>
      <c r="DJ42" s="1169">
        <v>33.4</v>
      </c>
      <c r="DK42" s="1169">
        <v>34.6</v>
      </c>
      <c r="DL42" s="1169">
        <v>36.299999999999997</v>
      </c>
      <c r="DM42" s="1169">
        <v>39.4</v>
      </c>
      <c r="DN42" s="1169">
        <v>42</v>
      </c>
      <c r="DO42" s="1169">
        <v>44.6</v>
      </c>
      <c r="DP42" s="1169">
        <v>46</v>
      </c>
      <c r="DQ42" s="1169">
        <v>46.5</v>
      </c>
      <c r="DR42" s="1169">
        <v>44.6</v>
      </c>
      <c r="DS42" s="1169">
        <v>45</v>
      </c>
      <c r="DT42" s="1169">
        <v>45.3</v>
      </c>
      <c r="DU42" s="1169">
        <v>46.4</v>
      </c>
      <c r="DV42" s="1169">
        <v>47.2</v>
      </c>
      <c r="DW42" s="1169">
        <v>47.6</v>
      </c>
      <c r="DX42" s="1169">
        <v>66.3</v>
      </c>
      <c r="DY42" s="1169">
        <v>43.1</v>
      </c>
      <c r="DZ42" s="1169">
        <v>40.700000000000003</v>
      </c>
      <c r="EA42" s="1169">
        <v>39.200000000000003</v>
      </c>
      <c r="EB42" s="1169">
        <v>39.700000000000003</v>
      </c>
      <c r="EC42" s="1169">
        <v>42.3</v>
      </c>
      <c r="ED42" s="1169">
        <v>47</v>
      </c>
      <c r="EE42" s="1169">
        <v>56.8</v>
      </c>
      <c r="EF42" s="1169">
        <v>46.9</v>
      </c>
      <c r="EG42" s="1169">
        <v>45.1</v>
      </c>
      <c r="EH42" s="1169">
        <v>43.9</v>
      </c>
      <c r="EI42" s="1169">
        <v>43.3</v>
      </c>
      <c r="EJ42" s="1169">
        <v>45</v>
      </c>
      <c r="EK42" s="1169">
        <v>51.9</v>
      </c>
      <c r="EL42" s="1169">
        <v>56.4</v>
      </c>
      <c r="EM42" s="1169">
        <v>60.3</v>
      </c>
      <c r="EN42" s="1169">
        <v>61.6</v>
      </c>
      <c r="EO42" s="1169">
        <v>63.9</v>
      </c>
      <c r="EP42" s="1169">
        <v>55.4</v>
      </c>
      <c r="EQ42" s="1169">
        <v>51.2</v>
      </c>
      <c r="ER42" s="1169">
        <v>49.5</v>
      </c>
      <c r="ES42" s="1169">
        <v>48.3</v>
      </c>
      <c r="ET42" s="1169">
        <v>47.6</v>
      </c>
      <c r="EU42" s="1169">
        <v>47.5</v>
      </c>
      <c r="EV42" s="1169">
        <v>47.2</v>
      </c>
      <c r="EW42" s="1169">
        <v>47.5</v>
      </c>
      <c r="EX42" s="1169">
        <v>48</v>
      </c>
      <c r="EY42" s="1169">
        <v>48.7</v>
      </c>
      <c r="EZ42" s="1169">
        <v>49.8</v>
      </c>
      <c r="FA42" s="1169">
        <v>51.8</v>
      </c>
      <c r="FB42" s="1169">
        <v>53.4</v>
      </c>
      <c r="FC42" s="1169">
        <v>54.3</v>
      </c>
      <c r="FD42" s="1169">
        <v>65.900000000000006</v>
      </c>
      <c r="FE42" s="1169">
        <v>54.3</v>
      </c>
      <c r="FF42" s="1169">
        <v>53.2</v>
      </c>
      <c r="FG42" s="1169">
        <v>53.4</v>
      </c>
      <c r="FH42" s="1169">
        <v>54.4</v>
      </c>
      <c r="FI42" s="1169">
        <v>56</v>
      </c>
      <c r="FJ42" s="1169">
        <v>58</v>
      </c>
      <c r="FK42" s="1169">
        <v>59.5</v>
      </c>
      <c r="FL42" s="1169">
        <v>59.7</v>
      </c>
      <c r="FM42" s="1169">
        <v>60.6</v>
      </c>
      <c r="FN42" s="1169">
        <v>57.9</v>
      </c>
      <c r="FO42" s="1169">
        <v>57.6</v>
      </c>
      <c r="FP42" s="1169">
        <v>55.8</v>
      </c>
      <c r="FQ42" s="1169">
        <v>58.9</v>
      </c>
      <c r="FR42" s="1169">
        <v>58.9</v>
      </c>
      <c r="FS42" s="1169">
        <v>59.6</v>
      </c>
      <c r="FT42" s="1169">
        <v>59.5</v>
      </c>
      <c r="FU42" s="1169">
        <v>58.9</v>
      </c>
      <c r="FV42" s="1169">
        <v>58.2</v>
      </c>
      <c r="FW42" s="1169">
        <v>58</v>
      </c>
      <c r="FX42" s="1169">
        <v>57.7</v>
      </c>
      <c r="FY42" s="1169">
        <v>56.5</v>
      </c>
      <c r="FZ42" s="1169">
        <v>55.5</v>
      </c>
      <c r="GA42" s="1169">
        <v>55.9</v>
      </c>
      <c r="GB42" s="1169">
        <v>57.2</v>
      </c>
      <c r="GC42" s="1169">
        <v>58.1</v>
      </c>
      <c r="GD42" s="1169">
        <v>60.2</v>
      </c>
      <c r="GE42" s="1169">
        <v>61.8</v>
      </c>
      <c r="GF42" s="1169">
        <v>62.5</v>
      </c>
      <c r="GG42" s="1169">
        <v>60.4</v>
      </c>
      <c r="GH42" s="1169">
        <v>58.8</v>
      </c>
      <c r="GI42" s="1169">
        <v>57.5</v>
      </c>
      <c r="GJ42" s="1169">
        <v>61.4</v>
      </c>
      <c r="GK42" s="1169">
        <v>59.6</v>
      </c>
      <c r="GL42" s="1169">
        <v>58.1</v>
      </c>
      <c r="GM42" s="1169">
        <v>57.7</v>
      </c>
      <c r="GN42" s="1169">
        <v>57.3</v>
      </c>
      <c r="GO42" s="1169">
        <v>77.900000000000006</v>
      </c>
      <c r="GP42" s="1169">
        <v>68.400000000000006</v>
      </c>
      <c r="GQ42" s="1169">
        <v>58.2</v>
      </c>
      <c r="GR42" s="1169">
        <v>80.599999999999994</v>
      </c>
      <c r="GS42" s="1169">
        <v>82.2</v>
      </c>
      <c r="GT42" s="1169">
        <v>80.3</v>
      </c>
      <c r="GU42" s="1169">
        <v>1123.5999999999999</v>
      </c>
      <c r="GV42" s="1169">
        <v>1220.5</v>
      </c>
      <c r="GW42" s="1169">
        <v>618.6</v>
      </c>
      <c r="GX42" s="1169">
        <v>403.8</v>
      </c>
      <c r="GY42" s="1169">
        <v>697</v>
      </c>
      <c r="GZ42" s="1169">
        <v>554.5</v>
      </c>
      <c r="HA42" s="1169">
        <v>304.7</v>
      </c>
    </row>
    <row r="43" spans="1:209" x14ac:dyDescent="0.35">
      <c r="A43" s="1169" t="s">
        <v>868</v>
      </c>
      <c r="B43" s="1169">
        <v>0</v>
      </c>
      <c r="C43" s="1169">
        <v>0</v>
      </c>
      <c r="D43" s="1169">
        <v>0</v>
      </c>
      <c r="E43" s="1169">
        <v>0</v>
      </c>
      <c r="F43" s="1169">
        <v>0</v>
      </c>
      <c r="G43" s="1169">
        <v>0</v>
      </c>
      <c r="H43" s="1169">
        <v>0</v>
      </c>
      <c r="I43" s="1169">
        <v>0</v>
      </c>
      <c r="J43" s="1169">
        <v>0</v>
      </c>
      <c r="K43" s="1169">
        <v>0.1</v>
      </c>
      <c r="L43" s="1169">
        <v>0.1</v>
      </c>
      <c r="M43" s="1169">
        <v>0.1</v>
      </c>
      <c r="N43" s="1169">
        <v>0.1</v>
      </c>
      <c r="O43" s="1169">
        <v>0.1</v>
      </c>
      <c r="P43" s="1169">
        <v>0.1</v>
      </c>
      <c r="Q43" s="1169">
        <v>0.1</v>
      </c>
      <c r="R43" s="1169">
        <v>0.1</v>
      </c>
      <c r="S43" s="1169">
        <v>0.1</v>
      </c>
      <c r="T43" s="1169">
        <v>0.1</v>
      </c>
      <c r="U43" s="1169">
        <v>0.1</v>
      </c>
      <c r="V43" s="1169">
        <v>0.1</v>
      </c>
      <c r="W43" s="1169">
        <v>0.2</v>
      </c>
      <c r="X43" s="1169">
        <v>0.2</v>
      </c>
      <c r="Y43" s="1169">
        <v>0.2</v>
      </c>
      <c r="Z43" s="1169">
        <v>0.2</v>
      </c>
      <c r="AA43" s="1169">
        <v>0.2</v>
      </c>
      <c r="AB43" s="1169">
        <v>0.2</v>
      </c>
      <c r="AC43" s="1169">
        <v>0.2</v>
      </c>
      <c r="AD43" s="1169">
        <v>0.2</v>
      </c>
      <c r="AE43" s="1169">
        <v>0.2</v>
      </c>
      <c r="AF43" s="1169">
        <v>0.2</v>
      </c>
      <c r="AG43" s="1169">
        <v>0.2</v>
      </c>
      <c r="AH43" s="1169">
        <v>0.2</v>
      </c>
      <c r="AI43" s="1169">
        <v>0.2</v>
      </c>
      <c r="AJ43" s="1169">
        <v>0.2</v>
      </c>
      <c r="AK43" s="1169">
        <v>0.3</v>
      </c>
      <c r="AL43" s="1169">
        <v>0.3</v>
      </c>
      <c r="AM43" s="1169">
        <v>0.3</v>
      </c>
      <c r="AN43" s="1169">
        <v>0.3</v>
      </c>
      <c r="AO43" s="1169">
        <v>0.3</v>
      </c>
      <c r="AP43" s="1169">
        <v>0.3</v>
      </c>
      <c r="AQ43" s="1169">
        <v>0.3</v>
      </c>
      <c r="AR43" s="1169">
        <v>0.4</v>
      </c>
      <c r="AS43" s="1169">
        <v>0.4</v>
      </c>
      <c r="AT43" s="1169">
        <v>0.4</v>
      </c>
      <c r="AU43" s="1169">
        <v>0.4</v>
      </c>
      <c r="AV43" s="1169">
        <v>0.4</v>
      </c>
      <c r="AW43" s="1169">
        <v>0.4</v>
      </c>
      <c r="AX43" s="1169">
        <v>0.4</v>
      </c>
      <c r="AY43" s="1169">
        <v>0.5</v>
      </c>
      <c r="AZ43" s="1169">
        <v>0.5</v>
      </c>
      <c r="BA43" s="1169">
        <v>0.5</v>
      </c>
      <c r="BB43" s="1169">
        <v>0.5</v>
      </c>
      <c r="BC43" s="1169">
        <v>0.4</v>
      </c>
      <c r="BD43" s="1169">
        <v>0.4</v>
      </c>
      <c r="BE43" s="1169">
        <v>0.4</v>
      </c>
      <c r="BF43" s="1169">
        <v>0.4</v>
      </c>
      <c r="BG43" s="1169">
        <v>0.4</v>
      </c>
      <c r="BH43" s="1169">
        <v>0.4</v>
      </c>
      <c r="BI43" s="1169">
        <v>0.4</v>
      </c>
      <c r="BJ43" s="1169">
        <v>0.3</v>
      </c>
      <c r="BK43" s="1169">
        <v>0.3</v>
      </c>
      <c r="BL43" s="1169">
        <v>0.3</v>
      </c>
      <c r="BM43" s="1169">
        <v>0.3</v>
      </c>
      <c r="BN43" s="1169">
        <v>0.3</v>
      </c>
      <c r="BO43" s="1169">
        <v>0.3</v>
      </c>
      <c r="BP43" s="1169">
        <v>0.3</v>
      </c>
      <c r="BQ43" s="1169">
        <v>0.3</v>
      </c>
      <c r="BR43" s="1169">
        <v>0.3</v>
      </c>
      <c r="BS43" s="1169">
        <v>0.3</v>
      </c>
      <c r="BT43" s="1169">
        <v>0.3</v>
      </c>
      <c r="BU43" s="1169">
        <v>0.3</v>
      </c>
      <c r="BV43" s="1169">
        <v>0.3</v>
      </c>
      <c r="BW43" s="1169">
        <v>0.3</v>
      </c>
      <c r="BX43" s="1169">
        <v>0.4</v>
      </c>
      <c r="BY43" s="1169">
        <v>0.4</v>
      </c>
      <c r="BZ43" s="1169">
        <v>0.4</v>
      </c>
      <c r="CA43" s="1169">
        <v>0.4</v>
      </c>
      <c r="CB43" s="1169">
        <v>0.4</v>
      </c>
      <c r="CC43" s="1169">
        <v>0.4</v>
      </c>
      <c r="CD43" s="1169">
        <v>0.4</v>
      </c>
      <c r="CE43" s="1169">
        <v>0.4</v>
      </c>
      <c r="CF43" s="1169">
        <v>0.4</v>
      </c>
      <c r="CG43" s="1169">
        <v>0.4</v>
      </c>
      <c r="CH43" s="1169">
        <v>0.4</v>
      </c>
      <c r="CI43" s="1169">
        <v>0.4</v>
      </c>
      <c r="CJ43" s="1169">
        <v>0.4</v>
      </c>
      <c r="CK43" s="1169">
        <v>0.4</v>
      </c>
      <c r="CL43" s="1169">
        <v>0.4</v>
      </c>
      <c r="CM43" s="1169">
        <v>0.4</v>
      </c>
      <c r="CN43" s="1169">
        <v>0.4</v>
      </c>
      <c r="CO43" s="1169">
        <v>0.4</v>
      </c>
      <c r="CP43" s="1169">
        <v>0.4</v>
      </c>
      <c r="CQ43" s="1169">
        <v>0.4</v>
      </c>
      <c r="CR43" s="1169">
        <v>0.4</v>
      </c>
      <c r="CS43" s="1169">
        <v>0.4</v>
      </c>
      <c r="CT43" s="1169">
        <v>0.4</v>
      </c>
      <c r="CU43" s="1169">
        <v>0.3</v>
      </c>
      <c r="CV43" s="1169">
        <v>0.3</v>
      </c>
      <c r="CW43" s="1169">
        <v>0.3</v>
      </c>
      <c r="CX43" s="1169">
        <v>0.3</v>
      </c>
      <c r="CY43" s="1169">
        <v>0.3</v>
      </c>
      <c r="CZ43" s="1169">
        <v>0.3</v>
      </c>
      <c r="DA43" s="1169">
        <v>0.3</v>
      </c>
      <c r="DB43" s="1169">
        <v>0.3</v>
      </c>
      <c r="DC43" s="1169">
        <v>0.3</v>
      </c>
      <c r="DD43" s="1169">
        <v>0.3</v>
      </c>
      <c r="DE43" s="1169">
        <v>0.4</v>
      </c>
      <c r="DF43" s="1169">
        <v>0.4</v>
      </c>
      <c r="DG43" s="1169">
        <v>0.4</v>
      </c>
      <c r="DH43" s="1169">
        <v>0.4</v>
      </c>
      <c r="DI43" s="1169">
        <v>0.5</v>
      </c>
      <c r="DJ43" s="1169">
        <v>0.5</v>
      </c>
      <c r="DK43" s="1169">
        <v>0.5</v>
      </c>
      <c r="DL43" s="1169">
        <v>0.4</v>
      </c>
      <c r="DM43" s="1169">
        <v>0.4</v>
      </c>
      <c r="DN43" s="1169">
        <v>0.4</v>
      </c>
      <c r="DO43" s="1169">
        <v>0.4</v>
      </c>
      <c r="DP43" s="1169">
        <v>0.4</v>
      </c>
      <c r="DQ43" s="1169">
        <v>0.4</v>
      </c>
      <c r="DR43" s="1169">
        <v>0.5</v>
      </c>
      <c r="DS43" s="1169">
        <v>0.5</v>
      </c>
      <c r="DT43" s="1169">
        <v>0.6</v>
      </c>
      <c r="DU43" s="1169">
        <v>0.6</v>
      </c>
      <c r="DV43" s="1169">
        <v>8</v>
      </c>
      <c r="DW43" s="1169">
        <v>14.4</v>
      </c>
      <c r="DX43" s="1169">
        <v>4.8</v>
      </c>
      <c r="DY43" s="1169">
        <v>3.4</v>
      </c>
      <c r="DZ43" s="1169">
        <v>1.8</v>
      </c>
      <c r="EA43" s="1169">
        <v>0.6</v>
      </c>
      <c r="EB43" s="1169">
        <v>1.7</v>
      </c>
      <c r="EC43" s="1169">
        <v>-0.4</v>
      </c>
      <c r="ED43" s="1169">
        <v>0.1</v>
      </c>
      <c r="EE43" s="1169">
        <v>0.3</v>
      </c>
      <c r="EF43" s="1169">
        <v>-1</v>
      </c>
      <c r="EG43" s="1169">
        <v>0.9</v>
      </c>
      <c r="EH43" s="1169">
        <v>0.4</v>
      </c>
      <c r="EI43" s="1169">
        <v>0.4</v>
      </c>
      <c r="EJ43" s="1169">
        <v>0.4</v>
      </c>
      <c r="EK43" s="1169">
        <v>0.4</v>
      </c>
      <c r="EL43" s="1169">
        <v>0.4</v>
      </c>
      <c r="EM43" s="1169">
        <v>0.4</v>
      </c>
      <c r="EN43" s="1169">
        <v>0.4</v>
      </c>
      <c r="EO43" s="1169">
        <v>0.4</v>
      </c>
      <c r="EP43" s="1169">
        <v>0.4</v>
      </c>
      <c r="EQ43" s="1169">
        <v>0.4</v>
      </c>
      <c r="ER43" s="1169">
        <v>0.4</v>
      </c>
      <c r="ES43" s="1169">
        <v>0.4</v>
      </c>
      <c r="ET43" s="1169">
        <v>1.9</v>
      </c>
      <c r="EU43" s="1169">
        <v>10.7</v>
      </c>
      <c r="EV43" s="1169">
        <v>8.8000000000000007</v>
      </c>
      <c r="EW43" s="1169">
        <v>7.2</v>
      </c>
      <c r="EX43" s="1169">
        <v>4</v>
      </c>
      <c r="EY43" s="1169">
        <v>2.9</v>
      </c>
      <c r="EZ43" s="1169">
        <v>2.2000000000000002</v>
      </c>
      <c r="FA43" s="1169">
        <v>2.8</v>
      </c>
      <c r="FB43" s="1169">
        <v>2</v>
      </c>
      <c r="FC43" s="1169">
        <v>1.2</v>
      </c>
      <c r="FD43" s="1169">
        <v>1.2</v>
      </c>
      <c r="FE43" s="1169">
        <v>1.2</v>
      </c>
      <c r="FF43" s="1169">
        <v>1.6</v>
      </c>
      <c r="FG43" s="1169">
        <v>2.1</v>
      </c>
      <c r="FH43" s="1169">
        <v>1.6</v>
      </c>
      <c r="FI43" s="1169">
        <v>1</v>
      </c>
      <c r="FJ43" s="1169">
        <v>0.9</v>
      </c>
      <c r="FK43" s="1169">
        <v>0.4</v>
      </c>
      <c r="FL43" s="1169">
        <v>0.4</v>
      </c>
      <c r="FM43" s="1169">
        <v>0.4</v>
      </c>
      <c r="FN43" s="1169">
        <v>0.5</v>
      </c>
      <c r="FO43" s="1169">
        <v>0.5</v>
      </c>
      <c r="FP43" s="1169">
        <v>0.5</v>
      </c>
      <c r="FQ43" s="1169">
        <v>0.5</v>
      </c>
      <c r="FR43" s="1169">
        <v>0.5</v>
      </c>
      <c r="FS43" s="1169">
        <v>0.5</v>
      </c>
      <c r="FT43" s="1169">
        <v>0.5</v>
      </c>
      <c r="FU43" s="1169">
        <v>0.5</v>
      </c>
      <c r="FV43" s="1169">
        <v>0.5</v>
      </c>
      <c r="FW43" s="1169">
        <v>0.5</v>
      </c>
      <c r="FX43" s="1169">
        <v>0.5</v>
      </c>
      <c r="FY43" s="1169">
        <v>0.5</v>
      </c>
      <c r="FZ43" s="1169">
        <v>0.5</v>
      </c>
      <c r="GA43" s="1169">
        <v>0.5</v>
      </c>
      <c r="GB43" s="1169">
        <v>0.5</v>
      </c>
      <c r="GC43" s="1169">
        <v>0.5</v>
      </c>
      <c r="GD43" s="1169">
        <v>0.5</v>
      </c>
      <c r="GE43" s="1169">
        <v>0.5</v>
      </c>
      <c r="GF43" s="1169">
        <v>0.5</v>
      </c>
      <c r="GG43" s="1169">
        <v>0.5</v>
      </c>
      <c r="GH43" s="1169">
        <v>0.5</v>
      </c>
      <c r="GI43" s="1169">
        <v>0.6</v>
      </c>
      <c r="GJ43" s="1169">
        <v>0.6</v>
      </c>
      <c r="GK43" s="1169">
        <v>0.6</v>
      </c>
      <c r="GL43" s="1169">
        <v>0.6</v>
      </c>
      <c r="GM43" s="1169">
        <v>0.6</v>
      </c>
      <c r="GN43" s="1169">
        <v>0.6</v>
      </c>
      <c r="GO43" s="1169">
        <v>0.6</v>
      </c>
      <c r="GP43" s="1169">
        <v>0.6</v>
      </c>
      <c r="GQ43" s="1169">
        <v>0.6</v>
      </c>
      <c r="GR43" s="1169">
        <v>0.6</v>
      </c>
      <c r="GS43" s="1169">
        <v>0.6</v>
      </c>
      <c r="GT43" s="1169">
        <v>0.6</v>
      </c>
      <c r="GU43" s="1169">
        <v>0.6</v>
      </c>
      <c r="GV43" s="1169">
        <v>0.6</v>
      </c>
      <c r="GW43" s="1169">
        <v>0.6</v>
      </c>
      <c r="GX43" s="1169">
        <v>2.5</v>
      </c>
      <c r="GY43" s="1169">
        <v>8.6</v>
      </c>
      <c r="GZ43" s="1169">
        <v>0.6</v>
      </c>
      <c r="HA43" s="1169">
        <v>0.6</v>
      </c>
    </row>
    <row r="44" spans="1:209" x14ac:dyDescent="0.35">
      <c r="A44" s="1169" t="s">
        <v>869</v>
      </c>
      <c r="B44" s="1169">
        <v>4.7</v>
      </c>
      <c r="C44" s="1169">
        <v>4.8</v>
      </c>
      <c r="D44" s="1169">
        <v>4.7</v>
      </c>
      <c r="E44" s="1169">
        <v>4.8</v>
      </c>
      <c r="F44" s="1169">
        <v>4.8</v>
      </c>
      <c r="G44" s="1169">
        <v>4.8</v>
      </c>
      <c r="H44" s="1169">
        <v>4.5</v>
      </c>
      <c r="I44" s="1169">
        <v>4.5999999999999996</v>
      </c>
      <c r="J44" s="1169">
        <v>6.1</v>
      </c>
      <c r="K44" s="1169">
        <v>6.2</v>
      </c>
      <c r="L44" s="1169">
        <v>7.2</v>
      </c>
      <c r="M44" s="1169">
        <v>7.1</v>
      </c>
      <c r="N44" s="1169">
        <v>5.9</v>
      </c>
      <c r="O44" s="1169">
        <v>5.7</v>
      </c>
      <c r="P44" s="1169">
        <v>4.7</v>
      </c>
      <c r="Q44" s="1169">
        <v>4.5999999999999996</v>
      </c>
      <c r="R44" s="1169">
        <v>3.6</v>
      </c>
      <c r="S44" s="1169">
        <v>2.9</v>
      </c>
      <c r="T44" s="1169">
        <v>3.2</v>
      </c>
      <c r="U44" s="1169">
        <v>3.6</v>
      </c>
      <c r="V44" s="1169">
        <v>4.2</v>
      </c>
      <c r="W44" s="1169">
        <v>4.3</v>
      </c>
      <c r="X44" s="1169">
        <v>4.5999999999999996</v>
      </c>
      <c r="Y44" s="1169">
        <v>4.9000000000000004</v>
      </c>
      <c r="Z44" s="1169">
        <v>5.0999999999999996</v>
      </c>
      <c r="AA44" s="1169">
        <v>4.8</v>
      </c>
      <c r="AB44" s="1169">
        <v>5.0999999999999996</v>
      </c>
      <c r="AC44" s="1169">
        <v>5.5</v>
      </c>
      <c r="AD44" s="1169">
        <v>5.8</v>
      </c>
      <c r="AE44" s="1169">
        <v>5.9</v>
      </c>
      <c r="AF44" s="1169">
        <v>6.4</v>
      </c>
      <c r="AG44" s="1169">
        <v>10.3</v>
      </c>
      <c r="AH44" s="1169">
        <v>8.6999999999999993</v>
      </c>
      <c r="AI44" s="1169">
        <v>8.4</v>
      </c>
      <c r="AJ44" s="1169">
        <v>8.3000000000000007</v>
      </c>
      <c r="AK44" s="1169">
        <v>10.4</v>
      </c>
      <c r="AL44" s="1169">
        <v>8.4</v>
      </c>
      <c r="AM44" s="1169">
        <v>8.8000000000000007</v>
      </c>
      <c r="AN44" s="1169">
        <v>8.1</v>
      </c>
      <c r="AO44" s="1169">
        <v>8.9</v>
      </c>
      <c r="AP44" s="1169">
        <v>9.1999999999999993</v>
      </c>
      <c r="AQ44" s="1169">
        <v>9.6</v>
      </c>
      <c r="AR44" s="1169">
        <v>10.1</v>
      </c>
      <c r="AS44" s="1169">
        <v>10.3</v>
      </c>
      <c r="AT44" s="1169">
        <v>10.6</v>
      </c>
      <c r="AU44" s="1169">
        <v>10.7</v>
      </c>
      <c r="AV44" s="1169">
        <v>11.1</v>
      </c>
      <c r="AW44" s="1169">
        <v>13.5</v>
      </c>
      <c r="AX44" s="1169">
        <v>14</v>
      </c>
      <c r="AY44" s="1169">
        <v>13.6</v>
      </c>
      <c r="AZ44" s="1169">
        <v>13</v>
      </c>
      <c r="BA44" s="1169">
        <v>19.399999999999999</v>
      </c>
      <c r="BB44" s="1169">
        <v>19.899999999999999</v>
      </c>
      <c r="BC44" s="1169">
        <v>21.6</v>
      </c>
      <c r="BD44" s="1169">
        <v>22.2</v>
      </c>
      <c r="BE44" s="1169">
        <v>21.5</v>
      </c>
      <c r="BF44" s="1169">
        <v>21.2</v>
      </c>
      <c r="BG44" s="1169">
        <v>21</v>
      </c>
      <c r="BH44" s="1169">
        <v>20.9</v>
      </c>
      <c r="BI44" s="1169">
        <v>21.2</v>
      </c>
      <c r="BJ44" s="1169">
        <v>21.1</v>
      </c>
      <c r="BK44" s="1169">
        <v>21</v>
      </c>
      <c r="BL44" s="1169">
        <v>21.3</v>
      </c>
      <c r="BM44" s="1169">
        <v>22</v>
      </c>
      <c r="BN44" s="1169">
        <v>23.1</v>
      </c>
      <c r="BO44" s="1169">
        <v>24.2</v>
      </c>
      <c r="BP44" s="1169">
        <v>25.5</v>
      </c>
      <c r="BQ44" s="1169">
        <v>26.8</v>
      </c>
      <c r="BR44" s="1169">
        <v>28.3</v>
      </c>
      <c r="BS44" s="1169">
        <v>30.4</v>
      </c>
      <c r="BT44" s="1169">
        <v>31.3</v>
      </c>
      <c r="BU44" s="1169">
        <v>31.1</v>
      </c>
      <c r="BV44" s="1169">
        <v>30.4</v>
      </c>
      <c r="BW44" s="1169">
        <v>29.8</v>
      </c>
      <c r="BX44" s="1169">
        <v>29.2</v>
      </c>
      <c r="BY44" s="1169">
        <v>28.6</v>
      </c>
      <c r="BZ44" s="1169">
        <v>28</v>
      </c>
      <c r="CA44" s="1169">
        <v>27.4</v>
      </c>
      <c r="CB44" s="1169">
        <v>27.1</v>
      </c>
      <c r="CC44" s="1169">
        <v>27.3</v>
      </c>
      <c r="CD44" s="1169">
        <v>27.1</v>
      </c>
      <c r="CE44" s="1169">
        <v>27</v>
      </c>
      <c r="CF44" s="1169">
        <v>26.9</v>
      </c>
      <c r="CG44" s="1169">
        <v>27</v>
      </c>
      <c r="CH44" s="1169">
        <v>27.1</v>
      </c>
      <c r="CI44" s="1169">
        <v>27.2</v>
      </c>
      <c r="CJ44" s="1169">
        <v>27.5</v>
      </c>
      <c r="CK44" s="1169">
        <v>28.1</v>
      </c>
      <c r="CL44" s="1169">
        <v>28.6</v>
      </c>
      <c r="CM44" s="1169">
        <v>29.2</v>
      </c>
      <c r="CN44" s="1169">
        <v>30.4</v>
      </c>
      <c r="CO44" s="1169">
        <v>32.200000000000003</v>
      </c>
      <c r="CP44" s="1169">
        <v>35.5</v>
      </c>
      <c r="CQ44" s="1169">
        <v>37.6</v>
      </c>
      <c r="CR44" s="1169">
        <v>37.700000000000003</v>
      </c>
      <c r="CS44" s="1169">
        <v>36</v>
      </c>
      <c r="CT44" s="1169">
        <v>33.6</v>
      </c>
      <c r="CU44" s="1169">
        <v>32.4</v>
      </c>
      <c r="CV44" s="1169">
        <v>31.9</v>
      </c>
      <c r="CW44" s="1169">
        <v>32.200000000000003</v>
      </c>
      <c r="CX44" s="1169">
        <v>34</v>
      </c>
      <c r="CY44" s="1169">
        <v>34.6</v>
      </c>
      <c r="CZ44" s="1169">
        <v>35.1</v>
      </c>
      <c r="DA44" s="1169">
        <v>35.5</v>
      </c>
      <c r="DB44" s="1169">
        <v>35.5</v>
      </c>
      <c r="DC44" s="1169">
        <v>35.4</v>
      </c>
      <c r="DD44" s="1169">
        <v>35.200000000000003</v>
      </c>
      <c r="DE44" s="1169">
        <v>34.799999999999997</v>
      </c>
      <c r="DF44" s="1169">
        <v>34.4</v>
      </c>
      <c r="DG44" s="1169">
        <v>33.6</v>
      </c>
      <c r="DH44" s="1169">
        <v>33.4</v>
      </c>
      <c r="DI44" s="1169">
        <v>33.799999999999997</v>
      </c>
      <c r="DJ44" s="1169">
        <v>33.799999999999997</v>
      </c>
      <c r="DK44" s="1169">
        <v>35</v>
      </c>
      <c r="DL44" s="1169">
        <v>36.799999999999997</v>
      </c>
      <c r="DM44" s="1169">
        <v>39.9</v>
      </c>
      <c r="DN44" s="1169">
        <v>42.4</v>
      </c>
      <c r="DO44" s="1169">
        <v>45</v>
      </c>
      <c r="DP44" s="1169">
        <v>46.4</v>
      </c>
      <c r="DQ44" s="1169">
        <v>46.9</v>
      </c>
      <c r="DR44" s="1169">
        <v>45.1</v>
      </c>
      <c r="DS44" s="1169">
        <v>45.5</v>
      </c>
      <c r="DT44" s="1169">
        <v>45.8</v>
      </c>
      <c r="DU44" s="1169">
        <v>47</v>
      </c>
      <c r="DV44" s="1169">
        <v>55.2</v>
      </c>
      <c r="DW44" s="1169">
        <v>62</v>
      </c>
      <c r="DX44" s="1169">
        <v>71.2</v>
      </c>
      <c r="DY44" s="1169">
        <v>46.4</v>
      </c>
      <c r="DZ44" s="1169">
        <v>42.6</v>
      </c>
      <c r="EA44" s="1169">
        <v>39.799999999999997</v>
      </c>
      <c r="EB44" s="1169">
        <v>41.3</v>
      </c>
      <c r="EC44" s="1169">
        <v>41.9</v>
      </c>
      <c r="ED44" s="1169">
        <v>47.1</v>
      </c>
      <c r="EE44" s="1169">
        <v>57.1</v>
      </c>
      <c r="EF44" s="1169">
        <v>45.9</v>
      </c>
      <c r="EG44" s="1169">
        <v>46</v>
      </c>
      <c r="EH44" s="1169">
        <v>44.2</v>
      </c>
      <c r="EI44" s="1169">
        <v>43.7</v>
      </c>
      <c r="EJ44" s="1169">
        <v>45.4</v>
      </c>
      <c r="EK44" s="1169">
        <v>52.3</v>
      </c>
      <c r="EL44" s="1169">
        <v>56.7</v>
      </c>
      <c r="EM44" s="1169">
        <v>60.7</v>
      </c>
      <c r="EN44" s="1169">
        <v>62</v>
      </c>
      <c r="EO44" s="1169">
        <v>64.2</v>
      </c>
      <c r="EP44" s="1169">
        <v>55.7</v>
      </c>
      <c r="EQ44" s="1169">
        <v>51.5</v>
      </c>
      <c r="ER44" s="1169">
        <v>49.9</v>
      </c>
      <c r="ES44" s="1169">
        <v>48.7</v>
      </c>
      <c r="ET44" s="1169">
        <v>49.5</v>
      </c>
      <c r="EU44" s="1169">
        <v>58.2</v>
      </c>
      <c r="EV44" s="1169">
        <v>55.9</v>
      </c>
      <c r="EW44" s="1169">
        <v>54.7</v>
      </c>
      <c r="EX44" s="1169">
        <v>51.9</v>
      </c>
      <c r="EY44" s="1169">
        <v>51.7</v>
      </c>
      <c r="EZ44" s="1169">
        <v>52</v>
      </c>
      <c r="FA44" s="1169">
        <v>54.6</v>
      </c>
      <c r="FB44" s="1169">
        <v>55.4</v>
      </c>
      <c r="FC44" s="1169">
        <v>55.5</v>
      </c>
      <c r="FD44" s="1169">
        <v>67.099999999999994</v>
      </c>
      <c r="FE44" s="1169">
        <v>55.5</v>
      </c>
      <c r="FF44" s="1169">
        <v>54.8</v>
      </c>
      <c r="FG44" s="1169">
        <v>55.5</v>
      </c>
      <c r="FH44" s="1169">
        <v>56</v>
      </c>
      <c r="FI44" s="1169">
        <v>56.9</v>
      </c>
      <c r="FJ44" s="1169">
        <v>58.9</v>
      </c>
      <c r="FK44" s="1169">
        <v>59.9</v>
      </c>
      <c r="FL44" s="1169">
        <v>60.2</v>
      </c>
      <c r="FM44" s="1169">
        <v>61.1</v>
      </c>
      <c r="FN44" s="1169">
        <v>58.4</v>
      </c>
      <c r="FO44" s="1169">
        <v>58.1</v>
      </c>
      <c r="FP44" s="1169">
        <v>56.3</v>
      </c>
      <c r="FQ44" s="1169">
        <v>59.4</v>
      </c>
      <c r="FR44" s="1169">
        <v>59.4</v>
      </c>
      <c r="FS44" s="1169">
        <v>60.1</v>
      </c>
      <c r="FT44" s="1169">
        <v>60</v>
      </c>
      <c r="FU44" s="1169">
        <v>59.4</v>
      </c>
      <c r="FV44" s="1169">
        <v>58.7</v>
      </c>
      <c r="FW44" s="1169">
        <v>58.5</v>
      </c>
      <c r="FX44" s="1169">
        <v>58.2</v>
      </c>
      <c r="FY44" s="1169">
        <v>57</v>
      </c>
      <c r="FZ44" s="1169">
        <v>56</v>
      </c>
      <c r="GA44" s="1169">
        <v>56.4</v>
      </c>
      <c r="GB44" s="1169">
        <v>57.7</v>
      </c>
      <c r="GC44" s="1169">
        <v>58.7</v>
      </c>
      <c r="GD44" s="1169">
        <v>60.7</v>
      </c>
      <c r="GE44" s="1169">
        <v>62.4</v>
      </c>
      <c r="GF44" s="1169">
        <v>63</v>
      </c>
      <c r="GG44" s="1169">
        <v>60.9</v>
      </c>
      <c r="GH44" s="1169">
        <v>59.3</v>
      </c>
      <c r="GI44" s="1169">
        <v>58</v>
      </c>
      <c r="GJ44" s="1169">
        <v>61.9</v>
      </c>
      <c r="GK44" s="1169">
        <v>60.2</v>
      </c>
      <c r="GL44" s="1169">
        <v>58.7</v>
      </c>
      <c r="GM44" s="1169">
        <v>58.2</v>
      </c>
      <c r="GN44" s="1169">
        <v>57.8</v>
      </c>
      <c r="GO44" s="1169">
        <v>78.5</v>
      </c>
      <c r="GP44" s="1169">
        <v>69</v>
      </c>
      <c r="GQ44" s="1169">
        <v>58.8</v>
      </c>
      <c r="GR44" s="1169">
        <v>81.2</v>
      </c>
      <c r="GS44" s="1169">
        <v>82.8</v>
      </c>
      <c r="GT44" s="1169">
        <v>80.900000000000006</v>
      </c>
      <c r="GU44" s="1169">
        <v>1124.3</v>
      </c>
      <c r="GV44" s="1169">
        <v>1221.2</v>
      </c>
      <c r="GW44" s="1169">
        <v>619.20000000000005</v>
      </c>
      <c r="GX44" s="1169">
        <v>406.3</v>
      </c>
      <c r="GY44" s="1169">
        <v>705.6</v>
      </c>
      <c r="GZ44" s="1169">
        <v>555.1</v>
      </c>
      <c r="HA44" s="1169">
        <v>305.3</v>
      </c>
    </row>
    <row r="45" spans="1:209" x14ac:dyDescent="0.35">
      <c r="A45" s="1169" t="s">
        <v>568</v>
      </c>
      <c r="B45" s="1169"/>
      <c r="C45" s="1169"/>
      <c r="D45" s="1169"/>
      <c r="E45" s="1169"/>
      <c r="F45" s="1169"/>
      <c r="G45" s="1169"/>
      <c r="H45" s="1169"/>
      <c r="I45" s="1169"/>
      <c r="J45" s="1169"/>
      <c r="K45" s="1169"/>
      <c r="L45" s="1169"/>
      <c r="M45" s="1169"/>
      <c r="N45" s="1169"/>
      <c r="O45" s="1169"/>
      <c r="P45" s="1169"/>
      <c r="Q45" s="1169"/>
      <c r="R45" s="1169"/>
      <c r="S45" s="1169"/>
      <c r="T45" s="1169"/>
      <c r="U45" s="1169"/>
      <c r="V45" s="1169"/>
      <c r="W45" s="1169"/>
      <c r="X45" s="1169"/>
      <c r="Y45" s="1169"/>
      <c r="Z45" s="1169"/>
      <c r="AA45" s="1169"/>
      <c r="AB45" s="1169"/>
      <c r="AC45" s="1169"/>
      <c r="AD45" s="1169"/>
      <c r="AE45" s="1169"/>
      <c r="AF45" s="1169"/>
      <c r="AG45" s="1169"/>
      <c r="AH45" s="1169"/>
      <c r="AI45" s="1169"/>
      <c r="AJ45" s="1169"/>
      <c r="AK45" s="1169"/>
      <c r="AL45" s="1169"/>
      <c r="AM45" s="1169"/>
      <c r="AN45" s="1169"/>
      <c r="AO45" s="1169"/>
      <c r="AP45" s="1169"/>
      <c r="AQ45" s="1169"/>
      <c r="AR45" s="1169"/>
      <c r="AS45" s="1169"/>
      <c r="AT45" s="1169"/>
      <c r="AU45" s="1169"/>
      <c r="AV45" s="1169"/>
      <c r="AW45" s="1169"/>
      <c r="AX45" s="1169"/>
      <c r="AY45" s="1169"/>
      <c r="AZ45" s="1169"/>
      <c r="BA45" s="1169"/>
      <c r="BB45" s="1169"/>
      <c r="BC45" s="1169"/>
      <c r="BD45" s="1169"/>
      <c r="BE45" s="1169"/>
      <c r="BF45" s="1169"/>
      <c r="BG45" s="1169"/>
      <c r="BH45" s="1169"/>
      <c r="BI45" s="1169"/>
      <c r="BJ45" s="1169"/>
      <c r="BK45" s="1169"/>
      <c r="BL45" s="1169"/>
      <c r="BM45" s="1169"/>
      <c r="BN45" s="1169"/>
      <c r="BO45" s="1169"/>
      <c r="BP45" s="1169"/>
      <c r="BQ45" s="1169"/>
      <c r="BR45" s="1169"/>
      <c r="BS45" s="1169"/>
      <c r="BT45" s="1169"/>
      <c r="BU45" s="1169"/>
      <c r="BV45" s="1169"/>
      <c r="BW45" s="1169"/>
      <c r="BX45" s="1169"/>
      <c r="BY45" s="1169"/>
      <c r="BZ45" s="1169"/>
      <c r="CA45" s="1169"/>
      <c r="CB45" s="1169"/>
      <c r="CC45" s="1169"/>
      <c r="CD45" s="1169"/>
      <c r="CE45" s="1169"/>
      <c r="CF45" s="1169"/>
      <c r="CG45" s="1169"/>
      <c r="CH45" s="1169"/>
      <c r="CI45" s="1169"/>
      <c r="CJ45" s="1169"/>
      <c r="CK45" s="1169"/>
      <c r="CL45" s="1169"/>
      <c r="CM45" s="1169"/>
      <c r="CN45" s="1169"/>
      <c r="CO45" s="1169"/>
      <c r="CP45" s="1169"/>
      <c r="CQ45" s="1169"/>
      <c r="CR45" s="1169"/>
      <c r="CS45" s="1169"/>
      <c r="CT45" s="1169"/>
      <c r="CU45" s="1169"/>
      <c r="CV45" s="1169"/>
      <c r="CW45" s="1169"/>
      <c r="CX45" s="1169"/>
      <c r="CY45" s="1169"/>
      <c r="CZ45" s="1169"/>
      <c r="DA45" s="1169"/>
      <c r="DB45" s="1169"/>
      <c r="DC45" s="1169"/>
      <c r="DD45" s="1169"/>
      <c r="DE45" s="1169"/>
      <c r="DF45" s="1169"/>
      <c r="DG45" s="1169"/>
      <c r="DH45" s="1169"/>
      <c r="DI45" s="1169"/>
      <c r="DJ45" s="1169"/>
      <c r="DK45" s="1169"/>
      <c r="DL45" s="1169"/>
      <c r="DM45" s="1169"/>
      <c r="DN45" s="1169"/>
      <c r="DO45" s="1169"/>
      <c r="DP45" s="1169"/>
      <c r="DQ45" s="1169"/>
      <c r="DR45" s="1169"/>
      <c r="DS45" s="1169"/>
      <c r="DT45" s="1169"/>
      <c r="DU45" s="1169"/>
      <c r="DV45" s="1169"/>
      <c r="DW45" s="1169"/>
      <c r="DX45" s="1169"/>
      <c r="DY45" s="1169"/>
      <c r="DZ45" s="1169"/>
      <c r="EA45" s="1169"/>
      <c r="EB45" s="1169"/>
      <c r="EC45" s="1169"/>
      <c r="ED45" s="1169"/>
      <c r="EE45" s="1169"/>
      <c r="EF45" s="1169"/>
      <c r="EG45" s="1169"/>
      <c r="EH45" s="1169"/>
      <c r="EI45" s="1169"/>
      <c r="EJ45" s="1169"/>
      <c r="EK45" s="1169"/>
      <c r="EL45" s="1169"/>
      <c r="EM45" s="1169"/>
      <c r="EN45" s="1169"/>
      <c r="EO45" s="1169"/>
      <c r="EP45" s="1169"/>
      <c r="EQ45" s="1169"/>
      <c r="ER45" s="1169"/>
      <c r="ES45" s="1169"/>
      <c r="ET45" s="1169"/>
      <c r="EU45" s="1169"/>
      <c r="EV45" s="1169"/>
      <c r="EW45" s="1169"/>
      <c r="EX45" s="1169"/>
      <c r="EY45" s="1169"/>
      <c r="EZ45" s="1169"/>
      <c r="FA45" s="1169"/>
      <c r="FB45" s="1169"/>
      <c r="FC45" s="1169"/>
      <c r="FD45" s="1169"/>
      <c r="FE45" s="1169"/>
      <c r="FF45" s="1169"/>
      <c r="FG45" s="1169"/>
      <c r="FH45" s="1169"/>
      <c r="FI45" s="1169"/>
      <c r="FJ45" s="1169"/>
      <c r="FK45" s="1169"/>
      <c r="FL45" s="1169"/>
      <c r="FM45" s="1169"/>
      <c r="FN45" s="1169"/>
      <c r="FO45" s="1169"/>
      <c r="FP45" s="1169"/>
      <c r="FQ45" s="1169"/>
      <c r="FR45" s="1169"/>
      <c r="FS45" s="1169"/>
      <c r="FT45" s="1169"/>
      <c r="FU45" s="1169"/>
      <c r="FV45" s="1169"/>
      <c r="FW45" s="1169"/>
      <c r="FX45" s="1169"/>
      <c r="FY45" s="1169"/>
      <c r="FZ45" s="1169"/>
      <c r="GA45" s="1169"/>
      <c r="GB45" s="1169"/>
      <c r="GC45" s="1169"/>
      <c r="GD45" s="1169"/>
      <c r="GE45" s="1169"/>
      <c r="GF45" s="1169"/>
      <c r="GG45" s="1169"/>
      <c r="GH45" s="1169"/>
      <c r="GI45" s="1169"/>
      <c r="GJ45" s="1169"/>
      <c r="GK45" s="1169"/>
      <c r="GL45" s="1169"/>
      <c r="GM45" s="1169"/>
      <c r="GN45" s="1169"/>
      <c r="GO45" s="1169"/>
      <c r="GP45" s="1169"/>
      <c r="GQ45" s="1169"/>
      <c r="GR45" s="1169"/>
      <c r="GS45" s="1169"/>
      <c r="GT45" s="1169"/>
      <c r="GU45" s="1169">
        <v>1078.0999999999999</v>
      </c>
      <c r="GV45" s="1169">
        <v>15.6</v>
      </c>
      <c r="GW45" s="1169">
        <v>5</v>
      </c>
      <c r="GX45" s="1169">
        <v>1933.7</v>
      </c>
      <c r="GY45" s="1169">
        <v>290.10000000000002</v>
      </c>
      <c r="GZ45" s="1169">
        <v>38.9</v>
      </c>
      <c r="HA45" s="1169">
        <v>14.2</v>
      </c>
    </row>
    <row r="46" spans="1:209" x14ac:dyDescent="0.35">
      <c r="A46" s="1169" t="s">
        <v>870</v>
      </c>
      <c r="B46" s="1169"/>
      <c r="C46" s="1169"/>
      <c r="D46" s="1169"/>
      <c r="E46" s="1169"/>
      <c r="F46" s="1169"/>
      <c r="G46" s="1169"/>
      <c r="H46" s="1169"/>
      <c r="I46" s="1169"/>
      <c r="J46" s="1169"/>
      <c r="K46" s="1169"/>
      <c r="L46" s="1169"/>
      <c r="M46" s="1169"/>
      <c r="N46" s="1169"/>
      <c r="O46" s="1169"/>
      <c r="P46" s="1169"/>
      <c r="Q46" s="1169"/>
      <c r="R46" s="1169"/>
      <c r="S46" s="1169"/>
      <c r="T46" s="1169"/>
      <c r="U46" s="1169"/>
      <c r="V46" s="1169"/>
      <c r="W46" s="1169"/>
      <c r="X46" s="1169"/>
      <c r="Y46" s="1169"/>
      <c r="Z46" s="1169"/>
      <c r="AA46" s="1169"/>
      <c r="AB46" s="1169"/>
      <c r="AC46" s="1169"/>
      <c r="AD46" s="1169"/>
      <c r="AE46" s="1169"/>
      <c r="AF46" s="1169"/>
      <c r="AG46" s="1169"/>
      <c r="AH46" s="1169"/>
      <c r="AI46" s="1169"/>
      <c r="AJ46" s="1169"/>
      <c r="AK46" s="1169"/>
      <c r="AL46" s="1169"/>
      <c r="AM46" s="1169"/>
      <c r="AN46" s="1169"/>
      <c r="AO46" s="1169"/>
      <c r="AP46" s="1169"/>
      <c r="AQ46" s="1169"/>
      <c r="AR46" s="1169"/>
      <c r="AS46" s="1169"/>
      <c r="AT46" s="1169"/>
      <c r="AU46" s="1169"/>
      <c r="AV46" s="1169"/>
      <c r="AW46" s="1169"/>
      <c r="AX46" s="1169"/>
      <c r="AY46" s="1169"/>
      <c r="AZ46" s="1169"/>
      <c r="BA46" s="1169"/>
      <c r="BB46" s="1169"/>
      <c r="BC46" s="1169"/>
      <c r="BD46" s="1169"/>
      <c r="BE46" s="1169"/>
      <c r="BF46" s="1169"/>
      <c r="BG46" s="1169"/>
      <c r="BH46" s="1169"/>
      <c r="BI46" s="1169"/>
      <c r="BJ46" s="1169"/>
      <c r="BK46" s="1169"/>
      <c r="BL46" s="1169"/>
      <c r="BM46" s="1169"/>
      <c r="BN46" s="1169"/>
      <c r="BO46" s="1169"/>
      <c r="BP46" s="1169"/>
      <c r="BQ46" s="1169"/>
      <c r="BR46" s="1169"/>
      <c r="BS46" s="1169"/>
      <c r="BT46" s="1169"/>
      <c r="BU46" s="1169"/>
      <c r="BV46" s="1169"/>
      <c r="BW46" s="1169"/>
      <c r="BX46" s="1169"/>
      <c r="BY46" s="1169"/>
      <c r="BZ46" s="1169"/>
      <c r="CA46" s="1169"/>
      <c r="CB46" s="1169"/>
      <c r="CC46" s="1169"/>
      <c r="CD46" s="1169"/>
      <c r="CE46" s="1169"/>
      <c r="CF46" s="1169"/>
      <c r="CG46" s="1169"/>
      <c r="CH46" s="1169"/>
      <c r="CI46" s="1169"/>
      <c r="CJ46" s="1169"/>
      <c r="CK46" s="1169"/>
      <c r="CL46" s="1169"/>
      <c r="CM46" s="1169"/>
      <c r="CN46" s="1169"/>
      <c r="CO46" s="1169"/>
      <c r="CP46" s="1169"/>
      <c r="CQ46" s="1169"/>
      <c r="CR46" s="1169"/>
      <c r="CS46" s="1169"/>
      <c r="CT46" s="1169"/>
      <c r="CU46" s="1169"/>
      <c r="CV46" s="1169"/>
      <c r="CW46" s="1169"/>
      <c r="CX46" s="1169"/>
      <c r="CY46" s="1169"/>
      <c r="CZ46" s="1169"/>
      <c r="DA46" s="1169"/>
      <c r="DB46" s="1169"/>
      <c r="DC46" s="1169"/>
      <c r="DD46" s="1169"/>
      <c r="DE46" s="1169"/>
      <c r="DF46" s="1169"/>
      <c r="DG46" s="1169"/>
      <c r="DH46" s="1169"/>
      <c r="DI46" s="1169"/>
      <c r="DJ46" s="1169"/>
      <c r="DK46" s="1169"/>
      <c r="DL46" s="1169"/>
      <c r="DM46" s="1169"/>
      <c r="DN46" s="1169"/>
      <c r="DO46" s="1169"/>
      <c r="DP46" s="1169"/>
      <c r="DQ46" s="1169"/>
      <c r="DR46" s="1169"/>
      <c r="DS46" s="1169"/>
      <c r="DT46" s="1169"/>
      <c r="DU46" s="1169"/>
      <c r="DV46" s="1169"/>
      <c r="DW46" s="1169"/>
      <c r="DX46" s="1169"/>
      <c r="DY46" s="1169"/>
      <c r="DZ46" s="1169"/>
      <c r="EA46" s="1169"/>
      <c r="EB46" s="1169"/>
      <c r="EC46" s="1169"/>
      <c r="ED46" s="1169"/>
      <c r="EE46" s="1169"/>
      <c r="EF46" s="1169"/>
      <c r="EG46" s="1169"/>
      <c r="EH46" s="1169"/>
      <c r="EI46" s="1169"/>
      <c r="EJ46" s="1169"/>
      <c r="EK46" s="1169"/>
      <c r="EL46" s="1169"/>
      <c r="EM46" s="1169"/>
      <c r="EN46" s="1169"/>
      <c r="EO46" s="1169"/>
      <c r="EP46" s="1169"/>
      <c r="EQ46" s="1169"/>
      <c r="ER46" s="1169"/>
      <c r="ES46" s="1169"/>
      <c r="ET46" s="1169"/>
      <c r="EU46" s="1169"/>
      <c r="EV46" s="1169"/>
      <c r="EW46" s="1169"/>
      <c r="EX46" s="1169"/>
      <c r="EY46" s="1169"/>
      <c r="EZ46" s="1169"/>
      <c r="FA46" s="1169"/>
      <c r="FB46" s="1169"/>
      <c r="FC46" s="1169"/>
      <c r="FD46" s="1169"/>
      <c r="FE46" s="1169"/>
      <c r="FF46" s="1169"/>
      <c r="FG46" s="1169"/>
      <c r="FH46" s="1169"/>
      <c r="FI46" s="1169"/>
      <c r="FJ46" s="1169"/>
      <c r="FK46" s="1169"/>
      <c r="FL46" s="1169"/>
      <c r="FM46" s="1169"/>
      <c r="FN46" s="1169"/>
      <c r="FO46" s="1169"/>
      <c r="FP46" s="1169"/>
      <c r="FQ46" s="1169"/>
      <c r="FR46" s="1169"/>
      <c r="FS46" s="1169"/>
      <c r="FT46" s="1169"/>
      <c r="FU46" s="1169"/>
      <c r="FV46" s="1169"/>
      <c r="FW46" s="1169"/>
      <c r="FX46" s="1169"/>
      <c r="FY46" s="1169"/>
      <c r="FZ46" s="1169"/>
      <c r="GA46" s="1169"/>
      <c r="GB46" s="1169"/>
      <c r="GC46" s="1169"/>
      <c r="GD46" s="1169"/>
      <c r="GE46" s="1169"/>
      <c r="GF46" s="1169"/>
      <c r="GG46" s="1169"/>
      <c r="GH46" s="1169"/>
      <c r="GI46" s="1169"/>
      <c r="GJ46" s="1169"/>
      <c r="GK46" s="1169"/>
      <c r="GL46" s="1169"/>
      <c r="GM46" s="1169"/>
      <c r="GN46" s="1169"/>
      <c r="GO46" s="1169"/>
      <c r="GP46" s="1169"/>
      <c r="GQ46" s="1169"/>
      <c r="GR46" s="1169"/>
      <c r="GS46" s="1169"/>
      <c r="GT46" s="1169"/>
      <c r="GU46" s="1169">
        <v>9.6</v>
      </c>
      <c r="GV46" s="1169">
        <v>14.4</v>
      </c>
      <c r="GW46" s="1169">
        <v>14.3</v>
      </c>
      <c r="GX46" s="1169">
        <v>14.2</v>
      </c>
      <c r="GY46" s="1169">
        <v>14.1</v>
      </c>
      <c r="GZ46" s="1169">
        <v>14.3</v>
      </c>
      <c r="HA46" s="1169">
        <v>14.6</v>
      </c>
    </row>
    <row r="47" spans="1:209" x14ac:dyDescent="0.35">
      <c r="A47" s="1169" t="s">
        <v>400</v>
      </c>
      <c r="B47" s="1169"/>
      <c r="C47" s="1169"/>
      <c r="D47" s="1169"/>
      <c r="E47" s="1169"/>
      <c r="F47" s="1169"/>
      <c r="G47" s="1169"/>
      <c r="H47" s="1169"/>
      <c r="I47" s="1169"/>
      <c r="J47" s="1169"/>
      <c r="K47" s="1169"/>
      <c r="L47" s="1169"/>
      <c r="M47" s="1169"/>
      <c r="N47" s="1169"/>
      <c r="O47" s="1169"/>
      <c r="P47" s="1169"/>
      <c r="Q47" s="1169"/>
      <c r="R47" s="1169"/>
      <c r="S47" s="1169"/>
      <c r="T47" s="1169"/>
      <c r="U47" s="1169"/>
      <c r="V47" s="1169"/>
      <c r="W47" s="1169"/>
      <c r="X47" s="1169"/>
      <c r="Y47" s="1169"/>
      <c r="Z47" s="1169"/>
      <c r="AA47" s="1169"/>
      <c r="AB47" s="1169"/>
      <c r="AC47" s="1169"/>
      <c r="AD47" s="1169"/>
      <c r="AE47" s="1169"/>
      <c r="AF47" s="1169"/>
      <c r="AG47" s="1169"/>
      <c r="AH47" s="1169"/>
      <c r="AI47" s="1169"/>
      <c r="AJ47" s="1169"/>
      <c r="AK47" s="1169"/>
      <c r="AL47" s="1169"/>
      <c r="AM47" s="1169"/>
      <c r="AN47" s="1169"/>
      <c r="AO47" s="1169"/>
      <c r="AP47" s="1169"/>
      <c r="AQ47" s="1169"/>
      <c r="AR47" s="1169"/>
      <c r="AS47" s="1169"/>
      <c r="AT47" s="1169"/>
      <c r="AU47" s="1169"/>
      <c r="AV47" s="1169"/>
      <c r="AW47" s="1169"/>
      <c r="AX47" s="1169"/>
      <c r="AY47" s="1169"/>
      <c r="AZ47" s="1169"/>
      <c r="BA47" s="1169"/>
      <c r="BB47" s="1169"/>
      <c r="BC47" s="1169"/>
      <c r="BD47" s="1169"/>
      <c r="BE47" s="1169"/>
      <c r="BF47" s="1169"/>
      <c r="BG47" s="1169"/>
      <c r="BH47" s="1169"/>
      <c r="BI47" s="1169"/>
      <c r="BJ47" s="1169"/>
      <c r="BK47" s="1169"/>
      <c r="BL47" s="1169"/>
      <c r="BM47" s="1169"/>
      <c r="BN47" s="1169"/>
      <c r="BO47" s="1169"/>
      <c r="BP47" s="1169"/>
      <c r="BQ47" s="1169"/>
      <c r="BR47" s="1169"/>
      <c r="BS47" s="1169"/>
      <c r="BT47" s="1169"/>
      <c r="BU47" s="1169"/>
      <c r="BV47" s="1169"/>
      <c r="BW47" s="1169"/>
      <c r="BX47" s="1169"/>
      <c r="BY47" s="1169"/>
      <c r="BZ47" s="1169"/>
      <c r="CA47" s="1169"/>
      <c r="CB47" s="1169"/>
      <c r="CC47" s="1169"/>
      <c r="CD47" s="1169"/>
      <c r="CE47" s="1169"/>
      <c r="CF47" s="1169"/>
      <c r="CG47" s="1169"/>
      <c r="CH47" s="1169"/>
      <c r="CI47" s="1169"/>
      <c r="CJ47" s="1169"/>
      <c r="CK47" s="1169"/>
      <c r="CL47" s="1169"/>
      <c r="CM47" s="1169"/>
      <c r="CN47" s="1169"/>
      <c r="CO47" s="1169"/>
      <c r="CP47" s="1169"/>
      <c r="CQ47" s="1169"/>
      <c r="CR47" s="1169"/>
      <c r="CS47" s="1169"/>
      <c r="CT47" s="1169"/>
      <c r="CU47" s="1169"/>
      <c r="CV47" s="1169"/>
      <c r="CW47" s="1169"/>
      <c r="CX47" s="1169"/>
      <c r="CY47" s="1169"/>
      <c r="CZ47" s="1169"/>
      <c r="DA47" s="1169"/>
      <c r="DB47" s="1169"/>
      <c r="DC47" s="1169"/>
      <c r="DD47" s="1169"/>
      <c r="DE47" s="1169"/>
      <c r="DF47" s="1169"/>
      <c r="DG47" s="1169"/>
      <c r="DH47" s="1169"/>
      <c r="DI47" s="1169"/>
      <c r="DJ47" s="1169"/>
      <c r="DK47" s="1169"/>
      <c r="DL47" s="1169"/>
      <c r="DM47" s="1169"/>
      <c r="DN47" s="1169"/>
      <c r="DO47" s="1169"/>
      <c r="DP47" s="1169"/>
      <c r="DQ47" s="1169"/>
      <c r="DR47" s="1169"/>
      <c r="DS47" s="1169"/>
      <c r="DT47" s="1169"/>
      <c r="DU47" s="1169"/>
      <c r="DV47" s="1169"/>
      <c r="DW47" s="1169"/>
      <c r="DX47" s="1169"/>
      <c r="DY47" s="1169"/>
      <c r="DZ47" s="1169"/>
      <c r="EA47" s="1169"/>
      <c r="EB47" s="1169"/>
      <c r="EC47" s="1169"/>
      <c r="ED47" s="1169"/>
      <c r="EE47" s="1169"/>
      <c r="EF47" s="1169"/>
      <c r="EG47" s="1169"/>
      <c r="EH47" s="1169"/>
      <c r="EI47" s="1169"/>
      <c r="EJ47" s="1169"/>
      <c r="EK47" s="1169"/>
      <c r="EL47" s="1169"/>
      <c r="EM47" s="1169"/>
      <c r="EN47" s="1169"/>
      <c r="EO47" s="1169"/>
      <c r="EP47" s="1169"/>
      <c r="EQ47" s="1169"/>
      <c r="ER47" s="1169"/>
      <c r="ES47" s="1169"/>
      <c r="ET47" s="1169"/>
      <c r="EU47" s="1169"/>
      <c r="EV47" s="1169"/>
      <c r="EW47" s="1169"/>
      <c r="EX47" s="1169"/>
      <c r="EY47" s="1169"/>
      <c r="EZ47" s="1169"/>
      <c r="FA47" s="1169"/>
      <c r="FB47" s="1169"/>
      <c r="FC47" s="1169"/>
      <c r="FD47" s="1169"/>
      <c r="FE47" s="1169"/>
      <c r="FF47" s="1169"/>
      <c r="FG47" s="1169"/>
      <c r="FH47" s="1169"/>
      <c r="FI47" s="1169"/>
      <c r="FJ47" s="1169"/>
      <c r="FK47" s="1169"/>
      <c r="FL47" s="1169"/>
      <c r="FM47" s="1169"/>
      <c r="FN47" s="1169"/>
      <c r="FO47" s="1169"/>
      <c r="FP47" s="1169"/>
      <c r="FQ47" s="1169"/>
      <c r="FR47" s="1169"/>
      <c r="FS47" s="1169"/>
      <c r="FT47" s="1169"/>
      <c r="FU47" s="1169"/>
      <c r="FV47" s="1169"/>
      <c r="FW47" s="1169"/>
      <c r="FX47" s="1169"/>
      <c r="FY47" s="1169"/>
      <c r="FZ47" s="1169"/>
      <c r="GA47" s="1169"/>
      <c r="GB47" s="1169"/>
      <c r="GC47" s="1169"/>
      <c r="GD47" s="1169"/>
      <c r="GE47" s="1169"/>
      <c r="GF47" s="1169"/>
      <c r="GG47" s="1169"/>
      <c r="GH47" s="1169"/>
      <c r="GI47" s="1169"/>
      <c r="GJ47" s="1169"/>
      <c r="GK47" s="1169"/>
      <c r="GL47" s="1169"/>
      <c r="GM47" s="1169"/>
      <c r="GN47" s="1169"/>
      <c r="GO47" s="1169"/>
      <c r="GP47" s="1169"/>
      <c r="GQ47" s="1169"/>
      <c r="GR47" s="1169"/>
      <c r="GS47" s="1169"/>
      <c r="GT47" s="1169"/>
      <c r="GU47" s="1169">
        <v>57.2</v>
      </c>
      <c r="GV47" s="1169">
        <v>81.2</v>
      </c>
      <c r="GW47" s="1169">
        <v>24.4</v>
      </c>
      <c r="GX47" s="1169">
        <v>10.8</v>
      </c>
      <c r="GY47" s="1169">
        <v>24.7</v>
      </c>
      <c r="GZ47" s="1169">
        <v>14</v>
      </c>
      <c r="HA47" s="1169">
        <v>2</v>
      </c>
    </row>
    <row r="48" spans="1:209" x14ac:dyDescent="0.35">
      <c r="A48" s="1169" t="s">
        <v>378</v>
      </c>
      <c r="B48" s="1169"/>
      <c r="C48" s="1169"/>
      <c r="D48" s="1169"/>
      <c r="E48" s="1169"/>
      <c r="F48" s="1169"/>
      <c r="G48" s="1169"/>
      <c r="H48" s="1169"/>
      <c r="I48" s="1169"/>
      <c r="J48" s="1169"/>
      <c r="K48" s="1169"/>
      <c r="L48" s="1169"/>
      <c r="M48" s="1169"/>
      <c r="N48" s="1169"/>
      <c r="O48" s="1169"/>
      <c r="P48" s="1169"/>
      <c r="Q48" s="1169"/>
      <c r="R48" s="1169"/>
      <c r="S48" s="1169"/>
      <c r="T48" s="1169"/>
      <c r="U48" s="1169"/>
      <c r="V48" s="1169"/>
      <c r="W48" s="1169"/>
      <c r="X48" s="1169"/>
      <c r="Y48" s="1169"/>
      <c r="Z48" s="1169"/>
      <c r="AA48" s="1169"/>
      <c r="AB48" s="1169"/>
      <c r="AC48" s="1169"/>
      <c r="AD48" s="1169"/>
      <c r="AE48" s="1169"/>
      <c r="AF48" s="1169"/>
      <c r="AG48" s="1169"/>
      <c r="AH48" s="1169"/>
      <c r="AI48" s="1169"/>
      <c r="AJ48" s="1169"/>
      <c r="AK48" s="1169"/>
      <c r="AL48" s="1169"/>
      <c r="AM48" s="1169"/>
      <c r="AN48" s="1169"/>
      <c r="AO48" s="1169"/>
      <c r="AP48" s="1169"/>
      <c r="AQ48" s="1169"/>
      <c r="AR48" s="1169"/>
      <c r="AS48" s="1169"/>
      <c r="AT48" s="1169"/>
      <c r="AU48" s="1169"/>
      <c r="AV48" s="1169"/>
      <c r="AW48" s="1169"/>
      <c r="AX48" s="1169"/>
      <c r="AY48" s="1169"/>
      <c r="AZ48" s="1169"/>
      <c r="BA48" s="1169"/>
      <c r="BB48" s="1169"/>
      <c r="BC48" s="1169"/>
      <c r="BD48" s="1169"/>
      <c r="BE48" s="1169"/>
      <c r="BF48" s="1169"/>
      <c r="BG48" s="1169"/>
      <c r="BH48" s="1169"/>
      <c r="BI48" s="1169"/>
      <c r="BJ48" s="1169"/>
      <c r="BK48" s="1169"/>
      <c r="BL48" s="1169"/>
      <c r="BM48" s="1169"/>
      <c r="BN48" s="1169"/>
      <c r="BO48" s="1169"/>
      <c r="BP48" s="1169"/>
      <c r="BQ48" s="1169"/>
      <c r="BR48" s="1169"/>
      <c r="BS48" s="1169"/>
      <c r="BT48" s="1169"/>
      <c r="BU48" s="1169"/>
      <c r="BV48" s="1169"/>
      <c r="BW48" s="1169"/>
      <c r="BX48" s="1169"/>
      <c r="BY48" s="1169"/>
      <c r="BZ48" s="1169"/>
      <c r="CA48" s="1169"/>
      <c r="CB48" s="1169"/>
      <c r="CC48" s="1169"/>
      <c r="CD48" s="1169"/>
      <c r="CE48" s="1169"/>
      <c r="CF48" s="1169"/>
      <c r="CG48" s="1169"/>
      <c r="CH48" s="1169"/>
      <c r="CI48" s="1169"/>
      <c r="CJ48" s="1169"/>
      <c r="CK48" s="1169"/>
      <c r="CL48" s="1169"/>
      <c r="CM48" s="1169"/>
      <c r="CN48" s="1169"/>
      <c r="CO48" s="1169"/>
      <c r="CP48" s="1169"/>
      <c r="CQ48" s="1169"/>
      <c r="CR48" s="1169"/>
      <c r="CS48" s="1169"/>
      <c r="CT48" s="1169"/>
      <c r="CU48" s="1169"/>
      <c r="CV48" s="1169"/>
      <c r="CW48" s="1169"/>
      <c r="CX48" s="1169"/>
      <c r="CY48" s="1169"/>
      <c r="CZ48" s="1169"/>
      <c r="DA48" s="1169"/>
      <c r="DB48" s="1169"/>
      <c r="DC48" s="1169"/>
      <c r="DD48" s="1169"/>
      <c r="DE48" s="1169"/>
      <c r="DF48" s="1169"/>
      <c r="DG48" s="1169"/>
      <c r="DH48" s="1169"/>
      <c r="DI48" s="1169"/>
      <c r="DJ48" s="1169"/>
      <c r="DK48" s="1169"/>
      <c r="DL48" s="1169"/>
      <c r="DM48" s="1169"/>
      <c r="DN48" s="1169"/>
      <c r="DO48" s="1169"/>
      <c r="DP48" s="1169"/>
      <c r="DQ48" s="1169"/>
      <c r="DR48" s="1169"/>
      <c r="DS48" s="1169"/>
      <c r="DT48" s="1169"/>
      <c r="DU48" s="1169"/>
      <c r="DV48" s="1169"/>
      <c r="DW48" s="1169"/>
      <c r="DX48" s="1169"/>
      <c r="DY48" s="1169"/>
      <c r="DZ48" s="1169"/>
      <c r="EA48" s="1169"/>
      <c r="EB48" s="1169"/>
      <c r="EC48" s="1169"/>
      <c r="ED48" s="1169"/>
      <c r="EE48" s="1169"/>
      <c r="EF48" s="1169"/>
      <c r="EG48" s="1169"/>
      <c r="EH48" s="1169"/>
      <c r="EI48" s="1169"/>
      <c r="EJ48" s="1169"/>
      <c r="EK48" s="1169"/>
      <c r="EL48" s="1169"/>
      <c r="EM48" s="1169"/>
      <c r="EN48" s="1169"/>
      <c r="EO48" s="1169"/>
      <c r="EP48" s="1169"/>
      <c r="EQ48" s="1169"/>
      <c r="ER48" s="1169"/>
      <c r="ES48" s="1169"/>
      <c r="ET48" s="1169"/>
      <c r="EU48" s="1169"/>
      <c r="EV48" s="1169"/>
      <c r="EW48" s="1169"/>
      <c r="EX48" s="1169"/>
      <c r="EY48" s="1169"/>
      <c r="EZ48" s="1169"/>
      <c r="FA48" s="1169"/>
      <c r="FB48" s="1169"/>
      <c r="FC48" s="1169"/>
      <c r="FD48" s="1169"/>
      <c r="FE48" s="1169"/>
      <c r="FF48" s="1169"/>
      <c r="FG48" s="1169"/>
      <c r="FH48" s="1169"/>
      <c r="FI48" s="1169"/>
      <c r="FJ48" s="1169"/>
      <c r="FK48" s="1169"/>
      <c r="FL48" s="1169"/>
      <c r="FM48" s="1169"/>
      <c r="FN48" s="1169"/>
      <c r="FO48" s="1169"/>
      <c r="FP48" s="1169"/>
      <c r="FQ48" s="1169"/>
      <c r="FR48" s="1169"/>
      <c r="FS48" s="1169"/>
      <c r="FT48" s="1169"/>
      <c r="FU48" s="1169"/>
      <c r="FV48" s="1169"/>
      <c r="FW48" s="1169"/>
      <c r="FX48" s="1169"/>
      <c r="FY48" s="1169"/>
      <c r="FZ48" s="1169"/>
      <c r="GA48" s="1169"/>
      <c r="GB48" s="1169"/>
      <c r="GC48" s="1169"/>
      <c r="GD48" s="1169"/>
      <c r="GE48" s="1169"/>
      <c r="GF48" s="1169"/>
      <c r="GG48" s="1169"/>
      <c r="GH48" s="1169"/>
      <c r="GI48" s="1169"/>
      <c r="GJ48" s="1169"/>
      <c r="GK48" s="1169"/>
      <c r="GL48" s="1169"/>
      <c r="GM48" s="1169"/>
      <c r="GN48" s="1169"/>
      <c r="GO48" s="1169"/>
      <c r="GP48" s="1169"/>
      <c r="GQ48" s="1169"/>
      <c r="GR48" s="1169"/>
      <c r="GS48" s="1169"/>
      <c r="GT48" s="1169">
        <v>1.5</v>
      </c>
      <c r="GU48" s="1169">
        <v>160.9</v>
      </c>
      <c r="GV48" s="1169">
        <v>58.4</v>
      </c>
      <c r="GW48" s="1169">
        <v>34.5</v>
      </c>
      <c r="GX48" s="1169">
        <v>42.8</v>
      </c>
      <c r="GY48" s="1169">
        <v>26.6</v>
      </c>
      <c r="GZ48" s="1169">
        <v>37.4</v>
      </c>
      <c r="HA48" s="1169">
        <v>64.400000000000006</v>
      </c>
    </row>
    <row r="49" spans="1:209" x14ac:dyDescent="0.35">
      <c r="A49" s="1169" t="s">
        <v>402</v>
      </c>
      <c r="B49" s="1169"/>
      <c r="C49" s="1169"/>
      <c r="D49" s="1169"/>
      <c r="E49" s="1169"/>
      <c r="F49" s="1169"/>
      <c r="G49" s="1169"/>
      <c r="H49" s="1169"/>
      <c r="I49" s="1169"/>
      <c r="J49" s="1169"/>
      <c r="K49" s="1169"/>
      <c r="L49" s="1169"/>
      <c r="M49" s="1169"/>
      <c r="N49" s="1169"/>
      <c r="O49" s="1169"/>
      <c r="P49" s="1169"/>
      <c r="Q49" s="1169"/>
      <c r="R49" s="1169"/>
      <c r="S49" s="1169"/>
      <c r="T49" s="1169"/>
      <c r="U49" s="1169"/>
      <c r="V49" s="1169"/>
      <c r="W49" s="1169"/>
      <c r="X49" s="1169"/>
      <c r="Y49" s="1169"/>
      <c r="Z49" s="1169"/>
      <c r="AA49" s="1169"/>
      <c r="AB49" s="1169"/>
      <c r="AC49" s="1169"/>
      <c r="AD49" s="1169"/>
      <c r="AE49" s="1169"/>
      <c r="AF49" s="1169"/>
      <c r="AG49" s="1169"/>
      <c r="AH49" s="1169"/>
      <c r="AI49" s="1169"/>
      <c r="AJ49" s="1169"/>
      <c r="AK49" s="1169"/>
      <c r="AL49" s="1169"/>
      <c r="AM49" s="1169"/>
      <c r="AN49" s="1169"/>
      <c r="AO49" s="1169"/>
      <c r="AP49" s="1169"/>
      <c r="AQ49" s="1169"/>
      <c r="AR49" s="1169"/>
      <c r="AS49" s="1169"/>
      <c r="AT49" s="1169"/>
      <c r="AU49" s="1169"/>
      <c r="AV49" s="1169"/>
      <c r="AW49" s="1169"/>
      <c r="AX49" s="1169"/>
      <c r="AY49" s="1169"/>
      <c r="AZ49" s="1169"/>
      <c r="BA49" s="1169"/>
      <c r="BB49" s="1169"/>
      <c r="BC49" s="1169"/>
      <c r="BD49" s="1169"/>
      <c r="BE49" s="1169"/>
      <c r="BF49" s="1169"/>
      <c r="BG49" s="1169"/>
      <c r="BH49" s="1169"/>
      <c r="BI49" s="1169"/>
      <c r="BJ49" s="1169"/>
      <c r="BK49" s="1169"/>
      <c r="BL49" s="1169"/>
      <c r="BM49" s="1169"/>
      <c r="BN49" s="1169"/>
      <c r="BO49" s="1169"/>
      <c r="BP49" s="1169"/>
      <c r="BQ49" s="1169"/>
      <c r="BR49" s="1169"/>
      <c r="BS49" s="1169"/>
      <c r="BT49" s="1169"/>
      <c r="BU49" s="1169"/>
      <c r="BV49" s="1169"/>
      <c r="BW49" s="1169"/>
      <c r="BX49" s="1169"/>
      <c r="BY49" s="1169"/>
      <c r="BZ49" s="1169"/>
      <c r="CA49" s="1169"/>
      <c r="CB49" s="1169"/>
      <c r="CC49" s="1169"/>
      <c r="CD49" s="1169"/>
      <c r="CE49" s="1169"/>
      <c r="CF49" s="1169"/>
      <c r="CG49" s="1169"/>
      <c r="CH49" s="1169"/>
      <c r="CI49" s="1169"/>
      <c r="CJ49" s="1169"/>
      <c r="CK49" s="1169"/>
      <c r="CL49" s="1169"/>
      <c r="CM49" s="1169"/>
      <c r="CN49" s="1169"/>
      <c r="CO49" s="1169"/>
      <c r="CP49" s="1169"/>
      <c r="CQ49" s="1169"/>
      <c r="CR49" s="1169"/>
      <c r="CS49" s="1169"/>
      <c r="CT49" s="1169"/>
      <c r="CU49" s="1169"/>
      <c r="CV49" s="1169"/>
      <c r="CW49" s="1169"/>
      <c r="CX49" s="1169"/>
      <c r="CY49" s="1169"/>
      <c r="CZ49" s="1169"/>
      <c r="DA49" s="1169"/>
      <c r="DB49" s="1169"/>
      <c r="DC49" s="1169"/>
      <c r="DD49" s="1169"/>
      <c r="DE49" s="1169"/>
      <c r="DF49" s="1169"/>
      <c r="DG49" s="1169"/>
      <c r="DH49" s="1169"/>
      <c r="DI49" s="1169"/>
      <c r="DJ49" s="1169"/>
      <c r="DK49" s="1169"/>
      <c r="DL49" s="1169"/>
      <c r="DM49" s="1169"/>
      <c r="DN49" s="1169"/>
      <c r="DO49" s="1169"/>
      <c r="DP49" s="1169"/>
      <c r="DQ49" s="1169"/>
      <c r="DR49" s="1169"/>
      <c r="DS49" s="1169"/>
      <c r="DT49" s="1169"/>
      <c r="DU49" s="1169"/>
      <c r="DV49" s="1169"/>
      <c r="DW49" s="1169"/>
      <c r="DX49" s="1169"/>
      <c r="DY49" s="1169"/>
      <c r="DZ49" s="1169"/>
      <c r="EA49" s="1169"/>
      <c r="EB49" s="1169"/>
      <c r="EC49" s="1169"/>
      <c r="ED49" s="1169"/>
      <c r="EE49" s="1169"/>
      <c r="EF49" s="1169"/>
      <c r="EG49" s="1169"/>
      <c r="EH49" s="1169"/>
      <c r="EI49" s="1169"/>
      <c r="EJ49" s="1169"/>
      <c r="EK49" s="1169"/>
      <c r="EL49" s="1169"/>
      <c r="EM49" s="1169"/>
      <c r="EN49" s="1169"/>
      <c r="EO49" s="1169"/>
      <c r="EP49" s="1169"/>
      <c r="EQ49" s="1169"/>
      <c r="ER49" s="1169"/>
      <c r="ES49" s="1169"/>
      <c r="ET49" s="1169"/>
      <c r="EU49" s="1169"/>
      <c r="EV49" s="1169"/>
      <c r="EW49" s="1169"/>
      <c r="EX49" s="1169"/>
      <c r="EY49" s="1169"/>
      <c r="EZ49" s="1169"/>
      <c r="FA49" s="1169"/>
      <c r="FB49" s="1169"/>
      <c r="FC49" s="1169"/>
      <c r="FD49" s="1169"/>
      <c r="FE49" s="1169"/>
      <c r="FF49" s="1169"/>
      <c r="FG49" s="1169"/>
      <c r="FH49" s="1169"/>
      <c r="FI49" s="1169"/>
      <c r="FJ49" s="1169"/>
      <c r="FK49" s="1169"/>
      <c r="FL49" s="1169"/>
      <c r="FM49" s="1169"/>
      <c r="FN49" s="1169"/>
      <c r="FO49" s="1169"/>
      <c r="FP49" s="1169"/>
      <c r="FQ49" s="1169"/>
      <c r="FR49" s="1169"/>
      <c r="FS49" s="1169"/>
      <c r="FT49" s="1169"/>
      <c r="FU49" s="1169"/>
      <c r="FV49" s="1169"/>
      <c r="FW49" s="1169"/>
      <c r="FX49" s="1169"/>
      <c r="FY49" s="1169"/>
      <c r="FZ49" s="1169"/>
      <c r="GA49" s="1169"/>
      <c r="GB49" s="1169"/>
      <c r="GC49" s="1169"/>
      <c r="GD49" s="1169"/>
      <c r="GE49" s="1169"/>
      <c r="GF49" s="1169"/>
      <c r="GG49" s="1169"/>
      <c r="GH49" s="1169"/>
      <c r="GI49" s="1169"/>
      <c r="GJ49" s="1169"/>
      <c r="GK49" s="1169"/>
      <c r="GL49" s="1169"/>
      <c r="GM49" s="1169"/>
      <c r="GN49" s="1169"/>
      <c r="GO49" s="1169"/>
      <c r="GP49" s="1169"/>
      <c r="GQ49" s="1169"/>
      <c r="GR49" s="1169"/>
      <c r="GS49" s="1169"/>
      <c r="GT49" s="1169"/>
      <c r="GU49" s="1169">
        <v>576.9</v>
      </c>
      <c r="GV49" s="1169">
        <v>819.5</v>
      </c>
      <c r="GW49" s="1169">
        <v>246.3</v>
      </c>
      <c r="GX49" s="1169">
        <v>184.6</v>
      </c>
      <c r="GY49" s="1169">
        <v>427.2</v>
      </c>
      <c r="GZ49" s="1169">
        <v>265</v>
      </c>
      <c r="HA49" s="1169">
        <v>28.6</v>
      </c>
    </row>
    <row r="50" spans="1:209" x14ac:dyDescent="0.35">
      <c r="A50" s="1169" t="s">
        <v>505</v>
      </c>
      <c r="B50" s="1169"/>
      <c r="C50" s="1169"/>
      <c r="D50" s="1169"/>
      <c r="E50" s="1169"/>
      <c r="F50" s="1169"/>
      <c r="G50" s="1169"/>
      <c r="H50" s="1169"/>
      <c r="I50" s="1169"/>
      <c r="J50" s="1169"/>
      <c r="K50" s="1169"/>
      <c r="L50" s="1169"/>
      <c r="M50" s="1169"/>
      <c r="N50" s="1169"/>
      <c r="O50" s="1169"/>
      <c r="P50" s="1169"/>
      <c r="Q50" s="1169"/>
      <c r="R50" s="1169"/>
      <c r="S50" s="1169"/>
      <c r="T50" s="1169"/>
      <c r="U50" s="1169"/>
      <c r="V50" s="1169"/>
      <c r="W50" s="1169"/>
      <c r="X50" s="1169"/>
      <c r="Y50" s="1169"/>
      <c r="Z50" s="1169"/>
      <c r="AA50" s="1169"/>
      <c r="AB50" s="1169"/>
      <c r="AC50" s="1169"/>
      <c r="AD50" s="1169"/>
      <c r="AE50" s="1169"/>
      <c r="AF50" s="1169"/>
      <c r="AG50" s="1169"/>
      <c r="AH50" s="1169"/>
      <c r="AI50" s="1169"/>
      <c r="AJ50" s="1169"/>
      <c r="AK50" s="1169"/>
      <c r="AL50" s="1169"/>
      <c r="AM50" s="1169"/>
      <c r="AN50" s="1169"/>
      <c r="AO50" s="1169"/>
      <c r="AP50" s="1169"/>
      <c r="AQ50" s="1169"/>
      <c r="AR50" s="1169"/>
      <c r="AS50" s="1169"/>
      <c r="AT50" s="1169"/>
      <c r="AU50" s="1169"/>
      <c r="AV50" s="1169"/>
      <c r="AW50" s="1169"/>
      <c r="AX50" s="1169"/>
      <c r="AY50" s="1169"/>
      <c r="AZ50" s="1169"/>
      <c r="BA50" s="1169"/>
      <c r="BB50" s="1169"/>
      <c r="BC50" s="1169"/>
      <c r="BD50" s="1169"/>
      <c r="BE50" s="1169"/>
      <c r="BF50" s="1169"/>
      <c r="BG50" s="1169"/>
      <c r="BH50" s="1169"/>
      <c r="BI50" s="1169"/>
      <c r="BJ50" s="1169"/>
      <c r="BK50" s="1169"/>
      <c r="BL50" s="1169"/>
      <c r="BM50" s="1169"/>
      <c r="BN50" s="1169"/>
      <c r="BO50" s="1169"/>
      <c r="BP50" s="1169"/>
      <c r="BQ50" s="1169"/>
      <c r="BR50" s="1169"/>
      <c r="BS50" s="1169"/>
      <c r="BT50" s="1169"/>
      <c r="BU50" s="1169"/>
      <c r="BV50" s="1169"/>
      <c r="BW50" s="1169"/>
      <c r="BX50" s="1169"/>
      <c r="BY50" s="1169"/>
      <c r="BZ50" s="1169"/>
      <c r="CA50" s="1169"/>
      <c r="CB50" s="1169"/>
      <c r="CC50" s="1169"/>
      <c r="CD50" s="1169"/>
      <c r="CE50" s="1169"/>
      <c r="CF50" s="1169"/>
      <c r="CG50" s="1169"/>
      <c r="CH50" s="1169"/>
      <c r="CI50" s="1169"/>
      <c r="CJ50" s="1169"/>
      <c r="CK50" s="1169"/>
      <c r="CL50" s="1169"/>
      <c r="CM50" s="1169"/>
      <c r="CN50" s="1169"/>
      <c r="CO50" s="1169"/>
      <c r="CP50" s="1169"/>
      <c r="CQ50" s="1169"/>
      <c r="CR50" s="1169"/>
      <c r="CS50" s="1169"/>
      <c r="CT50" s="1169"/>
      <c r="CU50" s="1169"/>
      <c r="CV50" s="1169"/>
      <c r="CW50" s="1169"/>
      <c r="CX50" s="1169"/>
      <c r="CY50" s="1169"/>
      <c r="CZ50" s="1169"/>
      <c r="DA50" s="1169"/>
      <c r="DB50" s="1169"/>
      <c r="DC50" s="1169"/>
      <c r="DD50" s="1169"/>
      <c r="DE50" s="1169"/>
      <c r="DF50" s="1169"/>
      <c r="DG50" s="1169"/>
      <c r="DH50" s="1169"/>
      <c r="DI50" s="1169"/>
      <c r="DJ50" s="1169"/>
      <c r="DK50" s="1169"/>
      <c r="DL50" s="1169"/>
      <c r="DM50" s="1169"/>
      <c r="DN50" s="1169"/>
      <c r="DO50" s="1169"/>
      <c r="DP50" s="1169"/>
      <c r="DQ50" s="1169"/>
      <c r="DR50" s="1169"/>
      <c r="DS50" s="1169"/>
      <c r="DT50" s="1169"/>
      <c r="DU50" s="1169"/>
      <c r="DV50" s="1169"/>
      <c r="DW50" s="1169"/>
      <c r="DX50" s="1169"/>
      <c r="DY50" s="1169"/>
      <c r="DZ50" s="1169"/>
      <c r="EA50" s="1169"/>
      <c r="EB50" s="1169"/>
      <c r="EC50" s="1169"/>
      <c r="ED50" s="1169"/>
      <c r="EE50" s="1169"/>
      <c r="EF50" s="1169"/>
      <c r="EG50" s="1169"/>
      <c r="EH50" s="1169"/>
      <c r="EI50" s="1169"/>
      <c r="EJ50" s="1169"/>
      <c r="EK50" s="1169"/>
      <c r="EL50" s="1169"/>
      <c r="EM50" s="1169"/>
      <c r="EN50" s="1169"/>
      <c r="EO50" s="1169"/>
      <c r="EP50" s="1169"/>
      <c r="EQ50" s="1169"/>
      <c r="ER50" s="1169"/>
      <c r="ES50" s="1169"/>
      <c r="ET50" s="1169"/>
      <c r="EU50" s="1169"/>
      <c r="EV50" s="1169"/>
      <c r="EW50" s="1169"/>
      <c r="EX50" s="1169"/>
      <c r="EY50" s="1169"/>
      <c r="EZ50" s="1169"/>
      <c r="FA50" s="1169"/>
      <c r="FB50" s="1169"/>
      <c r="FC50" s="1169"/>
      <c r="FD50" s="1169"/>
      <c r="FE50" s="1169"/>
      <c r="FF50" s="1169"/>
      <c r="FG50" s="1169"/>
      <c r="FH50" s="1169"/>
      <c r="FI50" s="1169"/>
      <c r="FJ50" s="1169"/>
      <c r="FK50" s="1169"/>
      <c r="FL50" s="1169"/>
      <c r="FM50" s="1169"/>
      <c r="FN50" s="1169"/>
      <c r="FO50" s="1169"/>
      <c r="FP50" s="1169"/>
      <c r="FQ50" s="1169"/>
      <c r="FR50" s="1169"/>
      <c r="FS50" s="1169"/>
      <c r="FT50" s="1169"/>
      <c r="FU50" s="1169"/>
      <c r="FV50" s="1169"/>
      <c r="FW50" s="1169"/>
      <c r="FX50" s="1169"/>
      <c r="FY50" s="1169"/>
      <c r="FZ50" s="1169"/>
      <c r="GA50" s="1169"/>
      <c r="GB50" s="1169"/>
      <c r="GC50" s="1169"/>
      <c r="GD50" s="1169"/>
      <c r="GE50" s="1169"/>
      <c r="GF50" s="1169"/>
      <c r="GG50" s="1169"/>
      <c r="GH50" s="1169"/>
      <c r="GI50" s="1169"/>
      <c r="GJ50" s="1169"/>
      <c r="GK50" s="1169"/>
      <c r="GL50" s="1169"/>
      <c r="GM50" s="1169"/>
      <c r="GN50" s="1169"/>
      <c r="GO50" s="1169"/>
      <c r="GP50" s="1169"/>
      <c r="GQ50" s="1169"/>
      <c r="GR50" s="1169"/>
      <c r="GS50" s="1169"/>
      <c r="GT50" s="1169"/>
      <c r="GU50" s="1169">
        <v>63.8</v>
      </c>
      <c r="GV50" s="1169">
        <v>15</v>
      </c>
      <c r="GW50" s="1169">
        <v>0.1</v>
      </c>
      <c r="GX50" s="1169">
        <v>38</v>
      </c>
      <c r="GY50" s="1169">
        <v>47.3</v>
      </c>
      <c r="GZ50" s="1169">
        <v>0.7</v>
      </c>
      <c r="HA50" s="1169">
        <v>0</v>
      </c>
    </row>
    <row r="51" spans="1:209" x14ac:dyDescent="0.35">
      <c r="A51" s="1169" t="s">
        <v>504</v>
      </c>
      <c r="B51" s="1169"/>
      <c r="C51" s="1169"/>
      <c r="D51" s="1169"/>
      <c r="E51" s="1169"/>
      <c r="F51" s="1169"/>
      <c r="G51" s="1169"/>
      <c r="H51" s="1169"/>
      <c r="I51" s="1169"/>
      <c r="J51" s="1169"/>
      <c r="K51" s="1169"/>
      <c r="L51" s="1169"/>
      <c r="M51" s="1169"/>
      <c r="N51" s="1169"/>
      <c r="O51" s="1169"/>
      <c r="P51" s="1169"/>
      <c r="Q51" s="1169"/>
      <c r="R51" s="1169"/>
      <c r="S51" s="1169"/>
      <c r="T51" s="1169"/>
      <c r="U51" s="1169"/>
      <c r="V51" s="1169"/>
      <c r="W51" s="1169"/>
      <c r="X51" s="1169"/>
      <c r="Y51" s="1169"/>
      <c r="Z51" s="1169"/>
      <c r="AA51" s="1169"/>
      <c r="AB51" s="1169"/>
      <c r="AC51" s="1169"/>
      <c r="AD51" s="1169"/>
      <c r="AE51" s="1169"/>
      <c r="AF51" s="1169"/>
      <c r="AG51" s="1169"/>
      <c r="AH51" s="1169"/>
      <c r="AI51" s="1169"/>
      <c r="AJ51" s="1169"/>
      <c r="AK51" s="1169"/>
      <c r="AL51" s="1169"/>
      <c r="AM51" s="1169"/>
      <c r="AN51" s="1169"/>
      <c r="AO51" s="1169"/>
      <c r="AP51" s="1169"/>
      <c r="AQ51" s="1169"/>
      <c r="AR51" s="1169"/>
      <c r="AS51" s="1169"/>
      <c r="AT51" s="1169"/>
      <c r="AU51" s="1169"/>
      <c r="AV51" s="1169"/>
      <c r="AW51" s="1169"/>
      <c r="AX51" s="1169"/>
      <c r="AY51" s="1169"/>
      <c r="AZ51" s="1169"/>
      <c r="BA51" s="1169"/>
      <c r="BB51" s="1169"/>
      <c r="BC51" s="1169"/>
      <c r="BD51" s="1169"/>
      <c r="BE51" s="1169"/>
      <c r="BF51" s="1169"/>
      <c r="BG51" s="1169"/>
      <c r="BH51" s="1169"/>
      <c r="BI51" s="1169"/>
      <c r="BJ51" s="1169"/>
      <c r="BK51" s="1169"/>
      <c r="BL51" s="1169"/>
      <c r="BM51" s="1169"/>
      <c r="BN51" s="1169"/>
      <c r="BO51" s="1169"/>
      <c r="BP51" s="1169"/>
      <c r="BQ51" s="1169"/>
      <c r="BR51" s="1169"/>
      <c r="BS51" s="1169"/>
      <c r="BT51" s="1169"/>
      <c r="BU51" s="1169"/>
      <c r="BV51" s="1169"/>
      <c r="BW51" s="1169"/>
      <c r="BX51" s="1169"/>
      <c r="BY51" s="1169"/>
      <c r="BZ51" s="1169"/>
      <c r="CA51" s="1169"/>
      <c r="CB51" s="1169"/>
      <c r="CC51" s="1169"/>
      <c r="CD51" s="1169"/>
      <c r="CE51" s="1169"/>
      <c r="CF51" s="1169"/>
      <c r="CG51" s="1169"/>
      <c r="CH51" s="1169"/>
      <c r="CI51" s="1169"/>
      <c r="CJ51" s="1169"/>
      <c r="CK51" s="1169"/>
      <c r="CL51" s="1169"/>
      <c r="CM51" s="1169"/>
      <c r="CN51" s="1169"/>
      <c r="CO51" s="1169"/>
      <c r="CP51" s="1169"/>
      <c r="CQ51" s="1169"/>
      <c r="CR51" s="1169"/>
      <c r="CS51" s="1169"/>
      <c r="CT51" s="1169"/>
      <c r="CU51" s="1169"/>
      <c r="CV51" s="1169"/>
      <c r="CW51" s="1169"/>
      <c r="CX51" s="1169"/>
      <c r="CY51" s="1169"/>
      <c r="CZ51" s="1169"/>
      <c r="DA51" s="1169"/>
      <c r="DB51" s="1169"/>
      <c r="DC51" s="1169"/>
      <c r="DD51" s="1169"/>
      <c r="DE51" s="1169"/>
      <c r="DF51" s="1169"/>
      <c r="DG51" s="1169"/>
      <c r="DH51" s="1169"/>
      <c r="DI51" s="1169"/>
      <c r="DJ51" s="1169"/>
      <c r="DK51" s="1169"/>
      <c r="DL51" s="1169"/>
      <c r="DM51" s="1169"/>
      <c r="DN51" s="1169"/>
      <c r="DO51" s="1169"/>
      <c r="DP51" s="1169"/>
      <c r="DQ51" s="1169"/>
      <c r="DR51" s="1169"/>
      <c r="DS51" s="1169"/>
      <c r="DT51" s="1169"/>
      <c r="DU51" s="1169"/>
      <c r="DV51" s="1169"/>
      <c r="DW51" s="1169"/>
      <c r="DX51" s="1169"/>
      <c r="DY51" s="1169"/>
      <c r="DZ51" s="1169"/>
      <c r="EA51" s="1169"/>
      <c r="EB51" s="1169"/>
      <c r="EC51" s="1169"/>
      <c r="ED51" s="1169"/>
      <c r="EE51" s="1169"/>
      <c r="EF51" s="1169"/>
      <c r="EG51" s="1169"/>
      <c r="EH51" s="1169"/>
      <c r="EI51" s="1169"/>
      <c r="EJ51" s="1169"/>
      <c r="EK51" s="1169"/>
      <c r="EL51" s="1169"/>
      <c r="EM51" s="1169"/>
      <c r="EN51" s="1169"/>
      <c r="EO51" s="1169"/>
      <c r="EP51" s="1169"/>
      <c r="EQ51" s="1169"/>
      <c r="ER51" s="1169"/>
      <c r="ES51" s="1169"/>
      <c r="ET51" s="1169"/>
      <c r="EU51" s="1169"/>
      <c r="EV51" s="1169"/>
      <c r="EW51" s="1169"/>
      <c r="EX51" s="1169"/>
      <c r="EY51" s="1169"/>
      <c r="EZ51" s="1169"/>
      <c r="FA51" s="1169"/>
      <c r="FB51" s="1169"/>
      <c r="FC51" s="1169"/>
      <c r="FD51" s="1169"/>
      <c r="FE51" s="1169"/>
      <c r="FF51" s="1169"/>
      <c r="FG51" s="1169"/>
      <c r="FH51" s="1169"/>
      <c r="FI51" s="1169"/>
      <c r="FJ51" s="1169"/>
      <c r="FK51" s="1169"/>
      <c r="FL51" s="1169"/>
      <c r="FM51" s="1169"/>
      <c r="FN51" s="1169"/>
      <c r="FO51" s="1169"/>
      <c r="FP51" s="1169"/>
      <c r="FQ51" s="1169"/>
      <c r="FR51" s="1169"/>
      <c r="FS51" s="1169"/>
      <c r="FT51" s="1169"/>
      <c r="FU51" s="1169"/>
      <c r="FV51" s="1169"/>
      <c r="FW51" s="1169"/>
      <c r="FX51" s="1169"/>
      <c r="FY51" s="1169"/>
      <c r="FZ51" s="1169"/>
      <c r="GA51" s="1169"/>
      <c r="GB51" s="1169"/>
      <c r="GC51" s="1169"/>
      <c r="GD51" s="1169"/>
      <c r="GE51" s="1169"/>
      <c r="GF51" s="1169"/>
      <c r="GG51" s="1169"/>
      <c r="GH51" s="1169"/>
      <c r="GI51" s="1169"/>
      <c r="GJ51" s="1169"/>
      <c r="GK51" s="1169"/>
      <c r="GL51" s="1169"/>
      <c r="GM51" s="1169"/>
      <c r="GN51" s="1169"/>
      <c r="GO51" s="1169"/>
      <c r="GP51" s="1169"/>
      <c r="GQ51" s="1169"/>
      <c r="GR51" s="1169"/>
      <c r="GS51" s="1169"/>
      <c r="GT51" s="1169"/>
      <c r="GU51" s="1169">
        <v>73.3</v>
      </c>
      <c r="GV51" s="1169">
        <v>73.3</v>
      </c>
      <c r="GW51" s="1169">
        <v>73.3</v>
      </c>
      <c r="GX51" s="1169">
        <v>62.9</v>
      </c>
      <c r="GY51" s="1169">
        <v>62.9</v>
      </c>
      <c r="GZ51" s="1169">
        <v>62.9</v>
      </c>
      <c r="HA51" s="1169">
        <v>62.9</v>
      </c>
    </row>
    <row r="52" spans="1:209" x14ac:dyDescent="0.35">
      <c r="A52" s="1169" t="s">
        <v>507</v>
      </c>
      <c r="B52" s="1169"/>
      <c r="C52" s="1169"/>
      <c r="D52" s="1169"/>
      <c r="E52" s="1169"/>
      <c r="F52" s="1169"/>
      <c r="G52" s="1169"/>
      <c r="H52" s="1169"/>
      <c r="I52" s="1169"/>
      <c r="J52" s="1169"/>
      <c r="K52" s="1169"/>
      <c r="L52" s="1169"/>
      <c r="M52" s="1169"/>
      <c r="N52" s="1169"/>
      <c r="O52" s="1169"/>
      <c r="P52" s="1169"/>
      <c r="Q52" s="1169"/>
      <c r="R52" s="1169"/>
      <c r="S52" s="1169"/>
      <c r="T52" s="1169"/>
      <c r="U52" s="1169"/>
      <c r="V52" s="1169"/>
      <c r="W52" s="1169"/>
      <c r="X52" s="1169"/>
      <c r="Y52" s="1169"/>
      <c r="Z52" s="1169"/>
      <c r="AA52" s="1169"/>
      <c r="AB52" s="1169"/>
      <c r="AC52" s="1169"/>
      <c r="AD52" s="1169"/>
      <c r="AE52" s="1169"/>
      <c r="AF52" s="1169"/>
      <c r="AG52" s="1169"/>
      <c r="AH52" s="1169"/>
      <c r="AI52" s="1169"/>
      <c r="AJ52" s="1169"/>
      <c r="AK52" s="1169"/>
      <c r="AL52" s="1169"/>
      <c r="AM52" s="1169"/>
      <c r="AN52" s="1169"/>
      <c r="AO52" s="1169"/>
      <c r="AP52" s="1169"/>
      <c r="AQ52" s="1169"/>
      <c r="AR52" s="1169"/>
      <c r="AS52" s="1169"/>
      <c r="AT52" s="1169"/>
      <c r="AU52" s="1169"/>
      <c r="AV52" s="1169"/>
      <c r="AW52" s="1169"/>
      <c r="AX52" s="1169"/>
      <c r="AY52" s="1169"/>
      <c r="AZ52" s="1169"/>
      <c r="BA52" s="1169"/>
      <c r="BB52" s="1169"/>
      <c r="BC52" s="1169"/>
      <c r="BD52" s="1169"/>
      <c r="BE52" s="1169"/>
      <c r="BF52" s="1169"/>
      <c r="BG52" s="1169"/>
      <c r="BH52" s="1169"/>
      <c r="BI52" s="1169"/>
      <c r="BJ52" s="1169"/>
      <c r="BK52" s="1169"/>
      <c r="BL52" s="1169"/>
      <c r="BM52" s="1169"/>
      <c r="BN52" s="1169"/>
      <c r="BO52" s="1169"/>
      <c r="BP52" s="1169"/>
      <c r="BQ52" s="1169"/>
      <c r="BR52" s="1169"/>
      <c r="BS52" s="1169"/>
      <c r="BT52" s="1169"/>
      <c r="BU52" s="1169"/>
      <c r="BV52" s="1169"/>
      <c r="BW52" s="1169"/>
      <c r="BX52" s="1169"/>
      <c r="BY52" s="1169"/>
      <c r="BZ52" s="1169"/>
      <c r="CA52" s="1169"/>
      <c r="CB52" s="1169"/>
      <c r="CC52" s="1169"/>
      <c r="CD52" s="1169"/>
      <c r="CE52" s="1169"/>
      <c r="CF52" s="1169"/>
      <c r="CG52" s="1169"/>
      <c r="CH52" s="1169"/>
      <c r="CI52" s="1169"/>
      <c r="CJ52" s="1169"/>
      <c r="CK52" s="1169"/>
      <c r="CL52" s="1169"/>
      <c r="CM52" s="1169"/>
      <c r="CN52" s="1169"/>
      <c r="CO52" s="1169"/>
      <c r="CP52" s="1169"/>
      <c r="CQ52" s="1169"/>
      <c r="CR52" s="1169"/>
      <c r="CS52" s="1169"/>
      <c r="CT52" s="1169"/>
      <c r="CU52" s="1169"/>
      <c r="CV52" s="1169"/>
      <c r="CW52" s="1169"/>
      <c r="CX52" s="1169"/>
      <c r="CY52" s="1169"/>
      <c r="CZ52" s="1169"/>
      <c r="DA52" s="1169"/>
      <c r="DB52" s="1169"/>
      <c r="DC52" s="1169"/>
      <c r="DD52" s="1169"/>
      <c r="DE52" s="1169"/>
      <c r="DF52" s="1169"/>
      <c r="DG52" s="1169"/>
      <c r="DH52" s="1169"/>
      <c r="DI52" s="1169"/>
      <c r="DJ52" s="1169"/>
      <c r="DK52" s="1169"/>
      <c r="DL52" s="1169"/>
      <c r="DM52" s="1169"/>
      <c r="DN52" s="1169"/>
      <c r="DO52" s="1169"/>
      <c r="DP52" s="1169"/>
      <c r="DQ52" s="1169"/>
      <c r="DR52" s="1169"/>
      <c r="DS52" s="1169"/>
      <c r="DT52" s="1169"/>
      <c r="DU52" s="1169"/>
      <c r="DV52" s="1169"/>
      <c r="DW52" s="1169"/>
      <c r="DX52" s="1169"/>
      <c r="DY52" s="1169"/>
      <c r="DZ52" s="1169"/>
      <c r="EA52" s="1169"/>
      <c r="EB52" s="1169"/>
      <c r="EC52" s="1169"/>
      <c r="ED52" s="1169"/>
      <c r="EE52" s="1169"/>
      <c r="EF52" s="1169"/>
      <c r="EG52" s="1169"/>
      <c r="EH52" s="1169"/>
      <c r="EI52" s="1169"/>
      <c r="EJ52" s="1169"/>
      <c r="EK52" s="1169"/>
      <c r="EL52" s="1169"/>
      <c r="EM52" s="1169"/>
      <c r="EN52" s="1169"/>
      <c r="EO52" s="1169"/>
      <c r="EP52" s="1169"/>
      <c r="EQ52" s="1169"/>
      <c r="ER52" s="1169"/>
      <c r="ES52" s="1169"/>
      <c r="ET52" s="1169"/>
      <c r="EU52" s="1169"/>
      <c r="EV52" s="1169"/>
      <c r="EW52" s="1169"/>
      <c r="EX52" s="1169"/>
      <c r="EY52" s="1169"/>
      <c r="EZ52" s="1169"/>
      <c r="FA52" s="1169"/>
      <c r="FB52" s="1169"/>
      <c r="FC52" s="1169"/>
      <c r="FD52" s="1169"/>
      <c r="FE52" s="1169"/>
      <c r="FF52" s="1169"/>
      <c r="FG52" s="1169"/>
      <c r="FH52" s="1169"/>
      <c r="FI52" s="1169"/>
      <c r="FJ52" s="1169"/>
      <c r="FK52" s="1169"/>
      <c r="FL52" s="1169"/>
      <c r="FM52" s="1169"/>
      <c r="FN52" s="1169"/>
      <c r="FO52" s="1169"/>
      <c r="FP52" s="1169"/>
      <c r="FQ52" s="1169"/>
      <c r="FR52" s="1169"/>
      <c r="FS52" s="1169"/>
      <c r="FT52" s="1169"/>
      <c r="FU52" s="1169"/>
      <c r="FV52" s="1169"/>
      <c r="FW52" s="1169"/>
      <c r="FX52" s="1169"/>
      <c r="FY52" s="1169"/>
      <c r="FZ52" s="1169"/>
      <c r="GA52" s="1169"/>
      <c r="GB52" s="1169"/>
      <c r="GC52" s="1169"/>
      <c r="GD52" s="1169"/>
      <c r="GE52" s="1169"/>
      <c r="GF52" s="1169"/>
      <c r="GG52" s="1169"/>
      <c r="GH52" s="1169"/>
      <c r="GI52" s="1169"/>
      <c r="GJ52" s="1169"/>
      <c r="GK52" s="1169"/>
      <c r="GL52" s="1169"/>
      <c r="GM52" s="1169"/>
      <c r="GN52" s="1169"/>
      <c r="GO52" s="1169"/>
      <c r="GP52" s="1169"/>
      <c r="GQ52" s="1169"/>
      <c r="GR52" s="1169"/>
      <c r="GS52" s="1169"/>
      <c r="GT52" s="1169"/>
      <c r="GU52" s="1169">
        <v>22</v>
      </c>
      <c r="GV52" s="1169">
        <v>25.3</v>
      </c>
      <c r="GW52" s="1169">
        <v>11.8</v>
      </c>
      <c r="GX52" s="1169">
        <v>9.8000000000000007</v>
      </c>
      <c r="GY52" s="1169">
        <v>12.3</v>
      </c>
      <c r="GZ52" s="1169">
        <v>18.5</v>
      </c>
      <c r="HA52" s="1169">
        <v>15.7</v>
      </c>
    </row>
    <row r="53" spans="1:209" x14ac:dyDescent="0.35">
      <c r="A53" s="1169" t="s">
        <v>503</v>
      </c>
      <c r="B53" s="1169"/>
      <c r="C53" s="1169"/>
      <c r="D53" s="1169"/>
      <c r="E53" s="1169"/>
      <c r="F53" s="1169"/>
      <c r="G53" s="1169"/>
      <c r="H53" s="1169"/>
      <c r="I53" s="1169"/>
      <c r="J53" s="1169"/>
      <c r="K53" s="1169"/>
      <c r="L53" s="1169"/>
      <c r="M53" s="1169"/>
      <c r="N53" s="1169"/>
      <c r="O53" s="1169"/>
      <c r="P53" s="1169"/>
      <c r="Q53" s="1169"/>
      <c r="R53" s="1169"/>
      <c r="S53" s="1169"/>
      <c r="T53" s="1169"/>
      <c r="U53" s="1169"/>
      <c r="V53" s="1169"/>
      <c r="W53" s="1169"/>
      <c r="X53" s="1169"/>
      <c r="Y53" s="1169"/>
      <c r="Z53" s="1169"/>
      <c r="AA53" s="1169"/>
      <c r="AB53" s="1169"/>
      <c r="AC53" s="1169"/>
      <c r="AD53" s="1169"/>
      <c r="AE53" s="1169"/>
      <c r="AF53" s="1169"/>
      <c r="AG53" s="1169"/>
      <c r="AH53" s="1169"/>
      <c r="AI53" s="1169"/>
      <c r="AJ53" s="1169"/>
      <c r="AK53" s="1169"/>
      <c r="AL53" s="1169"/>
      <c r="AM53" s="1169"/>
      <c r="AN53" s="1169"/>
      <c r="AO53" s="1169"/>
      <c r="AP53" s="1169"/>
      <c r="AQ53" s="1169"/>
      <c r="AR53" s="1169"/>
      <c r="AS53" s="1169"/>
      <c r="AT53" s="1169"/>
      <c r="AU53" s="1169"/>
      <c r="AV53" s="1169"/>
      <c r="AW53" s="1169"/>
      <c r="AX53" s="1169"/>
      <c r="AY53" s="1169"/>
      <c r="AZ53" s="1169"/>
      <c r="BA53" s="1169"/>
      <c r="BB53" s="1169"/>
      <c r="BC53" s="1169"/>
      <c r="BD53" s="1169"/>
      <c r="BE53" s="1169"/>
      <c r="BF53" s="1169"/>
      <c r="BG53" s="1169"/>
      <c r="BH53" s="1169"/>
      <c r="BI53" s="1169"/>
      <c r="BJ53" s="1169"/>
      <c r="BK53" s="1169"/>
      <c r="BL53" s="1169"/>
      <c r="BM53" s="1169"/>
      <c r="BN53" s="1169"/>
      <c r="BO53" s="1169"/>
      <c r="BP53" s="1169"/>
      <c r="BQ53" s="1169"/>
      <c r="BR53" s="1169"/>
      <c r="BS53" s="1169"/>
      <c r="BT53" s="1169"/>
      <c r="BU53" s="1169"/>
      <c r="BV53" s="1169"/>
      <c r="BW53" s="1169"/>
      <c r="BX53" s="1169"/>
      <c r="BY53" s="1169"/>
      <c r="BZ53" s="1169"/>
      <c r="CA53" s="1169"/>
      <c r="CB53" s="1169"/>
      <c r="CC53" s="1169"/>
      <c r="CD53" s="1169"/>
      <c r="CE53" s="1169"/>
      <c r="CF53" s="1169"/>
      <c r="CG53" s="1169"/>
      <c r="CH53" s="1169"/>
      <c r="CI53" s="1169"/>
      <c r="CJ53" s="1169"/>
      <c r="CK53" s="1169"/>
      <c r="CL53" s="1169"/>
      <c r="CM53" s="1169"/>
      <c r="CN53" s="1169"/>
      <c r="CO53" s="1169"/>
      <c r="CP53" s="1169"/>
      <c r="CQ53" s="1169"/>
      <c r="CR53" s="1169"/>
      <c r="CS53" s="1169"/>
      <c r="CT53" s="1169"/>
      <c r="CU53" s="1169"/>
      <c r="CV53" s="1169"/>
      <c r="CW53" s="1169"/>
      <c r="CX53" s="1169"/>
      <c r="CY53" s="1169"/>
      <c r="CZ53" s="1169"/>
      <c r="DA53" s="1169"/>
      <c r="DB53" s="1169"/>
      <c r="DC53" s="1169"/>
      <c r="DD53" s="1169"/>
      <c r="DE53" s="1169"/>
      <c r="DF53" s="1169"/>
      <c r="DG53" s="1169"/>
      <c r="DH53" s="1169"/>
      <c r="DI53" s="1169"/>
      <c r="DJ53" s="1169"/>
      <c r="DK53" s="1169"/>
      <c r="DL53" s="1169"/>
      <c r="DM53" s="1169"/>
      <c r="DN53" s="1169"/>
      <c r="DO53" s="1169"/>
      <c r="DP53" s="1169"/>
      <c r="DQ53" s="1169"/>
      <c r="DR53" s="1169"/>
      <c r="DS53" s="1169"/>
      <c r="DT53" s="1169"/>
      <c r="DU53" s="1169"/>
      <c r="DV53" s="1169"/>
      <c r="DW53" s="1169"/>
      <c r="DX53" s="1169"/>
      <c r="DY53" s="1169"/>
      <c r="DZ53" s="1169"/>
      <c r="EA53" s="1169"/>
      <c r="EB53" s="1169"/>
      <c r="EC53" s="1169"/>
      <c r="ED53" s="1169"/>
      <c r="EE53" s="1169"/>
      <c r="EF53" s="1169"/>
      <c r="EG53" s="1169"/>
      <c r="EH53" s="1169"/>
      <c r="EI53" s="1169"/>
      <c r="EJ53" s="1169"/>
      <c r="EK53" s="1169"/>
      <c r="EL53" s="1169"/>
      <c r="EM53" s="1169"/>
      <c r="EN53" s="1169"/>
      <c r="EO53" s="1169"/>
      <c r="EP53" s="1169"/>
      <c r="EQ53" s="1169"/>
      <c r="ER53" s="1169"/>
      <c r="ES53" s="1169"/>
      <c r="ET53" s="1169"/>
      <c r="EU53" s="1169"/>
      <c r="EV53" s="1169"/>
      <c r="EW53" s="1169"/>
      <c r="EX53" s="1169"/>
      <c r="EY53" s="1169"/>
      <c r="EZ53" s="1169"/>
      <c r="FA53" s="1169"/>
      <c r="FB53" s="1169"/>
      <c r="FC53" s="1169"/>
      <c r="FD53" s="1169"/>
      <c r="FE53" s="1169"/>
      <c r="FF53" s="1169"/>
      <c r="FG53" s="1169"/>
      <c r="FH53" s="1169"/>
      <c r="FI53" s="1169"/>
      <c r="FJ53" s="1169"/>
      <c r="FK53" s="1169"/>
      <c r="FL53" s="1169"/>
      <c r="FM53" s="1169"/>
      <c r="FN53" s="1169"/>
      <c r="FO53" s="1169"/>
      <c r="FP53" s="1169"/>
      <c r="FQ53" s="1169"/>
      <c r="FR53" s="1169"/>
      <c r="FS53" s="1169"/>
      <c r="FT53" s="1169"/>
      <c r="FU53" s="1169"/>
      <c r="FV53" s="1169"/>
      <c r="FW53" s="1169"/>
      <c r="FX53" s="1169"/>
      <c r="FY53" s="1169"/>
      <c r="FZ53" s="1169"/>
      <c r="GA53" s="1169"/>
      <c r="GB53" s="1169"/>
      <c r="GC53" s="1169"/>
      <c r="GD53" s="1169"/>
      <c r="GE53" s="1169"/>
      <c r="GF53" s="1169"/>
      <c r="GG53" s="1169"/>
      <c r="GH53" s="1169"/>
      <c r="GI53" s="1169"/>
      <c r="GJ53" s="1169"/>
      <c r="GK53" s="1169"/>
      <c r="GL53" s="1169"/>
      <c r="GM53" s="1169"/>
      <c r="GN53" s="1169"/>
      <c r="GO53" s="1169"/>
      <c r="GP53" s="1169"/>
      <c r="GQ53" s="1169"/>
      <c r="GR53" s="1169"/>
      <c r="GS53" s="1169"/>
      <c r="GT53" s="1169"/>
      <c r="GU53" s="1169">
        <v>16.899999999999999</v>
      </c>
      <c r="GV53" s="1169">
        <v>18.399999999999999</v>
      </c>
      <c r="GW53" s="1169">
        <v>46.2</v>
      </c>
      <c r="GX53" s="1169">
        <v>0.9</v>
      </c>
      <c r="GY53" s="1169">
        <v>14.3</v>
      </c>
      <c r="GZ53" s="1169">
        <v>8.6999999999999993</v>
      </c>
      <c r="HA53" s="1169">
        <v>1.2</v>
      </c>
    </row>
    <row r="54" spans="1:209" x14ac:dyDescent="0.35">
      <c r="A54" s="1169" t="s">
        <v>382</v>
      </c>
      <c r="B54" s="1169"/>
      <c r="C54" s="1169"/>
      <c r="D54" s="1169"/>
      <c r="E54" s="1169"/>
      <c r="F54" s="1169"/>
      <c r="G54" s="1169"/>
      <c r="H54" s="1169"/>
      <c r="I54" s="1169"/>
      <c r="J54" s="1169"/>
      <c r="K54" s="1169"/>
      <c r="L54" s="1169"/>
      <c r="M54" s="1169"/>
      <c r="N54" s="1169"/>
      <c r="O54" s="1169"/>
      <c r="P54" s="1169"/>
      <c r="Q54" s="1169"/>
      <c r="R54" s="1169"/>
      <c r="S54" s="1169"/>
      <c r="T54" s="1169"/>
      <c r="U54" s="1169"/>
      <c r="V54" s="1169"/>
      <c r="W54" s="1169"/>
      <c r="X54" s="1169"/>
      <c r="Y54" s="1169"/>
      <c r="Z54" s="1169"/>
      <c r="AA54" s="1169"/>
      <c r="AB54" s="1169"/>
      <c r="AC54" s="1169"/>
      <c r="AD54" s="1169"/>
      <c r="AE54" s="1169"/>
      <c r="AF54" s="1169"/>
      <c r="AG54" s="1169"/>
      <c r="AH54" s="1169"/>
      <c r="AI54" s="1169"/>
      <c r="AJ54" s="1169"/>
      <c r="AK54" s="1169"/>
      <c r="AL54" s="1169"/>
      <c r="AM54" s="1169"/>
      <c r="AN54" s="1169"/>
      <c r="AO54" s="1169"/>
      <c r="AP54" s="1169"/>
      <c r="AQ54" s="1169"/>
      <c r="AR54" s="1169"/>
      <c r="AS54" s="1169"/>
      <c r="AT54" s="1169"/>
      <c r="AU54" s="1169"/>
      <c r="AV54" s="1169"/>
      <c r="AW54" s="1169"/>
      <c r="AX54" s="1169"/>
      <c r="AY54" s="1169"/>
      <c r="AZ54" s="1169"/>
      <c r="BA54" s="1169"/>
      <c r="BB54" s="1169"/>
      <c r="BC54" s="1169"/>
      <c r="BD54" s="1169"/>
      <c r="BE54" s="1169"/>
      <c r="BF54" s="1169"/>
      <c r="BG54" s="1169"/>
      <c r="BH54" s="1169"/>
      <c r="BI54" s="1169"/>
      <c r="BJ54" s="1169"/>
      <c r="BK54" s="1169"/>
      <c r="BL54" s="1169"/>
      <c r="BM54" s="1169"/>
      <c r="BN54" s="1169"/>
      <c r="BO54" s="1169"/>
      <c r="BP54" s="1169"/>
      <c r="BQ54" s="1169"/>
      <c r="BR54" s="1169"/>
      <c r="BS54" s="1169"/>
      <c r="BT54" s="1169"/>
      <c r="BU54" s="1169"/>
      <c r="BV54" s="1169"/>
      <c r="BW54" s="1169"/>
      <c r="BX54" s="1169"/>
      <c r="BY54" s="1169"/>
      <c r="BZ54" s="1169"/>
      <c r="CA54" s="1169"/>
      <c r="CB54" s="1169"/>
      <c r="CC54" s="1169"/>
      <c r="CD54" s="1169"/>
      <c r="CE54" s="1169"/>
      <c r="CF54" s="1169"/>
      <c r="CG54" s="1169"/>
      <c r="CH54" s="1169"/>
      <c r="CI54" s="1169"/>
      <c r="CJ54" s="1169"/>
      <c r="CK54" s="1169"/>
      <c r="CL54" s="1169"/>
      <c r="CM54" s="1169"/>
      <c r="CN54" s="1169"/>
      <c r="CO54" s="1169"/>
      <c r="CP54" s="1169"/>
      <c r="CQ54" s="1169"/>
      <c r="CR54" s="1169"/>
      <c r="CS54" s="1169"/>
      <c r="CT54" s="1169"/>
      <c r="CU54" s="1169"/>
      <c r="CV54" s="1169"/>
      <c r="CW54" s="1169"/>
      <c r="CX54" s="1169"/>
      <c r="CY54" s="1169"/>
      <c r="CZ54" s="1169"/>
      <c r="DA54" s="1169"/>
      <c r="DB54" s="1169"/>
      <c r="DC54" s="1169"/>
      <c r="DD54" s="1169"/>
      <c r="DE54" s="1169"/>
      <c r="DF54" s="1169"/>
      <c r="DG54" s="1169"/>
      <c r="DH54" s="1169"/>
      <c r="DI54" s="1169"/>
      <c r="DJ54" s="1169"/>
      <c r="DK54" s="1169"/>
      <c r="DL54" s="1169"/>
      <c r="DM54" s="1169"/>
      <c r="DN54" s="1169"/>
      <c r="DO54" s="1169"/>
      <c r="DP54" s="1169"/>
      <c r="DQ54" s="1169"/>
      <c r="DR54" s="1169"/>
      <c r="DS54" s="1169"/>
      <c r="DT54" s="1169"/>
      <c r="DU54" s="1169"/>
      <c r="DV54" s="1169"/>
      <c r="DW54" s="1169"/>
      <c r="DX54" s="1169"/>
      <c r="DY54" s="1169"/>
      <c r="DZ54" s="1169"/>
      <c r="EA54" s="1169"/>
      <c r="EB54" s="1169"/>
      <c r="EC54" s="1169"/>
      <c r="ED54" s="1169"/>
      <c r="EE54" s="1169"/>
      <c r="EF54" s="1169"/>
      <c r="EG54" s="1169"/>
      <c r="EH54" s="1169"/>
      <c r="EI54" s="1169"/>
      <c r="EJ54" s="1169"/>
      <c r="EK54" s="1169"/>
      <c r="EL54" s="1169"/>
      <c r="EM54" s="1169"/>
      <c r="EN54" s="1169"/>
      <c r="EO54" s="1169"/>
      <c r="EP54" s="1169"/>
      <c r="EQ54" s="1169"/>
      <c r="ER54" s="1169"/>
      <c r="ES54" s="1169"/>
      <c r="ET54" s="1169"/>
      <c r="EU54" s="1169"/>
      <c r="EV54" s="1169"/>
      <c r="EW54" s="1169"/>
      <c r="EX54" s="1169"/>
      <c r="EY54" s="1169"/>
      <c r="EZ54" s="1169"/>
      <c r="FA54" s="1169"/>
      <c r="FB54" s="1169"/>
      <c r="FC54" s="1169"/>
      <c r="FD54" s="1169"/>
      <c r="FE54" s="1169"/>
      <c r="FF54" s="1169"/>
      <c r="FG54" s="1169"/>
      <c r="FH54" s="1169"/>
      <c r="FI54" s="1169"/>
      <c r="FJ54" s="1169"/>
      <c r="FK54" s="1169"/>
      <c r="FL54" s="1169"/>
      <c r="FM54" s="1169"/>
      <c r="FN54" s="1169"/>
      <c r="FO54" s="1169"/>
      <c r="FP54" s="1169"/>
      <c r="FQ54" s="1169"/>
      <c r="FR54" s="1169"/>
      <c r="FS54" s="1169"/>
      <c r="FT54" s="1169"/>
      <c r="FU54" s="1169"/>
      <c r="FV54" s="1169"/>
      <c r="FW54" s="1169"/>
      <c r="FX54" s="1169"/>
      <c r="FY54" s="1169"/>
      <c r="FZ54" s="1169"/>
      <c r="GA54" s="1169"/>
      <c r="GB54" s="1169"/>
      <c r="GC54" s="1169"/>
      <c r="GD54" s="1169"/>
      <c r="GE54" s="1169"/>
      <c r="GF54" s="1169"/>
      <c r="GG54" s="1169"/>
      <c r="GH54" s="1169"/>
      <c r="GI54" s="1169"/>
      <c r="GJ54" s="1169"/>
      <c r="GK54" s="1169"/>
      <c r="GL54" s="1169"/>
      <c r="GM54" s="1169"/>
      <c r="GN54" s="1169"/>
      <c r="GO54" s="1169"/>
      <c r="GP54" s="1169"/>
      <c r="GQ54" s="1169"/>
      <c r="GR54" s="1169"/>
      <c r="GS54" s="1169"/>
      <c r="GT54" s="1169"/>
      <c r="GU54" s="1169">
        <v>96.6</v>
      </c>
      <c r="GV54" s="1169">
        <v>35.1</v>
      </c>
      <c r="GW54" s="1169">
        <v>20.7</v>
      </c>
      <c r="GX54" s="1169">
        <v>25.7</v>
      </c>
      <c r="GY54" s="1169">
        <v>16</v>
      </c>
      <c r="GZ54" s="1169">
        <v>22.4</v>
      </c>
      <c r="HA54" s="1169">
        <v>38.700000000000003</v>
      </c>
    </row>
    <row r="55" spans="1:209" x14ac:dyDescent="0.35">
      <c r="A55" s="1169" t="s">
        <v>508</v>
      </c>
      <c r="B55" s="1169"/>
      <c r="C55" s="1169"/>
      <c r="D55" s="1169"/>
      <c r="E55" s="1169"/>
      <c r="F55" s="1169"/>
      <c r="G55" s="1169"/>
      <c r="H55" s="1169"/>
      <c r="I55" s="1169"/>
      <c r="J55" s="1169"/>
      <c r="K55" s="1169"/>
      <c r="L55" s="1169"/>
      <c r="M55" s="1169"/>
      <c r="N55" s="1169"/>
      <c r="O55" s="1169"/>
      <c r="P55" s="1169"/>
      <c r="Q55" s="1169"/>
      <c r="R55" s="1169"/>
      <c r="S55" s="1169"/>
      <c r="T55" s="1169"/>
      <c r="U55" s="1169"/>
      <c r="V55" s="1169"/>
      <c r="W55" s="1169"/>
      <c r="X55" s="1169"/>
      <c r="Y55" s="1169"/>
      <c r="Z55" s="1169"/>
      <c r="AA55" s="1169"/>
      <c r="AB55" s="1169"/>
      <c r="AC55" s="1169"/>
      <c r="AD55" s="1169"/>
      <c r="AE55" s="1169"/>
      <c r="AF55" s="1169"/>
      <c r="AG55" s="1169"/>
      <c r="AH55" s="1169"/>
      <c r="AI55" s="1169"/>
      <c r="AJ55" s="1169"/>
      <c r="AK55" s="1169"/>
      <c r="AL55" s="1169"/>
      <c r="AM55" s="1169"/>
      <c r="AN55" s="1169"/>
      <c r="AO55" s="1169"/>
      <c r="AP55" s="1169"/>
      <c r="AQ55" s="1169"/>
      <c r="AR55" s="1169"/>
      <c r="AS55" s="1169"/>
      <c r="AT55" s="1169"/>
      <c r="AU55" s="1169"/>
      <c r="AV55" s="1169"/>
      <c r="AW55" s="1169"/>
      <c r="AX55" s="1169"/>
      <c r="AY55" s="1169"/>
      <c r="AZ55" s="1169"/>
      <c r="BA55" s="1169"/>
      <c r="BB55" s="1169"/>
      <c r="BC55" s="1169"/>
      <c r="BD55" s="1169"/>
      <c r="BE55" s="1169"/>
      <c r="BF55" s="1169"/>
      <c r="BG55" s="1169"/>
      <c r="BH55" s="1169"/>
      <c r="BI55" s="1169"/>
      <c r="BJ55" s="1169"/>
      <c r="BK55" s="1169"/>
      <c r="BL55" s="1169"/>
      <c r="BM55" s="1169"/>
      <c r="BN55" s="1169"/>
      <c r="BO55" s="1169"/>
      <c r="BP55" s="1169"/>
      <c r="BQ55" s="1169"/>
      <c r="BR55" s="1169"/>
      <c r="BS55" s="1169"/>
      <c r="BT55" s="1169"/>
      <c r="BU55" s="1169"/>
      <c r="BV55" s="1169"/>
      <c r="BW55" s="1169"/>
      <c r="BX55" s="1169"/>
      <c r="BY55" s="1169"/>
      <c r="BZ55" s="1169"/>
      <c r="CA55" s="1169"/>
      <c r="CB55" s="1169"/>
      <c r="CC55" s="1169"/>
      <c r="CD55" s="1169"/>
      <c r="CE55" s="1169"/>
      <c r="CF55" s="1169"/>
      <c r="CG55" s="1169"/>
      <c r="CH55" s="1169"/>
      <c r="CI55" s="1169"/>
      <c r="CJ55" s="1169"/>
      <c r="CK55" s="1169"/>
      <c r="CL55" s="1169"/>
      <c r="CM55" s="1169"/>
      <c r="CN55" s="1169"/>
      <c r="CO55" s="1169"/>
      <c r="CP55" s="1169"/>
      <c r="CQ55" s="1169"/>
      <c r="CR55" s="1169"/>
      <c r="CS55" s="1169"/>
      <c r="CT55" s="1169"/>
      <c r="CU55" s="1169"/>
      <c r="CV55" s="1169"/>
      <c r="CW55" s="1169"/>
      <c r="CX55" s="1169"/>
      <c r="CY55" s="1169"/>
      <c r="CZ55" s="1169"/>
      <c r="DA55" s="1169"/>
      <c r="DB55" s="1169"/>
      <c r="DC55" s="1169"/>
      <c r="DD55" s="1169"/>
      <c r="DE55" s="1169"/>
      <c r="DF55" s="1169"/>
      <c r="DG55" s="1169"/>
      <c r="DH55" s="1169"/>
      <c r="DI55" s="1169"/>
      <c r="DJ55" s="1169"/>
      <c r="DK55" s="1169"/>
      <c r="DL55" s="1169"/>
      <c r="DM55" s="1169"/>
      <c r="DN55" s="1169"/>
      <c r="DO55" s="1169"/>
      <c r="DP55" s="1169"/>
      <c r="DQ55" s="1169"/>
      <c r="DR55" s="1169"/>
      <c r="DS55" s="1169"/>
      <c r="DT55" s="1169"/>
      <c r="DU55" s="1169"/>
      <c r="DV55" s="1169"/>
      <c r="DW55" s="1169"/>
      <c r="DX55" s="1169"/>
      <c r="DY55" s="1169"/>
      <c r="DZ55" s="1169"/>
      <c r="EA55" s="1169"/>
      <c r="EB55" s="1169"/>
      <c r="EC55" s="1169"/>
      <c r="ED55" s="1169"/>
      <c r="EE55" s="1169"/>
      <c r="EF55" s="1169"/>
      <c r="EG55" s="1169"/>
      <c r="EH55" s="1169"/>
      <c r="EI55" s="1169"/>
      <c r="EJ55" s="1169"/>
      <c r="EK55" s="1169"/>
      <c r="EL55" s="1169"/>
      <c r="EM55" s="1169"/>
      <c r="EN55" s="1169"/>
      <c r="EO55" s="1169"/>
      <c r="EP55" s="1169"/>
      <c r="EQ55" s="1169"/>
      <c r="ER55" s="1169"/>
      <c r="ES55" s="1169"/>
      <c r="ET55" s="1169"/>
      <c r="EU55" s="1169"/>
      <c r="EV55" s="1169"/>
      <c r="EW55" s="1169"/>
      <c r="EX55" s="1169"/>
      <c r="EY55" s="1169"/>
      <c r="EZ55" s="1169"/>
      <c r="FA55" s="1169"/>
      <c r="FB55" s="1169"/>
      <c r="FC55" s="1169"/>
      <c r="FD55" s="1169"/>
      <c r="FE55" s="1169"/>
      <c r="FF55" s="1169"/>
      <c r="FG55" s="1169"/>
      <c r="FH55" s="1169"/>
      <c r="FI55" s="1169"/>
      <c r="FJ55" s="1169"/>
      <c r="FK55" s="1169"/>
      <c r="FL55" s="1169"/>
      <c r="FM55" s="1169"/>
      <c r="FN55" s="1169"/>
      <c r="FO55" s="1169"/>
      <c r="FP55" s="1169"/>
      <c r="FQ55" s="1169"/>
      <c r="FR55" s="1169"/>
      <c r="FS55" s="1169"/>
      <c r="FT55" s="1169"/>
      <c r="FU55" s="1169"/>
      <c r="FV55" s="1169"/>
      <c r="FW55" s="1169"/>
      <c r="FX55" s="1169"/>
      <c r="FY55" s="1169"/>
      <c r="FZ55" s="1169"/>
      <c r="GA55" s="1169"/>
      <c r="GB55" s="1169"/>
      <c r="GC55" s="1169"/>
      <c r="GD55" s="1169"/>
      <c r="GE55" s="1169"/>
      <c r="GF55" s="1169"/>
      <c r="GG55" s="1169"/>
      <c r="GH55" s="1169"/>
      <c r="GI55" s="1169"/>
      <c r="GJ55" s="1169"/>
      <c r="GK55" s="1169"/>
      <c r="GL55" s="1169"/>
      <c r="GM55" s="1169"/>
      <c r="GN55" s="1169"/>
      <c r="GO55" s="1169"/>
      <c r="GP55" s="1169"/>
      <c r="GQ55" s="1169"/>
      <c r="GR55" s="1169"/>
      <c r="GS55" s="1169"/>
      <c r="GT55" s="1169"/>
      <c r="GU55" s="1169">
        <v>140</v>
      </c>
      <c r="GV55" s="1169">
        <v>140</v>
      </c>
      <c r="GW55" s="1169">
        <v>140</v>
      </c>
      <c r="GX55" s="1169">
        <v>8</v>
      </c>
      <c r="GY55" s="1169">
        <v>8</v>
      </c>
      <c r="GZ55" s="1169">
        <v>8</v>
      </c>
      <c r="HA55" s="1169">
        <v>8</v>
      </c>
    </row>
    <row r="56" spans="1:209" x14ac:dyDescent="0.35">
      <c r="A56" s="1169" t="s">
        <v>414</v>
      </c>
      <c r="B56" s="1169"/>
      <c r="C56" s="1169"/>
      <c r="D56" s="1169"/>
      <c r="E56" s="1169"/>
      <c r="F56" s="1169"/>
      <c r="G56" s="1169"/>
      <c r="H56" s="1169"/>
      <c r="I56" s="1169"/>
      <c r="J56" s="1169"/>
      <c r="K56" s="1169"/>
      <c r="L56" s="1169"/>
      <c r="M56" s="1169"/>
      <c r="N56" s="1169"/>
      <c r="O56" s="1169"/>
      <c r="P56" s="1169"/>
      <c r="Q56" s="1169"/>
      <c r="R56" s="1169"/>
      <c r="S56" s="1169"/>
      <c r="T56" s="1169"/>
      <c r="U56" s="1169"/>
      <c r="V56" s="1169"/>
      <c r="W56" s="1169"/>
      <c r="X56" s="1169"/>
      <c r="Y56" s="1169"/>
      <c r="Z56" s="1169"/>
      <c r="AA56" s="1169"/>
      <c r="AB56" s="1169"/>
      <c r="AC56" s="1169"/>
      <c r="AD56" s="1169"/>
      <c r="AE56" s="1169"/>
      <c r="AF56" s="1169"/>
      <c r="AG56" s="1169"/>
      <c r="AH56" s="1169"/>
      <c r="AI56" s="1169"/>
      <c r="AJ56" s="1169"/>
      <c r="AK56" s="1169"/>
      <c r="AL56" s="1169"/>
      <c r="AM56" s="1169"/>
      <c r="AN56" s="1169"/>
      <c r="AO56" s="1169"/>
      <c r="AP56" s="1169"/>
      <c r="AQ56" s="1169"/>
      <c r="AR56" s="1169"/>
      <c r="AS56" s="1169"/>
      <c r="AT56" s="1169"/>
      <c r="AU56" s="1169"/>
      <c r="AV56" s="1169"/>
      <c r="AW56" s="1169"/>
      <c r="AX56" s="1169"/>
      <c r="AY56" s="1169"/>
      <c r="AZ56" s="1169"/>
      <c r="BA56" s="1169"/>
      <c r="BB56" s="1169"/>
      <c r="BC56" s="1169"/>
      <c r="BD56" s="1169"/>
      <c r="BE56" s="1169"/>
      <c r="BF56" s="1169"/>
      <c r="BG56" s="1169"/>
      <c r="BH56" s="1169"/>
      <c r="BI56" s="1169"/>
      <c r="BJ56" s="1169"/>
      <c r="BK56" s="1169"/>
      <c r="BL56" s="1169"/>
      <c r="BM56" s="1169"/>
      <c r="BN56" s="1169"/>
      <c r="BO56" s="1169"/>
      <c r="BP56" s="1169"/>
      <c r="BQ56" s="1169"/>
      <c r="BR56" s="1169"/>
      <c r="BS56" s="1169"/>
      <c r="BT56" s="1169"/>
      <c r="BU56" s="1169"/>
      <c r="BV56" s="1169"/>
      <c r="BW56" s="1169"/>
      <c r="BX56" s="1169"/>
      <c r="BY56" s="1169"/>
      <c r="BZ56" s="1169"/>
      <c r="CA56" s="1169"/>
      <c r="CB56" s="1169"/>
      <c r="CC56" s="1169"/>
      <c r="CD56" s="1169"/>
      <c r="CE56" s="1169"/>
      <c r="CF56" s="1169"/>
      <c r="CG56" s="1169"/>
      <c r="CH56" s="1169"/>
      <c r="CI56" s="1169"/>
      <c r="CJ56" s="1169"/>
      <c r="CK56" s="1169"/>
      <c r="CL56" s="1169"/>
      <c r="CM56" s="1169"/>
      <c r="CN56" s="1169"/>
      <c r="CO56" s="1169"/>
      <c r="CP56" s="1169"/>
      <c r="CQ56" s="1169"/>
      <c r="CR56" s="1169"/>
      <c r="CS56" s="1169"/>
      <c r="CT56" s="1169"/>
      <c r="CU56" s="1169"/>
      <c r="CV56" s="1169"/>
      <c r="CW56" s="1169"/>
      <c r="CX56" s="1169"/>
      <c r="CY56" s="1169"/>
      <c r="CZ56" s="1169"/>
      <c r="DA56" s="1169"/>
      <c r="DB56" s="1169"/>
      <c r="DC56" s="1169"/>
      <c r="DD56" s="1169"/>
      <c r="DE56" s="1169"/>
      <c r="DF56" s="1169"/>
      <c r="DG56" s="1169"/>
      <c r="DH56" s="1169"/>
      <c r="DI56" s="1169"/>
      <c r="DJ56" s="1169"/>
      <c r="DK56" s="1169"/>
      <c r="DL56" s="1169"/>
      <c r="DM56" s="1169"/>
      <c r="DN56" s="1169"/>
      <c r="DO56" s="1169"/>
      <c r="DP56" s="1169"/>
      <c r="DQ56" s="1169"/>
      <c r="DR56" s="1169"/>
      <c r="DS56" s="1169"/>
      <c r="DT56" s="1169"/>
      <c r="DU56" s="1169"/>
      <c r="DV56" s="1169"/>
      <c r="DW56" s="1169"/>
      <c r="DX56" s="1169"/>
      <c r="DY56" s="1169"/>
      <c r="DZ56" s="1169"/>
      <c r="EA56" s="1169"/>
      <c r="EB56" s="1169"/>
      <c r="EC56" s="1169"/>
      <c r="ED56" s="1169"/>
      <c r="EE56" s="1169"/>
      <c r="EF56" s="1169"/>
      <c r="EG56" s="1169"/>
      <c r="EH56" s="1169"/>
      <c r="EI56" s="1169"/>
      <c r="EJ56" s="1169"/>
      <c r="EK56" s="1169"/>
      <c r="EL56" s="1169"/>
      <c r="EM56" s="1169"/>
      <c r="EN56" s="1169"/>
      <c r="EO56" s="1169"/>
      <c r="EP56" s="1169"/>
      <c r="EQ56" s="1169"/>
      <c r="ER56" s="1169"/>
      <c r="ES56" s="1169"/>
      <c r="ET56" s="1169"/>
      <c r="EU56" s="1169"/>
      <c r="EV56" s="1169"/>
      <c r="EW56" s="1169"/>
      <c r="EX56" s="1169"/>
      <c r="EY56" s="1169"/>
      <c r="EZ56" s="1169"/>
      <c r="FA56" s="1169"/>
      <c r="FB56" s="1169"/>
      <c r="FC56" s="1169"/>
      <c r="FD56" s="1169"/>
      <c r="FE56" s="1169"/>
      <c r="FF56" s="1169"/>
      <c r="FG56" s="1169"/>
      <c r="FH56" s="1169"/>
      <c r="FI56" s="1169"/>
      <c r="FJ56" s="1169"/>
      <c r="FK56" s="1169"/>
      <c r="FL56" s="1169"/>
      <c r="FM56" s="1169"/>
      <c r="FN56" s="1169"/>
      <c r="FO56" s="1169"/>
      <c r="FP56" s="1169"/>
      <c r="FQ56" s="1169"/>
      <c r="FR56" s="1169"/>
      <c r="FS56" s="1169"/>
      <c r="FT56" s="1169"/>
      <c r="FU56" s="1169"/>
      <c r="FV56" s="1169"/>
      <c r="FW56" s="1169"/>
      <c r="FX56" s="1169"/>
      <c r="FY56" s="1169"/>
      <c r="FZ56" s="1169"/>
      <c r="GA56" s="1169"/>
      <c r="GB56" s="1169"/>
      <c r="GC56" s="1169"/>
      <c r="GD56" s="1169"/>
      <c r="GE56" s="1169"/>
      <c r="GF56" s="1169"/>
      <c r="GG56" s="1169"/>
      <c r="GH56" s="1169"/>
      <c r="GI56" s="1169"/>
      <c r="GJ56" s="1169"/>
      <c r="GK56" s="1169"/>
      <c r="GL56" s="1169"/>
      <c r="GM56" s="1169"/>
      <c r="GN56" s="1169"/>
      <c r="GO56" s="1169"/>
      <c r="GP56" s="1169"/>
      <c r="GQ56" s="1169"/>
      <c r="GR56" s="1169"/>
      <c r="GS56" s="1169"/>
      <c r="GT56" s="1169"/>
      <c r="GU56" s="1169">
        <v>597.9</v>
      </c>
      <c r="GV56" s="1169">
        <v>0</v>
      </c>
      <c r="GW56" s="1169">
        <v>0</v>
      </c>
      <c r="GX56" s="1169">
        <v>0</v>
      </c>
      <c r="GY56" s="1169">
        <v>785.9</v>
      </c>
      <c r="GZ56" s="1169">
        <v>187.9</v>
      </c>
      <c r="HA56" s="1169">
        <v>9.1999999999999993</v>
      </c>
    </row>
    <row r="57" spans="1:209" x14ac:dyDescent="0.35">
      <c r="A57" s="1169" t="s">
        <v>415</v>
      </c>
      <c r="B57" s="1169"/>
      <c r="C57" s="1169"/>
      <c r="D57" s="1169"/>
      <c r="E57" s="1169"/>
      <c r="F57" s="1169"/>
      <c r="G57" s="1169"/>
      <c r="H57" s="1169"/>
      <c r="I57" s="1169"/>
      <c r="J57" s="1169"/>
      <c r="K57" s="1169"/>
      <c r="L57" s="1169"/>
      <c r="M57" s="1169"/>
      <c r="N57" s="1169"/>
      <c r="O57" s="1169"/>
      <c r="P57" s="1169"/>
      <c r="Q57" s="1169"/>
      <c r="R57" s="1169"/>
      <c r="S57" s="1169"/>
      <c r="T57" s="1169"/>
      <c r="U57" s="1169"/>
      <c r="V57" s="1169"/>
      <c r="W57" s="1169"/>
      <c r="X57" s="1169"/>
      <c r="Y57" s="1169"/>
      <c r="Z57" s="1169"/>
      <c r="AA57" s="1169"/>
      <c r="AB57" s="1169"/>
      <c r="AC57" s="1169"/>
      <c r="AD57" s="1169"/>
      <c r="AE57" s="1169"/>
      <c r="AF57" s="1169"/>
      <c r="AG57" s="1169"/>
      <c r="AH57" s="1169"/>
      <c r="AI57" s="1169"/>
      <c r="AJ57" s="1169"/>
      <c r="AK57" s="1169"/>
      <c r="AL57" s="1169"/>
      <c r="AM57" s="1169"/>
      <c r="AN57" s="1169"/>
      <c r="AO57" s="1169"/>
      <c r="AP57" s="1169"/>
      <c r="AQ57" s="1169"/>
      <c r="AR57" s="1169"/>
      <c r="AS57" s="1169"/>
      <c r="AT57" s="1169"/>
      <c r="AU57" s="1169"/>
      <c r="AV57" s="1169"/>
      <c r="AW57" s="1169"/>
      <c r="AX57" s="1169"/>
      <c r="AY57" s="1169"/>
      <c r="AZ57" s="1169"/>
      <c r="BA57" s="1169"/>
      <c r="BB57" s="1169"/>
      <c r="BC57" s="1169"/>
      <c r="BD57" s="1169"/>
      <c r="BE57" s="1169"/>
      <c r="BF57" s="1169"/>
      <c r="BG57" s="1169"/>
      <c r="BH57" s="1169"/>
      <c r="BI57" s="1169"/>
      <c r="BJ57" s="1169"/>
      <c r="BK57" s="1169"/>
      <c r="BL57" s="1169"/>
      <c r="BM57" s="1169"/>
      <c r="BN57" s="1169"/>
      <c r="BO57" s="1169"/>
      <c r="BP57" s="1169"/>
      <c r="BQ57" s="1169"/>
      <c r="BR57" s="1169"/>
      <c r="BS57" s="1169"/>
      <c r="BT57" s="1169"/>
      <c r="BU57" s="1169"/>
      <c r="BV57" s="1169"/>
      <c r="BW57" s="1169"/>
      <c r="BX57" s="1169"/>
      <c r="BY57" s="1169"/>
      <c r="BZ57" s="1169"/>
      <c r="CA57" s="1169"/>
      <c r="CB57" s="1169"/>
      <c r="CC57" s="1169"/>
      <c r="CD57" s="1169"/>
      <c r="CE57" s="1169"/>
      <c r="CF57" s="1169"/>
      <c r="CG57" s="1169"/>
      <c r="CH57" s="1169"/>
      <c r="CI57" s="1169"/>
      <c r="CJ57" s="1169"/>
      <c r="CK57" s="1169"/>
      <c r="CL57" s="1169"/>
      <c r="CM57" s="1169"/>
      <c r="CN57" s="1169"/>
      <c r="CO57" s="1169"/>
      <c r="CP57" s="1169"/>
      <c r="CQ57" s="1169"/>
      <c r="CR57" s="1169"/>
      <c r="CS57" s="1169"/>
      <c r="CT57" s="1169"/>
      <c r="CU57" s="1169"/>
      <c r="CV57" s="1169"/>
      <c r="CW57" s="1169"/>
      <c r="CX57" s="1169"/>
      <c r="CY57" s="1169"/>
      <c r="CZ57" s="1169"/>
      <c r="DA57" s="1169"/>
      <c r="DB57" s="1169"/>
      <c r="DC57" s="1169"/>
      <c r="DD57" s="1169"/>
      <c r="DE57" s="1169"/>
      <c r="DF57" s="1169"/>
      <c r="DG57" s="1169"/>
      <c r="DH57" s="1169"/>
      <c r="DI57" s="1169"/>
      <c r="DJ57" s="1169"/>
      <c r="DK57" s="1169"/>
      <c r="DL57" s="1169"/>
      <c r="DM57" s="1169"/>
      <c r="DN57" s="1169"/>
      <c r="DO57" s="1169"/>
      <c r="DP57" s="1169"/>
      <c r="DQ57" s="1169"/>
      <c r="DR57" s="1169"/>
      <c r="DS57" s="1169"/>
      <c r="DT57" s="1169"/>
      <c r="DU57" s="1169"/>
      <c r="DV57" s="1169"/>
      <c r="DW57" s="1169"/>
      <c r="DX57" s="1169"/>
      <c r="DY57" s="1169"/>
      <c r="DZ57" s="1169"/>
      <c r="EA57" s="1169"/>
      <c r="EB57" s="1169"/>
      <c r="EC57" s="1169"/>
      <c r="ED57" s="1169"/>
      <c r="EE57" s="1169"/>
      <c r="EF57" s="1169"/>
      <c r="EG57" s="1169"/>
      <c r="EH57" s="1169"/>
      <c r="EI57" s="1169"/>
      <c r="EJ57" s="1169"/>
      <c r="EK57" s="1169"/>
      <c r="EL57" s="1169"/>
      <c r="EM57" s="1169"/>
      <c r="EN57" s="1169"/>
      <c r="EO57" s="1169"/>
      <c r="EP57" s="1169"/>
      <c r="EQ57" s="1169"/>
      <c r="ER57" s="1169"/>
      <c r="ES57" s="1169"/>
      <c r="ET57" s="1169"/>
      <c r="EU57" s="1169"/>
      <c r="EV57" s="1169"/>
      <c r="EW57" s="1169"/>
      <c r="EX57" s="1169"/>
      <c r="EY57" s="1169"/>
      <c r="EZ57" s="1169"/>
      <c r="FA57" s="1169"/>
      <c r="FB57" s="1169"/>
      <c r="FC57" s="1169"/>
      <c r="FD57" s="1169"/>
      <c r="FE57" s="1169"/>
      <c r="FF57" s="1169"/>
      <c r="FG57" s="1169"/>
      <c r="FH57" s="1169"/>
      <c r="FI57" s="1169"/>
      <c r="FJ57" s="1169"/>
      <c r="FK57" s="1169"/>
      <c r="FL57" s="1169"/>
      <c r="FM57" s="1169"/>
      <c r="FN57" s="1169"/>
      <c r="FO57" s="1169"/>
      <c r="FP57" s="1169"/>
      <c r="FQ57" s="1169"/>
      <c r="FR57" s="1169"/>
      <c r="FS57" s="1169"/>
      <c r="FT57" s="1169"/>
      <c r="FU57" s="1169"/>
      <c r="FV57" s="1169"/>
      <c r="FW57" s="1169"/>
      <c r="FX57" s="1169"/>
      <c r="FY57" s="1169"/>
      <c r="FZ57" s="1169"/>
      <c r="GA57" s="1169"/>
      <c r="GB57" s="1169"/>
      <c r="GC57" s="1169"/>
      <c r="GD57" s="1169"/>
      <c r="GE57" s="1169"/>
      <c r="GF57" s="1169"/>
      <c r="GG57" s="1169"/>
      <c r="GH57" s="1169"/>
      <c r="GI57" s="1169"/>
      <c r="GJ57" s="1169"/>
      <c r="GK57" s="1169"/>
      <c r="GL57" s="1169"/>
      <c r="GM57" s="1169"/>
      <c r="GN57" s="1169"/>
      <c r="GO57" s="1169"/>
      <c r="GP57" s="1169"/>
      <c r="GQ57" s="1169"/>
      <c r="GR57" s="1169"/>
      <c r="GS57" s="1169"/>
      <c r="GT57" s="1169"/>
      <c r="GU57" s="1169">
        <v>28.4</v>
      </c>
      <c r="GV57" s="1169">
        <v>15.8</v>
      </c>
      <c r="GW57" s="1169">
        <v>15.2</v>
      </c>
      <c r="GX57" s="1169">
        <v>28.9</v>
      </c>
      <c r="GY57" s="1169">
        <v>67.599999999999994</v>
      </c>
      <c r="GZ57" s="1169">
        <v>80.7</v>
      </c>
      <c r="HA57" s="1169">
        <v>87.2</v>
      </c>
    </row>
    <row r="58" spans="1:209" x14ac:dyDescent="0.35">
      <c r="A58" s="1169" t="s">
        <v>380</v>
      </c>
      <c r="B58" s="1169"/>
      <c r="C58" s="1169"/>
      <c r="D58" s="1169"/>
      <c r="E58" s="1169"/>
      <c r="F58" s="1169"/>
      <c r="G58" s="1169"/>
      <c r="H58" s="1169"/>
      <c r="I58" s="1169"/>
      <c r="J58" s="1169"/>
      <c r="K58" s="1169"/>
      <c r="L58" s="1169"/>
      <c r="M58" s="1169"/>
      <c r="N58" s="1169"/>
      <c r="O58" s="1169"/>
      <c r="P58" s="1169"/>
      <c r="Q58" s="1169"/>
      <c r="R58" s="1169"/>
      <c r="S58" s="1169"/>
      <c r="T58" s="1169"/>
      <c r="U58" s="1169"/>
      <c r="V58" s="1169"/>
      <c r="W58" s="1169"/>
      <c r="X58" s="1169"/>
      <c r="Y58" s="1169"/>
      <c r="Z58" s="1169"/>
      <c r="AA58" s="1169"/>
      <c r="AB58" s="1169"/>
      <c r="AC58" s="1169"/>
      <c r="AD58" s="1169"/>
      <c r="AE58" s="1169"/>
      <c r="AF58" s="1169"/>
      <c r="AG58" s="1169"/>
      <c r="AH58" s="1169"/>
      <c r="AI58" s="1169"/>
      <c r="AJ58" s="1169"/>
      <c r="AK58" s="1169"/>
      <c r="AL58" s="1169"/>
      <c r="AM58" s="1169"/>
      <c r="AN58" s="1169"/>
      <c r="AO58" s="1169"/>
      <c r="AP58" s="1169"/>
      <c r="AQ58" s="1169"/>
      <c r="AR58" s="1169"/>
      <c r="AS58" s="1169"/>
      <c r="AT58" s="1169"/>
      <c r="AU58" s="1169"/>
      <c r="AV58" s="1169"/>
      <c r="AW58" s="1169"/>
      <c r="AX58" s="1169"/>
      <c r="AY58" s="1169"/>
      <c r="AZ58" s="1169"/>
      <c r="BA58" s="1169"/>
      <c r="BB58" s="1169"/>
      <c r="BC58" s="1169"/>
      <c r="BD58" s="1169"/>
      <c r="BE58" s="1169"/>
      <c r="BF58" s="1169"/>
      <c r="BG58" s="1169"/>
      <c r="BH58" s="1169"/>
      <c r="BI58" s="1169"/>
      <c r="BJ58" s="1169"/>
      <c r="BK58" s="1169"/>
      <c r="BL58" s="1169"/>
      <c r="BM58" s="1169"/>
      <c r="BN58" s="1169"/>
      <c r="BO58" s="1169"/>
      <c r="BP58" s="1169"/>
      <c r="BQ58" s="1169"/>
      <c r="BR58" s="1169"/>
      <c r="BS58" s="1169"/>
      <c r="BT58" s="1169"/>
      <c r="BU58" s="1169"/>
      <c r="BV58" s="1169"/>
      <c r="BW58" s="1169"/>
      <c r="BX58" s="1169"/>
      <c r="BY58" s="1169"/>
      <c r="BZ58" s="1169"/>
      <c r="CA58" s="1169"/>
      <c r="CB58" s="1169"/>
      <c r="CC58" s="1169"/>
      <c r="CD58" s="1169"/>
      <c r="CE58" s="1169"/>
      <c r="CF58" s="1169"/>
      <c r="CG58" s="1169"/>
      <c r="CH58" s="1169"/>
      <c r="CI58" s="1169"/>
      <c r="CJ58" s="1169"/>
      <c r="CK58" s="1169"/>
      <c r="CL58" s="1169"/>
      <c r="CM58" s="1169"/>
      <c r="CN58" s="1169"/>
      <c r="CO58" s="1169"/>
      <c r="CP58" s="1169"/>
      <c r="CQ58" s="1169"/>
      <c r="CR58" s="1169"/>
      <c r="CS58" s="1169"/>
      <c r="CT58" s="1169"/>
      <c r="CU58" s="1169"/>
      <c r="CV58" s="1169"/>
      <c r="CW58" s="1169"/>
      <c r="CX58" s="1169"/>
      <c r="CY58" s="1169"/>
      <c r="CZ58" s="1169"/>
      <c r="DA58" s="1169"/>
      <c r="DB58" s="1169"/>
      <c r="DC58" s="1169"/>
      <c r="DD58" s="1169"/>
      <c r="DE58" s="1169"/>
      <c r="DF58" s="1169"/>
      <c r="DG58" s="1169"/>
      <c r="DH58" s="1169"/>
      <c r="DI58" s="1169"/>
      <c r="DJ58" s="1169"/>
      <c r="DK58" s="1169"/>
      <c r="DL58" s="1169"/>
      <c r="DM58" s="1169"/>
      <c r="DN58" s="1169"/>
      <c r="DO58" s="1169"/>
      <c r="DP58" s="1169"/>
      <c r="DQ58" s="1169"/>
      <c r="DR58" s="1169"/>
      <c r="DS58" s="1169"/>
      <c r="DT58" s="1169"/>
      <c r="DU58" s="1169"/>
      <c r="DV58" s="1169"/>
      <c r="DW58" s="1169"/>
      <c r="DX58" s="1169"/>
      <c r="DY58" s="1169"/>
      <c r="DZ58" s="1169"/>
      <c r="EA58" s="1169"/>
      <c r="EB58" s="1169"/>
      <c r="EC58" s="1169"/>
      <c r="ED58" s="1169"/>
      <c r="EE58" s="1169"/>
      <c r="EF58" s="1169"/>
      <c r="EG58" s="1169"/>
      <c r="EH58" s="1169"/>
      <c r="EI58" s="1169"/>
      <c r="EJ58" s="1169"/>
      <c r="EK58" s="1169"/>
      <c r="EL58" s="1169"/>
      <c r="EM58" s="1169"/>
      <c r="EN58" s="1169"/>
      <c r="EO58" s="1169"/>
      <c r="EP58" s="1169"/>
      <c r="EQ58" s="1169"/>
      <c r="ER58" s="1169"/>
      <c r="ES58" s="1169"/>
      <c r="ET58" s="1169"/>
      <c r="EU58" s="1169"/>
      <c r="EV58" s="1169"/>
      <c r="EW58" s="1169"/>
      <c r="EX58" s="1169"/>
      <c r="EY58" s="1169"/>
      <c r="EZ58" s="1169"/>
      <c r="FA58" s="1169"/>
      <c r="FB58" s="1169"/>
      <c r="FC58" s="1169"/>
      <c r="FD58" s="1169"/>
      <c r="FE58" s="1169"/>
      <c r="FF58" s="1169"/>
      <c r="FG58" s="1169"/>
      <c r="FH58" s="1169"/>
      <c r="FI58" s="1169"/>
      <c r="FJ58" s="1169"/>
      <c r="FK58" s="1169"/>
      <c r="FL58" s="1169"/>
      <c r="FM58" s="1169"/>
      <c r="FN58" s="1169"/>
      <c r="FO58" s="1169"/>
      <c r="FP58" s="1169"/>
      <c r="FQ58" s="1169"/>
      <c r="FR58" s="1169"/>
      <c r="FS58" s="1169"/>
      <c r="FT58" s="1169"/>
      <c r="FU58" s="1169"/>
      <c r="FV58" s="1169"/>
      <c r="FW58" s="1169"/>
      <c r="FX58" s="1169"/>
      <c r="FY58" s="1169"/>
      <c r="FZ58" s="1169"/>
      <c r="GA58" s="1169"/>
      <c r="GB58" s="1169"/>
      <c r="GC58" s="1169"/>
      <c r="GD58" s="1169"/>
      <c r="GE58" s="1169"/>
      <c r="GF58" s="1169"/>
      <c r="GG58" s="1169"/>
      <c r="GH58" s="1169"/>
      <c r="GI58" s="1169"/>
      <c r="GJ58" s="1169"/>
      <c r="GK58" s="1169"/>
      <c r="GL58" s="1169"/>
      <c r="GM58" s="1169"/>
      <c r="GN58" s="1169"/>
      <c r="GO58" s="1169"/>
      <c r="GP58" s="1169"/>
      <c r="GQ58" s="1169"/>
      <c r="GR58" s="1169"/>
      <c r="GS58" s="1169"/>
      <c r="GT58" s="1169"/>
      <c r="GU58" s="1169">
        <v>64.400000000000006</v>
      </c>
      <c r="GV58" s="1169">
        <v>23.4</v>
      </c>
      <c r="GW58" s="1169">
        <v>13.8</v>
      </c>
      <c r="GX58" s="1169">
        <v>17.100000000000001</v>
      </c>
      <c r="GY58" s="1169">
        <v>10.6</v>
      </c>
      <c r="GZ58" s="1169">
        <v>15</v>
      </c>
      <c r="HA58" s="1169">
        <v>25.8</v>
      </c>
    </row>
    <row r="59" spans="1:209" x14ac:dyDescent="0.35">
      <c r="A59" s="1169" t="s">
        <v>362</v>
      </c>
      <c r="B59" s="1169"/>
      <c r="C59" s="1169"/>
      <c r="D59" s="1169"/>
      <c r="E59" s="1169"/>
      <c r="F59" s="1169"/>
      <c r="G59" s="1169"/>
      <c r="H59" s="1169"/>
      <c r="I59" s="1169"/>
      <c r="J59" s="1169"/>
      <c r="K59" s="1169"/>
      <c r="L59" s="1169"/>
      <c r="M59" s="1169"/>
      <c r="N59" s="1169"/>
      <c r="O59" s="1169"/>
      <c r="P59" s="1169"/>
      <c r="Q59" s="1169"/>
      <c r="R59" s="1169"/>
      <c r="S59" s="1169"/>
      <c r="T59" s="1169"/>
      <c r="U59" s="1169"/>
      <c r="V59" s="1169"/>
      <c r="W59" s="1169"/>
      <c r="X59" s="1169"/>
      <c r="Y59" s="1169"/>
      <c r="Z59" s="1169"/>
      <c r="AA59" s="1169"/>
      <c r="AB59" s="1169"/>
      <c r="AC59" s="1169"/>
      <c r="AD59" s="1169"/>
      <c r="AE59" s="1169"/>
      <c r="AF59" s="1169"/>
      <c r="AG59" s="1169"/>
      <c r="AH59" s="1169"/>
      <c r="AI59" s="1169"/>
      <c r="AJ59" s="1169"/>
      <c r="AK59" s="1169"/>
      <c r="AL59" s="1169"/>
      <c r="AM59" s="1169"/>
      <c r="AN59" s="1169"/>
      <c r="AO59" s="1169"/>
      <c r="AP59" s="1169"/>
      <c r="AQ59" s="1169"/>
      <c r="AR59" s="1169"/>
      <c r="AS59" s="1169"/>
      <c r="AT59" s="1169"/>
      <c r="AU59" s="1169"/>
      <c r="AV59" s="1169"/>
      <c r="AW59" s="1169"/>
      <c r="AX59" s="1169"/>
      <c r="AY59" s="1169"/>
      <c r="AZ59" s="1169"/>
      <c r="BA59" s="1169"/>
      <c r="BB59" s="1169"/>
      <c r="BC59" s="1169"/>
      <c r="BD59" s="1169"/>
      <c r="BE59" s="1169"/>
      <c r="BF59" s="1169"/>
      <c r="BG59" s="1169"/>
      <c r="BH59" s="1169"/>
      <c r="BI59" s="1169"/>
      <c r="BJ59" s="1169"/>
      <c r="BK59" s="1169"/>
      <c r="BL59" s="1169"/>
      <c r="BM59" s="1169"/>
      <c r="BN59" s="1169"/>
      <c r="BO59" s="1169"/>
      <c r="BP59" s="1169"/>
      <c r="BQ59" s="1169"/>
      <c r="BR59" s="1169"/>
      <c r="BS59" s="1169"/>
      <c r="BT59" s="1169"/>
      <c r="BU59" s="1169"/>
      <c r="BV59" s="1169"/>
      <c r="BW59" s="1169"/>
      <c r="BX59" s="1169"/>
      <c r="BY59" s="1169"/>
      <c r="BZ59" s="1169"/>
      <c r="CA59" s="1169"/>
      <c r="CB59" s="1169"/>
      <c r="CC59" s="1169"/>
      <c r="CD59" s="1169"/>
      <c r="CE59" s="1169"/>
      <c r="CF59" s="1169"/>
      <c r="CG59" s="1169"/>
      <c r="CH59" s="1169"/>
      <c r="CI59" s="1169"/>
      <c r="CJ59" s="1169"/>
      <c r="CK59" s="1169"/>
      <c r="CL59" s="1169"/>
      <c r="CM59" s="1169"/>
      <c r="CN59" s="1169"/>
      <c r="CO59" s="1169"/>
      <c r="CP59" s="1169"/>
      <c r="CQ59" s="1169"/>
      <c r="CR59" s="1169"/>
      <c r="CS59" s="1169"/>
      <c r="CT59" s="1169"/>
      <c r="CU59" s="1169"/>
      <c r="CV59" s="1169"/>
      <c r="CW59" s="1169"/>
      <c r="CX59" s="1169"/>
      <c r="CY59" s="1169"/>
      <c r="CZ59" s="1169"/>
      <c r="DA59" s="1169"/>
      <c r="DB59" s="1169"/>
      <c r="DC59" s="1169"/>
      <c r="DD59" s="1169"/>
      <c r="DE59" s="1169"/>
      <c r="DF59" s="1169"/>
      <c r="DG59" s="1169"/>
      <c r="DH59" s="1169"/>
      <c r="DI59" s="1169"/>
      <c r="DJ59" s="1169"/>
      <c r="DK59" s="1169"/>
      <c r="DL59" s="1169"/>
      <c r="DM59" s="1169"/>
      <c r="DN59" s="1169"/>
      <c r="DO59" s="1169"/>
      <c r="DP59" s="1169"/>
      <c r="DQ59" s="1169"/>
      <c r="DR59" s="1169"/>
      <c r="DS59" s="1169"/>
      <c r="DT59" s="1169"/>
      <c r="DU59" s="1169"/>
      <c r="DV59" s="1169"/>
      <c r="DW59" s="1169"/>
      <c r="DX59" s="1169"/>
      <c r="DY59" s="1169"/>
      <c r="DZ59" s="1169"/>
      <c r="EA59" s="1169"/>
      <c r="EB59" s="1169"/>
      <c r="EC59" s="1169"/>
      <c r="ED59" s="1169"/>
      <c r="EE59" s="1169"/>
      <c r="EF59" s="1169"/>
      <c r="EG59" s="1169"/>
      <c r="EH59" s="1169"/>
      <c r="EI59" s="1169"/>
      <c r="EJ59" s="1169"/>
      <c r="EK59" s="1169"/>
      <c r="EL59" s="1169"/>
      <c r="EM59" s="1169"/>
      <c r="EN59" s="1169"/>
      <c r="EO59" s="1169"/>
      <c r="EP59" s="1169"/>
      <c r="EQ59" s="1169"/>
      <c r="ER59" s="1169"/>
      <c r="ES59" s="1169"/>
      <c r="ET59" s="1169"/>
      <c r="EU59" s="1169"/>
      <c r="EV59" s="1169"/>
      <c r="EW59" s="1169"/>
      <c r="EX59" s="1169"/>
      <c r="EY59" s="1169"/>
      <c r="EZ59" s="1169"/>
      <c r="FA59" s="1169"/>
      <c r="FB59" s="1169"/>
      <c r="FC59" s="1169"/>
      <c r="FD59" s="1169"/>
      <c r="FE59" s="1169"/>
      <c r="FF59" s="1169"/>
      <c r="FG59" s="1169"/>
      <c r="FH59" s="1169"/>
      <c r="FI59" s="1169"/>
      <c r="FJ59" s="1169"/>
      <c r="FK59" s="1169"/>
      <c r="FL59" s="1169"/>
      <c r="FM59" s="1169"/>
      <c r="FN59" s="1169"/>
      <c r="FO59" s="1169"/>
      <c r="FP59" s="1169"/>
      <c r="FQ59" s="1169"/>
      <c r="FR59" s="1169"/>
      <c r="FS59" s="1169"/>
      <c r="FT59" s="1169"/>
      <c r="FU59" s="1169"/>
      <c r="FV59" s="1169"/>
      <c r="FW59" s="1169"/>
      <c r="FX59" s="1169"/>
      <c r="FY59" s="1169"/>
      <c r="FZ59" s="1169"/>
      <c r="GA59" s="1169"/>
      <c r="GB59" s="1169"/>
      <c r="GC59" s="1169"/>
      <c r="GD59" s="1169"/>
      <c r="GE59" s="1169"/>
      <c r="GF59" s="1169"/>
      <c r="GG59" s="1169"/>
      <c r="GH59" s="1169"/>
      <c r="GI59" s="1169"/>
      <c r="GJ59" s="1169"/>
      <c r="GK59" s="1169"/>
      <c r="GL59" s="1169"/>
      <c r="GM59" s="1169"/>
      <c r="GN59" s="1169"/>
      <c r="GO59" s="1169"/>
      <c r="GP59" s="1169"/>
      <c r="GQ59" s="1169"/>
      <c r="GR59" s="1169"/>
      <c r="GS59" s="1169"/>
      <c r="GT59" s="1169"/>
      <c r="GU59" s="1169">
        <v>6.3</v>
      </c>
      <c r="GV59" s="1169">
        <v>26.7</v>
      </c>
      <c r="GW59" s="1169">
        <v>82.1</v>
      </c>
      <c r="GX59" s="1169">
        <v>97.8</v>
      </c>
      <c r="GY59" s="1169">
        <v>104.5</v>
      </c>
      <c r="GZ59" s="1169">
        <v>61.5</v>
      </c>
      <c r="HA59" s="1169">
        <v>3.3</v>
      </c>
    </row>
    <row r="60" spans="1:209" x14ac:dyDescent="0.35">
      <c r="A60" s="1169" t="s">
        <v>364</v>
      </c>
      <c r="B60" s="1169"/>
      <c r="C60" s="1169"/>
      <c r="D60" s="1169"/>
      <c r="E60" s="1169"/>
      <c r="F60" s="1169"/>
      <c r="G60" s="1169"/>
      <c r="H60" s="1169"/>
      <c r="I60" s="1169"/>
      <c r="J60" s="1169"/>
      <c r="K60" s="1169"/>
      <c r="L60" s="1169"/>
      <c r="M60" s="1169"/>
      <c r="N60" s="1169"/>
      <c r="O60" s="1169"/>
      <c r="P60" s="1169"/>
      <c r="Q60" s="1169"/>
      <c r="R60" s="1169"/>
      <c r="S60" s="1169"/>
      <c r="T60" s="1169"/>
      <c r="U60" s="1169"/>
      <c r="V60" s="1169"/>
      <c r="W60" s="1169"/>
      <c r="X60" s="1169"/>
      <c r="Y60" s="1169"/>
      <c r="Z60" s="1169"/>
      <c r="AA60" s="1169"/>
      <c r="AB60" s="1169"/>
      <c r="AC60" s="1169"/>
      <c r="AD60" s="1169"/>
      <c r="AE60" s="1169"/>
      <c r="AF60" s="1169"/>
      <c r="AG60" s="1169"/>
      <c r="AH60" s="1169"/>
      <c r="AI60" s="1169"/>
      <c r="AJ60" s="1169"/>
      <c r="AK60" s="1169"/>
      <c r="AL60" s="1169"/>
      <c r="AM60" s="1169"/>
      <c r="AN60" s="1169"/>
      <c r="AO60" s="1169"/>
      <c r="AP60" s="1169"/>
      <c r="AQ60" s="1169"/>
      <c r="AR60" s="1169"/>
      <c r="AS60" s="1169"/>
      <c r="AT60" s="1169"/>
      <c r="AU60" s="1169"/>
      <c r="AV60" s="1169"/>
      <c r="AW60" s="1169"/>
      <c r="AX60" s="1169"/>
      <c r="AY60" s="1169"/>
      <c r="AZ60" s="1169"/>
      <c r="BA60" s="1169"/>
      <c r="BB60" s="1169"/>
      <c r="BC60" s="1169"/>
      <c r="BD60" s="1169"/>
      <c r="BE60" s="1169"/>
      <c r="BF60" s="1169"/>
      <c r="BG60" s="1169"/>
      <c r="BH60" s="1169"/>
      <c r="BI60" s="1169"/>
      <c r="BJ60" s="1169"/>
      <c r="BK60" s="1169"/>
      <c r="BL60" s="1169"/>
      <c r="BM60" s="1169"/>
      <c r="BN60" s="1169"/>
      <c r="BO60" s="1169"/>
      <c r="BP60" s="1169"/>
      <c r="BQ60" s="1169"/>
      <c r="BR60" s="1169"/>
      <c r="BS60" s="1169"/>
      <c r="BT60" s="1169"/>
      <c r="BU60" s="1169"/>
      <c r="BV60" s="1169"/>
      <c r="BW60" s="1169"/>
      <c r="BX60" s="1169"/>
      <c r="BY60" s="1169"/>
      <c r="BZ60" s="1169"/>
      <c r="CA60" s="1169"/>
      <c r="CB60" s="1169"/>
      <c r="CC60" s="1169"/>
      <c r="CD60" s="1169"/>
      <c r="CE60" s="1169"/>
      <c r="CF60" s="1169"/>
      <c r="CG60" s="1169"/>
      <c r="CH60" s="1169"/>
      <c r="CI60" s="1169"/>
      <c r="CJ60" s="1169"/>
      <c r="CK60" s="1169"/>
      <c r="CL60" s="1169"/>
      <c r="CM60" s="1169"/>
      <c r="CN60" s="1169"/>
      <c r="CO60" s="1169"/>
      <c r="CP60" s="1169"/>
      <c r="CQ60" s="1169"/>
      <c r="CR60" s="1169"/>
      <c r="CS60" s="1169"/>
      <c r="CT60" s="1169"/>
      <c r="CU60" s="1169"/>
      <c r="CV60" s="1169"/>
      <c r="CW60" s="1169"/>
      <c r="CX60" s="1169"/>
      <c r="CY60" s="1169"/>
      <c r="CZ60" s="1169"/>
      <c r="DA60" s="1169"/>
      <c r="DB60" s="1169"/>
      <c r="DC60" s="1169"/>
      <c r="DD60" s="1169"/>
      <c r="DE60" s="1169"/>
      <c r="DF60" s="1169"/>
      <c r="DG60" s="1169"/>
      <c r="DH60" s="1169"/>
      <c r="DI60" s="1169"/>
      <c r="DJ60" s="1169"/>
      <c r="DK60" s="1169"/>
      <c r="DL60" s="1169"/>
      <c r="DM60" s="1169"/>
      <c r="DN60" s="1169"/>
      <c r="DO60" s="1169"/>
      <c r="DP60" s="1169"/>
      <c r="DQ60" s="1169"/>
      <c r="DR60" s="1169"/>
      <c r="DS60" s="1169"/>
      <c r="DT60" s="1169"/>
      <c r="DU60" s="1169"/>
      <c r="DV60" s="1169"/>
      <c r="DW60" s="1169"/>
      <c r="DX60" s="1169"/>
      <c r="DY60" s="1169"/>
      <c r="DZ60" s="1169"/>
      <c r="EA60" s="1169"/>
      <c r="EB60" s="1169"/>
      <c r="EC60" s="1169"/>
      <c r="ED60" s="1169"/>
      <c r="EE60" s="1169"/>
      <c r="EF60" s="1169"/>
      <c r="EG60" s="1169"/>
      <c r="EH60" s="1169"/>
      <c r="EI60" s="1169"/>
      <c r="EJ60" s="1169"/>
      <c r="EK60" s="1169"/>
      <c r="EL60" s="1169"/>
      <c r="EM60" s="1169"/>
      <c r="EN60" s="1169"/>
      <c r="EO60" s="1169"/>
      <c r="EP60" s="1169"/>
      <c r="EQ60" s="1169"/>
      <c r="ER60" s="1169"/>
      <c r="ES60" s="1169"/>
      <c r="ET60" s="1169"/>
      <c r="EU60" s="1169"/>
      <c r="EV60" s="1169"/>
      <c r="EW60" s="1169"/>
      <c r="EX60" s="1169"/>
      <c r="EY60" s="1169"/>
      <c r="EZ60" s="1169"/>
      <c r="FA60" s="1169"/>
      <c r="FB60" s="1169"/>
      <c r="FC60" s="1169"/>
      <c r="FD60" s="1169"/>
      <c r="FE60" s="1169"/>
      <c r="FF60" s="1169"/>
      <c r="FG60" s="1169"/>
      <c r="FH60" s="1169"/>
      <c r="FI60" s="1169"/>
      <c r="FJ60" s="1169"/>
      <c r="FK60" s="1169"/>
      <c r="FL60" s="1169"/>
      <c r="FM60" s="1169"/>
      <c r="FN60" s="1169"/>
      <c r="FO60" s="1169"/>
      <c r="FP60" s="1169"/>
      <c r="FQ60" s="1169"/>
      <c r="FR60" s="1169"/>
      <c r="FS60" s="1169"/>
      <c r="FT60" s="1169"/>
      <c r="FU60" s="1169"/>
      <c r="FV60" s="1169"/>
      <c r="FW60" s="1169"/>
      <c r="FX60" s="1169"/>
      <c r="FY60" s="1169"/>
      <c r="FZ60" s="1169"/>
      <c r="GA60" s="1169"/>
      <c r="GB60" s="1169"/>
      <c r="GC60" s="1169"/>
      <c r="GD60" s="1169"/>
      <c r="GE60" s="1169"/>
      <c r="GF60" s="1169"/>
      <c r="GG60" s="1169"/>
      <c r="GH60" s="1169"/>
      <c r="GI60" s="1169"/>
      <c r="GJ60" s="1169"/>
      <c r="GK60" s="1169"/>
      <c r="GL60" s="1169"/>
      <c r="GM60" s="1169"/>
      <c r="GN60" s="1169"/>
      <c r="GO60" s="1169"/>
      <c r="GP60" s="1169"/>
      <c r="GQ60" s="1169"/>
      <c r="GR60" s="1169"/>
      <c r="GS60" s="1169"/>
      <c r="GT60" s="1169"/>
      <c r="GU60" s="1169">
        <v>74.400000000000006</v>
      </c>
      <c r="GV60" s="1169">
        <v>138.30000000000001</v>
      </c>
      <c r="GW60" s="1169">
        <v>106.8</v>
      </c>
      <c r="GX60" s="1169">
        <v>95.3</v>
      </c>
      <c r="GY60" s="1169">
        <v>82.1</v>
      </c>
      <c r="GZ60" s="1169">
        <v>50</v>
      </c>
      <c r="HA60" s="1169">
        <v>2.4</v>
      </c>
    </row>
    <row r="61" spans="1:209" x14ac:dyDescent="0.35">
      <c r="A61" s="1169" t="s">
        <v>366</v>
      </c>
      <c r="B61" s="1169"/>
      <c r="C61" s="1169"/>
      <c r="D61" s="1169"/>
      <c r="E61" s="1169"/>
      <c r="F61" s="1169"/>
      <c r="G61" s="1169"/>
      <c r="H61" s="1169"/>
      <c r="I61" s="1169"/>
      <c r="J61" s="1169"/>
      <c r="K61" s="1169"/>
      <c r="L61" s="1169"/>
      <c r="M61" s="1169"/>
      <c r="N61" s="1169"/>
      <c r="O61" s="1169"/>
      <c r="P61" s="1169"/>
      <c r="Q61" s="1169"/>
      <c r="R61" s="1169"/>
      <c r="S61" s="1169"/>
      <c r="T61" s="1169"/>
      <c r="U61" s="1169"/>
      <c r="V61" s="1169"/>
      <c r="W61" s="1169"/>
      <c r="X61" s="1169"/>
      <c r="Y61" s="1169"/>
      <c r="Z61" s="1169"/>
      <c r="AA61" s="1169"/>
      <c r="AB61" s="1169"/>
      <c r="AC61" s="1169"/>
      <c r="AD61" s="1169"/>
      <c r="AE61" s="1169"/>
      <c r="AF61" s="1169"/>
      <c r="AG61" s="1169"/>
      <c r="AH61" s="1169"/>
      <c r="AI61" s="1169"/>
      <c r="AJ61" s="1169"/>
      <c r="AK61" s="1169"/>
      <c r="AL61" s="1169"/>
      <c r="AM61" s="1169"/>
      <c r="AN61" s="1169"/>
      <c r="AO61" s="1169"/>
      <c r="AP61" s="1169"/>
      <c r="AQ61" s="1169"/>
      <c r="AR61" s="1169"/>
      <c r="AS61" s="1169"/>
      <c r="AT61" s="1169"/>
      <c r="AU61" s="1169"/>
      <c r="AV61" s="1169"/>
      <c r="AW61" s="1169"/>
      <c r="AX61" s="1169"/>
      <c r="AY61" s="1169"/>
      <c r="AZ61" s="1169"/>
      <c r="BA61" s="1169"/>
      <c r="BB61" s="1169"/>
      <c r="BC61" s="1169"/>
      <c r="BD61" s="1169"/>
      <c r="BE61" s="1169"/>
      <c r="BF61" s="1169"/>
      <c r="BG61" s="1169"/>
      <c r="BH61" s="1169"/>
      <c r="BI61" s="1169"/>
      <c r="BJ61" s="1169"/>
      <c r="BK61" s="1169"/>
      <c r="BL61" s="1169"/>
      <c r="BM61" s="1169"/>
      <c r="BN61" s="1169"/>
      <c r="BO61" s="1169"/>
      <c r="BP61" s="1169"/>
      <c r="BQ61" s="1169"/>
      <c r="BR61" s="1169"/>
      <c r="BS61" s="1169"/>
      <c r="BT61" s="1169"/>
      <c r="BU61" s="1169"/>
      <c r="BV61" s="1169"/>
      <c r="BW61" s="1169"/>
      <c r="BX61" s="1169"/>
      <c r="BY61" s="1169"/>
      <c r="BZ61" s="1169"/>
      <c r="CA61" s="1169"/>
      <c r="CB61" s="1169"/>
      <c r="CC61" s="1169"/>
      <c r="CD61" s="1169"/>
      <c r="CE61" s="1169"/>
      <c r="CF61" s="1169"/>
      <c r="CG61" s="1169"/>
      <c r="CH61" s="1169"/>
      <c r="CI61" s="1169"/>
      <c r="CJ61" s="1169"/>
      <c r="CK61" s="1169"/>
      <c r="CL61" s="1169"/>
      <c r="CM61" s="1169"/>
      <c r="CN61" s="1169"/>
      <c r="CO61" s="1169"/>
      <c r="CP61" s="1169"/>
      <c r="CQ61" s="1169"/>
      <c r="CR61" s="1169"/>
      <c r="CS61" s="1169"/>
      <c r="CT61" s="1169"/>
      <c r="CU61" s="1169"/>
      <c r="CV61" s="1169"/>
      <c r="CW61" s="1169"/>
      <c r="CX61" s="1169"/>
      <c r="CY61" s="1169"/>
      <c r="CZ61" s="1169"/>
      <c r="DA61" s="1169"/>
      <c r="DB61" s="1169"/>
      <c r="DC61" s="1169"/>
      <c r="DD61" s="1169"/>
      <c r="DE61" s="1169"/>
      <c r="DF61" s="1169"/>
      <c r="DG61" s="1169"/>
      <c r="DH61" s="1169"/>
      <c r="DI61" s="1169"/>
      <c r="DJ61" s="1169"/>
      <c r="DK61" s="1169"/>
      <c r="DL61" s="1169"/>
      <c r="DM61" s="1169"/>
      <c r="DN61" s="1169"/>
      <c r="DO61" s="1169"/>
      <c r="DP61" s="1169"/>
      <c r="DQ61" s="1169"/>
      <c r="DR61" s="1169"/>
      <c r="DS61" s="1169"/>
      <c r="DT61" s="1169"/>
      <c r="DU61" s="1169"/>
      <c r="DV61" s="1169"/>
      <c r="DW61" s="1169"/>
      <c r="DX61" s="1169"/>
      <c r="DY61" s="1169"/>
      <c r="DZ61" s="1169"/>
      <c r="EA61" s="1169"/>
      <c r="EB61" s="1169"/>
      <c r="EC61" s="1169"/>
      <c r="ED61" s="1169"/>
      <c r="EE61" s="1169"/>
      <c r="EF61" s="1169"/>
      <c r="EG61" s="1169"/>
      <c r="EH61" s="1169"/>
      <c r="EI61" s="1169"/>
      <c r="EJ61" s="1169"/>
      <c r="EK61" s="1169"/>
      <c r="EL61" s="1169"/>
      <c r="EM61" s="1169"/>
      <c r="EN61" s="1169"/>
      <c r="EO61" s="1169"/>
      <c r="EP61" s="1169"/>
      <c r="EQ61" s="1169"/>
      <c r="ER61" s="1169"/>
      <c r="ES61" s="1169"/>
      <c r="ET61" s="1169"/>
      <c r="EU61" s="1169"/>
      <c r="EV61" s="1169"/>
      <c r="EW61" s="1169"/>
      <c r="EX61" s="1169"/>
      <c r="EY61" s="1169"/>
      <c r="EZ61" s="1169"/>
      <c r="FA61" s="1169"/>
      <c r="FB61" s="1169"/>
      <c r="FC61" s="1169"/>
      <c r="FD61" s="1169"/>
      <c r="FE61" s="1169"/>
      <c r="FF61" s="1169"/>
      <c r="FG61" s="1169"/>
      <c r="FH61" s="1169"/>
      <c r="FI61" s="1169"/>
      <c r="FJ61" s="1169"/>
      <c r="FK61" s="1169"/>
      <c r="FL61" s="1169"/>
      <c r="FM61" s="1169"/>
      <c r="FN61" s="1169"/>
      <c r="FO61" s="1169"/>
      <c r="FP61" s="1169"/>
      <c r="FQ61" s="1169"/>
      <c r="FR61" s="1169"/>
      <c r="FS61" s="1169"/>
      <c r="FT61" s="1169"/>
      <c r="FU61" s="1169"/>
      <c r="FV61" s="1169"/>
      <c r="FW61" s="1169"/>
      <c r="FX61" s="1169"/>
      <c r="FY61" s="1169"/>
      <c r="FZ61" s="1169"/>
      <c r="GA61" s="1169"/>
      <c r="GB61" s="1169"/>
      <c r="GC61" s="1169"/>
      <c r="GD61" s="1169"/>
      <c r="GE61" s="1169"/>
      <c r="GF61" s="1169"/>
      <c r="GG61" s="1169"/>
      <c r="GH61" s="1169"/>
      <c r="GI61" s="1169"/>
      <c r="GJ61" s="1169"/>
      <c r="GK61" s="1169"/>
      <c r="GL61" s="1169"/>
      <c r="GM61" s="1169"/>
      <c r="GN61" s="1169"/>
      <c r="GO61" s="1169"/>
      <c r="GP61" s="1169"/>
      <c r="GQ61" s="1169"/>
      <c r="GR61" s="1169"/>
      <c r="GS61" s="1169"/>
      <c r="GT61" s="1169"/>
      <c r="GU61" s="1169">
        <v>698.9</v>
      </c>
      <c r="GV61" s="1169">
        <v>413.9</v>
      </c>
      <c r="GW61" s="1169">
        <v>14.7</v>
      </c>
      <c r="GX61" s="1169">
        <v>286.89999999999998</v>
      </c>
      <c r="GY61" s="1169">
        <v>237.2</v>
      </c>
      <c r="GZ61" s="1169">
        <v>113.2</v>
      </c>
      <c r="HA61" s="1169">
        <v>0</v>
      </c>
    </row>
    <row r="62" spans="1:209" x14ac:dyDescent="0.35">
      <c r="A62" s="1169" t="s">
        <v>871</v>
      </c>
      <c r="B62" s="1169"/>
      <c r="C62" s="1169"/>
      <c r="D62" s="1169"/>
      <c r="E62" s="1169"/>
      <c r="F62" s="1169"/>
      <c r="G62" s="1169"/>
      <c r="H62" s="1169"/>
      <c r="I62" s="1169"/>
      <c r="J62" s="1169"/>
      <c r="K62" s="1169"/>
      <c r="L62" s="1169"/>
      <c r="M62" s="1169"/>
      <c r="N62" s="1169"/>
      <c r="O62" s="1169"/>
      <c r="P62" s="1169"/>
      <c r="Q62" s="1169"/>
      <c r="R62" s="1169"/>
      <c r="S62" s="1169"/>
      <c r="T62" s="1169"/>
      <c r="U62" s="1169"/>
      <c r="V62" s="1169"/>
      <c r="W62" s="1169"/>
      <c r="X62" s="1169"/>
      <c r="Y62" s="1169"/>
      <c r="Z62" s="1169"/>
      <c r="AA62" s="1169"/>
      <c r="AB62" s="1169"/>
      <c r="AC62" s="1169"/>
      <c r="AD62" s="1169"/>
      <c r="AE62" s="1169"/>
      <c r="AF62" s="1169"/>
      <c r="AG62" s="1169"/>
      <c r="AH62" s="1169"/>
      <c r="AI62" s="1169"/>
      <c r="AJ62" s="1169"/>
      <c r="AK62" s="1169"/>
      <c r="AL62" s="1169"/>
      <c r="AM62" s="1169"/>
      <c r="AN62" s="1169"/>
      <c r="AO62" s="1169"/>
      <c r="AP62" s="1169"/>
      <c r="AQ62" s="1169"/>
      <c r="AR62" s="1169"/>
      <c r="AS62" s="1169"/>
      <c r="AT62" s="1169"/>
      <c r="AU62" s="1169"/>
      <c r="AV62" s="1169"/>
      <c r="AW62" s="1169"/>
      <c r="AX62" s="1169"/>
      <c r="AY62" s="1169"/>
      <c r="AZ62" s="1169"/>
      <c r="BA62" s="1169"/>
      <c r="BB62" s="1169"/>
      <c r="BC62" s="1169"/>
      <c r="BD62" s="1169"/>
      <c r="BE62" s="1169"/>
      <c r="BF62" s="1169"/>
      <c r="BG62" s="1169"/>
      <c r="BH62" s="1169"/>
      <c r="BI62" s="1169"/>
      <c r="BJ62" s="1169"/>
      <c r="BK62" s="1169"/>
      <c r="BL62" s="1169"/>
      <c r="BM62" s="1169"/>
      <c r="BN62" s="1169"/>
      <c r="BO62" s="1169"/>
      <c r="BP62" s="1169"/>
      <c r="BQ62" s="1169"/>
      <c r="BR62" s="1169"/>
      <c r="BS62" s="1169"/>
      <c r="BT62" s="1169"/>
      <c r="BU62" s="1169"/>
      <c r="BV62" s="1169"/>
      <c r="BW62" s="1169"/>
      <c r="BX62" s="1169"/>
      <c r="BY62" s="1169"/>
      <c r="BZ62" s="1169"/>
      <c r="CA62" s="1169"/>
      <c r="CB62" s="1169"/>
      <c r="CC62" s="1169"/>
      <c r="CD62" s="1169"/>
      <c r="CE62" s="1169"/>
      <c r="CF62" s="1169"/>
      <c r="CG62" s="1169"/>
      <c r="CH62" s="1169"/>
      <c r="CI62" s="1169"/>
      <c r="CJ62" s="1169"/>
      <c r="CK62" s="1169"/>
      <c r="CL62" s="1169"/>
      <c r="CM62" s="1169"/>
      <c r="CN62" s="1169"/>
      <c r="CO62" s="1169"/>
      <c r="CP62" s="1169"/>
      <c r="CQ62" s="1169"/>
      <c r="CR62" s="1169"/>
      <c r="CS62" s="1169"/>
      <c r="CT62" s="1169"/>
      <c r="CU62" s="1169"/>
      <c r="CV62" s="1169"/>
      <c r="CW62" s="1169"/>
      <c r="CX62" s="1169"/>
      <c r="CY62" s="1169"/>
      <c r="CZ62" s="1169"/>
      <c r="DA62" s="1169"/>
      <c r="DB62" s="1169"/>
      <c r="DC62" s="1169"/>
      <c r="DD62" s="1169"/>
      <c r="DE62" s="1169"/>
      <c r="DF62" s="1169"/>
      <c r="DG62" s="1169"/>
      <c r="DH62" s="1169"/>
      <c r="DI62" s="1169"/>
      <c r="DJ62" s="1169"/>
      <c r="DK62" s="1169"/>
      <c r="DL62" s="1169"/>
      <c r="DM62" s="1169"/>
      <c r="DN62" s="1169"/>
      <c r="DO62" s="1169"/>
      <c r="DP62" s="1169"/>
      <c r="DQ62" s="1169"/>
      <c r="DR62" s="1169"/>
      <c r="DS62" s="1169"/>
      <c r="DT62" s="1169"/>
      <c r="DU62" s="1169"/>
      <c r="DV62" s="1169"/>
      <c r="DW62" s="1169"/>
      <c r="DX62" s="1169"/>
      <c r="DY62" s="1169"/>
      <c r="DZ62" s="1169"/>
      <c r="EA62" s="1169"/>
      <c r="EB62" s="1169"/>
      <c r="EC62" s="1169"/>
      <c r="ED62" s="1169"/>
      <c r="EE62" s="1169"/>
      <c r="EF62" s="1169"/>
      <c r="EG62" s="1169"/>
      <c r="EH62" s="1169"/>
      <c r="EI62" s="1169"/>
      <c r="EJ62" s="1169"/>
      <c r="EK62" s="1169"/>
      <c r="EL62" s="1169"/>
      <c r="EM62" s="1169"/>
      <c r="EN62" s="1169"/>
      <c r="EO62" s="1169"/>
      <c r="EP62" s="1169"/>
      <c r="EQ62" s="1169"/>
      <c r="ER62" s="1169"/>
      <c r="ES62" s="1169"/>
      <c r="ET62" s="1169"/>
      <c r="EU62" s="1169"/>
      <c r="EV62" s="1169"/>
      <c r="EW62" s="1169"/>
      <c r="EX62" s="1169"/>
      <c r="EY62" s="1169"/>
      <c r="EZ62" s="1169"/>
      <c r="FA62" s="1169"/>
      <c r="FB62" s="1169"/>
      <c r="FC62" s="1169"/>
      <c r="FD62" s="1169"/>
      <c r="FE62" s="1169"/>
      <c r="FF62" s="1169"/>
      <c r="FG62" s="1169"/>
      <c r="FH62" s="1169"/>
      <c r="FI62" s="1169"/>
      <c r="FJ62" s="1169"/>
      <c r="FK62" s="1169"/>
      <c r="FL62" s="1169"/>
      <c r="FM62" s="1169"/>
      <c r="FN62" s="1169"/>
      <c r="FO62" s="1169"/>
      <c r="FP62" s="1169"/>
      <c r="FQ62" s="1169"/>
      <c r="FR62" s="1169"/>
      <c r="FS62" s="1169"/>
      <c r="FT62" s="1169"/>
      <c r="FU62" s="1169"/>
      <c r="FV62" s="1169"/>
      <c r="FW62" s="1169"/>
      <c r="FX62" s="1169"/>
      <c r="FY62" s="1169"/>
      <c r="FZ62" s="1169"/>
      <c r="GA62" s="1169"/>
      <c r="GB62" s="1169"/>
      <c r="GC62" s="1169"/>
      <c r="GD62" s="1169"/>
      <c r="GE62" s="1169"/>
      <c r="GF62" s="1169"/>
      <c r="GG62" s="1169"/>
      <c r="GH62" s="1169"/>
      <c r="GI62" s="1169"/>
      <c r="GJ62" s="1169"/>
      <c r="GK62" s="1169"/>
      <c r="GL62" s="1169"/>
      <c r="GM62" s="1169"/>
      <c r="GN62" s="1169"/>
      <c r="GO62" s="1169"/>
      <c r="GP62" s="1169"/>
      <c r="GQ62" s="1169"/>
      <c r="GR62" s="1169"/>
      <c r="GS62" s="1169"/>
      <c r="GT62" s="1169"/>
      <c r="GU62" s="1169">
        <v>779.6</v>
      </c>
      <c r="GV62" s="1169">
        <v>582.4</v>
      </c>
      <c r="GW62" s="1169">
        <v>216.6</v>
      </c>
      <c r="GX62" s="1169">
        <v>505</v>
      </c>
      <c r="GY62" s="1169">
        <v>429.7</v>
      </c>
      <c r="GZ62" s="1169">
        <v>230.4</v>
      </c>
      <c r="HA62" s="1169">
        <v>8.1999999999999993</v>
      </c>
    </row>
    <row r="63" spans="1:209" x14ac:dyDescent="0.35">
      <c r="A63" s="1169" t="s">
        <v>358</v>
      </c>
      <c r="B63" s="1169"/>
      <c r="C63" s="1169"/>
      <c r="D63" s="1169"/>
      <c r="E63" s="1169"/>
      <c r="F63" s="1169"/>
      <c r="G63" s="1169"/>
      <c r="H63" s="1169"/>
      <c r="I63" s="1169"/>
      <c r="J63" s="1169"/>
      <c r="K63" s="1169"/>
      <c r="L63" s="1169"/>
      <c r="M63" s="1169"/>
      <c r="N63" s="1169"/>
      <c r="O63" s="1169"/>
      <c r="P63" s="1169"/>
      <c r="Q63" s="1169"/>
      <c r="R63" s="1169"/>
      <c r="S63" s="1169"/>
      <c r="T63" s="1169"/>
      <c r="U63" s="1169"/>
      <c r="V63" s="1169"/>
      <c r="W63" s="1169"/>
      <c r="X63" s="1169"/>
      <c r="Y63" s="1169"/>
      <c r="Z63" s="1169"/>
      <c r="AA63" s="1169"/>
      <c r="AB63" s="1169"/>
      <c r="AC63" s="1169"/>
      <c r="AD63" s="1169"/>
      <c r="AE63" s="1169"/>
      <c r="AF63" s="1169"/>
      <c r="AG63" s="1169"/>
      <c r="AH63" s="1169"/>
      <c r="AI63" s="1169"/>
      <c r="AJ63" s="1169"/>
      <c r="AK63" s="1169"/>
      <c r="AL63" s="1169"/>
      <c r="AM63" s="1169"/>
      <c r="AN63" s="1169"/>
      <c r="AO63" s="1169"/>
      <c r="AP63" s="1169"/>
      <c r="AQ63" s="1169"/>
      <c r="AR63" s="1169"/>
      <c r="AS63" s="1169"/>
      <c r="AT63" s="1169"/>
      <c r="AU63" s="1169"/>
      <c r="AV63" s="1169"/>
      <c r="AW63" s="1169"/>
      <c r="AX63" s="1169"/>
      <c r="AY63" s="1169"/>
      <c r="AZ63" s="1169"/>
      <c r="BA63" s="1169"/>
      <c r="BB63" s="1169"/>
      <c r="BC63" s="1169"/>
      <c r="BD63" s="1169"/>
      <c r="BE63" s="1169"/>
      <c r="BF63" s="1169"/>
      <c r="BG63" s="1169"/>
      <c r="BH63" s="1169"/>
      <c r="BI63" s="1169"/>
      <c r="BJ63" s="1169"/>
      <c r="BK63" s="1169"/>
      <c r="BL63" s="1169"/>
      <c r="BM63" s="1169"/>
      <c r="BN63" s="1169"/>
      <c r="BO63" s="1169"/>
      <c r="BP63" s="1169"/>
      <c r="BQ63" s="1169"/>
      <c r="BR63" s="1169"/>
      <c r="BS63" s="1169"/>
      <c r="BT63" s="1169"/>
      <c r="BU63" s="1169"/>
      <c r="BV63" s="1169"/>
      <c r="BW63" s="1169"/>
      <c r="BX63" s="1169"/>
      <c r="BY63" s="1169"/>
      <c r="BZ63" s="1169"/>
      <c r="CA63" s="1169"/>
      <c r="CB63" s="1169"/>
      <c r="CC63" s="1169"/>
      <c r="CD63" s="1169"/>
      <c r="CE63" s="1169"/>
      <c r="CF63" s="1169"/>
      <c r="CG63" s="1169"/>
      <c r="CH63" s="1169"/>
      <c r="CI63" s="1169"/>
      <c r="CJ63" s="1169"/>
      <c r="CK63" s="1169"/>
      <c r="CL63" s="1169"/>
      <c r="CM63" s="1169"/>
      <c r="CN63" s="1169"/>
      <c r="CO63" s="1169"/>
      <c r="CP63" s="1169"/>
      <c r="CQ63" s="1169"/>
      <c r="CR63" s="1169"/>
      <c r="CS63" s="1169"/>
      <c r="CT63" s="1169"/>
      <c r="CU63" s="1169"/>
      <c r="CV63" s="1169"/>
      <c r="CW63" s="1169"/>
      <c r="CX63" s="1169"/>
      <c r="CY63" s="1169"/>
      <c r="CZ63" s="1169"/>
      <c r="DA63" s="1169"/>
      <c r="DB63" s="1169"/>
      <c r="DC63" s="1169"/>
      <c r="DD63" s="1169"/>
      <c r="DE63" s="1169"/>
      <c r="DF63" s="1169"/>
      <c r="DG63" s="1169"/>
      <c r="DH63" s="1169"/>
      <c r="DI63" s="1169"/>
      <c r="DJ63" s="1169"/>
      <c r="DK63" s="1169"/>
      <c r="DL63" s="1169"/>
      <c r="DM63" s="1169"/>
      <c r="DN63" s="1169"/>
      <c r="DO63" s="1169"/>
      <c r="DP63" s="1169"/>
      <c r="DQ63" s="1169"/>
      <c r="DR63" s="1169"/>
      <c r="DS63" s="1169"/>
      <c r="DT63" s="1169"/>
      <c r="DU63" s="1169"/>
      <c r="DV63" s="1169"/>
      <c r="DW63" s="1169"/>
      <c r="DX63" s="1169"/>
      <c r="DY63" s="1169"/>
      <c r="DZ63" s="1169"/>
      <c r="EA63" s="1169"/>
      <c r="EB63" s="1169"/>
      <c r="EC63" s="1169"/>
      <c r="ED63" s="1169"/>
      <c r="EE63" s="1169"/>
      <c r="EF63" s="1169"/>
      <c r="EG63" s="1169"/>
      <c r="EH63" s="1169"/>
      <c r="EI63" s="1169"/>
      <c r="EJ63" s="1169"/>
      <c r="EK63" s="1169"/>
      <c r="EL63" s="1169"/>
      <c r="EM63" s="1169"/>
      <c r="EN63" s="1169"/>
      <c r="EO63" s="1169"/>
      <c r="EP63" s="1169"/>
      <c r="EQ63" s="1169"/>
      <c r="ER63" s="1169"/>
      <c r="ES63" s="1169"/>
      <c r="ET63" s="1169"/>
      <c r="EU63" s="1169"/>
      <c r="EV63" s="1169"/>
      <c r="EW63" s="1169"/>
      <c r="EX63" s="1169"/>
      <c r="EY63" s="1169"/>
      <c r="EZ63" s="1169"/>
      <c r="FA63" s="1169"/>
      <c r="FB63" s="1169"/>
      <c r="FC63" s="1169"/>
      <c r="FD63" s="1169"/>
      <c r="FE63" s="1169"/>
      <c r="FF63" s="1169"/>
      <c r="FG63" s="1169"/>
      <c r="FH63" s="1169"/>
      <c r="FI63" s="1169"/>
      <c r="FJ63" s="1169"/>
      <c r="FK63" s="1169"/>
      <c r="FL63" s="1169"/>
      <c r="FM63" s="1169"/>
      <c r="FN63" s="1169"/>
      <c r="FO63" s="1169"/>
      <c r="FP63" s="1169"/>
      <c r="FQ63" s="1169"/>
      <c r="FR63" s="1169"/>
      <c r="FS63" s="1169"/>
      <c r="FT63" s="1169"/>
      <c r="FU63" s="1169"/>
      <c r="FV63" s="1169"/>
      <c r="FW63" s="1169"/>
      <c r="FX63" s="1169"/>
      <c r="FY63" s="1169"/>
      <c r="FZ63" s="1169"/>
      <c r="GA63" s="1169"/>
      <c r="GB63" s="1169"/>
      <c r="GC63" s="1169"/>
      <c r="GD63" s="1169"/>
      <c r="GE63" s="1169"/>
      <c r="GF63" s="1169"/>
      <c r="GG63" s="1169"/>
      <c r="GH63" s="1169"/>
      <c r="GI63" s="1169"/>
      <c r="GJ63" s="1169"/>
      <c r="GK63" s="1169"/>
      <c r="GL63" s="1169"/>
      <c r="GM63" s="1169"/>
      <c r="GN63" s="1169"/>
      <c r="GO63" s="1169"/>
      <c r="GP63" s="1169"/>
      <c r="GQ63" s="1169"/>
      <c r="GR63" s="1169"/>
      <c r="GS63" s="1169"/>
      <c r="GT63" s="1169"/>
      <c r="GU63" s="1169">
        <v>0.1</v>
      </c>
      <c r="GV63" s="1169">
        <v>3.7</v>
      </c>
      <c r="GW63" s="1169">
        <v>12.9</v>
      </c>
      <c r="GX63" s="1169">
        <v>25</v>
      </c>
      <c r="GY63" s="1169">
        <v>5.8</v>
      </c>
      <c r="GZ63" s="1169">
        <v>5.7</v>
      </c>
      <c r="HA63" s="1169">
        <v>2.4</v>
      </c>
    </row>
    <row r="64" spans="1:209" x14ac:dyDescent="0.35">
      <c r="A64" s="1169" t="s">
        <v>367</v>
      </c>
      <c r="B64" s="1169"/>
      <c r="C64" s="1169"/>
      <c r="D64" s="1169"/>
      <c r="E64" s="1169"/>
      <c r="F64" s="1169"/>
      <c r="G64" s="1169"/>
      <c r="H64" s="1169"/>
      <c r="I64" s="1169"/>
      <c r="J64" s="1169"/>
      <c r="K64" s="1169"/>
      <c r="L64" s="1169"/>
      <c r="M64" s="1169"/>
      <c r="N64" s="1169"/>
      <c r="O64" s="1169"/>
      <c r="P64" s="1169"/>
      <c r="Q64" s="1169"/>
      <c r="R64" s="1169"/>
      <c r="S64" s="1169"/>
      <c r="T64" s="1169"/>
      <c r="U64" s="1169"/>
      <c r="V64" s="1169"/>
      <c r="W64" s="1169"/>
      <c r="X64" s="1169"/>
      <c r="Y64" s="1169"/>
      <c r="Z64" s="1169"/>
      <c r="AA64" s="1169"/>
      <c r="AB64" s="1169"/>
      <c r="AC64" s="1169"/>
      <c r="AD64" s="1169"/>
      <c r="AE64" s="1169"/>
      <c r="AF64" s="1169"/>
      <c r="AG64" s="1169"/>
      <c r="AH64" s="1169"/>
      <c r="AI64" s="1169"/>
      <c r="AJ64" s="1169"/>
      <c r="AK64" s="1169"/>
      <c r="AL64" s="1169"/>
      <c r="AM64" s="1169"/>
      <c r="AN64" s="1169"/>
      <c r="AO64" s="1169"/>
      <c r="AP64" s="1169"/>
      <c r="AQ64" s="1169"/>
      <c r="AR64" s="1169"/>
      <c r="AS64" s="1169"/>
      <c r="AT64" s="1169"/>
      <c r="AU64" s="1169"/>
      <c r="AV64" s="1169"/>
      <c r="AW64" s="1169"/>
      <c r="AX64" s="1169"/>
      <c r="AY64" s="1169"/>
      <c r="AZ64" s="1169"/>
      <c r="BA64" s="1169"/>
      <c r="BB64" s="1169"/>
      <c r="BC64" s="1169"/>
      <c r="BD64" s="1169"/>
      <c r="BE64" s="1169"/>
      <c r="BF64" s="1169"/>
      <c r="BG64" s="1169"/>
      <c r="BH64" s="1169"/>
      <c r="BI64" s="1169"/>
      <c r="BJ64" s="1169"/>
      <c r="BK64" s="1169"/>
      <c r="BL64" s="1169"/>
      <c r="BM64" s="1169"/>
      <c r="BN64" s="1169"/>
      <c r="BO64" s="1169"/>
      <c r="BP64" s="1169"/>
      <c r="BQ64" s="1169"/>
      <c r="BR64" s="1169"/>
      <c r="BS64" s="1169"/>
      <c r="BT64" s="1169"/>
      <c r="BU64" s="1169"/>
      <c r="BV64" s="1169"/>
      <c r="BW64" s="1169"/>
      <c r="BX64" s="1169"/>
      <c r="BY64" s="1169"/>
      <c r="BZ64" s="1169"/>
      <c r="CA64" s="1169"/>
      <c r="CB64" s="1169"/>
      <c r="CC64" s="1169"/>
      <c r="CD64" s="1169"/>
      <c r="CE64" s="1169"/>
      <c r="CF64" s="1169"/>
      <c r="CG64" s="1169"/>
      <c r="CH64" s="1169"/>
      <c r="CI64" s="1169"/>
      <c r="CJ64" s="1169"/>
      <c r="CK64" s="1169"/>
      <c r="CL64" s="1169"/>
      <c r="CM64" s="1169"/>
      <c r="CN64" s="1169"/>
      <c r="CO64" s="1169"/>
      <c r="CP64" s="1169"/>
      <c r="CQ64" s="1169"/>
      <c r="CR64" s="1169"/>
      <c r="CS64" s="1169"/>
      <c r="CT64" s="1169"/>
      <c r="CU64" s="1169"/>
      <c r="CV64" s="1169"/>
      <c r="CW64" s="1169"/>
      <c r="CX64" s="1169"/>
      <c r="CY64" s="1169"/>
      <c r="CZ64" s="1169"/>
      <c r="DA64" s="1169"/>
      <c r="DB64" s="1169"/>
      <c r="DC64" s="1169"/>
      <c r="DD64" s="1169"/>
      <c r="DE64" s="1169"/>
      <c r="DF64" s="1169"/>
      <c r="DG64" s="1169"/>
      <c r="DH64" s="1169"/>
      <c r="DI64" s="1169"/>
      <c r="DJ64" s="1169"/>
      <c r="DK64" s="1169"/>
      <c r="DL64" s="1169"/>
      <c r="DM64" s="1169"/>
      <c r="DN64" s="1169"/>
      <c r="DO64" s="1169"/>
      <c r="DP64" s="1169"/>
      <c r="DQ64" s="1169"/>
      <c r="DR64" s="1169"/>
      <c r="DS64" s="1169"/>
      <c r="DT64" s="1169"/>
      <c r="DU64" s="1169"/>
      <c r="DV64" s="1169"/>
      <c r="DW64" s="1169"/>
      <c r="DX64" s="1169"/>
      <c r="DY64" s="1169"/>
      <c r="DZ64" s="1169"/>
      <c r="EA64" s="1169"/>
      <c r="EB64" s="1169"/>
      <c r="EC64" s="1169"/>
      <c r="ED64" s="1169"/>
      <c r="EE64" s="1169"/>
      <c r="EF64" s="1169"/>
      <c r="EG64" s="1169"/>
      <c r="EH64" s="1169"/>
      <c r="EI64" s="1169"/>
      <c r="EJ64" s="1169"/>
      <c r="EK64" s="1169"/>
      <c r="EL64" s="1169"/>
      <c r="EM64" s="1169"/>
      <c r="EN64" s="1169"/>
      <c r="EO64" s="1169"/>
      <c r="EP64" s="1169"/>
      <c r="EQ64" s="1169"/>
      <c r="ER64" s="1169"/>
      <c r="ES64" s="1169"/>
      <c r="ET64" s="1169"/>
      <c r="EU64" s="1169"/>
      <c r="EV64" s="1169"/>
      <c r="EW64" s="1169"/>
      <c r="EX64" s="1169"/>
      <c r="EY64" s="1169"/>
      <c r="EZ64" s="1169"/>
      <c r="FA64" s="1169"/>
      <c r="FB64" s="1169"/>
      <c r="FC64" s="1169"/>
      <c r="FD64" s="1169"/>
      <c r="FE64" s="1169"/>
      <c r="FF64" s="1169"/>
      <c r="FG64" s="1169"/>
      <c r="FH64" s="1169"/>
      <c r="FI64" s="1169"/>
      <c r="FJ64" s="1169"/>
      <c r="FK64" s="1169"/>
      <c r="FL64" s="1169"/>
      <c r="FM64" s="1169"/>
      <c r="FN64" s="1169"/>
      <c r="FO64" s="1169"/>
      <c r="FP64" s="1169"/>
      <c r="FQ64" s="1169"/>
      <c r="FR64" s="1169"/>
      <c r="FS64" s="1169"/>
      <c r="FT64" s="1169"/>
      <c r="FU64" s="1169"/>
      <c r="FV64" s="1169"/>
      <c r="FW64" s="1169"/>
      <c r="FX64" s="1169"/>
      <c r="FY64" s="1169"/>
      <c r="FZ64" s="1169"/>
      <c r="GA64" s="1169"/>
      <c r="GB64" s="1169"/>
      <c r="GC64" s="1169"/>
      <c r="GD64" s="1169"/>
      <c r="GE64" s="1169"/>
      <c r="GF64" s="1169"/>
      <c r="GG64" s="1169"/>
      <c r="GH64" s="1169"/>
      <c r="GI64" s="1169"/>
      <c r="GJ64" s="1169"/>
      <c r="GK64" s="1169"/>
      <c r="GL64" s="1169"/>
      <c r="GM64" s="1169"/>
      <c r="GN64" s="1169"/>
      <c r="GO64" s="1169"/>
      <c r="GP64" s="1169"/>
      <c r="GQ64" s="1169"/>
      <c r="GR64" s="1169"/>
      <c r="GS64" s="1169"/>
      <c r="GT64" s="1169"/>
      <c r="GU64" s="1169"/>
      <c r="GV64" s="1169">
        <v>106.2</v>
      </c>
      <c r="GW64" s="1169">
        <v>35.9</v>
      </c>
      <c r="GX64" s="1169">
        <v>1.6</v>
      </c>
      <c r="GY64" s="1169">
        <v>0.6</v>
      </c>
      <c r="GZ64" s="1169">
        <v>0.1</v>
      </c>
      <c r="HA64" s="1169">
        <v>0</v>
      </c>
    </row>
    <row r="65" spans="1:209" x14ac:dyDescent="0.35">
      <c r="A65" s="1169" t="s">
        <v>872</v>
      </c>
      <c r="B65" s="1169">
        <v>5.7</v>
      </c>
      <c r="C65" s="1169">
        <v>5.4</v>
      </c>
      <c r="D65" s="1169">
        <v>4.9000000000000004</v>
      </c>
      <c r="E65" s="1169">
        <v>5.0999999999999996</v>
      </c>
      <c r="F65" s="1169">
        <v>5.6</v>
      </c>
      <c r="G65" s="1169">
        <v>6.4</v>
      </c>
      <c r="H65" s="1169">
        <v>5.9</v>
      </c>
      <c r="I65" s="1169">
        <v>5.8</v>
      </c>
      <c r="J65" s="1169">
        <v>5.9</v>
      </c>
      <c r="K65" s="1169">
        <v>5.5</v>
      </c>
      <c r="L65" s="1169">
        <v>7</v>
      </c>
      <c r="M65" s="1169">
        <v>5.9</v>
      </c>
      <c r="N65" s="1169">
        <v>5.9</v>
      </c>
      <c r="O65" s="1169">
        <v>6.4</v>
      </c>
      <c r="P65" s="1169">
        <v>5.5</v>
      </c>
      <c r="Q65" s="1169">
        <v>6.1</v>
      </c>
      <c r="R65" s="1169">
        <v>8</v>
      </c>
      <c r="S65" s="1169">
        <v>8.8000000000000007</v>
      </c>
      <c r="T65" s="1169">
        <v>6.7</v>
      </c>
      <c r="U65" s="1169">
        <v>8.1</v>
      </c>
      <c r="V65" s="1169">
        <v>9</v>
      </c>
      <c r="W65" s="1169">
        <v>8.1</v>
      </c>
      <c r="X65" s="1169">
        <v>11.1</v>
      </c>
      <c r="Y65" s="1169">
        <v>10.7</v>
      </c>
      <c r="Z65" s="1169">
        <v>10.3</v>
      </c>
      <c r="AA65" s="1169">
        <v>10</v>
      </c>
      <c r="AB65" s="1169">
        <v>10.8</v>
      </c>
      <c r="AC65" s="1169">
        <v>11.3</v>
      </c>
      <c r="AD65" s="1169">
        <v>10.9</v>
      </c>
      <c r="AE65" s="1169">
        <v>10.9</v>
      </c>
      <c r="AF65" s="1169">
        <v>12.1</v>
      </c>
      <c r="AG65" s="1169">
        <v>10.9</v>
      </c>
      <c r="AH65" s="1169">
        <v>11.2</v>
      </c>
      <c r="AI65" s="1169">
        <v>11.8</v>
      </c>
      <c r="AJ65" s="1169">
        <v>12.2</v>
      </c>
      <c r="AK65" s="1169">
        <v>12.8</v>
      </c>
      <c r="AL65" s="1169">
        <v>13.9</v>
      </c>
      <c r="AM65" s="1169">
        <v>13.4</v>
      </c>
      <c r="AN65" s="1169">
        <v>14.7</v>
      </c>
      <c r="AO65" s="1169">
        <v>16.100000000000001</v>
      </c>
      <c r="AP65" s="1169">
        <v>16.7</v>
      </c>
      <c r="AQ65" s="1169">
        <v>16.899999999999999</v>
      </c>
      <c r="AR65" s="1169">
        <v>16.3</v>
      </c>
      <c r="AS65" s="1169">
        <v>17.100000000000001</v>
      </c>
      <c r="AT65" s="1169">
        <v>16.399999999999999</v>
      </c>
      <c r="AU65" s="1169">
        <v>16</v>
      </c>
      <c r="AV65" s="1169">
        <v>15.1</v>
      </c>
      <c r="AW65" s="1169">
        <v>15.4</v>
      </c>
      <c r="AX65" s="1169">
        <v>14.2</v>
      </c>
      <c r="AY65" s="1169">
        <v>14.9</v>
      </c>
      <c r="AZ65" s="1169">
        <v>14.8</v>
      </c>
      <c r="BA65" s="1169">
        <v>14.7</v>
      </c>
      <c r="BB65" s="1169">
        <v>16.100000000000001</v>
      </c>
      <c r="BC65" s="1169">
        <v>14.3</v>
      </c>
      <c r="BD65" s="1169">
        <v>16</v>
      </c>
      <c r="BE65" s="1169">
        <v>15.9</v>
      </c>
      <c r="BF65" s="1169">
        <v>16.7</v>
      </c>
      <c r="BG65" s="1169">
        <v>17.3</v>
      </c>
      <c r="BH65" s="1169">
        <v>18.2</v>
      </c>
      <c r="BI65" s="1169">
        <v>18.899999999999999</v>
      </c>
      <c r="BJ65" s="1169">
        <v>17.2</v>
      </c>
      <c r="BK65" s="1169">
        <v>19.600000000000001</v>
      </c>
      <c r="BL65" s="1169">
        <v>20.2</v>
      </c>
      <c r="BM65" s="1169">
        <v>21.3</v>
      </c>
      <c r="BN65" s="1169">
        <v>19.8</v>
      </c>
      <c r="BO65" s="1169">
        <v>20.7</v>
      </c>
      <c r="BP65" s="1169">
        <v>21.4</v>
      </c>
      <c r="BQ65" s="1169">
        <v>18.399999999999999</v>
      </c>
      <c r="BR65" s="1169">
        <v>18.899999999999999</v>
      </c>
      <c r="BS65" s="1169">
        <v>19.7</v>
      </c>
      <c r="BT65" s="1169">
        <v>19</v>
      </c>
      <c r="BU65" s="1169">
        <v>18.8</v>
      </c>
      <c r="BV65" s="1169">
        <v>19.100000000000001</v>
      </c>
      <c r="BW65" s="1169">
        <v>20</v>
      </c>
      <c r="BX65" s="1169">
        <v>20.5</v>
      </c>
      <c r="BY65" s="1169">
        <v>19.399999999999999</v>
      </c>
      <c r="BZ65" s="1169">
        <v>20.3</v>
      </c>
      <c r="CA65" s="1169">
        <v>20.100000000000001</v>
      </c>
      <c r="CB65" s="1169">
        <v>19</v>
      </c>
      <c r="CC65" s="1169">
        <v>21.5</v>
      </c>
      <c r="CD65" s="1169">
        <v>22.3</v>
      </c>
      <c r="CE65" s="1169">
        <v>20.3</v>
      </c>
      <c r="CF65" s="1169">
        <v>20.7</v>
      </c>
      <c r="CG65" s="1169">
        <v>49.5</v>
      </c>
      <c r="CH65" s="1169">
        <v>26</v>
      </c>
      <c r="CI65" s="1169">
        <v>22.2</v>
      </c>
      <c r="CJ65" s="1169">
        <v>37.1</v>
      </c>
      <c r="CK65" s="1169">
        <v>20.8</v>
      </c>
      <c r="CL65" s="1169">
        <v>21.6</v>
      </c>
      <c r="CM65" s="1169">
        <v>23.2</v>
      </c>
      <c r="CN65" s="1169">
        <v>22.5</v>
      </c>
      <c r="CO65" s="1169">
        <v>23.2</v>
      </c>
      <c r="CP65" s="1169">
        <v>24.4</v>
      </c>
      <c r="CQ65" s="1169">
        <v>22.6</v>
      </c>
      <c r="CR65" s="1169">
        <v>25.3</v>
      </c>
      <c r="CS65" s="1169">
        <v>24.9</v>
      </c>
      <c r="CT65" s="1169">
        <v>23.8</v>
      </c>
      <c r="CU65" s="1169">
        <v>27.5</v>
      </c>
      <c r="CV65" s="1169">
        <v>26.2</v>
      </c>
      <c r="CW65" s="1169">
        <v>26.7</v>
      </c>
      <c r="CX65" s="1169">
        <v>27.9</v>
      </c>
      <c r="CY65" s="1169">
        <v>28.2</v>
      </c>
      <c r="CZ65" s="1169">
        <v>28.4</v>
      </c>
      <c r="DA65" s="1169">
        <v>27</v>
      </c>
      <c r="DB65" s="1169">
        <v>29.3</v>
      </c>
      <c r="DC65" s="1169">
        <v>28.1</v>
      </c>
      <c r="DD65" s="1169">
        <v>27.3</v>
      </c>
      <c r="DE65" s="1169">
        <v>28.9</v>
      </c>
      <c r="DF65" s="1169">
        <v>28.6</v>
      </c>
      <c r="DG65" s="1169">
        <v>29.5</v>
      </c>
      <c r="DH65" s="1169">
        <v>29.7</v>
      </c>
      <c r="DI65" s="1169">
        <v>29</v>
      </c>
      <c r="DJ65" s="1169">
        <v>27.3</v>
      </c>
      <c r="DK65" s="1169">
        <v>27.5</v>
      </c>
      <c r="DL65" s="1169">
        <v>29.4</v>
      </c>
      <c r="DM65" s="1169">
        <v>31.5</v>
      </c>
      <c r="DN65" s="1169">
        <v>29.2</v>
      </c>
      <c r="DO65" s="1169">
        <v>33.9</v>
      </c>
      <c r="DP65" s="1169">
        <v>35.9</v>
      </c>
      <c r="DQ65" s="1169">
        <v>56.3</v>
      </c>
      <c r="DR65" s="1169">
        <v>38</v>
      </c>
      <c r="DS65" s="1169">
        <v>37.9</v>
      </c>
      <c r="DT65" s="1169">
        <v>39.4</v>
      </c>
      <c r="DU65" s="1169">
        <v>49.6</v>
      </c>
      <c r="DV65" s="1169">
        <v>40.9</v>
      </c>
      <c r="DW65" s="1169">
        <v>43.8</v>
      </c>
      <c r="DX65" s="1169">
        <v>44.3</v>
      </c>
      <c r="DY65" s="1169">
        <v>45.3</v>
      </c>
      <c r="DZ65" s="1169">
        <v>59.6</v>
      </c>
      <c r="EA65" s="1169">
        <v>47.2</v>
      </c>
      <c r="EB65" s="1169">
        <v>43.2</v>
      </c>
      <c r="EC65" s="1169">
        <v>63.5</v>
      </c>
      <c r="ED65" s="1169">
        <v>65.7</v>
      </c>
      <c r="EE65" s="1169">
        <v>75.5</v>
      </c>
      <c r="EF65" s="1169">
        <v>71.5</v>
      </c>
      <c r="EG65" s="1169">
        <v>66.400000000000006</v>
      </c>
      <c r="EH65" s="1169">
        <v>75.3</v>
      </c>
      <c r="EI65" s="1169">
        <v>65.2</v>
      </c>
      <c r="EJ65" s="1169">
        <v>74.7</v>
      </c>
      <c r="EK65" s="1169">
        <v>70.2</v>
      </c>
      <c r="EL65" s="1169">
        <v>90.6</v>
      </c>
      <c r="EM65" s="1169">
        <v>75</v>
      </c>
      <c r="EN65" s="1169">
        <v>141.5</v>
      </c>
      <c r="EO65" s="1169">
        <v>82.9</v>
      </c>
      <c r="EP65" s="1169">
        <v>80.5</v>
      </c>
      <c r="EQ65" s="1169">
        <v>77.5</v>
      </c>
      <c r="ER65" s="1169">
        <v>74.8</v>
      </c>
      <c r="ES65" s="1169">
        <v>73.900000000000006</v>
      </c>
      <c r="ET65" s="1169">
        <v>90.3</v>
      </c>
      <c r="EU65" s="1169">
        <v>86.5</v>
      </c>
      <c r="EV65" s="1169">
        <v>86.3</v>
      </c>
      <c r="EW65" s="1169">
        <v>80.400000000000006</v>
      </c>
      <c r="EX65" s="1169">
        <v>87</v>
      </c>
      <c r="EY65" s="1169">
        <v>81.400000000000006</v>
      </c>
      <c r="EZ65" s="1169">
        <v>91.2</v>
      </c>
      <c r="FA65" s="1169">
        <v>348.6</v>
      </c>
      <c r="FB65" s="1169">
        <v>301.2</v>
      </c>
      <c r="FC65" s="1169">
        <v>226</v>
      </c>
      <c r="FD65" s="1169">
        <v>144.9</v>
      </c>
      <c r="FE65" s="1169">
        <v>178.4</v>
      </c>
      <c r="FF65" s="1169">
        <v>164.3</v>
      </c>
      <c r="FG65" s="1169">
        <v>195.8</v>
      </c>
      <c r="FH65" s="1169">
        <v>122.5</v>
      </c>
      <c r="FI65" s="1169">
        <v>110</v>
      </c>
      <c r="FJ65" s="1169">
        <v>110.2</v>
      </c>
      <c r="FK65" s="1169">
        <v>142.19999999999999</v>
      </c>
      <c r="FL65" s="1169">
        <v>122.8</v>
      </c>
      <c r="FM65" s="1169">
        <v>149.69999999999999</v>
      </c>
      <c r="FN65" s="1169">
        <v>110.8</v>
      </c>
      <c r="FO65" s="1169">
        <v>93</v>
      </c>
      <c r="FP65" s="1169">
        <v>90.7</v>
      </c>
      <c r="FQ65" s="1169">
        <v>125.3</v>
      </c>
      <c r="FR65" s="1169">
        <v>91.2</v>
      </c>
      <c r="FS65" s="1169">
        <v>84.4</v>
      </c>
      <c r="FT65" s="1169">
        <v>85.3</v>
      </c>
      <c r="FU65" s="1169">
        <v>79.7</v>
      </c>
      <c r="FV65" s="1169">
        <v>86.8</v>
      </c>
      <c r="FW65" s="1169">
        <v>84.1</v>
      </c>
      <c r="FX65" s="1169">
        <v>83</v>
      </c>
      <c r="FY65" s="1169">
        <v>80.8</v>
      </c>
      <c r="FZ65" s="1169">
        <v>83.2</v>
      </c>
      <c r="GA65" s="1169">
        <v>77.099999999999994</v>
      </c>
      <c r="GB65" s="1169">
        <v>83.9</v>
      </c>
      <c r="GC65" s="1169">
        <v>76.400000000000006</v>
      </c>
      <c r="GD65" s="1169">
        <v>80.900000000000006</v>
      </c>
      <c r="GE65" s="1169">
        <v>77.2</v>
      </c>
      <c r="GF65" s="1169">
        <v>79.599999999999994</v>
      </c>
      <c r="GG65" s="1169">
        <v>84.5</v>
      </c>
      <c r="GH65" s="1169">
        <v>83.7</v>
      </c>
      <c r="GI65" s="1169">
        <v>84.9</v>
      </c>
      <c r="GJ65" s="1169">
        <v>116</v>
      </c>
      <c r="GK65" s="1169">
        <v>80.3</v>
      </c>
      <c r="GL65" s="1169">
        <v>77.900000000000006</v>
      </c>
      <c r="GM65" s="1169">
        <v>85.3</v>
      </c>
      <c r="GN65" s="1169">
        <v>84.4</v>
      </c>
      <c r="GO65" s="1169">
        <v>81.400000000000006</v>
      </c>
      <c r="GP65" s="1169">
        <v>84.5</v>
      </c>
      <c r="GQ65" s="1169">
        <v>77.900000000000006</v>
      </c>
      <c r="GR65" s="1169">
        <v>81</v>
      </c>
      <c r="GS65" s="1169">
        <v>132.30000000000001</v>
      </c>
      <c r="GT65" s="1169">
        <v>92.5</v>
      </c>
      <c r="GU65" s="1169">
        <v>92</v>
      </c>
      <c r="GV65" s="1169">
        <v>92.1</v>
      </c>
      <c r="GW65" s="1169">
        <v>90.4</v>
      </c>
      <c r="GX65" s="1169">
        <v>297.7</v>
      </c>
      <c r="GY65" s="1169">
        <v>89.9</v>
      </c>
      <c r="GZ65" s="1169">
        <v>100.6</v>
      </c>
      <c r="HA65" s="1169">
        <v>91.4</v>
      </c>
    </row>
    <row r="66" spans="1:209" x14ac:dyDescent="0.35">
      <c r="A66" s="1169" t="s">
        <v>589</v>
      </c>
      <c r="B66" s="1169">
        <v>0.58399999999999996</v>
      </c>
      <c r="C66" s="1169">
        <v>0.98</v>
      </c>
      <c r="D66" s="1169">
        <v>1.256</v>
      </c>
      <c r="E66" s="1169">
        <v>1.5920000000000001</v>
      </c>
      <c r="F66" s="1169">
        <v>1.62</v>
      </c>
      <c r="G66" s="1169">
        <v>1.6</v>
      </c>
      <c r="H66" s="1169">
        <v>1.7</v>
      </c>
      <c r="I66" s="1169">
        <v>1.8720000000000001</v>
      </c>
      <c r="J66" s="1169">
        <v>1.8320000000000001</v>
      </c>
      <c r="K66" s="1169">
        <v>1.8240000000000001</v>
      </c>
      <c r="L66" s="1169">
        <v>2.1080000000000001</v>
      </c>
      <c r="M66" s="1169">
        <v>2.1560000000000001</v>
      </c>
      <c r="N66" s="1169">
        <v>2.1560000000000001</v>
      </c>
      <c r="O66" s="1169">
        <v>2.1440000000000001</v>
      </c>
      <c r="P66" s="1169">
        <v>2.2480000000000002</v>
      </c>
      <c r="Q66" s="1169">
        <v>2.2879999999999998</v>
      </c>
      <c r="R66" s="1169">
        <v>3.0640000000000001</v>
      </c>
      <c r="S66" s="1169">
        <v>3.16</v>
      </c>
      <c r="T66" s="1169">
        <v>3.62</v>
      </c>
      <c r="U66" s="1169">
        <v>3.8879999999999999</v>
      </c>
      <c r="V66" s="1169">
        <v>4.3639999999999999</v>
      </c>
      <c r="W66" s="1169">
        <v>4.5119999999999996</v>
      </c>
      <c r="X66" s="1169">
        <v>4.8319999999999999</v>
      </c>
      <c r="Y66" s="1169">
        <v>4.68</v>
      </c>
      <c r="Z66" s="1169">
        <v>4.7679999999999998</v>
      </c>
      <c r="AA66" s="1169">
        <v>4.6760000000000002</v>
      </c>
      <c r="AB66" s="1169">
        <v>4.4160000000000004</v>
      </c>
      <c r="AC66" s="1169">
        <v>4.532</v>
      </c>
      <c r="AD66" s="1169">
        <v>4.4960000000000004</v>
      </c>
      <c r="AE66" s="1169">
        <v>4.3159999999999998</v>
      </c>
      <c r="AF66" s="1169">
        <v>4.38</v>
      </c>
      <c r="AG66" s="1169">
        <v>4.3840000000000003</v>
      </c>
      <c r="AH66" s="1169">
        <v>4.5839999999999996</v>
      </c>
      <c r="AI66" s="1169">
        <v>4.4880000000000004</v>
      </c>
      <c r="AJ66" s="1169">
        <v>4.6719999999999997</v>
      </c>
      <c r="AK66" s="1169">
        <v>4.5960000000000001</v>
      </c>
      <c r="AL66" s="1169">
        <v>5.4240000000000004</v>
      </c>
      <c r="AM66" s="1169">
        <v>5.78</v>
      </c>
      <c r="AN66" s="1169">
        <v>6.88</v>
      </c>
      <c r="AO66" s="1169">
        <v>7.2439999999999998</v>
      </c>
      <c r="AP66" s="1169">
        <v>7.7640000000000002</v>
      </c>
      <c r="AQ66" s="1169">
        <v>8.14</v>
      </c>
      <c r="AR66" s="1169">
        <v>8.44</v>
      </c>
      <c r="AS66" s="1169">
        <v>8.5120000000000005</v>
      </c>
      <c r="AT66" s="1169">
        <v>10.144</v>
      </c>
      <c r="AU66" s="1169">
        <v>10.272</v>
      </c>
      <c r="AV66" s="1169">
        <v>10.16</v>
      </c>
      <c r="AW66" s="1169">
        <v>9.6839999999999993</v>
      </c>
      <c r="AX66" s="1169">
        <v>9.2959999999999994</v>
      </c>
      <c r="AY66" s="1169">
        <v>9.4320000000000004</v>
      </c>
      <c r="AZ66" s="1169">
        <v>9.6760000000000002</v>
      </c>
      <c r="BA66" s="1169">
        <v>11.18</v>
      </c>
      <c r="BB66" s="1169">
        <v>11.288</v>
      </c>
      <c r="BC66" s="1169">
        <v>11.124000000000001</v>
      </c>
      <c r="BD66" s="1169">
        <v>10.964</v>
      </c>
      <c r="BE66" s="1169">
        <v>10.888</v>
      </c>
      <c r="BF66" s="1169">
        <v>10.8</v>
      </c>
      <c r="BG66" s="1169">
        <v>10.624000000000001</v>
      </c>
      <c r="BH66" s="1169">
        <v>10.432</v>
      </c>
      <c r="BI66" s="1169">
        <v>10.82</v>
      </c>
      <c r="BJ66" s="1169">
        <v>10.784000000000001</v>
      </c>
      <c r="BK66" s="1169">
        <v>10.72</v>
      </c>
      <c r="BL66" s="1169">
        <v>10.612</v>
      </c>
      <c r="BM66" s="1169">
        <v>10.644</v>
      </c>
      <c r="BN66" s="1169">
        <v>10.488</v>
      </c>
      <c r="BO66" s="1169">
        <v>10.564</v>
      </c>
      <c r="BP66" s="1169">
        <v>10.576000000000001</v>
      </c>
      <c r="BQ66" s="1169">
        <v>10.584</v>
      </c>
      <c r="BR66" s="1169">
        <v>10.54</v>
      </c>
      <c r="BS66" s="1169">
        <v>10.488</v>
      </c>
      <c r="BT66" s="1169">
        <v>10.311999999999999</v>
      </c>
      <c r="BU66" s="1169">
        <v>11.087999999999999</v>
      </c>
      <c r="BV66" s="1169">
        <v>11.176</v>
      </c>
      <c r="BW66" s="1169">
        <v>11.132</v>
      </c>
      <c r="BX66" s="1169">
        <v>11.052</v>
      </c>
      <c r="BY66" s="1169">
        <v>11.492000000000001</v>
      </c>
      <c r="BZ66" s="1169">
        <v>11.656000000000001</v>
      </c>
      <c r="CA66" s="1169">
        <v>11.712</v>
      </c>
      <c r="CB66" s="1169">
        <v>11.784000000000001</v>
      </c>
      <c r="CC66" s="1169">
        <v>14.148</v>
      </c>
      <c r="CD66" s="1169">
        <v>13.984</v>
      </c>
      <c r="CE66" s="1169">
        <v>14.215999999999999</v>
      </c>
      <c r="CF66" s="1169">
        <v>14.404</v>
      </c>
      <c r="CG66" s="1169">
        <v>16.36</v>
      </c>
      <c r="CH66" s="1169">
        <v>16.995999999999999</v>
      </c>
      <c r="CI66" s="1169">
        <v>17.635999999999999</v>
      </c>
      <c r="CJ66" s="1169">
        <v>18.091999999999999</v>
      </c>
      <c r="CK66" s="1169">
        <v>20.332000000000001</v>
      </c>
      <c r="CL66" s="1169">
        <v>20.596</v>
      </c>
      <c r="CM66" s="1169">
        <v>20.931999999999999</v>
      </c>
      <c r="CN66" s="1169">
        <v>21.792000000000002</v>
      </c>
      <c r="CO66" s="1169">
        <v>21.86</v>
      </c>
      <c r="CP66" s="1169">
        <v>21.82</v>
      </c>
      <c r="CQ66" s="1169">
        <v>22.14</v>
      </c>
      <c r="CR66" s="1169">
        <v>22.204000000000001</v>
      </c>
      <c r="CS66" s="1169">
        <v>22.68</v>
      </c>
      <c r="CT66" s="1169">
        <v>23.06</v>
      </c>
      <c r="CU66" s="1169">
        <v>22.58</v>
      </c>
      <c r="CV66" s="1169">
        <v>22.504000000000001</v>
      </c>
      <c r="CW66" s="1169">
        <v>23.224</v>
      </c>
      <c r="CX66" s="1169">
        <v>22.716000000000001</v>
      </c>
      <c r="CY66" s="1169">
        <v>22.384</v>
      </c>
      <c r="CZ66" s="1169">
        <v>22.052</v>
      </c>
      <c r="DA66" s="1169">
        <v>22.635999999999999</v>
      </c>
      <c r="DB66" s="1169">
        <v>22.564</v>
      </c>
      <c r="DC66" s="1169">
        <v>22.236000000000001</v>
      </c>
      <c r="DD66" s="1169">
        <v>21.852</v>
      </c>
      <c r="DE66" s="1169">
        <v>21.16</v>
      </c>
      <c r="DF66" s="1169">
        <v>20.04</v>
      </c>
      <c r="DG66" s="1169">
        <v>19.076000000000001</v>
      </c>
      <c r="DH66" s="1169">
        <v>18.143999999999998</v>
      </c>
      <c r="DI66" s="1169">
        <v>17.667999999999999</v>
      </c>
      <c r="DJ66" s="1169">
        <v>17.123999999999999</v>
      </c>
      <c r="DK66" s="1169">
        <v>16.579999999999998</v>
      </c>
      <c r="DL66" s="1169">
        <v>15.976000000000001</v>
      </c>
      <c r="DM66" s="1169">
        <v>16.18</v>
      </c>
      <c r="DN66" s="1169">
        <v>15.788</v>
      </c>
      <c r="DO66" s="1169">
        <v>15.464</v>
      </c>
      <c r="DP66" s="1169">
        <v>15.284000000000001</v>
      </c>
      <c r="DQ66" s="1169">
        <v>15.356</v>
      </c>
      <c r="DR66" s="1169">
        <v>13.616</v>
      </c>
      <c r="DS66" s="1169">
        <v>14.896000000000001</v>
      </c>
      <c r="DT66" s="1169">
        <v>14.84</v>
      </c>
      <c r="DU66" s="1169">
        <v>14.907999999999999</v>
      </c>
      <c r="DV66" s="1169">
        <v>15.1</v>
      </c>
      <c r="DW66" s="1169">
        <v>15.536</v>
      </c>
      <c r="DX66" s="1169">
        <v>15.996</v>
      </c>
      <c r="DY66" s="1169">
        <v>17.236000000000001</v>
      </c>
      <c r="DZ66" s="1169">
        <v>17.898</v>
      </c>
      <c r="EA66" s="1169">
        <v>18.222000000000001</v>
      </c>
      <c r="EB66" s="1169">
        <v>18.484999999999999</v>
      </c>
      <c r="EC66" s="1169">
        <v>19.841999999999999</v>
      </c>
      <c r="ED66" s="1169">
        <v>20.652000000000001</v>
      </c>
      <c r="EE66" s="1169">
        <v>21.759</v>
      </c>
      <c r="EF66" s="1169">
        <v>22.788</v>
      </c>
      <c r="EG66" s="1169">
        <v>23.298999999999999</v>
      </c>
      <c r="EH66" s="1169">
        <v>24.085999999999999</v>
      </c>
      <c r="EI66" s="1169">
        <v>24.969000000000001</v>
      </c>
      <c r="EJ66" s="1169">
        <v>25.888000000000002</v>
      </c>
      <c r="EK66" s="1169">
        <v>28.838999999999999</v>
      </c>
      <c r="EL66" s="1169">
        <v>27.844000000000001</v>
      </c>
      <c r="EM66" s="1169">
        <v>28.236999999999998</v>
      </c>
      <c r="EN66" s="1169">
        <v>29.613</v>
      </c>
      <c r="EO66" s="1169">
        <v>32.274000000000001</v>
      </c>
      <c r="EP66" s="1169">
        <v>29.234999999999999</v>
      </c>
      <c r="EQ66" s="1169">
        <v>29.263999999999999</v>
      </c>
      <c r="ER66" s="1169">
        <v>29.344000000000001</v>
      </c>
      <c r="ES66" s="1169">
        <v>29.716999999999999</v>
      </c>
      <c r="ET66" s="1169">
        <v>30</v>
      </c>
      <c r="EU66" s="1169">
        <v>30.391999999999999</v>
      </c>
      <c r="EV66" s="1169">
        <v>30.74</v>
      </c>
      <c r="EW66" s="1169">
        <v>32.552999999999997</v>
      </c>
      <c r="EX66" s="1169">
        <v>33.466000000000001</v>
      </c>
      <c r="EY66" s="1169">
        <v>34.606999999999999</v>
      </c>
      <c r="EZ66" s="1169">
        <v>37.1</v>
      </c>
      <c r="FA66" s="1169">
        <v>42.963999999999999</v>
      </c>
      <c r="FB66" s="1169">
        <v>44.63</v>
      </c>
      <c r="FC66" s="1169">
        <v>55.540999999999997</v>
      </c>
      <c r="FD66" s="1169">
        <v>58.195</v>
      </c>
      <c r="FE66" s="1169">
        <v>60.683</v>
      </c>
      <c r="FF66" s="1169">
        <v>63.749000000000002</v>
      </c>
      <c r="FG66" s="1169">
        <v>65.742999999999995</v>
      </c>
      <c r="FH66" s="1169">
        <v>67.739999999999995</v>
      </c>
      <c r="FI66" s="1169">
        <v>68.828000000000003</v>
      </c>
      <c r="FJ66" s="1169">
        <v>71.063000000000002</v>
      </c>
      <c r="FK66" s="1169">
        <v>72.828999999999994</v>
      </c>
      <c r="FL66" s="1169">
        <v>73.527000000000001</v>
      </c>
      <c r="FM66" s="1169">
        <v>73.492000000000004</v>
      </c>
      <c r="FN66" s="1169">
        <v>74.054000000000002</v>
      </c>
      <c r="FO66" s="1169">
        <v>74.347999999999999</v>
      </c>
      <c r="FP66" s="1169">
        <v>75.343000000000004</v>
      </c>
      <c r="FQ66" s="1169">
        <v>75.66</v>
      </c>
      <c r="FR66" s="1169">
        <v>75.959999999999994</v>
      </c>
      <c r="FS66" s="1169">
        <v>76.039000000000001</v>
      </c>
      <c r="FT66" s="1169">
        <v>75.213999999999999</v>
      </c>
      <c r="FU66" s="1169">
        <v>71.414000000000001</v>
      </c>
      <c r="FV66" s="1169">
        <v>69.317999999999998</v>
      </c>
      <c r="FW66" s="1169">
        <v>69.353999999999999</v>
      </c>
      <c r="FX66" s="1169">
        <v>68.644999999999996</v>
      </c>
      <c r="FY66" s="1169">
        <v>70.316999999999993</v>
      </c>
      <c r="FZ66" s="1169">
        <v>69.766999999999996</v>
      </c>
      <c r="GA66" s="1169">
        <v>69.164000000000001</v>
      </c>
      <c r="GB66" s="1169">
        <v>68.382000000000005</v>
      </c>
      <c r="GC66" s="1169">
        <v>67.638000000000005</v>
      </c>
      <c r="GD66" s="1169">
        <v>67.293999999999997</v>
      </c>
      <c r="GE66" s="1169">
        <v>65.412999999999997</v>
      </c>
      <c r="GF66" s="1169">
        <v>64.802999999999997</v>
      </c>
      <c r="GG66" s="1169">
        <v>64.498999999999995</v>
      </c>
      <c r="GH66" s="1169">
        <v>63.601999999999997</v>
      </c>
      <c r="GI66" s="1169">
        <v>62.271000000000001</v>
      </c>
      <c r="GJ66" s="1169">
        <v>63.802</v>
      </c>
      <c r="GK66" s="1169">
        <v>67.216999999999999</v>
      </c>
      <c r="GL66" s="1169">
        <v>59.726999999999997</v>
      </c>
      <c r="GM66" s="1169">
        <v>58.39</v>
      </c>
      <c r="GN66" s="1169">
        <v>57.319000000000003</v>
      </c>
      <c r="GO66" s="1169">
        <v>57.116</v>
      </c>
      <c r="GP66" s="1169">
        <v>55.898000000000003</v>
      </c>
      <c r="GQ66" s="1169">
        <v>54.478000000000002</v>
      </c>
      <c r="GR66" s="1169">
        <v>54.216000000000001</v>
      </c>
      <c r="GS66" s="1169">
        <v>54.152999999999999</v>
      </c>
      <c r="GT66" s="1169">
        <v>57.268000000000001</v>
      </c>
      <c r="GU66" s="1169">
        <v>92.045000000000002</v>
      </c>
      <c r="GV66" s="1169">
        <v>92.712999999999994</v>
      </c>
      <c r="GW66" s="1169">
        <v>93.037000000000006</v>
      </c>
      <c r="GX66" s="1169">
        <v>109.65300000000001</v>
      </c>
      <c r="GY66" s="1169">
        <v>128.93899999999999</v>
      </c>
      <c r="GZ66" s="1169">
        <v>135.661</v>
      </c>
      <c r="HA66" s="1169">
        <v>139.85</v>
      </c>
    </row>
    <row r="67" spans="1:209" x14ac:dyDescent="0.35">
      <c r="A67" s="1169" t="s">
        <v>873</v>
      </c>
      <c r="B67" s="1169">
        <v>38.1</v>
      </c>
      <c r="C67" s="1169">
        <v>38.633333333333297</v>
      </c>
      <c r="D67" s="1169">
        <v>39.033333333333303</v>
      </c>
      <c r="E67" s="1169">
        <v>39.6</v>
      </c>
      <c r="F67" s="1169">
        <v>39.933333333333302</v>
      </c>
      <c r="G67" s="1169">
        <v>40.299999999999997</v>
      </c>
      <c r="H67" s="1169">
        <v>40.700000000000003</v>
      </c>
      <c r="I67" s="1169">
        <v>41</v>
      </c>
      <c r="J67" s="1169">
        <v>41.3333333333333</v>
      </c>
      <c r="K67" s="1169">
        <v>41.6</v>
      </c>
      <c r="L67" s="1169">
        <v>41.933333333333302</v>
      </c>
      <c r="M67" s="1169">
        <v>42.366666666666703</v>
      </c>
      <c r="N67" s="1169">
        <v>43.033333333333303</v>
      </c>
      <c r="O67" s="1169">
        <v>43.933333333333302</v>
      </c>
      <c r="P67" s="1169">
        <v>44.8</v>
      </c>
      <c r="Q67" s="1169">
        <v>45.933333333333302</v>
      </c>
      <c r="R67" s="1169">
        <v>47.3</v>
      </c>
      <c r="S67" s="1169">
        <v>48.566666666666698</v>
      </c>
      <c r="T67" s="1169">
        <v>49.933333333333302</v>
      </c>
      <c r="U67" s="1169">
        <v>51.466666666666697</v>
      </c>
      <c r="V67" s="1169">
        <v>52.566666666666698</v>
      </c>
      <c r="W67" s="1169">
        <v>53.2</v>
      </c>
      <c r="X67" s="1169">
        <v>54.266666666666701</v>
      </c>
      <c r="Y67" s="1169">
        <v>55.266666666666701</v>
      </c>
      <c r="Z67" s="1169">
        <v>55.9</v>
      </c>
      <c r="AA67" s="1169">
        <v>56.4</v>
      </c>
      <c r="AB67" s="1169">
        <v>57.3</v>
      </c>
      <c r="AC67" s="1169">
        <v>58.133333333333297</v>
      </c>
      <c r="AD67" s="1169">
        <v>59.2</v>
      </c>
      <c r="AE67" s="1169">
        <v>60.233333333333299</v>
      </c>
      <c r="AF67" s="1169">
        <v>61.066666666666698</v>
      </c>
      <c r="AG67" s="1169">
        <v>61.966666666666697</v>
      </c>
      <c r="AH67" s="1169">
        <v>63.033333333333303</v>
      </c>
      <c r="AI67" s="1169">
        <v>64.466666666666697</v>
      </c>
      <c r="AJ67" s="1169">
        <v>65.966666666666697</v>
      </c>
      <c r="AK67" s="1169">
        <v>67.5</v>
      </c>
      <c r="AL67" s="1169">
        <v>69.2</v>
      </c>
      <c r="AM67" s="1169">
        <v>71.400000000000006</v>
      </c>
      <c r="AN67" s="1169">
        <v>73.7</v>
      </c>
      <c r="AO67" s="1169">
        <v>76.033333333333303</v>
      </c>
      <c r="AP67" s="1169">
        <v>79.033333333333303</v>
      </c>
      <c r="AQ67" s="1169">
        <v>81.7</v>
      </c>
      <c r="AR67" s="1169">
        <v>83.233333333333306</v>
      </c>
      <c r="AS67" s="1169">
        <v>85.566666666666706</v>
      </c>
      <c r="AT67" s="1169">
        <v>87.933333333333294</v>
      </c>
      <c r="AU67" s="1169">
        <v>89.766666666666694</v>
      </c>
      <c r="AV67" s="1169">
        <v>92.266666666666694</v>
      </c>
      <c r="AW67" s="1169">
        <v>93.766666666666694</v>
      </c>
      <c r="AX67" s="1169">
        <v>94.6</v>
      </c>
      <c r="AY67" s="1169">
        <v>95.966666666666697</v>
      </c>
      <c r="AZ67" s="1169">
        <v>97.633333333333297</v>
      </c>
      <c r="BA67" s="1169">
        <v>97.933333333333294</v>
      </c>
      <c r="BB67" s="1169">
        <v>98</v>
      </c>
      <c r="BC67" s="1169">
        <v>99.133333333333297</v>
      </c>
      <c r="BD67" s="1169">
        <v>100.1</v>
      </c>
      <c r="BE67" s="1169">
        <v>101.1</v>
      </c>
      <c r="BF67" s="1169">
        <v>102.533333333333</v>
      </c>
      <c r="BG67" s="1169">
        <v>103.5</v>
      </c>
      <c r="BH67" s="1169">
        <v>104.4</v>
      </c>
      <c r="BI67" s="1169">
        <v>105.3</v>
      </c>
      <c r="BJ67" s="1169">
        <v>106.26666666666701</v>
      </c>
      <c r="BK67" s="1169">
        <v>107.23333333333299</v>
      </c>
      <c r="BL67" s="1169">
        <v>107.9</v>
      </c>
      <c r="BM67" s="1169">
        <v>109</v>
      </c>
      <c r="BN67" s="1169">
        <v>109.566666666667</v>
      </c>
      <c r="BO67" s="1169">
        <v>109.033333333333</v>
      </c>
      <c r="BP67" s="1169">
        <v>109.7</v>
      </c>
      <c r="BQ67" s="1169">
        <v>110.466666666667</v>
      </c>
      <c r="BR67" s="1169">
        <v>111.8</v>
      </c>
      <c r="BS67" s="1169">
        <v>113.066666666667</v>
      </c>
      <c r="BT67" s="1169">
        <v>114.26666666666701</v>
      </c>
      <c r="BU67" s="1169">
        <v>115.333333333333</v>
      </c>
      <c r="BV67" s="1169">
        <v>116.23333333333299</v>
      </c>
      <c r="BW67" s="1169">
        <v>117.566666666667</v>
      </c>
      <c r="BX67" s="1169">
        <v>119</v>
      </c>
      <c r="BY67" s="1169">
        <v>120.3</v>
      </c>
      <c r="BZ67" s="1169">
        <v>121.666666666667</v>
      </c>
      <c r="CA67" s="1169">
        <v>123.633333333333</v>
      </c>
      <c r="CB67" s="1169">
        <v>124.6</v>
      </c>
      <c r="CC67" s="1169">
        <v>125.866666666667</v>
      </c>
      <c r="CD67" s="1169">
        <v>128.03333333333299</v>
      </c>
      <c r="CE67" s="1169">
        <v>129.30000000000001</v>
      </c>
      <c r="CF67" s="1169">
        <v>131.53333333333299</v>
      </c>
      <c r="CG67" s="1169">
        <v>133.76666666666699</v>
      </c>
      <c r="CH67" s="1169">
        <v>134.76666666666699</v>
      </c>
      <c r="CI67" s="1169">
        <v>135.566666666667</v>
      </c>
      <c r="CJ67" s="1169">
        <v>136.6</v>
      </c>
      <c r="CK67" s="1169">
        <v>137.73333333333301</v>
      </c>
      <c r="CL67" s="1169">
        <v>138.666666666667</v>
      </c>
      <c r="CM67" s="1169">
        <v>139.73333333333301</v>
      </c>
      <c r="CN67" s="1169">
        <v>140.80000000000001</v>
      </c>
      <c r="CO67" s="1169">
        <v>142.03333333333299</v>
      </c>
      <c r="CP67" s="1169">
        <v>143.066666666667</v>
      </c>
      <c r="CQ67" s="1169">
        <v>144.1</v>
      </c>
      <c r="CR67" s="1169">
        <v>144.76666666666699</v>
      </c>
      <c r="CS67" s="1169">
        <v>145.96666666666701</v>
      </c>
      <c r="CT67" s="1169">
        <v>146.69999999999999</v>
      </c>
      <c r="CU67" s="1169">
        <v>147.53333333333299</v>
      </c>
      <c r="CV67" s="1169">
        <v>148.9</v>
      </c>
      <c r="CW67" s="1169">
        <v>149.76666666666699</v>
      </c>
      <c r="CX67" s="1169">
        <v>150.86666666666699</v>
      </c>
      <c r="CY67" s="1169">
        <v>152.1</v>
      </c>
      <c r="CZ67" s="1169">
        <v>152.86666666666699</v>
      </c>
      <c r="DA67" s="1169">
        <v>153.69999999999999</v>
      </c>
      <c r="DB67" s="1169">
        <v>155.066666666667</v>
      </c>
      <c r="DC67" s="1169">
        <v>156.4</v>
      </c>
      <c r="DD67" s="1169">
        <v>157.30000000000001</v>
      </c>
      <c r="DE67" s="1169">
        <v>158.666666666667</v>
      </c>
      <c r="DF67" s="1169">
        <v>159.63333333333301</v>
      </c>
      <c r="DG67" s="1169">
        <v>160</v>
      </c>
      <c r="DH67" s="1169">
        <v>160.80000000000001</v>
      </c>
      <c r="DI67" s="1169">
        <v>161.666666666667</v>
      </c>
      <c r="DJ67" s="1169">
        <v>162</v>
      </c>
      <c r="DK67" s="1169">
        <v>162.53333333333299</v>
      </c>
      <c r="DL67" s="1169">
        <v>163.36666666666699</v>
      </c>
      <c r="DM67" s="1169">
        <v>164.13333333333301</v>
      </c>
      <c r="DN67" s="1169">
        <v>164.73333333333301</v>
      </c>
      <c r="DO67" s="1169">
        <v>165.96666666666701</v>
      </c>
      <c r="DP67" s="1169">
        <v>167.2</v>
      </c>
      <c r="DQ67" s="1169">
        <v>168.433333333333</v>
      </c>
      <c r="DR67" s="1169">
        <v>170.1</v>
      </c>
      <c r="DS67" s="1169">
        <v>171.433333333333</v>
      </c>
      <c r="DT67" s="1169">
        <v>173</v>
      </c>
      <c r="DU67" s="1169">
        <v>174.23333333333301</v>
      </c>
      <c r="DV67" s="1169">
        <v>175.9</v>
      </c>
      <c r="DW67" s="1169">
        <v>177.13333333333301</v>
      </c>
      <c r="DX67" s="1169">
        <v>177.63333333333301</v>
      </c>
      <c r="DY67" s="1169">
        <v>177.5</v>
      </c>
      <c r="DZ67" s="1169">
        <v>178.066666666667</v>
      </c>
      <c r="EA67" s="1169">
        <v>179.46666666666701</v>
      </c>
      <c r="EB67" s="1169">
        <v>180.433333333333</v>
      </c>
      <c r="EC67" s="1169">
        <v>181.5</v>
      </c>
      <c r="ED67" s="1169">
        <v>183.36666666666699</v>
      </c>
      <c r="EE67" s="1169">
        <v>183.066666666667</v>
      </c>
      <c r="EF67" s="1169">
        <v>184.433333333333</v>
      </c>
      <c r="EG67" s="1169">
        <v>185.13333333333301</v>
      </c>
      <c r="EH67" s="1169">
        <v>186.7</v>
      </c>
      <c r="EI67" s="1169">
        <v>188.166666666667</v>
      </c>
      <c r="EJ67" s="1169">
        <v>189.36666666666699</v>
      </c>
      <c r="EK67" s="1169">
        <v>191.4</v>
      </c>
      <c r="EL67" s="1169">
        <v>192.36666666666699</v>
      </c>
      <c r="EM67" s="1169">
        <v>193.666666666667</v>
      </c>
      <c r="EN67" s="1169">
        <v>196.6</v>
      </c>
      <c r="EO67" s="1169">
        <v>198.433333333333</v>
      </c>
      <c r="EP67" s="1169">
        <v>199.46666666666701</v>
      </c>
      <c r="EQ67" s="1169">
        <v>201.26666666666699</v>
      </c>
      <c r="ER67" s="1169">
        <v>203.166666666667</v>
      </c>
      <c r="ES67" s="1169">
        <v>202.333333333333</v>
      </c>
      <c r="ET67" s="1169">
        <v>204.31700000000001</v>
      </c>
      <c r="EU67" s="1169">
        <v>206.631</v>
      </c>
      <c r="EV67" s="1169">
        <v>207.93899999999999</v>
      </c>
      <c r="EW67" s="1169">
        <v>210.48966666666701</v>
      </c>
      <c r="EX67" s="1169">
        <v>212.76966666666701</v>
      </c>
      <c r="EY67" s="1169">
        <v>215.53766666666701</v>
      </c>
      <c r="EZ67" s="1169">
        <v>218.86099999999999</v>
      </c>
      <c r="FA67" s="1169">
        <v>213.84866666666699</v>
      </c>
      <c r="FB67" s="1169">
        <v>212.37766666666701</v>
      </c>
      <c r="FC67" s="1169">
        <v>213.50700000000001</v>
      </c>
      <c r="FD67" s="1169">
        <v>215.34399999999999</v>
      </c>
      <c r="FE67" s="1169">
        <v>217.03</v>
      </c>
      <c r="FF67" s="1169">
        <v>217.374</v>
      </c>
      <c r="FG67" s="1169">
        <v>217.297333333333</v>
      </c>
      <c r="FH67" s="1169">
        <v>217.934333333333</v>
      </c>
      <c r="FI67" s="1169">
        <v>219.69900000000001</v>
      </c>
      <c r="FJ67" s="1169">
        <v>222.04366666666701</v>
      </c>
      <c r="FK67" s="1169">
        <v>224.56833333333299</v>
      </c>
      <c r="FL67" s="1169">
        <v>226.03266666666701</v>
      </c>
      <c r="FM67" s="1169">
        <v>227.047333333333</v>
      </c>
      <c r="FN67" s="1169">
        <v>228.32599999999999</v>
      </c>
      <c r="FO67" s="1169">
        <v>228.80799999999999</v>
      </c>
      <c r="FP67" s="1169">
        <v>229.84100000000001</v>
      </c>
      <c r="FQ67" s="1169">
        <v>231.369333333333</v>
      </c>
      <c r="FR67" s="1169">
        <v>232.29933333333301</v>
      </c>
      <c r="FS67" s="1169">
        <v>232.04499999999999</v>
      </c>
      <c r="FT67" s="1169">
        <v>233.3</v>
      </c>
      <c r="FU67" s="1169">
        <v>234.16266666666701</v>
      </c>
      <c r="FV67" s="1169">
        <v>235.62100000000001</v>
      </c>
      <c r="FW67" s="1169">
        <v>236.87233333333299</v>
      </c>
      <c r="FX67" s="1169">
        <v>237.47833333333301</v>
      </c>
      <c r="FY67" s="1169">
        <v>236.88833333333301</v>
      </c>
      <c r="FZ67" s="1169">
        <v>235.35499999999999</v>
      </c>
      <c r="GA67" s="1169">
        <v>236.96</v>
      </c>
      <c r="GB67" s="1169">
        <v>237.85499999999999</v>
      </c>
      <c r="GC67" s="1169">
        <v>237.83699999999999</v>
      </c>
      <c r="GD67" s="1169">
        <v>237.689333333333</v>
      </c>
      <c r="GE67" s="1169">
        <v>239.59033333333301</v>
      </c>
      <c r="GF67" s="1169">
        <v>240.607333333333</v>
      </c>
      <c r="GG67" s="1169">
        <v>242.13466666666699</v>
      </c>
      <c r="GH67" s="1169">
        <v>243.838666666667</v>
      </c>
      <c r="GI67" s="1169">
        <v>244.12</v>
      </c>
      <c r="GJ67" s="1169">
        <v>245.28700000000001</v>
      </c>
      <c r="GK67" s="1169">
        <v>247.238333333333</v>
      </c>
      <c r="GL67" s="1169">
        <v>249.25433333333299</v>
      </c>
      <c r="GM67" s="1169">
        <v>250.68100000000001</v>
      </c>
      <c r="GN67" s="1169">
        <v>251.77033333333301</v>
      </c>
      <c r="GO67" s="1169">
        <v>252.69</v>
      </c>
      <c r="GP67" s="1169">
        <v>253.292666666667</v>
      </c>
      <c r="GQ67" s="1169">
        <v>255.28299999999999</v>
      </c>
      <c r="GR67" s="1169">
        <v>256.22500000000002</v>
      </c>
      <c r="GS67" s="1169">
        <v>257.78533333333303</v>
      </c>
      <c r="GT67" s="1169">
        <v>258.61799999999999</v>
      </c>
      <c r="GU67" s="1169">
        <v>256.41833333333301</v>
      </c>
      <c r="GV67" s="1169">
        <v>259.43766666666698</v>
      </c>
      <c r="GW67" s="1169">
        <v>260.87900000000002</v>
      </c>
      <c r="GX67" s="1169">
        <v>263.52466666666697</v>
      </c>
      <c r="GY67" s="1169">
        <v>268.76033333333299</v>
      </c>
      <c r="GZ67" s="1169">
        <v>273.16333333333301</v>
      </c>
      <c r="HA67" s="1169">
        <v>278.41333333333301</v>
      </c>
    </row>
    <row r="68" spans="1:209" x14ac:dyDescent="0.35">
      <c r="A68" s="1169" t="s">
        <v>874</v>
      </c>
      <c r="B68" s="1169">
        <v>38.299999999999997</v>
      </c>
      <c r="C68" s="1169">
        <v>38.8333333333333</v>
      </c>
      <c r="D68" s="1169">
        <v>39.233333333333299</v>
      </c>
      <c r="E68" s="1169">
        <v>39.799999999999997</v>
      </c>
      <c r="F68" s="1169">
        <v>40.1666666666667</v>
      </c>
      <c r="G68" s="1169">
        <v>40.533333333333303</v>
      </c>
      <c r="H68" s="1169">
        <v>40.966666666666697</v>
      </c>
      <c r="I68" s="1169">
        <v>41.233333333333299</v>
      </c>
      <c r="J68" s="1169">
        <v>41.6</v>
      </c>
      <c r="K68" s="1169">
        <v>41.8</v>
      </c>
      <c r="L68" s="1169">
        <v>42.2</v>
      </c>
      <c r="M68" s="1169">
        <v>42.633333333333297</v>
      </c>
      <c r="N68" s="1169">
        <v>43.266666666666701</v>
      </c>
      <c r="O68" s="1169">
        <v>44.1666666666667</v>
      </c>
      <c r="P68" s="1169">
        <v>45.066666666666698</v>
      </c>
      <c r="Q68" s="1169">
        <v>46.1666666666667</v>
      </c>
      <c r="R68" s="1169">
        <v>47.566666666666698</v>
      </c>
      <c r="S68" s="1169">
        <v>48.766666666666701</v>
      </c>
      <c r="T68" s="1169">
        <v>50.233333333333299</v>
      </c>
      <c r="U68" s="1169">
        <v>51.766666666666701</v>
      </c>
      <c r="V68" s="1169">
        <v>52.866666666666703</v>
      </c>
      <c r="W68" s="1169">
        <v>53.5</v>
      </c>
      <c r="X68" s="1169">
        <v>54.566666666666698</v>
      </c>
      <c r="Y68" s="1169">
        <v>55.566666666666698</v>
      </c>
      <c r="Z68" s="1169">
        <v>56.233333333333299</v>
      </c>
      <c r="AA68" s="1169">
        <v>56.733333333333299</v>
      </c>
      <c r="AB68" s="1169">
        <v>57.6</v>
      </c>
      <c r="AC68" s="1169">
        <v>58.433333333333302</v>
      </c>
      <c r="AD68" s="1169">
        <v>59.533333333333303</v>
      </c>
      <c r="AE68" s="1169">
        <v>60.6</v>
      </c>
      <c r="AF68" s="1169">
        <v>61.433333333333302</v>
      </c>
      <c r="AG68" s="1169">
        <v>62.266666666666701</v>
      </c>
      <c r="AH68" s="1169">
        <v>63.366666666666703</v>
      </c>
      <c r="AI68" s="1169">
        <v>64.766666666666694</v>
      </c>
      <c r="AJ68" s="1169">
        <v>66.233333333333306</v>
      </c>
      <c r="AK68" s="1169">
        <v>67.8333333333333</v>
      </c>
      <c r="AL68" s="1169">
        <v>69.566666666666706</v>
      </c>
      <c r="AM68" s="1169">
        <v>71.900000000000006</v>
      </c>
      <c r="AN68" s="1169">
        <v>74.233333333333306</v>
      </c>
      <c r="AO68" s="1169">
        <v>76.5</v>
      </c>
      <c r="AP68" s="1169">
        <v>79.5</v>
      </c>
      <c r="AQ68" s="1169">
        <v>82.2</v>
      </c>
      <c r="AR68" s="1169">
        <v>83.733333333333306</v>
      </c>
      <c r="AS68" s="1169">
        <v>86.1666666666667</v>
      </c>
      <c r="AT68" s="1169">
        <v>88.466666666666697</v>
      </c>
      <c r="AU68" s="1169">
        <v>90.233333333333306</v>
      </c>
      <c r="AV68" s="1169">
        <v>92.733333333333306</v>
      </c>
      <c r="AW68" s="1169">
        <v>94.1666666666667</v>
      </c>
      <c r="AX68" s="1169">
        <v>94.966666666666697</v>
      </c>
      <c r="AY68" s="1169">
        <v>96.233333333333306</v>
      </c>
      <c r="AZ68" s="1169">
        <v>98</v>
      </c>
      <c r="BA68" s="1169">
        <v>98.3333333333333</v>
      </c>
      <c r="BB68" s="1169">
        <v>98.3</v>
      </c>
      <c r="BC68" s="1169">
        <v>99.433333333333294</v>
      </c>
      <c r="BD68" s="1169">
        <v>100.4</v>
      </c>
      <c r="BE68" s="1169">
        <v>101.166666666667</v>
      </c>
      <c r="BF68" s="1169">
        <v>101.933333333333</v>
      </c>
      <c r="BG68" s="1169">
        <v>102.466666666667</v>
      </c>
      <c r="BH68" s="1169">
        <v>103.933333333333</v>
      </c>
      <c r="BI68" s="1169">
        <v>104.8</v>
      </c>
      <c r="BJ68" s="1169">
        <v>105.666666666667</v>
      </c>
      <c r="BK68" s="1169">
        <v>106.633333333333</v>
      </c>
      <c r="BL68" s="1169">
        <v>107.133333333333</v>
      </c>
      <c r="BM68" s="1169">
        <v>108.2</v>
      </c>
      <c r="BN68" s="1169">
        <v>108.666666666667</v>
      </c>
      <c r="BO68" s="1169">
        <v>107.933333333333</v>
      </c>
      <c r="BP68" s="1169">
        <v>108.5</v>
      </c>
      <c r="BQ68" s="1169">
        <v>109.2</v>
      </c>
      <c r="BR68" s="1169">
        <v>110.666666666667</v>
      </c>
      <c r="BS68" s="1169">
        <v>111.966666666667</v>
      </c>
      <c r="BT68" s="1169">
        <v>113.166666666667</v>
      </c>
      <c r="BU68" s="1169">
        <v>114.166666666667</v>
      </c>
      <c r="BV68" s="1169">
        <v>114.933333333333</v>
      </c>
      <c r="BW68" s="1169">
        <v>116.2</v>
      </c>
      <c r="BX68" s="1169">
        <v>117.73333333333299</v>
      </c>
      <c r="BY68" s="1169">
        <v>118.933333333333</v>
      </c>
      <c r="BZ68" s="1169">
        <v>120.366666666667</v>
      </c>
      <c r="CA68" s="1169">
        <v>122.4</v>
      </c>
      <c r="CB68" s="1169">
        <v>123.26666666666701</v>
      </c>
      <c r="CC68" s="1169">
        <v>124.4</v>
      </c>
      <c r="CD68" s="1169">
        <v>126.566666666667</v>
      </c>
      <c r="CE68" s="1169">
        <v>127.666666666667</v>
      </c>
      <c r="CF68" s="1169">
        <v>129.86666666666699</v>
      </c>
      <c r="CG68" s="1169">
        <v>132.1</v>
      </c>
      <c r="CH68" s="1169">
        <v>132.933333333333</v>
      </c>
      <c r="CI68" s="1169">
        <v>133.73333333333301</v>
      </c>
      <c r="CJ68" s="1169">
        <v>134.63333333333301</v>
      </c>
      <c r="CK68" s="1169">
        <v>135.73333333333301</v>
      </c>
      <c r="CL68" s="1169">
        <v>136.53333333333299</v>
      </c>
      <c r="CM68" s="1169">
        <v>137.566666666667</v>
      </c>
      <c r="CN68" s="1169">
        <v>138.69999999999999</v>
      </c>
      <c r="CO68" s="1169">
        <v>139.80000000000001</v>
      </c>
      <c r="CP68" s="1169">
        <v>140.76666666666699</v>
      </c>
      <c r="CQ68" s="1169">
        <v>141.73333333333301</v>
      </c>
      <c r="CR68" s="1169">
        <v>142.333333333333</v>
      </c>
      <c r="CS68" s="1169">
        <v>143.433333333333</v>
      </c>
      <c r="CT68" s="1169">
        <v>144.03333333333299</v>
      </c>
      <c r="CU68" s="1169">
        <v>144.86666666666699</v>
      </c>
      <c r="CV68" s="1169">
        <v>146.4</v>
      </c>
      <c r="CW68" s="1169">
        <v>147.26666666666699</v>
      </c>
      <c r="CX68" s="1169">
        <v>148.333333333333</v>
      </c>
      <c r="CY68" s="1169">
        <v>149.5</v>
      </c>
      <c r="CZ68" s="1169">
        <v>150.166666666667</v>
      </c>
      <c r="DA68" s="1169">
        <v>151</v>
      </c>
      <c r="DB68" s="1169">
        <v>152.4</v>
      </c>
      <c r="DC68" s="1169">
        <v>153.73333333333301</v>
      </c>
      <c r="DD68" s="1169">
        <v>154.566666666667</v>
      </c>
      <c r="DE68" s="1169">
        <v>155.86666666666699</v>
      </c>
      <c r="DF68" s="1169">
        <v>156.80000000000001</v>
      </c>
      <c r="DG68" s="1169">
        <v>157.1</v>
      </c>
      <c r="DH68" s="1169">
        <v>157.80000000000001</v>
      </c>
      <c r="DI68" s="1169">
        <v>158.53333333333299</v>
      </c>
      <c r="DJ68" s="1169">
        <v>158.73333333333301</v>
      </c>
      <c r="DK68" s="1169">
        <v>159.19999999999999</v>
      </c>
      <c r="DL68" s="1169">
        <v>159.96666666666701</v>
      </c>
      <c r="DM68" s="1169">
        <v>160.76666666666699</v>
      </c>
      <c r="DN68" s="1169">
        <v>161.36666666666699</v>
      </c>
      <c r="DO68" s="1169">
        <v>162.53333333333299</v>
      </c>
      <c r="DP68" s="1169">
        <v>163.9</v>
      </c>
      <c r="DQ68" s="1169">
        <v>165.2</v>
      </c>
      <c r="DR68" s="1169">
        <v>166.833333333333</v>
      </c>
      <c r="DS68" s="1169">
        <v>168.166666666667</v>
      </c>
      <c r="DT68" s="1169">
        <v>169.7</v>
      </c>
      <c r="DU68" s="1169">
        <v>170.833333333333</v>
      </c>
      <c r="DV68" s="1169">
        <v>172.433333333333</v>
      </c>
      <c r="DW68" s="1169">
        <v>173.73333333333301</v>
      </c>
      <c r="DX68" s="1169">
        <v>174.1</v>
      </c>
      <c r="DY68" s="1169">
        <v>173.666666666667</v>
      </c>
      <c r="DZ68" s="1169">
        <v>174.03333333333299</v>
      </c>
      <c r="EA68" s="1169">
        <v>175.53333333333299</v>
      </c>
      <c r="EB68" s="1169">
        <v>176.5</v>
      </c>
      <c r="EC68" s="1169">
        <v>177.46666666666701</v>
      </c>
      <c r="ED68" s="1169">
        <v>179.46666666666701</v>
      </c>
      <c r="EE68" s="1169">
        <v>178.933333333333</v>
      </c>
      <c r="EF68" s="1169">
        <v>180.2</v>
      </c>
      <c r="EG68" s="1169">
        <v>180.73333333333301</v>
      </c>
      <c r="EH68" s="1169">
        <v>182.333333333333</v>
      </c>
      <c r="EI68" s="1169">
        <v>183.666666666667</v>
      </c>
      <c r="EJ68" s="1169">
        <v>184.86666666666699</v>
      </c>
      <c r="EK68" s="1169">
        <v>187.066666666667</v>
      </c>
      <c r="EL68" s="1169">
        <v>187.933333333333</v>
      </c>
      <c r="EM68" s="1169">
        <v>189.23333333333301</v>
      </c>
      <c r="EN68" s="1169">
        <v>192.566666666667</v>
      </c>
      <c r="EO68" s="1169">
        <v>194.2</v>
      </c>
      <c r="EP68" s="1169">
        <v>195.13333333333301</v>
      </c>
      <c r="EQ68" s="1169">
        <v>196.933333333333</v>
      </c>
      <c r="ER68" s="1169">
        <v>198.8</v>
      </c>
      <c r="ES68" s="1169">
        <v>197.566666666667</v>
      </c>
      <c r="ET68" s="1169">
        <v>199.553</v>
      </c>
      <c r="EU68" s="1169">
        <v>202.077</v>
      </c>
      <c r="EV68" s="1169">
        <v>203.37</v>
      </c>
      <c r="EW68" s="1169">
        <v>206.08566666666701</v>
      </c>
      <c r="EX68" s="1169">
        <v>208.51599999999999</v>
      </c>
      <c r="EY68" s="1169">
        <v>211.50266666666701</v>
      </c>
      <c r="EZ68" s="1169">
        <v>215.13</v>
      </c>
      <c r="FA68" s="1169">
        <v>208.838666666667</v>
      </c>
      <c r="FB68" s="1169">
        <v>206.94333333333299</v>
      </c>
      <c r="FC68" s="1169">
        <v>208.39033333333299</v>
      </c>
      <c r="FD68" s="1169">
        <v>210.69499999999999</v>
      </c>
      <c r="FE68" s="1169">
        <v>212.63266666666701</v>
      </c>
      <c r="FF68" s="1169">
        <v>213.23699999999999</v>
      </c>
      <c r="FG68" s="1169">
        <v>213.15066666666701</v>
      </c>
      <c r="FH68" s="1169">
        <v>213.82</v>
      </c>
      <c r="FI68" s="1169">
        <v>215.76400000000001</v>
      </c>
      <c r="FJ68" s="1169">
        <v>218.41566666666699</v>
      </c>
      <c r="FK68" s="1169">
        <v>221.28766666666701</v>
      </c>
      <c r="FL68" s="1169">
        <v>222.738</v>
      </c>
      <c r="FM68" s="1169">
        <v>223.774666666667</v>
      </c>
      <c r="FN68" s="1169">
        <v>225.08733333333299</v>
      </c>
      <c r="FO68" s="1169">
        <v>225.45933333333301</v>
      </c>
      <c r="FP68" s="1169">
        <v>226.357</v>
      </c>
      <c r="FQ68" s="1169">
        <v>227.97166666666701</v>
      </c>
      <c r="FR68" s="1169">
        <v>228.83666666666701</v>
      </c>
      <c r="FS68" s="1169">
        <v>228.40966666666699</v>
      </c>
      <c r="FT68" s="1169">
        <v>229.589</v>
      </c>
      <c r="FU68" s="1169">
        <v>230.43366666666699</v>
      </c>
      <c r="FV68" s="1169">
        <v>231.95</v>
      </c>
      <c r="FW68" s="1169">
        <v>233.101333333333</v>
      </c>
      <c r="FX68" s="1169">
        <v>233.494333333333</v>
      </c>
      <c r="FY68" s="1169">
        <v>232.43100000000001</v>
      </c>
      <c r="FZ68" s="1169">
        <v>230.23666666666699</v>
      </c>
      <c r="GA68" s="1169">
        <v>231.957666666667</v>
      </c>
      <c r="GB68" s="1169">
        <v>232.69333333333299</v>
      </c>
      <c r="GC68" s="1169">
        <v>232.280333333333</v>
      </c>
      <c r="GD68" s="1169">
        <v>231.78100000000001</v>
      </c>
      <c r="GE68" s="1169">
        <v>233.774</v>
      </c>
      <c r="GF68" s="1169">
        <v>234.59666666666701</v>
      </c>
      <c r="GG68" s="1169">
        <v>236.14066666666699</v>
      </c>
      <c r="GH68" s="1169">
        <v>237.85900000000001</v>
      </c>
      <c r="GI68" s="1169">
        <v>237.92533333333299</v>
      </c>
      <c r="GJ68" s="1169">
        <v>239.136666666667</v>
      </c>
      <c r="GK68" s="1169">
        <v>241.27633333333301</v>
      </c>
      <c r="GL68" s="1169">
        <v>243.36033333333299</v>
      </c>
      <c r="GM68" s="1169">
        <v>244.732</v>
      </c>
      <c r="GN68" s="1169">
        <v>245.84033333333301</v>
      </c>
      <c r="GO68" s="1169">
        <v>246.613333333333</v>
      </c>
      <c r="GP68" s="1169">
        <v>246.874</v>
      </c>
      <c r="GQ68" s="1169">
        <v>248.91200000000001</v>
      </c>
      <c r="GR68" s="1169">
        <v>249.72499999999999</v>
      </c>
      <c r="GS68" s="1169">
        <v>251.32566666666699</v>
      </c>
      <c r="GT68" s="1169">
        <v>251.99033333333301</v>
      </c>
      <c r="GU68" s="1169">
        <v>249.54300000000001</v>
      </c>
      <c r="GV68" s="1169">
        <v>253.03966666666699</v>
      </c>
      <c r="GW68" s="1169">
        <v>254.55600000000001</v>
      </c>
      <c r="GX68" s="1169">
        <v>257.47199999999998</v>
      </c>
      <c r="GY68" s="1169">
        <v>263.11700000000002</v>
      </c>
      <c r="GZ68" s="1169">
        <v>267.898666666667</v>
      </c>
      <c r="HA68" s="1169">
        <v>273.53666666666697</v>
      </c>
    </row>
    <row r="69" spans="1:209" x14ac:dyDescent="0.35">
      <c r="A69" s="1169" t="s">
        <v>875</v>
      </c>
      <c r="B69" s="1169">
        <v>4942.2</v>
      </c>
      <c r="C69" s="1169">
        <v>4983.3999999999996</v>
      </c>
      <c r="D69" s="1169">
        <v>5023.3</v>
      </c>
      <c r="E69" s="1169">
        <v>5062.2</v>
      </c>
      <c r="F69" s="1169">
        <v>5101.1000000000004</v>
      </c>
      <c r="G69" s="1169">
        <v>5140.8</v>
      </c>
      <c r="H69" s="1169">
        <v>5181</v>
      </c>
      <c r="I69" s="1169">
        <v>5221.8999999999996</v>
      </c>
      <c r="J69" s="1169">
        <v>5263.6</v>
      </c>
      <c r="K69" s="1169">
        <v>5305.9</v>
      </c>
      <c r="L69" s="1169">
        <v>5348.8</v>
      </c>
      <c r="M69" s="1169">
        <v>5392.4</v>
      </c>
      <c r="N69" s="1169">
        <v>5437</v>
      </c>
      <c r="O69" s="1169">
        <v>5483.8</v>
      </c>
      <c r="P69" s="1169">
        <v>5531.1</v>
      </c>
      <c r="Q69" s="1169">
        <v>5579.5</v>
      </c>
      <c r="R69" s="1169">
        <v>5628.5</v>
      </c>
      <c r="S69" s="1169">
        <v>5677.8</v>
      </c>
      <c r="T69" s="1169">
        <v>5726.5</v>
      </c>
      <c r="U69" s="1169">
        <v>5774.5</v>
      </c>
      <c r="V69" s="1169">
        <v>5821.2</v>
      </c>
      <c r="W69" s="1169">
        <v>5866.9</v>
      </c>
      <c r="X69" s="1169">
        <v>5912.2</v>
      </c>
      <c r="Y69" s="1169">
        <v>5957.5</v>
      </c>
      <c r="Z69" s="1169">
        <v>6002.8</v>
      </c>
      <c r="AA69" s="1169">
        <v>6048.8</v>
      </c>
      <c r="AB69" s="1169">
        <v>6096.3</v>
      </c>
      <c r="AC69" s="1169">
        <v>6144.6</v>
      </c>
      <c r="AD69" s="1169">
        <v>6194.4</v>
      </c>
      <c r="AE69" s="1169">
        <v>6245.4</v>
      </c>
      <c r="AF69" s="1169">
        <v>6297.2</v>
      </c>
      <c r="AG69" s="1169">
        <v>6350.4</v>
      </c>
      <c r="AH69" s="1169">
        <v>6404.9</v>
      </c>
      <c r="AI69" s="1169">
        <v>6460.6</v>
      </c>
      <c r="AJ69" s="1169">
        <v>6517.8</v>
      </c>
      <c r="AK69" s="1169">
        <v>6576</v>
      </c>
      <c r="AL69" s="1169">
        <v>6635.8</v>
      </c>
      <c r="AM69" s="1169">
        <v>6693.6</v>
      </c>
      <c r="AN69" s="1169">
        <v>6748.6</v>
      </c>
      <c r="AO69" s="1169">
        <v>6800.1</v>
      </c>
      <c r="AP69" s="1169">
        <v>6847.5</v>
      </c>
      <c r="AQ69" s="1169">
        <v>6890.1</v>
      </c>
      <c r="AR69" s="1169">
        <v>6928.1</v>
      </c>
      <c r="AS69" s="1169">
        <v>6968</v>
      </c>
      <c r="AT69" s="1169">
        <v>7012.1</v>
      </c>
      <c r="AU69" s="1169">
        <v>7059.3</v>
      </c>
      <c r="AV69" s="1169">
        <v>7109.1</v>
      </c>
      <c r="AW69" s="1169">
        <v>7161.4</v>
      </c>
      <c r="AX69" s="1169">
        <v>7215.7</v>
      </c>
      <c r="AY69" s="1169">
        <v>7271.2</v>
      </c>
      <c r="AZ69" s="1169">
        <v>7327.8</v>
      </c>
      <c r="BA69" s="1169">
        <v>7385.4</v>
      </c>
      <c r="BB69" s="1169">
        <v>7443</v>
      </c>
      <c r="BC69" s="1169">
        <v>7501.9</v>
      </c>
      <c r="BD69" s="1169">
        <v>7562.5</v>
      </c>
      <c r="BE69" s="1169">
        <v>7625.6</v>
      </c>
      <c r="BF69" s="1169">
        <v>7691.2</v>
      </c>
      <c r="BG69" s="1169">
        <v>7759.3</v>
      </c>
      <c r="BH69" s="1169">
        <v>7829</v>
      </c>
      <c r="BI69" s="1169">
        <v>7899.9</v>
      </c>
      <c r="BJ69" s="1169">
        <v>7971.2</v>
      </c>
      <c r="BK69" s="1169">
        <v>8042.9</v>
      </c>
      <c r="BL69" s="1169">
        <v>8114.7</v>
      </c>
      <c r="BM69" s="1169">
        <v>8185.9</v>
      </c>
      <c r="BN69" s="1169">
        <v>8256.6</v>
      </c>
      <c r="BO69" s="1169">
        <v>8326.9</v>
      </c>
      <c r="BP69" s="1169">
        <v>8397.1</v>
      </c>
      <c r="BQ69" s="1169">
        <v>8467</v>
      </c>
      <c r="BR69" s="1169">
        <v>8536.4</v>
      </c>
      <c r="BS69" s="1169">
        <v>8605.2000000000007</v>
      </c>
      <c r="BT69" s="1169">
        <v>8673.5</v>
      </c>
      <c r="BU69" s="1169">
        <v>8741.7999999999993</v>
      </c>
      <c r="BV69" s="1169">
        <v>8809.4</v>
      </c>
      <c r="BW69" s="1169">
        <v>8877.1</v>
      </c>
      <c r="BX69" s="1169">
        <v>8944.4</v>
      </c>
      <c r="BY69" s="1169">
        <v>9011.7999999999993</v>
      </c>
      <c r="BZ69" s="1169">
        <v>9078.7999999999993</v>
      </c>
      <c r="CA69" s="1169">
        <v>9145.6</v>
      </c>
      <c r="CB69" s="1169">
        <v>9212.2000000000007</v>
      </c>
      <c r="CC69" s="1169">
        <v>9278.6</v>
      </c>
      <c r="CD69" s="1169">
        <v>9344.2999999999993</v>
      </c>
      <c r="CE69" s="1169">
        <v>9409.5</v>
      </c>
      <c r="CF69" s="1169">
        <v>9473.4</v>
      </c>
      <c r="CG69" s="1169">
        <v>9535.7999999999993</v>
      </c>
      <c r="CH69" s="1169">
        <v>9597.4</v>
      </c>
      <c r="CI69" s="1169">
        <v>9657.7999999999993</v>
      </c>
      <c r="CJ69" s="1169">
        <v>9717.7000000000007</v>
      </c>
      <c r="CK69" s="1169">
        <v>9777.7999999999993</v>
      </c>
      <c r="CL69" s="1169">
        <v>9838.1</v>
      </c>
      <c r="CM69" s="1169">
        <v>9899.4</v>
      </c>
      <c r="CN69" s="1169">
        <v>9962.2000000000007</v>
      </c>
      <c r="CO69" s="1169">
        <v>10025.9</v>
      </c>
      <c r="CP69" s="1169">
        <v>10090.700000000001</v>
      </c>
      <c r="CQ69" s="1169">
        <v>10157</v>
      </c>
      <c r="CR69" s="1169">
        <v>10224.299999999999</v>
      </c>
      <c r="CS69" s="1169">
        <v>10292.6</v>
      </c>
      <c r="CT69" s="1169">
        <v>10361.5</v>
      </c>
      <c r="CU69" s="1169">
        <v>10431</v>
      </c>
      <c r="CV69" s="1169">
        <v>10501.8</v>
      </c>
      <c r="CW69" s="1169">
        <v>10573.4</v>
      </c>
      <c r="CX69" s="1169">
        <v>10645.6</v>
      </c>
      <c r="CY69" s="1169">
        <v>10718.7</v>
      </c>
      <c r="CZ69" s="1169">
        <v>10792.5</v>
      </c>
      <c r="DA69" s="1169">
        <v>10868</v>
      </c>
      <c r="DB69" s="1169">
        <v>10944.9</v>
      </c>
      <c r="DC69" s="1169">
        <v>11026.5</v>
      </c>
      <c r="DD69" s="1169">
        <v>11113.8</v>
      </c>
      <c r="DE69" s="1169">
        <v>11206.7</v>
      </c>
      <c r="DF69" s="1169">
        <v>11304.9</v>
      </c>
      <c r="DG69" s="1169">
        <v>11407.8</v>
      </c>
      <c r="DH69" s="1169">
        <v>11515.8</v>
      </c>
      <c r="DI69" s="1169">
        <v>11627.7</v>
      </c>
      <c r="DJ69" s="1169">
        <v>11743.2</v>
      </c>
      <c r="DK69" s="1169">
        <v>11862.3</v>
      </c>
      <c r="DL69" s="1169">
        <v>11983.8</v>
      </c>
      <c r="DM69" s="1169">
        <v>12107.5</v>
      </c>
      <c r="DN69" s="1169">
        <v>12233.9</v>
      </c>
      <c r="DO69" s="1169">
        <v>12361.8</v>
      </c>
      <c r="DP69" s="1169">
        <v>12491.8</v>
      </c>
      <c r="DQ69" s="1169">
        <v>12624</v>
      </c>
      <c r="DR69" s="1169">
        <v>12757.5</v>
      </c>
      <c r="DS69" s="1169">
        <v>12888.3</v>
      </c>
      <c r="DT69" s="1169">
        <v>13014.4</v>
      </c>
      <c r="DU69" s="1169">
        <v>13134.8</v>
      </c>
      <c r="DV69" s="1169">
        <v>13249.5</v>
      </c>
      <c r="DW69" s="1169">
        <v>13358.1</v>
      </c>
      <c r="DX69" s="1169">
        <v>13461</v>
      </c>
      <c r="DY69" s="1169">
        <v>13558.2</v>
      </c>
      <c r="DZ69" s="1169">
        <v>13650.7</v>
      </c>
      <c r="EA69" s="1169">
        <v>13739.9</v>
      </c>
      <c r="EB69" s="1169">
        <v>13826.9</v>
      </c>
      <c r="EC69" s="1169">
        <v>13912.8</v>
      </c>
      <c r="ED69" s="1169">
        <v>13998.3</v>
      </c>
      <c r="EE69" s="1169">
        <v>14084.6</v>
      </c>
      <c r="EF69" s="1169">
        <v>14171.3</v>
      </c>
      <c r="EG69" s="1169">
        <v>14259.3</v>
      </c>
      <c r="EH69" s="1169">
        <v>14349.4</v>
      </c>
      <c r="EI69" s="1169">
        <v>14441.3</v>
      </c>
      <c r="EJ69" s="1169">
        <v>14535.5</v>
      </c>
      <c r="EK69" s="1169">
        <v>14631.1</v>
      </c>
      <c r="EL69" s="1169">
        <v>14725.1</v>
      </c>
      <c r="EM69" s="1169">
        <v>14816.5</v>
      </c>
      <c r="EN69" s="1169">
        <v>14906.4</v>
      </c>
      <c r="EO69" s="1169">
        <v>14994.3</v>
      </c>
      <c r="EP69" s="1169">
        <v>15079.8</v>
      </c>
      <c r="EQ69" s="1169">
        <v>15163.2</v>
      </c>
      <c r="ER69" s="1169">
        <v>15243</v>
      </c>
      <c r="ES69" s="1169">
        <v>15319</v>
      </c>
      <c r="ET69" s="1169">
        <v>15394.6</v>
      </c>
      <c r="EU69" s="1169">
        <v>15470.2</v>
      </c>
      <c r="EV69" s="1169">
        <v>15546.4</v>
      </c>
      <c r="EW69" s="1169">
        <v>15622</v>
      </c>
      <c r="EX69" s="1169">
        <v>15696.8</v>
      </c>
      <c r="EY69" s="1169">
        <v>15769.3</v>
      </c>
      <c r="EZ69" s="1169">
        <v>15838.1</v>
      </c>
      <c r="FA69" s="1169">
        <v>15903</v>
      </c>
      <c r="FB69" s="1169">
        <v>15962.6</v>
      </c>
      <c r="FC69" s="1169">
        <v>16018.4</v>
      </c>
      <c r="FD69" s="1169">
        <v>16070.9</v>
      </c>
      <c r="FE69" s="1169">
        <v>16122.2</v>
      </c>
      <c r="FF69" s="1169">
        <v>16173.8</v>
      </c>
      <c r="FG69" s="1169">
        <v>16227.2</v>
      </c>
      <c r="FH69" s="1169">
        <v>16283.3</v>
      </c>
      <c r="FI69" s="1169">
        <v>16341.6</v>
      </c>
      <c r="FJ69" s="1169">
        <v>16402.400000000001</v>
      </c>
      <c r="FK69" s="1169">
        <v>16465.5</v>
      </c>
      <c r="FL69" s="1169">
        <v>16531</v>
      </c>
      <c r="FM69" s="1169">
        <v>16598.2</v>
      </c>
      <c r="FN69" s="1169">
        <v>16667</v>
      </c>
      <c r="FO69" s="1169">
        <v>16737.8</v>
      </c>
      <c r="FP69" s="1169">
        <v>16810.099999999999</v>
      </c>
      <c r="FQ69" s="1169">
        <v>16883.7</v>
      </c>
      <c r="FR69" s="1169">
        <v>16958.3</v>
      </c>
      <c r="FS69" s="1169">
        <v>17034.099999999999</v>
      </c>
      <c r="FT69" s="1169">
        <v>17110.5</v>
      </c>
      <c r="FU69" s="1169">
        <v>17187.900000000001</v>
      </c>
      <c r="FV69" s="1169">
        <v>17266.3</v>
      </c>
      <c r="FW69" s="1169">
        <v>17345.599999999999</v>
      </c>
      <c r="FX69" s="1169">
        <v>17426.099999999999</v>
      </c>
      <c r="FY69" s="1169">
        <v>17507.2</v>
      </c>
      <c r="FZ69" s="1169">
        <v>17588.400000000001</v>
      </c>
      <c r="GA69" s="1169">
        <v>17669.599999999999</v>
      </c>
      <c r="GB69" s="1169">
        <v>17750</v>
      </c>
      <c r="GC69" s="1169">
        <v>17829</v>
      </c>
      <c r="GD69" s="1169">
        <v>17906.900000000001</v>
      </c>
      <c r="GE69" s="1169">
        <v>17983.7</v>
      </c>
      <c r="GF69" s="1169">
        <v>18059.3</v>
      </c>
      <c r="GG69" s="1169">
        <v>18134.2</v>
      </c>
      <c r="GH69" s="1169">
        <v>18209.5</v>
      </c>
      <c r="GI69" s="1169">
        <v>18284.5</v>
      </c>
      <c r="GJ69" s="1169">
        <v>18362.099999999999</v>
      </c>
      <c r="GK69" s="1169">
        <v>18441.599999999999</v>
      </c>
      <c r="GL69" s="1169">
        <v>18523.900000000001</v>
      </c>
      <c r="GM69" s="1169">
        <v>18609.599999999999</v>
      </c>
      <c r="GN69" s="1169">
        <v>18698.099999999999</v>
      </c>
      <c r="GO69" s="1169">
        <v>18787.900000000001</v>
      </c>
      <c r="GP69" s="1169">
        <v>18879</v>
      </c>
      <c r="GQ69" s="1169">
        <v>18971.400000000001</v>
      </c>
      <c r="GR69" s="1169">
        <v>19064.099999999999</v>
      </c>
      <c r="GS69" s="1169">
        <v>19157.099999999999</v>
      </c>
      <c r="GT69" s="1169">
        <v>19250.2</v>
      </c>
      <c r="GU69" s="1169">
        <v>19340.2</v>
      </c>
      <c r="GV69" s="1169">
        <v>19424.2</v>
      </c>
      <c r="GW69" s="1169">
        <v>19512</v>
      </c>
      <c r="GX69" s="1169">
        <v>19602.5</v>
      </c>
      <c r="GY69" s="1169">
        <v>19697.400000000001</v>
      </c>
      <c r="GZ69" s="1169">
        <v>19795.8</v>
      </c>
      <c r="HA69" s="1169">
        <v>19898.3</v>
      </c>
    </row>
    <row r="70" spans="1:209" x14ac:dyDescent="0.35">
      <c r="A70" s="1169" t="s">
        <v>876</v>
      </c>
      <c r="B70" s="1169">
        <v>1052.4000000000001</v>
      </c>
      <c r="C70" s="1169">
        <v>1076</v>
      </c>
      <c r="D70" s="1169">
        <v>1093.5</v>
      </c>
      <c r="E70" s="1169">
        <v>1116.5</v>
      </c>
      <c r="F70" s="1169">
        <v>1142.2</v>
      </c>
      <c r="G70" s="1169">
        <v>1166.2</v>
      </c>
      <c r="H70" s="1169">
        <v>1187.3</v>
      </c>
      <c r="I70" s="1169">
        <v>1206.5999999999999</v>
      </c>
      <c r="J70" s="1169">
        <v>1234.7</v>
      </c>
      <c r="K70" s="1169">
        <v>1252.4000000000001</v>
      </c>
      <c r="L70" s="1169">
        <v>1274.7</v>
      </c>
      <c r="M70" s="1169">
        <v>1301.4000000000001</v>
      </c>
      <c r="N70" s="1169">
        <v>1327.3</v>
      </c>
      <c r="O70" s="1169">
        <v>1359.3</v>
      </c>
      <c r="P70" s="1169">
        <v>1397.7</v>
      </c>
      <c r="Q70" s="1169">
        <v>1438</v>
      </c>
      <c r="R70" s="1169">
        <v>1478</v>
      </c>
      <c r="S70" s="1169">
        <v>1526.2</v>
      </c>
      <c r="T70" s="1169">
        <v>1584.4</v>
      </c>
      <c r="U70" s="1169">
        <v>1644.7</v>
      </c>
      <c r="V70" s="1169">
        <v>1695.6</v>
      </c>
      <c r="W70" s="1169">
        <v>1734.4</v>
      </c>
      <c r="X70" s="1169">
        <v>1778.6</v>
      </c>
      <c r="Y70" s="1169">
        <v>1822.2</v>
      </c>
      <c r="Z70" s="1169">
        <v>1855.5</v>
      </c>
      <c r="AA70" s="1169">
        <v>1888.6</v>
      </c>
      <c r="AB70" s="1169">
        <v>1928</v>
      </c>
      <c r="AC70" s="1169">
        <v>1978.1</v>
      </c>
      <c r="AD70" s="1169">
        <v>2026.2</v>
      </c>
      <c r="AE70" s="1169">
        <v>2071.6999999999998</v>
      </c>
      <c r="AF70" s="1169">
        <v>2114.4</v>
      </c>
      <c r="AG70" s="1169">
        <v>2178.3000000000002</v>
      </c>
      <c r="AH70" s="1169">
        <v>2229</v>
      </c>
      <c r="AI70" s="1169">
        <v>2291.1999999999998</v>
      </c>
      <c r="AJ70" s="1169">
        <v>2350.9</v>
      </c>
      <c r="AK70" s="1169">
        <v>2420.3000000000002</v>
      </c>
      <c r="AL70" s="1169">
        <v>2486.9</v>
      </c>
      <c r="AM70" s="1169">
        <v>2569.9</v>
      </c>
      <c r="AN70" s="1169">
        <v>2647.7</v>
      </c>
      <c r="AO70" s="1169">
        <v>2717.5</v>
      </c>
      <c r="AP70" s="1169">
        <v>2793.8</v>
      </c>
      <c r="AQ70" s="1169">
        <v>2878.2</v>
      </c>
      <c r="AR70" s="1169">
        <v>2958.7</v>
      </c>
      <c r="AS70" s="1169">
        <v>3053.3</v>
      </c>
      <c r="AT70" s="1169">
        <v>3153.5</v>
      </c>
      <c r="AU70" s="1169">
        <v>3237.6</v>
      </c>
      <c r="AV70" s="1169">
        <v>3321.8</v>
      </c>
      <c r="AW70" s="1169">
        <v>3404.1</v>
      </c>
      <c r="AX70" s="1169">
        <v>3477.1</v>
      </c>
      <c r="AY70" s="1169">
        <v>3549.4</v>
      </c>
      <c r="AZ70" s="1169">
        <v>3627.7</v>
      </c>
      <c r="BA70" s="1169">
        <v>3694.2</v>
      </c>
      <c r="BB70" s="1169">
        <v>3751</v>
      </c>
      <c r="BC70" s="1169">
        <v>3808.7</v>
      </c>
      <c r="BD70" s="1169">
        <v>3880.4</v>
      </c>
      <c r="BE70" s="1169">
        <v>3942.4</v>
      </c>
      <c r="BF70" s="1169">
        <v>4016.6</v>
      </c>
      <c r="BG70" s="1169">
        <v>4086.8</v>
      </c>
      <c r="BH70" s="1169">
        <v>4160.2</v>
      </c>
      <c r="BI70" s="1169">
        <v>4229.3</v>
      </c>
      <c r="BJ70" s="1169">
        <v>4309.7</v>
      </c>
      <c r="BK70" s="1169">
        <v>4376.3999999999996</v>
      </c>
      <c r="BL70" s="1169">
        <v>4442.1000000000004</v>
      </c>
      <c r="BM70" s="1169">
        <v>4506.1000000000004</v>
      </c>
      <c r="BN70" s="1169">
        <v>4567.6000000000004</v>
      </c>
      <c r="BO70" s="1169">
        <v>4623.8999999999996</v>
      </c>
      <c r="BP70" s="1169">
        <v>4682.1000000000004</v>
      </c>
      <c r="BQ70" s="1169">
        <v>4746.7</v>
      </c>
      <c r="BR70" s="1169">
        <v>4816.1000000000004</v>
      </c>
      <c r="BS70" s="1169">
        <v>4888.5</v>
      </c>
      <c r="BT70" s="1169">
        <v>4964.7</v>
      </c>
      <c r="BU70" s="1169">
        <v>5043.5</v>
      </c>
      <c r="BV70" s="1169">
        <v>5122.5</v>
      </c>
      <c r="BW70" s="1169">
        <v>5212</v>
      </c>
      <c r="BX70" s="1169">
        <v>5314.3</v>
      </c>
      <c r="BY70" s="1169">
        <v>5400.6</v>
      </c>
      <c r="BZ70" s="1169">
        <v>5497.5</v>
      </c>
      <c r="CA70" s="1169">
        <v>5597</v>
      </c>
      <c r="CB70" s="1169">
        <v>5678.9</v>
      </c>
      <c r="CC70" s="1169">
        <v>5760.6</v>
      </c>
      <c r="CD70" s="1169">
        <v>5863.9</v>
      </c>
      <c r="CE70" s="1169">
        <v>5970.9</v>
      </c>
      <c r="CF70" s="1169">
        <v>6063</v>
      </c>
      <c r="CG70" s="1169">
        <v>6148.4</v>
      </c>
      <c r="CH70" s="1169">
        <v>6248.7</v>
      </c>
      <c r="CI70" s="1169">
        <v>6334.3</v>
      </c>
      <c r="CJ70" s="1169">
        <v>6423.3</v>
      </c>
      <c r="CK70" s="1169">
        <v>6501.3</v>
      </c>
      <c r="CL70" s="1169">
        <v>6565.9</v>
      </c>
      <c r="CM70" s="1169">
        <v>6646.5</v>
      </c>
      <c r="CN70" s="1169">
        <v>6721.3</v>
      </c>
      <c r="CO70" s="1169">
        <v>6810.8</v>
      </c>
      <c r="CP70" s="1169">
        <v>6893.2</v>
      </c>
      <c r="CQ70" s="1169">
        <v>6979.8</v>
      </c>
      <c r="CR70" s="1169">
        <v>7067.8</v>
      </c>
      <c r="CS70" s="1169">
        <v>7153.8</v>
      </c>
      <c r="CT70" s="1169">
        <v>7236.2</v>
      </c>
      <c r="CU70" s="1169">
        <v>7319.9</v>
      </c>
      <c r="CV70" s="1169">
        <v>7411.8</v>
      </c>
      <c r="CW70" s="1169">
        <v>7502.9</v>
      </c>
      <c r="CX70" s="1169">
        <v>7595.1</v>
      </c>
      <c r="CY70" s="1169">
        <v>7684</v>
      </c>
      <c r="CZ70" s="1169">
        <v>7774.9</v>
      </c>
      <c r="DA70" s="1169">
        <v>7867.1</v>
      </c>
      <c r="DB70" s="1169">
        <v>7960.9</v>
      </c>
      <c r="DC70" s="1169">
        <v>8053.4</v>
      </c>
      <c r="DD70" s="1169">
        <v>8143.7</v>
      </c>
      <c r="DE70" s="1169">
        <v>8255.7000000000007</v>
      </c>
      <c r="DF70" s="1169">
        <v>8377.7000000000007</v>
      </c>
      <c r="DG70" s="1169">
        <v>8471.1</v>
      </c>
      <c r="DH70" s="1169">
        <v>8588.4</v>
      </c>
      <c r="DI70" s="1169">
        <v>8700.2999999999993</v>
      </c>
      <c r="DJ70" s="1169">
        <v>8799.6</v>
      </c>
      <c r="DK70" s="1169">
        <v>8909.7999999999993</v>
      </c>
      <c r="DL70" s="1169">
        <v>9039.7999999999993</v>
      </c>
      <c r="DM70" s="1169">
        <v>9158.2000000000007</v>
      </c>
      <c r="DN70" s="1169">
        <v>9288.7000000000007</v>
      </c>
      <c r="DO70" s="1169">
        <v>9419.9</v>
      </c>
      <c r="DP70" s="1169">
        <v>9551.5</v>
      </c>
      <c r="DQ70" s="1169">
        <v>9704.5</v>
      </c>
      <c r="DR70" s="1169">
        <v>9873.9</v>
      </c>
      <c r="DS70" s="1169">
        <v>10035.5</v>
      </c>
      <c r="DT70" s="1169">
        <v>10191.4</v>
      </c>
      <c r="DU70" s="1169">
        <v>10340</v>
      </c>
      <c r="DV70" s="1169">
        <v>10494.1</v>
      </c>
      <c r="DW70" s="1169">
        <v>10644.1</v>
      </c>
      <c r="DX70" s="1169">
        <v>10769.2</v>
      </c>
      <c r="DY70" s="1169">
        <v>10882.9</v>
      </c>
      <c r="DZ70" s="1169">
        <v>10993.3</v>
      </c>
      <c r="EA70" s="1169">
        <v>11104.7</v>
      </c>
      <c r="EB70" s="1169">
        <v>11226.6</v>
      </c>
      <c r="EC70" s="1169">
        <v>11360.4</v>
      </c>
      <c r="ED70" s="1169">
        <v>11482</v>
      </c>
      <c r="EE70" s="1169">
        <v>11586.9</v>
      </c>
      <c r="EF70" s="1169">
        <v>11721.3</v>
      </c>
      <c r="EG70" s="1169">
        <v>11863.9</v>
      </c>
      <c r="EH70" s="1169">
        <v>12027.7</v>
      </c>
      <c r="EI70" s="1169">
        <v>12203.5</v>
      </c>
      <c r="EJ70" s="1169">
        <v>12363.2</v>
      </c>
      <c r="EK70" s="1169">
        <v>12540.5</v>
      </c>
      <c r="EL70" s="1169">
        <v>12721.1</v>
      </c>
      <c r="EM70" s="1169">
        <v>12889.7</v>
      </c>
      <c r="EN70" s="1169">
        <v>13085.3</v>
      </c>
      <c r="EO70" s="1169">
        <v>13268.4</v>
      </c>
      <c r="EP70" s="1169">
        <v>13437.1</v>
      </c>
      <c r="EQ70" s="1169">
        <v>13624.5</v>
      </c>
      <c r="ER70" s="1169">
        <v>13792</v>
      </c>
      <c r="ES70" s="1169">
        <v>13912</v>
      </c>
      <c r="ET70" s="1169">
        <v>14118.1</v>
      </c>
      <c r="EU70" s="1169">
        <v>14279.2</v>
      </c>
      <c r="EV70" s="1169">
        <v>14423.4</v>
      </c>
      <c r="EW70" s="1169">
        <v>14551.1</v>
      </c>
      <c r="EX70" s="1169">
        <v>14674.8</v>
      </c>
      <c r="EY70" s="1169">
        <v>14821.6</v>
      </c>
      <c r="EZ70" s="1169">
        <v>14997.2</v>
      </c>
      <c r="FA70" s="1169">
        <v>15105.6</v>
      </c>
      <c r="FB70" s="1169">
        <v>15160.7</v>
      </c>
      <c r="FC70" s="1169">
        <v>15191.5</v>
      </c>
      <c r="FD70" s="1169">
        <v>15257.4</v>
      </c>
      <c r="FE70" s="1169">
        <v>15357.7</v>
      </c>
      <c r="FF70" s="1169">
        <v>15446</v>
      </c>
      <c r="FG70" s="1169">
        <v>15568.9</v>
      </c>
      <c r="FH70" s="1169">
        <v>15668.1</v>
      </c>
      <c r="FI70" s="1169">
        <v>15812.7</v>
      </c>
      <c r="FJ70" s="1169">
        <v>15956.6</v>
      </c>
      <c r="FK70" s="1169">
        <v>16123.3</v>
      </c>
      <c r="FL70" s="1169">
        <v>16291.9</v>
      </c>
      <c r="FM70" s="1169">
        <v>16382.9</v>
      </c>
      <c r="FN70" s="1169">
        <v>16553.8</v>
      </c>
      <c r="FO70" s="1169">
        <v>16689.8</v>
      </c>
      <c r="FP70" s="1169">
        <v>16848</v>
      </c>
      <c r="FQ70" s="1169">
        <v>17008.2</v>
      </c>
      <c r="FR70" s="1169">
        <v>17151.400000000001</v>
      </c>
      <c r="FS70" s="1169">
        <v>17277.8</v>
      </c>
      <c r="FT70" s="1169">
        <v>17438.5</v>
      </c>
      <c r="FU70" s="1169">
        <v>17620.599999999999</v>
      </c>
      <c r="FV70" s="1169">
        <v>17773.5</v>
      </c>
      <c r="FW70" s="1169">
        <v>17954.7</v>
      </c>
      <c r="FX70" s="1169">
        <v>18115.7</v>
      </c>
      <c r="FY70" s="1169">
        <v>18229.099999999999</v>
      </c>
      <c r="FZ70" s="1169">
        <v>18297.400000000001</v>
      </c>
      <c r="GA70" s="1169">
        <v>18481.8</v>
      </c>
      <c r="GB70" s="1169">
        <v>18624.400000000001</v>
      </c>
      <c r="GC70" s="1169">
        <v>18709.3</v>
      </c>
      <c r="GD70" s="1169">
        <v>18778</v>
      </c>
      <c r="GE70" s="1169">
        <v>18989.400000000001</v>
      </c>
      <c r="GF70" s="1169">
        <v>19133.900000000001</v>
      </c>
      <c r="GG70" s="1169">
        <v>19307.3</v>
      </c>
      <c r="GH70" s="1169">
        <v>19485.900000000001</v>
      </c>
      <c r="GI70" s="1169">
        <v>19626.5</v>
      </c>
      <c r="GJ70" s="1169">
        <v>19807.599999999999</v>
      </c>
      <c r="GK70" s="1169">
        <v>20027.3</v>
      </c>
      <c r="GL70" s="1169">
        <v>20235</v>
      </c>
      <c r="GM70" s="1169">
        <v>20503.3</v>
      </c>
      <c r="GN70" s="1169">
        <v>20682.7</v>
      </c>
      <c r="GO70" s="1169">
        <v>20881.099999999999</v>
      </c>
      <c r="GP70" s="1169">
        <v>21035.8</v>
      </c>
      <c r="GQ70" s="1169">
        <v>21274.7</v>
      </c>
      <c r="GR70" s="1169">
        <v>21452.9</v>
      </c>
      <c r="GS70" s="1169">
        <v>21638</v>
      </c>
      <c r="GT70" s="1169">
        <v>21832.6</v>
      </c>
      <c r="GU70" s="1169">
        <v>21819</v>
      </c>
      <c r="GV70" s="1169">
        <v>22112.5</v>
      </c>
      <c r="GW70" s="1169">
        <v>22315.4</v>
      </c>
      <c r="GX70" s="1169">
        <v>22645</v>
      </c>
      <c r="GY70" s="1169">
        <v>22983.3</v>
      </c>
      <c r="GZ70" s="1169">
        <v>23233.1</v>
      </c>
      <c r="HA70" s="1169">
        <v>23461.3</v>
      </c>
    </row>
    <row r="71" spans="1:209" x14ac:dyDescent="0.35">
      <c r="A71" s="1169" t="s">
        <v>877</v>
      </c>
      <c r="B71" s="1169">
        <v>1</v>
      </c>
      <c r="C71" s="1169">
        <v>1</v>
      </c>
      <c r="D71" s="1169">
        <v>1</v>
      </c>
      <c r="E71" s="1169">
        <v>1</v>
      </c>
      <c r="F71" s="1169">
        <v>-1</v>
      </c>
      <c r="G71" s="1169">
        <v>-1</v>
      </c>
      <c r="H71" s="1169">
        <v>-1</v>
      </c>
      <c r="I71" s="1169">
        <v>-1</v>
      </c>
      <c r="J71" s="1169">
        <v>-1</v>
      </c>
      <c r="K71" s="1169">
        <v>-1</v>
      </c>
      <c r="L71" s="1169">
        <v>-1</v>
      </c>
      <c r="M71" s="1169">
        <v>-1</v>
      </c>
      <c r="N71" s="1169">
        <v>-1</v>
      </c>
      <c r="O71" s="1169">
        <v>-1</v>
      </c>
      <c r="P71" s="1169">
        <v>-1</v>
      </c>
      <c r="Q71" s="1169">
        <v>1</v>
      </c>
      <c r="R71" s="1169">
        <v>1</v>
      </c>
      <c r="S71" s="1169">
        <v>1</v>
      </c>
      <c r="T71" s="1169">
        <v>1</v>
      </c>
      <c r="U71" s="1169">
        <v>1</v>
      </c>
      <c r="V71" s="1169">
        <v>1</v>
      </c>
      <c r="W71" s="1169">
        <v>-1</v>
      </c>
      <c r="X71" s="1169">
        <v>-1</v>
      </c>
      <c r="Y71" s="1169">
        <v>-1</v>
      </c>
      <c r="Z71" s="1169">
        <v>-1</v>
      </c>
      <c r="AA71" s="1169">
        <v>-1</v>
      </c>
      <c r="AB71" s="1169">
        <v>-1</v>
      </c>
      <c r="AC71" s="1169">
        <v>-1</v>
      </c>
      <c r="AD71" s="1169">
        <v>-1</v>
      </c>
      <c r="AE71" s="1169">
        <v>-1</v>
      </c>
      <c r="AF71" s="1169">
        <v>-1</v>
      </c>
      <c r="AG71" s="1169">
        <v>-1</v>
      </c>
      <c r="AH71" s="1169">
        <v>-1</v>
      </c>
      <c r="AI71" s="1169">
        <v>-1</v>
      </c>
      <c r="AJ71" s="1169">
        <v>-1</v>
      </c>
      <c r="AK71" s="1169">
        <v>-1</v>
      </c>
      <c r="AL71" s="1169">
        <v>-1</v>
      </c>
      <c r="AM71" s="1169">
        <v>-1</v>
      </c>
      <c r="AN71" s="1169">
        <v>-1</v>
      </c>
      <c r="AO71" s="1169">
        <v>-1</v>
      </c>
      <c r="AP71" s="1169">
        <v>1</v>
      </c>
      <c r="AQ71" s="1169">
        <v>1</v>
      </c>
      <c r="AR71" s="1169">
        <v>1</v>
      </c>
      <c r="AS71" s="1169">
        <v>-1</v>
      </c>
      <c r="AT71" s="1169">
        <v>-1</v>
      </c>
      <c r="AU71" s="1169">
        <v>-1</v>
      </c>
      <c r="AV71" s="1169">
        <v>1</v>
      </c>
      <c r="AW71" s="1169">
        <v>1</v>
      </c>
      <c r="AX71" s="1169">
        <v>1</v>
      </c>
      <c r="AY71" s="1169">
        <v>1</v>
      </c>
      <c r="AZ71" s="1169">
        <v>1</v>
      </c>
      <c r="BA71" s="1169">
        <v>1</v>
      </c>
      <c r="BB71" s="1169">
        <v>-1</v>
      </c>
      <c r="BC71" s="1169">
        <v>-1</v>
      </c>
      <c r="BD71" s="1169">
        <v>-1</v>
      </c>
      <c r="BE71" s="1169">
        <v>-1</v>
      </c>
      <c r="BF71" s="1169">
        <v>-1</v>
      </c>
      <c r="BG71" s="1169">
        <v>-1</v>
      </c>
      <c r="BH71" s="1169">
        <v>-1</v>
      </c>
      <c r="BI71" s="1169">
        <v>-1</v>
      </c>
      <c r="BJ71" s="1169">
        <v>-1</v>
      </c>
      <c r="BK71" s="1169">
        <v>-1</v>
      </c>
      <c r="BL71" s="1169">
        <v>-1</v>
      </c>
      <c r="BM71" s="1169">
        <v>-1</v>
      </c>
      <c r="BN71" s="1169">
        <v>-1</v>
      </c>
      <c r="BO71" s="1169">
        <v>-1</v>
      </c>
      <c r="BP71" s="1169">
        <v>-1</v>
      </c>
      <c r="BQ71" s="1169">
        <v>-1</v>
      </c>
      <c r="BR71" s="1169">
        <v>-1</v>
      </c>
      <c r="BS71" s="1169">
        <v>-1</v>
      </c>
      <c r="BT71" s="1169">
        <v>-1</v>
      </c>
      <c r="BU71" s="1169">
        <v>-1</v>
      </c>
      <c r="BV71" s="1169">
        <v>-1</v>
      </c>
      <c r="BW71" s="1169">
        <v>-1</v>
      </c>
      <c r="BX71" s="1169">
        <v>-1</v>
      </c>
      <c r="BY71" s="1169">
        <v>-1</v>
      </c>
      <c r="BZ71" s="1169">
        <v>-1</v>
      </c>
      <c r="CA71" s="1169">
        <v>-1</v>
      </c>
      <c r="CB71" s="1169">
        <v>-1</v>
      </c>
      <c r="CC71" s="1169">
        <v>-1</v>
      </c>
      <c r="CD71" s="1169">
        <v>-1</v>
      </c>
      <c r="CE71" s="1169">
        <v>-1</v>
      </c>
      <c r="CF71" s="1169">
        <v>1</v>
      </c>
      <c r="CG71" s="1169">
        <v>1</v>
      </c>
      <c r="CH71" s="1169">
        <v>1</v>
      </c>
      <c r="CI71" s="1169">
        <v>-1</v>
      </c>
      <c r="CJ71" s="1169">
        <v>-1</v>
      </c>
      <c r="CK71" s="1169">
        <v>-1</v>
      </c>
      <c r="CL71" s="1169">
        <v>-1</v>
      </c>
      <c r="CM71" s="1169">
        <v>-1</v>
      </c>
      <c r="CN71" s="1169">
        <v>-1</v>
      </c>
      <c r="CO71" s="1169">
        <v>-1</v>
      </c>
      <c r="CP71" s="1169">
        <v>-1</v>
      </c>
      <c r="CQ71" s="1169">
        <v>-1</v>
      </c>
      <c r="CR71" s="1169">
        <v>-1</v>
      </c>
      <c r="CS71" s="1169">
        <v>-1</v>
      </c>
      <c r="CT71" s="1169">
        <v>-1</v>
      </c>
      <c r="CU71" s="1169">
        <v>-1</v>
      </c>
      <c r="CV71" s="1169">
        <v>-1</v>
      </c>
      <c r="CW71" s="1169">
        <v>-1</v>
      </c>
      <c r="CX71" s="1169">
        <v>-1</v>
      </c>
      <c r="CY71" s="1169">
        <v>-1</v>
      </c>
      <c r="CZ71" s="1169">
        <v>-1</v>
      </c>
      <c r="DA71" s="1169">
        <v>-1</v>
      </c>
      <c r="DB71" s="1169">
        <v>-1</v>
      </c>
      <c r="DC71" s="1169">
        <v>-1</v>
      </c>
      <c r="DD71" s="1169">
        <v>-1</v>
      </c>
      <c r="DE71" s="1169">
        <v>-1</v>
      </c>
      <c r="DF71" s="1169">
        <v>-1</v>
      </c>
      <c r="DG71" s="1169">
        <v>-1</v>
      </c>
      <c r="DH71" s="1169">
        <v>-1</v>
      </c>
      <c r="DI71" s="1169">
        <v>-1</v>
      </c>
      <c r="DJ71" s="1169">
        <v>-1</v>
      </c>
      <c r="DK71" s="1169">
        <v>-1</v>
      </c>
      <c r="DL71" s="1169">
        <v>-1</v>
      </c>
      <c r="DM71" s="1169">
        <v>-1</v>
      </c>
      <c r="DN71" s="1169">
        <v>-1</v>
      </c>
      <c r="DO71" s="1169">
        <v>-1</v>
      </c>
      <c r="DP71" s="1169">
        <v>-1</v>
      </c>
      <c r="DQ71" s="1169">
        <v>-1</v>
      </c>
      <c r="DR71" s="1169">
        <v>-1</v>
      </c>
      <c r="DS71" s="1169">
        <v>-1</v>
      </c>
      <c r="DT71" s="1169">
        <v>-1</v>
      </c>
      <c r="DU71" s="1169">
        <v>-1</v>
      </c>
      <c r="DV71" s="1169">
        <v>1</v>
      </c>
      <c r="DW71" s="1169">
        <v>1</v>
      </c>
      <c r="DX71" s="1169">
        <v>1</v>
      </c>
      <c r="DY71" s="1169">
        <v>1</v>
      </c>
      <c r="DZ71" s="1169">
        <v>-1</v>
      </c>
      <c r="EA71" s="1169">
        <v>-1</v>
      </c>
      <c r="EB71" s="1169">
        <v>-1</v>
      </c>
      <c r="EC71" s="1169">
        <v>-1</v>
      </c>
      <c r="ED71" s="1169">
        <v>-1</v>
      </c>
      <c r="EE71" s="1169">
        <v>-1</v>
      </c>
      <c r="EF71" s="1169">
        <v>-1</v>
      </c>
      <c r="EG71" s="1169">
        <v>-1</v>
      </c>
      <c r="EH71" s="1169">
        <v>-1</v>
      </c>
      <c r="EI71" s="1169">
        <v>-1</v>
      </c>
      <c r="EJ71" s="1169">
        <v>-1</v>
      </c>
      <c r="EK71" s="1169">
        <v>-1</v>
      </c>
      <c r="EL71" s="1169">
        <v>-1</v>
      </c>
      <c r="EM71" s="1169">
        <v>-1</v>
      </c>
      <c r="EN71" s="1169">
        <v>-1</v>
      </c>
      <c r="EO71" s="1169">
        <v>-1</v>
      </c>
      <c r="EP71" s="1169">
        <v>-1</v>
      </c>
      <c r="EQ71" s="1169">
        <v>-1</v>
      </c>
      <c r="ER71" s="1169">
        <v>-1</v>
      </c>
      <c r="ES71" s="1169">
        <v>-1</v>
      </c>
      <c r="ET71" s="1169">
        <v>-1</v>
      </c>
      <c r="EU71" s="1169">
        <v>-1</v>
      </c>
      <c r="EV71" s="1169">
        <v>-1</v>
      </c>
      <c r="EW71" s="1169">
        <v>1</v>
      </c>
      <c r="EX71" s="1169">
        <v>1</v>
      </c>
      <c r="EY71" s="1169">
        <v>1</v>
      </c>
      <c r="EZ71" s="1169">
        <v>1</v>
      </c>
      <c r="FA71" s="1169">
        <v>1</v>
      </c>
      <c r="FB71" s="1169">
        <v>1</v>
      </c>
      <c r="FC71" s="1169">
        <v>1</v>
      </c>
      <c r="FD71" s="1169">
        <v>-1</v>
      </c>
      <c r="FE71" s="1169">
        <v>-1</v>
      </c>
      <c r="FF71" s="1169">
        <v>-1</v>
      </c>
      <c r="FG71" s="1169">
        <v>-1</v>
      </c>
      <c r="FH71" s="1169">
        <v>-1</v>
      </c>
      <c r="FI71" s="1169">
        <v>-1</v>
      </c>
      <c r="FJ71" s="1169">
        <v>-1</v>
      </c>
      <c r="FK71" s="1169">
        <v>-1</v>
      </c>
      <c r="FL71" s="1169">
        <v>-1</v>
      </c>
      <c r="FM71" s="1169">
        <v>-1</v>
      </c>
      <c r="FN71" s="1169">
        <v>-1</v>
      </c>
      <c r="FO71" s="1169">
        <v>-1</v>
      </c>
      <c r="FP71" s="1169">
        <v>-1</v>
      </c>
      <c r="FQ71" s="1169">
        <v>-1</v>
      </c>
      <c r="FR71" s="1169">
        <v>-1</v>
      </c>
      <c r="FS71" s="1169">
        <v>-1</v>
      </c>
      <c r="FT71" s="1169">
        <v>-1</v>
      </c>
      <c r="FU71" s="1169">
        <v>-1</v>
      </c>
      <c r="FV71" s="1169">
        <v>-1</v>
      </c>
      <c r="FW71" s="1169">
        <v>-1</v>
      </c>
      <c r="FX71" s="1169">
        <v>-1</v>
      </c>
      <c r="FY71" s="1169">
        <v>-1</v>
      </c>
      <c r="FZ71" s="1169">
        <v>-1</v>
      </c>
      <c r="GA71" s="1169">
        <v>-1</v>
      </c>
      <c r="GB71" s="1169">
        <v>-1</v>
      </c>
      <c r="GC71" s="1169">
        <v>-1</v>
      </c>
      <c r="GD71" s="1169">
        <v>-1</v>
      </c>
      <c r="GE71" s="1169">
        <v>-1</v>
      </c>
      <c r="GF71" s="1169">
        <v>-1</v>
      </c>
      <c r="GG71" s="1169">
        <v>-1</v>
      </c>
      <c r="GH71" s="1169">
        <v>-1</v>
      </c>
      <c r="GI71" s="1169">
        <v>-1</v>
      </c>
      <c r="GJ71" s="1169">
        <v>-1</v>
      </c>
      <c r="GK71" s="1169">
        <v>-1</v>
      </c>
      <c r="GL71" s="1169">
        <v>-1</v>
      </c>
      <c r="GM71" s="1169">
        <v>-1</v>
      </c>
      <c r="GN71" s="1169">
        <v>-1</v>
      </c>
      <c r="GO71" s="1169">
        <v>-1</v>
      </c>
      <c r="GP71" s="1169">
        <v>-1</v>
      </c>
      <c r="GQ71" s="1169">
        <v>-1</v>
      </c>
      <c r="GR71" s="1169">
        <v>-1</v>
      </c>
      <c r="GS71" s="1169">
        <v>1</v>
      </c>
      <c r="GT71" s="1169">
        <v>1</v>
      </c>
      <c r="GU71" s="1169">
        <v>1</v>
      </c>
      <c r="GV71" s="1169">
        <v>-1</v>
      </c>
      <c r="GW71" s="1169">
        <v>-1</v>
      </c>
      <c r="GX71" s="1169">
        <v>-1</v>
      </c>
      <c r="GY71" s="1169">
        <v>-1</v>
      </c>
      <c r="GZ71" s="1169">
        <v>-1</v>
      </c>
      <c r="HA71" s="1169">
        <v>-1</v>
      </c>
    </row>
    <row r="72" spans="1:209" x14ac:dyDescent="0.35">
      <c r="A72" s="1169" t="s">
        <v>481</v>
      </c>
      <c r="B72" s="1169">
        <v>2613.3333333333298</v>
      </c>
      <c r="C72" s="1169">
        <v>2648.3333333333298</v>
      </c>
      <c r="D72" s="1169">
        <v>2681.6666666666702</v>
      </c>
      <c r="E72" s="1169">
        <v>2716.3333333333298</v>
      </c>
      <c r="F72" s="1169">
        <v>2719.3333333333298</v>
      </c>
      <c r="G72" s="1169">
        <v>2739.6666666666702</v>
      </c>
      <c r="H72" s="1169">
        <v>2751.6666666666702</v>
      </c>
      <c r="I72" s="1169">
        <v>2781</v>
      </c>
      <c r="J72" s="1169">
        <v>2815</v>
      </c>
      <c r="K72" s="1169">
        <v>2849</v>
      </c>
      <c r="L72" s="1169">
        <v>2874</v>
      </c>
      <c r="M72" s="1169">
        <v>2901.3333333333298</v>
      </c>
      <c r="N72" s="1169">
        <v>2899.6666666666702</v>
      </c>
      <c r="O72" s="1169">
        <v>2911.6666666666702</v>
      </c>
      <c r="P72" s="1169">
        <v>2926.3333333333298</v>
      </c>
      <c r="Q72" s="1169">
        <v>2953.3333333333298</v>
      </c>
      <c r="R72" s="1169">
        <v>2988.6666666666702</v>
      </c>
      <c r="S72" s="1169">
        <v>3018</v>
      </c>
      <c r="T72" s="1169">
        <v>3048.3333333333298</v>
      </c>
      <c r="U72" s="1169">
        <v>3099</v>
      </c>
      <c r="V72" s="1169">
        <v>3161.6666666666702</v>
      </c>
      <c r="W72" s="1169">
        <v>3177.3333333333298</v>
      </c>
      <c r="X72" s="1169">
        <v>3178</v>
      </c>
      <c r="Y72" s="1169">
        <v>3197.3333333333298</v>
      </c>
      <c r="Z72" s="1169">
        <v>3214.3333333333298</v>
      </c>
      <c r="AA72" s="1169">
        <v>3241.6666666666702</v>
      </c>
      <c r="AB72" s="1169">
        <v>3290.6666666666702</v>
      </c>
      <c r="AC72" s="1169">
        <v>3342</v>
      </c>
      <c r="AD72" s="1169">
        <v>3341.3333333333298</v>
      </c>
      <c r="AE72" s="1169">
        <v>3374.6666666666702</v>
      </c>
      <c r="AF72" s="1169">
        <v>3385</v>
      </c>
      <c r="AG72" s="1169">
        <v>3404.6666666666702</v>
      </c>
      <c r="AH72" s="1169">
        <v>3442.3333333333298</v>
      </c>
      <c r="AI72" s="1169">
        <v>3479</v>
      </c>
      <c r="AJ72" s="1169">
        <v>3477.3333333333298</v>
      </c>
      <c r="AK72" s="1169">
        <v>3494</v>
      </c>
      <c r="AL72" s="1169">
        <v>3504.3333333333298</v>
      </c>
      <c r="AM72" s="1169">
        <v>3518</v>
      </c>
      <c r="AN72" s="1169">
        <v>3560.6666666666702</v>
      </c>
      <c r="AO72" s="1169">
        <v>3579.3333333333298</v>
      </c>
      <c r="AP72" s="1169">
        <v>3582</v>
      </c>
      <c r="AQ72" s="1169">
        <v>3602.6666666666702</v>
      </c>
      <c r="AR72" s="1169">
        <v>3624</v>
      </c>
      <c r="AS72" s="1169">
        <v>3630.6666666666702</v>
      </c>
      <c r="AT72" s="1169">
        <v>3636</v>
      </c>
      <c r="AU72" s="1169">
        <v>3631.6666666666702</v>
      </c>
      <c r="AV72" s="1169">
        <v>3640</v>
      </c>
      <c r="AW72" s="1169">
        <v>3653</v>
      </c>
      <c r="AX72" s="1169">
        <v>3645.6666666666702</v>
      </c>
      <c r="AY72" s="1169">
        <v>3647.3333333333298</v>
      </c>
      <c r="AZ72" s="1169">
        <v>3625.6666666666702</v>
      </c>
      <c r="BA72" s="1169">
        <v>3640.3333333333298</v>
      </c>
      <c r="BB72" s="1169">
        <v>3650.3333333333298</v>
      </c>
      <c r="BC72" s="1169">
        <v>3656</v>
      </c>
      <c r="BD72" s="1169">
        <v>3671.3333333333298</v>
      </c>
      <c r="BE72" s="1169">
        <v>3671.6666666666702</v>
      </c>
      <c r="BF72" s="1169">
        <v>3687</v>
      </c>
      <c r="BG72" s="1169">
        <v>3720</v>
      </c>
      <c r="BH72" s="1169">
        <v>3758</v>
      </c>
      <c r="BI72" s="1169">
        <v>3773</v>
      </c>
      <c r="BJ72" s="1169">
        <v>3798.3333333333298</v>
      </c>
      <c r="BK72" s="1169">
        <v>3819.3333333333298</v>
      </c>
      <c r="BL72" s="1169">
        <v>3844.3333333333298</v>
      </c>
      <c r="BM72" s="1169">
        <v>3864.3333333333298</v>
      </c>
      <c r="BN72" s="1169">
        <v>3872.3333333333298</v>
      </c>
      <c r="BO72" s="1169">
        <v>3883</v>
      </c>
      <c r="BP72" s="1169">
        <v>3889.3333333333298</v>
      </c>
      <c r="BQ72" s="1169">
        <v>3926.6666666666702</v>
      </c>
      <c r="BR72" s="1169">
        <v>3943.6666666666702</v>
      </c>
      <c r="BS72" s="1169">
        <v>3953</v>
      </c>
      <c r="BT72" s="1169">
        <v>3969</v>
      </c>
      <c r="BU72" s="1169">
        <v>4000.6666666666702</v>
      </c>
      <c r="BV72" s="1169">
        <v>4030.6666666666702</v>
      </c>
      <c r="BW72" s="1169">
        <v>4065.3333333333298</v>
      </c>
      <c r="BX72" s="1169">
        <v>4094.3333333333298</v>
      </c>
      <c r="BY72" s="1169">
        <v>4114.6666666666697</v>
      </c>
      <c r="BZ72" s="1169">
        <v>4135.6666666666697</v>
      </c>
      <c r="CA72" s="1169">
        <v>4169</v>
      </c>
      <c r="CB72" s="1169">
        <v>4201.3333333333303</v>
      </c>
      <c r="CC72" s="1169">
        <v>4221</v>
      </c>
      <c r="CD72" s="1169">
        <v>4258</v>
      </c>
      <c r="CE72" s="1169">
        <v>4295.6666666666697</v>
      </c>
      <c r="CF72" s="1169">
        <v>4322.6666666666697</v>
      </c>
      <c r="CG72" s="1169">
        <v>4342.6666666666697</v>
      </c>
      <c r="CH72" s="1169">
        <v>4358</v>
      </c>
      <c r="CI72" s="1169">
        <v>4362.3333333333303</v>
      </c>
      <c r="CJ72" s="1169">
        <v>4345</v>
      </c>
      <c r="CK72" s="1169">
        <v>4354.3333333333303</v>
      </c>
      <c r="CL72" s="1169">
        <v>4372</v>
      </c>
      <c r="CM72" s="1169">
        <v>4395.6666666666697</v>
      </c>
      <c r="CN72" s="1169">
        <v>4425.3333333333303</v>
      </c>
      <c r="CO72" s="1169">
        <v>4438</v>
      </c>
      <c r="CP72" s="1169">
        <v>4456</v>
      </c>
      <c r="CQ72" s="1169">
        <v>4478</v>
      </c>
      <c r="CR72" s="1169">
        <v>4496</v>
      </c>
      <c r="CS72" s="1169">
        <v>4515</v>
      </c>
      <c r="CT72" s="1169">
        <v>4523.6666666666697</v>
      </c>
      <c r="CU72" s="1169">
        <v>4555.3333333333303</v>
      </c>
      <c r="CV72" s="1169">
        <v>4600</v>
      </c>
      <c r="CW72" s="1169">
        <v>4626.3333333333303</v>
      </c>
      <c r="CX72" s="1169">
        <v>4649.6666666666697</v>
      </c>
      <c r="CY72" s="1169">
        <v>4643</v>
      </c>
      <c r="CZ72" s="1169">
        <v>4623.6666666666697</v>
      </c>
      <c r="DA72" s="1169">
        <v>4624.6666666666697</v>
      </c>
      <c r="DB72" s="1169">
        <v>4621.3333333333303</v>
      </c>
      <c r="DC72" s="1169">
        <v>4618.3333333333303</v>
      </c>
      <c r="DD72" s="1169">
        <v>4600.3333333333303</v>
      </c>
      <c r="DE72" s="1169">
        <v>4581.3333333333303</v>
      </c>
      <c r="DF72" s="1169">
        <v>4574.3333333333303</v>
      </c>
      <c r="DG72" s="1169">
        <v>4577</v>
      </c>
      <c r="DH72" s="1169">
        <v>4589</v>
      </c>
      <c r="DI72" s="1169">
        <v>4583</v>
      </c>
      <c r="DJ72" s="1169">
        <v>4578</v>
      </c>
      <c r="DK72" s="1169">
        <v>4596.6666666666697</v>
      </c>
      <c r="DL72" s="1169">
        <v>4631.6666666666697</v>
      </c>
      <c r="DM72" s="1169">
        <v>4640.6666666666697</v>
      </c>
      <c r="DN72" s="1169">
        <v>4669</v>
      </c>
      <c r="DO72" s="1169">
        <v>4688.3333333333303</v>
      </c>
      <c r="DP72" s="1169">
        <v>4717.3333333333303</v>
      </c>
      <c r="DQ72" s="1169">
        <v>4757.3333333333303</v>
      </c>
      <c r="DR72" s="1169">
        <v>4768</v>
      </c>
      <c r="DS72" s="1169">
        <v>4779.3333333333303</v>
      </c>
      <c r="DT72" s="1169">
        <v>4793.3333333333303</v>
      </c>
      <c r="DU72" s="1169">
        <v>4809</v>
      </c>
      <c r="DV72" s="1169">
        <v>4832</v>
      </c>
      <c r="DW72" s="1169">
        <v>4877.6666666666697</v>
      </c>
      <c r="DX72" s="1169">
        <v>4936.6666666666697</v>
      </c>
      <c r="DY72" s="1169">
        <v>4977.3333333333303</v>
      </c>
      <c r="DZ72" s="1169">
        <v>5004.3333333333303</v>
      </c>
      <c r="EA72" s="1169">
        <v>5039</v>
      </c>
      <c r="EB72" s="1169">
        <v>5052.6666666666697</v>
      </c>
      <c r="EC72" s="1169">
        <v>5020.6666666666697</v>
      </c>
      <c r="ED72" s="1169">
        <v>5029.3333333333303</v>
      </c>
      <c r="EE72" s="1169">
        <v>5007.6666666666697</v>
      </c>
      <c r="EF72" s="1169">
        <v>4978.6666666666697</v>
      </c>
      <c r="EG72" s="1169">
        <v>4985.3333333333303</v>
      </c>
      <c r="EH72" s="1169">
        <v>4968.3333333333303</v>
      </c>
      <c r="EI72" s="1169">
        <v>4974</v>
      </c>
      <c r="EJ72" s="1169">
        <v>4984</v>
      </c>
      <c r="EK72" s="1169">
        <v>4995.3333333333303</v>
      </c>
      <c r="EL72" s="1169">
        <v>5015.6666666666697</v>
      </c>
      <c r="EM72" s="1169">
        <v>5023.3333333333303</v>
      </c>
      <c r="EN72" s="1169">
        <v>5039.3333333333303</v>
      </c>
      <c r="EO72" s="1169">
        <v>5047.6666666666697</v>
      </c>
      <c r="EP72" s="1169">
        <v>5047</v>
      </c>
      <c r="EQ72" s="1169">
        <v>5068.3333333333303</v>
      </c>
      <c r="ER72" s="1169">
        <v>5086</v>
      </c>
      <c r="ES72" s="1169">
        <v>5098.3333333333303</v>
      </c>
      <c r="ET72" s="1169">
        <v>5106.3333333333303</v>
      </c>
      <c r="EU72" s="1169">
        <v>5124.3333333333303</v>
      </c>
      <c r="EV72" s="1169">
        <v>5122</v>
      </c>
      <c r="EW72" s="1169">
        <v>5136</v>
      </c>
      <c r="EX72" s="1169">
        <v>5148.6666666666697</v>
      </c>
      <c r="EY72" s="1169">
        <v>5166</v>
      </c>
      <c r="EZ72" s="1169">
        <v>5196.3333333333303</v>
      </c>
      <c r="FA72" s="1169">
        <v>5189</v>
      </c>
      <c r="FB72" s="1169">
        <v>5192</v>
      </c>
      <c r="FC72" s="1169">
        <v>5181.6666666666697</v>
      </c>
      <c r="FD72" s="1169">
        <v>5145.3333333333303</v>
      </c>
      <c r="FE72" s="1169">
        <v>5153.3333333333303</v>
      </c>
      <c r="FF72" s="1169">
        <v>5144</v>
      </c>
      <c r="FG72" s="1169">
        <v>5136.6666666666697</v>
      </c>
      <c r="FH72" s="1169">
        <v>5129.3333333333303</v>
      </c>
      <c r="FI72" s="1169">
        <v>5137</v>
      </c>
      <c r="FJ72" s="1169">
        <v>5113.3333333333303</v>
      </c>
      <c r="FK72" s="1169">
        <v>5084.3333333333303</v>
      </c>
      <c r="FL72" s="1169">
        <v>5069.6666666666697</v>
      </c>
      <c r="FM72" s="1169">
        <v>5051</v>
      </c>
      <c r="FN72" s="1169">
        <v>5048</v>
      </c>
      <c r="FO72" s="1169">
        <v>5055.3333333333303</v>
      </c>
      <c r="FP72" s="1169">
        <v>5064.6666666666697</v>
      </c>
      <c r="FQ72" s="1169">
        <v>5051.6666666666697</v>
      </c>
      <c r="FR72" s="1169">
        <v>5042</v>
      </c>
      <c r="FS72" s="1169">
        <v>5044.6666666666697</v>
      </c>
      <c r="FT72" s="1169">
        <v>5040</v>
      </c>
      <c r="FU72" s="1169">
        <v>5055.3333333333303</v>
      </c>
      <c r="FV72" s="1169">
        <v>5054.6666666666697</v>
      </c>
      <c r="FW72" s="1169">
        <v>5054.6666666666697</v>
      </c>
      <c r="FX72" s="1169">
        <v>5030.6666666666697</v>
      </c>
      <c r="FY72" s="1169">
        <v>5052.6666666666697</v>
      </c>
      <c r="FZ72" s="1169">
        <v>5067.6666666666697</v>
      </c>
      <c r="GA72" s="1169">
        <v>5072.3333333333303</v>
      </c>
      <c r="GB72" s="1169">
        <v>5077.6666666666697</v>
      </c>
      <c r="GC72" s="1169">
        <v>5087.3333333333303</v>
      </c>
      <c r="GD72" s="1169">
        <v>5089</v>
      </c>
      <c r="GE72" s="1169">
        <v>5098.6666666666697</v>
      </c>
      <c r="GF72" s="1169">
        <v>5126.6666666666697</v>
      </c>
      <c r="GG72" s="1169">
        <v>5135.3333333333303</v>
      </c>
      <c r="GH72" s="1169">
        <v>5159.6666666666697</v>
      </c>
      <c r="GI72" s="1169">
        <v>5174.6666666666697</v>
      </c>
      <c r="GJ72" s="1169">
        <v>5163.6666666666697</v>
      </c>
      <c r="GK72" s="1169">
        <v>5157.3333333333303</v>
      </c>
      <c r="GL72" s="1169">
        <v>5152</v>
      </c>
      <c r="GM72" s="1169">
        <v>5177.6666666666697</v>
      </c>
      <c r="GN72" s="1169">
        <v>5182.6666666666697</v>
      </c>
      <c r="GO72" s="1169">
        <v>5174</v>
      </c>
      <c r="GP72" s="1169">
        <v>5175</v>
      </c>
      <c r="GQ72" s="1169">
        <v>5182</v>
      </c>
      <c r="GR72" s="1169">
        <v>5214.6666666666697</v>
      </c>
      <c r="GS72" s="1169">
        <v>5244</v>
      </c>
      <c r="GT72" s="1169">
        <v>5273.6666666666697</v>
      </c>
      <c r="GU72" s="1169">
        <v>5082.3333333333303</v>
      </c>
      <c r="GV72" s="1169">
        <v>5100</v>
      </c>
      <c r="GW72" s="1169">
        <v>5078</v>
      </c>
      <c r="GX72" s="1169">
        <v>5160.3333333333303</v>
      </c>
      <c r="GY72" s="1169">
        <v>5218.3333333333303</v>
      </c>
      <c r="GZ72" s="1169">
        <v>5230.3333333333303</v>
      </c>
      <c r="HA72" s="1169">
        <v>5227</v>
      </c>
    </row>
    <row r="73" spans="1:209" x14ac:dyDescent="0.35">
      <c r="A73" s="1169" t="s">
        <v>483</v>
      </c>
      <c r="B73" s="1169">
        <v>7048.6666666666697</v>
      </c>
      <c r="C73" s="1169">
        <v>7104.3333333333303</v>
      </c>
      <c r="D73" s="1169">
        <v>7204.3333333333303</v>
      </c>
      <c r="E73" s="1169">
        <v>7279.3333333333303</v>
      </c>
      <c r="F73" s="1169">
        <v>7353.3333333333303</v>
      </c>
      <c r="G73" s="1169">
        <v>7419.6666666666697</v>
      </c>
      <c r="H73" s="1169">
        <v>7443.6666666666697</v>
      </c>
      <c r="I73" s="1169">
        <v>7534</v>
      </c>
      <c r="J73" s="1169">
        <v>7651.6666666666697</v>
      </c>
      <c r="K73" s="1169">
        <v>7726.3333333333303</v>
      </c>
      <c r="L73" s="1169">
        <v>7855</v>
      </c>
      <c r="M73" s="1169">
        <v>7931.3333333333303</v>
      </c>
      <c r="N73" s="1169">
        <v>8016</v>
      </c>
      <c r="O73" s="1169">
        <v>8115</v>
      </c>
      <c r="P73" s="1169">
        <v>8183.6666666666697</v>
      </c>
      <c r="Q73" s="1169">
        <v>8272.3333333333303</v>
      </c>
      <c r="R73" s="1169">
        <v>8307.6666666666697</v>
      </c>
      <c r="S73" s="1169">
        <v>8346.3333333333303</v>
      </c>
      <c r="T73" s="1169">
        <v>8424.6666666666697</v>
      </c>
      <c r="U73" s="1169">
        <v>8551.3333333333303</v>
      </c>
      <c r="V73" s="1169">
        <v>8673</v>
      </c>
      <c r="W73" s="1169">
        <v>8751.3333333333303</v>
      </c>
      <c r="X73" s="1169">
        <v>8786.3333333333303</v>
      </c>
      <c r="Y73" s="1169">
        <v>8824.6666666666697</v>
      </c>
      <c r="Z73" s="1169">
        <v>8883</v>
      </c>
      <c r="AA73" s="1169">
        <v>8868.6666666666697</v>
      </c>
      <c r="AB73" s="1169">
        <v>8845</v>
      </c>
      <c r="AC73" s="1169">
        <v>8861</v>
      </c>
      <c r="AD73" s="1169">
        <v>8860.6666666666697</v>
      </c>
      <c r="AE73" s="1169">
        <v>8907.3333333333303</v>
      </c>
      <c r="AF73" s="1169">
        <v>9099.3333333333303</v>
      </c>
      <c r="AG73" s="1169">
        <v>9231</v>
      </c>
      <c r="AH73" s="1169">
        <v>9348.3333333333303</v>
      </c>
      <c r="AI73" s="1169">
        <v>9466</v>
      </c>
      <c r="AJ73" s="1169">
        <v>9492.3333333333303</v>
      </c>
      <c r="AK73" s="1169">
        <v>9482.6666666666697</v>
      </c>
      <c r="AL73" s="1169">
        <v>9531.3333333333303</v>
      </c>
      <c r="AM73" s="1169">
        <v>9604.3333333333303</v>
      </c>
      <c r="AN73" s="1169">
        <v>9710.6666666666697</v>
      </c>
      <c r="AO73" s="1169">
        <v>9697.3333333333303</v>
      </c>
      <c r="AP73" s="1169">
        <v>9741.3333333333303</v>
      </c>
      <c r="AQ73" s="1169">
        <v>9749.3333333333303</v>
      </c>
      <c r="AR73" s="1169">
        <v>9782.3333333333303</v>
      </c>
      <c r="AS73" s="1169">
        <v>9793</v>
      </c>
      <c r="AT73" s="1169">
        <v>9750.3333333333303</v>
      </c>
      <c r="AU73" s="1169">
        <v>9665</v>
      </c>
      <c r="AV73" s="1169">
        <v>9547.6666666666697</v>
      </c>
      <c r="AW73" s="1169">
        <v>9507</v>
      </c>
      <c r="AX73" s="1169">
        <v>9484.3333333333303</v>
      </c>
      <c r="AY73" s="1169">
        <v>9495.6666666666697</v>
      </c>
      <c r="AZ73" s="1169">
        <v>9409.6666666666697</v>
      </c>
      <c r="BA73" s="1169">
        <v>9437</v>
      </c>
      <c r="BB73" s="1169">
        <v>9447.3333333333303</v>
      </c>
      <c r="BC73" s="1169">
        <v>9445.3333333333303</v>
      </c>
      <c r="BD73" s="1169">
        <v>9433</v>
      </c>
      <c r="BE73" s="1169">
        <v>9401.6666666666697</v>
      </c>
      <c r="BF73" s="1169">
        <v>9412</v>
      </c>
      <c r="BG73" s="1169">
        <v>9445.3333333333303</v>
      </c>
      <c r="BH73" s="1169">
        <v>9509</v>
      </c>
      <c r="BI73" s="1169">
        <v>9555</v>
      </c>
      <c r="BJ73" s="1169">
        <v>9595.6666666666697</v>
      </c>
      <c r="BK73" s="1169">
        <v>9640.3333333333303</v>
      </c>
      <c r="BL73" s="1169">
        <v>9746.6666666666697</v>
      </c>
      <c r="BM73" s="1169">
        <v>9764.3333333333303</v>
      </c>
      <c r="BN73" s="1169">
        <v>9815.3333333333303</v>
      </c>
      <c r="BO73" s="1169">
        <v>9854.3333333333303</v>
      </c>
      <c r="BP73" s="1169">
        <v>9906.6666666666697</v>
      </c>
      <c r="BQ73" s="1169">
        <v>10024.333333333299</v>
      </c>
      <c r="BR73" s="1169">
        <v>10039.333333333299</v>
      </c>
      <c r="BS73" s="1169">
        <v>10083.333333333299</v>
      </c>
      <c r="BT73" s="1169">
        <v>10092.333333333299</v>
      </c>
      <c r="BU73" s="1169">
        <v>10184.666666666701</v>
      </c>
      <c r="BV73" s="1169">
        <v>10250.666666666701</v>
      </c>
      <c r="BW73" s="1169">
        <v>10315.333333333299</v>
      </c>
      <c r="BX73" s="1169">
        <v>10341.666666666701</v>
      </c>
      <c r="BY73" s="1169">
        <v>10446.666666666701</v>
      </c>
      <c r="BZ73" s="1169">
        <v>10510.666666666701</v>
      </c>
      <c r="CA73" s="1169">
        <v>10566.333333333299</v>
      </c>
      <c r="CB73" s="1169">
        <v>10640.666666666701</v>
      </c>
      <c r="CC73" s="1169">
        <v>10719.666666666701</v>
      </c>
      <c r="CD73" s="1169">
        <v>10814</v>
      </c>
      <c r="CE73" s="1169">
        <v>10873</v>
      </c>
      <c r="CF73" s="1169">
        <v>10967.333333333299</v>
      </c>
      <c r="CG73" s="1169">
        <v>11000.333333333299</v>
      </c>
      <c r="CH73" s="1169">
        <v>11027</v>
      </c>
      <c r="CI73" s="1169">
        <v>11057.333333333299</v>
      </c>
      <c r="CJ73" s="1169">
        <v>11099.333333333299</v>
      </c>
      <c r="CK73" s="1169">
        <v>11139.333333333299</v>
      </c>
      <c r="CL73" s="1169">
        <v>11199</v>
      </c>
      <c r="CM73" s="1169">
        <v>11238</v>
      </c>
      <c r="CN73" s="1169">
        <v>11306.666666666701</v>
      </c>
      <c r="CO73" s="1169">
        <v>11319.666666666701</v>
      </c>
      <c r="CP73" s="1169">
        <v>11366.666666666701</v>
      </c>
      <c r="CQ73" s="1169">
        <v>11407.666666666701</v>
      </c>
      <c r="CR73" s="1169">
        <v>11483</v>
      </c>
      <c r="CS73" s="1169">
        <v>11520.666666666701</v>
      </c>
      <c r="CT73" s="1169">
        <v>11591.333333333299</v>
      </c>
      <c r="CU73" s="1169">
        <v>11672.333333333299</v>
      </c>
      <c r="CV73" s="1169">
        <v>11710.333333333299</v>
      </c>
      <c r="CW73" s="1169">
        <v>11752</v>
      </c>
      <c r="CX73" s="1169">
        <v>11791.333333333299</v>
      </c>
      <c r="CY73" s="1169">
        <v>11828.666666666701</v>
      </c>
      <c r="CZ73" s="1169">
        <v>11868</v>
      </c>
      <c r="DA73" s="1169">
        <v>11923</v>
      </c>
      <c r="DB73" s="1169">
        <v>11966</v>
      </c>
      <c r="DC73" s="1169">
        <v>12017.333333333299</v>
      </c>
      <c r="DD73" s="1169">
        <v>12067</v>
      </c>
      <c r="DE73" s="1169">
        <v>12139</v>
      </c>
      <c r="DF73" s="1169">
        <v>12185.666666666701</v>
      </c>
      <c r="DG73" s="1169">
        <v>12229.666666666701</v>
      </c>
      <c r="DH73" s="1169">
        <v>12296</v>
      </c>
      <c r="DI73" s="1169">
        <v>12380</v>
      </c>
      <c r="DJ73" s="1169">
        <v>12437.333333333299</v>
      </c>
      <c r="DK73" s="1169">
        <v>12501.333333333299</v>
      </c>
      <c r="DL73" s="1169">
        <v>12553.333333333299</v>
      </c>
      <c r="DM73" s="1169">
        <v>12616.333333333299</v>
      </c>
      <c r="DN73" s="1169">
        <v>12694.666666666701</v>
      </c>
      <c r="DO73" s="1169">
        <v>12783.333333333299</v>
      </c>
      <c r="DP73" s="1169">
        <v>12887.333333333299</v>
      </c>
      <c r="DQ73" s="1169">
        <v>12972.333333333299</v>
      </c>
      <c r="DR73" s="1169">
        <v>13050.333333333299</v>
      </c>
      <c r="DS73" s="1169">
        <v>13113</v>
      </c>
      <c r="DT73" s="1169">
        <v>13168</v>
      </c>
      <c r="DU73" s="1169">
        <v>13220.666666666701</v>
      </c>
      <c r="DV73" s="1169">
        <v>13310</v>
      </c>
      <c r="DW73" s="1169">
        <v>13410.666666666701</v>
      </c>
      <c r="DX73" s="1169">
        <v>13500.666666666701</v>
      </c>
      <c r="DY73" s="1169">
        <v>13583.666666666701</v>
      </c>
      <c r="DZ73" s="1169">
        <v>13639</v>
      </c>
      <c r="EA73" s="1169">
        <v>13699.333333333299</v>
      </c>
      <c r="EB73" s="1169">
        <v>13744.666666666701</v>
      </c>
      <c r="EC73" s="1169">
        <v>13775</v>
      </c>
      <c r="ED73" s="1169">
        <v>13801</v>
      </c>
      <c r="EE73" s="1169">
        <v>13820</v>
      </c>
      <c r="EF73" s="1169">
        <v>13832.333333333299</v>
      </c>
      <c r="EG73" s="1169">
        <v>13824.333333333299</v>
      </c>
      <c r="EH73" s="1169">
        <v>13859</v>
      </c>
      <c r="EI73" s="1169">
        <v>13898</v>
      </c>
      <c r="EJ73" s="1169">
        <v>13909.333333333299</v>
      </c>
      <c r="EK73" s="1169">
        <v>13958.666666666701</v>
      </c>
      <c r="EL73" s="1169">
        <v>13994.666666666701</v>
      </c>
      <c r="EM73" s="1169">
        <v>14012</v>
      </c>
      <c r="EN73" s="1169">
        <v>14085.333333333299</v>
      </c>
      <c r="EO73" s="1169">
        <v>14072.333333333299</v>
      </c>
      <c r="EP73" s="1169">
        <v>14098</v>
      </c>
      <c r="EQ73" s="1169">
        <v>14119.666666666701</v>
      </c>
      <c r="ER73" s="1169">
        <v>14201</v>
      </c>
      <c r="ES73" s="1169">
        <v>14251.333333333299</v>
      </c>
      <c r="ET73" s="1169">
        <v>14287.333333333299</v>
      </c>
      <c r="EU73" s="1169">
        <v>14336</v>
      </c>
      <c r="EV73" s="1169">
        <v>14369.333333333299</v>
      </c>
      <c r="EW73" s="1169">
        <v>14455</v>
      </c>
      <c r="EX73" s="1169">
        <v>14521.666666666701</v>
      </c>
      <c r="EY73" s="1169">
        <v>14560.333333333299</v>
      </c>
      <c r="EZ73" s="1169">
        <v>14594</v>
      </c>
      <c r="FA73" s="1169">
        <v>14591</v>
      </c>
      <c r="FB73" s="1169">
        <v>14587</v>
      </c>
      <c r="FC73" s="1169">
        <v>14576.333333333299</v>
      </c>
      <c r="FD73" s="1169">
        <v>14532</v>
      </c>
      <c r="FE73" s="1169">
        <v>14521</v>
      </c>
      <c r="FF73" s="1169">
        <v>14466</v>
      </c>
      <c r="FG73" s="1169">
        <v>14434</v>
      </c>
      <c r="FH73" s="1169">
        <v>14327.666666666701</v>
      </c>
      <c r="FI73" s="1169">
        <v>14279</v>
      </c>
      <c r="FJ73" s="1169">
        <v>14232.666666666701</v>
      </c>
      <c r="FK73" s="1169">
        <v>14207.666666666701</v>
      </c>
      <c r="FL73" s="1169">
        <v>14094</v>
      </c>
      <c r="FM73" s="1169">
        <v>14080.666666666701</v>
      </c>
      <c r="FN73" s="1169">
        <v>14067.666666666701</v>
      </c>
      <c r="FO73" s="1169">
        <v>14044.333333333299</v>
      </c>
      <c r="FP73" s="1169">
        <v>14034.333333333299</v>
      </c>
      <c r="FQ73" s="1169">
        <v>14026.333333333299</v>
      </c>
      <c r="FR73" s="1169">
        <v>14029.333333333299</v>
      </c>
      <c r="FS73" s="1169">
        <v>14033</v>
      </c>
      <c r="FT73" s="1169">
        <v>14031</v>
      </c>
      <c r="FU73" s="1169">
        <v>14033.666666666701</v>
      </c>
      <c r="FV73" s="1169">
        <v>14037.666666666701</v>
      </c>
      <c r="FW73" s="1169">
        <v>14077</v>
      </c>
      <c r="FX73" s="1169">
        <v>14120</v>
      </c>
      <c r="FY73" s="1169">
        <v>14140</v>
      </c>
      <c r="FZ73" s="1169">
        <v>14155</v>
      </c>
      <c r="GA73" s="1169">
        <v>14181.666666666701</v>
      </c>
      <c r="GB73" s="1169">
        <v>14214</v>
      </c>
      <c r="GC73" s="1169">
        <v>14223.666666666701</v>
      </c>
      <c r="GD73" s="1169">
        <v>14277</v>
      </c>
      <c r="GE73" s="1169">
        <v>14297.666666666701</v>
      </c>
      <c r="GF73" s="1169">
        <v>14369</v>
      </c>
      <c r="GG73" s="1169">
        <v>14351</v>
      </c>
      <c r="GH73" s="1169">
        <v>14352.333333333299</v>
      </c>
      <c r="GI73" s="1169">
        <v>14369</v>
      </c>
      <c r="GJ73" s="1169">
        <v>14373</v>
      </c>
      <c r="GK73" s="1169">
        <v>14421.666666666701</v>
      </c>
      <c r="GL73" s="1169">
        <v>14453.666666666701</v>
      </c>
      <c r="GM73" s="1169">
        <v>14486</v>
      </c>
      <c r="GN73" s="1169">
        <v>14482</v>
      </c>
      <c r="GO73" s="1169">
        <v>14507</v>
      </c>
      <c r="GP73" s="1169">
        <v>14550</v>
      </c>
      <c r="GQ73" s="1169">
        <v>14587.666666666701</v>
      </c>
      <c r="GR73" s="1169">
        <v>14542.666666666701</v>
      </c>
      <c r="GS73" s="1169">
        <v>14625.666666666701</v>
      </c>
      <c r="GT73" s="1169">
        <v>14691.333333333299</v>
      </c>
      <c r="GU73" s="1169">
        <v>13620</v>
      </c>
      <c r="GV73" s="1169">
        <v>13637.333333333299</v>
      </c>
      <c r="GW73" s="1169">
        <v>13719</v>
      </c>
      <c r="GX73" s="1169">
        <v>13769.666666666701</v>
      </c>
      <c r="GY73" s="1169">
        <v>13862.333333333299</v>
      </c>
      <c r="GZ73" s="1169">
        <v>13978</v>
      </c>
      <c r="HA73" s="1169">
        <v>14009.333333333299</v>
      </c>
    </row>
    <row r="74" spans="1:209" x14ac:dyDescent="0.35">
      <c r="A74" s="1169" t="s">
        <v>485</v>
      </c>
      <c r="B74" s="1169">
        <v>23545.666666666701</v>
      </c>
      <c r="C74" s="1169">
        <v>24037</v>
      </c>
      <c r="D74" s="1169">
        <v>25485.666666666701</v>
      </c>
      <c r="E74" s="1169">
        <v>25754.666666666701</v>
      </c>
      <c r="F74" s="1169">
        <v>25713</v>
      </c>
      <c r="G74" s="1169">
        <v>25998.666666666701</v>
      </c>
      <c r="H74" s="1169">
        <v>25691</v>
      </c>
      <c r="I74" s="1169">
        <v>26178.666666666701</v>
      </c>
      <c r="J74" s="1169">
        <v>25519</v>
      </c>
      <c r="K74" s="1169">
        <v>24875</v>
      </c>
      <c r="L74" s="1169">
        <v>25641</v>
      </c>
      <c r="M74" s="1169">
        <v>27114.333333333299</v>
      </c>
      <c r="N74" s="1169">
        <v>27472.666666666701</v>
      </c>
      <c r="O74" s="1169">
        <v>27079.333333333299</v>
      </c>
      <c r="P74" s="1169">
        <v>27510</v>
      </c>
      <c r="Q74" s="1169">
        <v>28620</v>
      </c>
      <c r="R74" s="1169">
        <v>30923.666666666701</v>
      </c>
      <c r="S74" s="1169">
        <v>33400.666666666701</v>
      </c>
      <c r="T74" s="1169">
        <v>33701.666666666701</v>
      </c>
      <c r="U74" s="1169">
        <v>33884</v>
      </c>
      <c r="V74" s="1169">
        <v>37820.333333333299</v>
      </c>
      <c r="W74" s="1169">
        <v>35429.666666666701</v>
      </c>
      <c r="X74" s="1169">
        <v>36988.333333333299</v>
      </c>
      <c r="Y74" s="1169">
        <v>39554</v>
      </c>
      <c r="Z74" s="1169">
        <v>42554</v>
      </c>
      <c r="AA74" s="1169">
        <v>38830.666666666701</v>
      </c>
      <c r="AB74" s="1169">
        <v>36130</v>
      </c>
      <c r="AC74" s="1169">
        <v>34359.666666666701</v>
      </c>
      <c r="AD74" s="1169">
        <v>36034</v>
      </c>
      <c r="AE74" s="1169">
        <v>37037.666666666701</v>
      </c>
      <c r="AF74" s="1169">
        <v>35666.333333333299</v>
      </c>
      <c r="AG74" s="1169">
        <v>35160</v>
      </c>
      <c r="AH74" s="1169">
        <v>34095.333333333299</v>
      </c>
      <c r="AI74" s="1169">
        <v>41889.666666666701</v>
      </c>
      <c r="AJ74" s="1169">
        <v>43760.666666666701</v>
      </c>
      <c r="AK74" s="1169">
        <v>45015.333333333299</v>
      </c>
      <c r="AL74" s="1169">
        <v>40794</v>
      </c>
      <c r="AM74" s="1169">
        <v>45875.333333333299</v>
      </c>
      <c r="AN74" s="1169">
        <v>49343.666666666701</v>
      </c>
      <c r="AO74" s="1169">
        <v>52609</v>
      </c>
      <c r="AP74" s="1169">
        <v>55934.333333333299</v>
      </c>
      <c r="AQ74" s="1169">
        <v>54112</v>
      </c>
      <c r="AR74" s="1169">
        <v>52797</v>
      </c>
      <c r="AS74" s="1169">
        <v>54381</v>
      </c>
      <c r="AT74" s="1169">
        <v>60484</v>
      </c>
      <c r="AU74" s="1169">
        <v>53862</v>
      </c>
      <c r="AV74" s="1169">
        <v>52044</v>
      </c>
      <c r="AW74" s="1169">
        <v>54313.666666666701</v>
      </c>
      <c r="AX74" s="1169">
        <v>51944</v>
      </c>
      <c r="AY74" s="1169">
        <v>52182.666666666701</v>
      </c>
      <c r="AZ74" s="1169">
        <v>52486.333333333299</v>
      </c>
      <c r="BA74" s="1169">
        <v>54765.333333333299</v>
      </c>
      <c r="BB74" s="1169">
        <v>52678.333333333299</v>
      </c>
      <c r="BC74" s="1169">
        <v>51386</v>
      </c>
      <c r="BD74" s="1169">
        <v>53662.333333333299</v>
      </c>
      <c r="BE74" s="1169">
        <v>53249</v>
      </c>
      <c r="BF74" s="1169">
        <v>55752.333333333299</v>
      </c>
      <c r="BG74" s="1169">
        <v>57382.666666666701</v>
      </c>
      <c r="BH74" s="1169">
        <v>59910.333333333299</v>
      </c>
      <c r="BI74" s="1169">
        <v>60890.666666666701</v>
      </c>
      <c r="BJ74" s="1169">
        <v>62514.666666666701</v>
      </c>
      <c r="BK74" s="1169">
        <v>65739.333333333299</v>
      </c>
      <c r="BL74" s="1169">
        <v>67220</v>
      </c>
      <c r="BM74" s="1169">
        <v>66558.333333333299</v>
      </c>
      <c r="BN74" s="1169">
        <v>70815.333333333299</v>
      </c>
      <c r="BO74" s="1169">
        <v>72215.333333333299</v>
      </c>
      <c r="BP74" s="1169">
        <v>73843.333333333299</v>
      </c>
      <c r="BQ74" s="1169">
        <v>71122.666666666701</v>
      </c>
      <c r="BR74" s="1169">
        <v>75290</v>
      </c>
      <c r="BS74" s="1169">
        <v>75025.666666666701</v>
      </c>
      <c r="BT74" s="1169">
        <v>77047</v>
      </c>
      <c r="BU74" s="1169">
        <v>78058</v>
      </c>
      <c r="BV74" s="1169">
        <v>79349.666666666701</v>
      </c>
      <c r="BW74" s="1169">
        <v>83348</v>
      </c>
      <c r="BX74" s="1169">
        <v>82022.666666666701</v>
      </c>
      <c r="BY74" s="1169">
        <v>84604</v>
      </c>
      <c r="BZ74" s="1169">
        <v>83566.666666666701</v>
      </c>
      <c r="CA74" s="1169">
        <v>85684</v>
      </c>
      <c r="CB74" s="1169">
        <v>85730.333333333299</v>
      </c>
      <c r="CC74" s="1169">
        <v>89358.333333333299</v>
      </c>
      <c r="CD74" s="1169">
        <v>94388.333333333299</v>
      </c>
      <c r="CE74" s="1169">
        <v>93807</v>
      </c>
      <c r="CF74" s="1169">
        <v>94972</v>
      </c>
      <c r="CG74" s="1169">
        <v>98807.666666666701</v>
      </c>
      <c r="CH74" s="1169">
        <v>95253.666666666701</v>
      </c>
      <c r="CI74" s="1169">
        <v>96128.666666666701</v>
      </c>
      <c r="CJ74" s="1169">
        <v>97326.333333333299</v>
      </c>
      <c r="CK74" s="1169">
        <v>99221</v>
      </c>
      <c r="CL74" s="1169">
        <v>106368.66666666701</v>
      </c>
      <c r="CM74" s="1169">
        <v>103446</v>
      </c>
      <c r="CN74" s="1169">
        <v>99580.333333333299</v>
      </c>
      <c r="CO74" s="1169">
        <v>98022.333333333299</v>
      </c>
      <c r="CP74" s="1169">
        <v>102495</v>
      </c>
      <c r="CQ74" s="1169">
        <v>111962</v>
      </c>
      <c r="CR74" s="1169">
        <v>116124.66666666701</v>
      </c>
      <c r="CS74" s="1169">
        <v>118029</v>
      </c>
      <c r="CT74" s="1169">
        <v>111803</v>
      </c>
      <c r="CU74" s="1169">
        <v>113545</v>
      </c>
      <c r="CV74" s="1169">
        <v>118942</v>
      </c>
      <c r="CW74" s="1169">
        <v>117294.33333333299</v>
      </c>
      <c r="CX74" s="1169">
        <v>116848.66666666701</v>
      </c>
      <c r="CY74" s="1169">
        <v>124434.33333333299</v>
      </c>
      <c r="CZ74" s="1169">
        <v>125240</v>
      </c>
      <c r="DA74" s="1169">
        <v>127572.66666666701</v>
      </c>
      <c r="DB74" s="1169">
        <v>126179.33333333299</v>
      </c>
      <c r="DC74" s="1169">
        <v>131672</v>
      </c>
      <c r="DD74" s="1169">
        <v>131615</v>
      </c>
      <c r="DE74" s="1169">
        <v>135638.66666666701</v>
      </c>
      <c r="DF74" s="1169">
        <v>135471.66666666701</v>
      </c>
      <c r="DG74" s="1169">
        <v>139479.33333333299</v>
      </c>
      <c r="DH74" s="1169">
        <v>141385.33333333299</v>
      </c>
      <c r="DI74" s="1169">
        <v>140102.66666666701</v>
      </c>
      <c r="DJ74" s="1169">
        <v>133975</v>
      </c>
      <c r="DK74" s="1169">
        <v>137818</v>
      </c>
      <c r="DL74" s="1169">
        <v>143529.33333333299</v>
      </c>
      <c r="DM74" s="1169">
        <v>144434.66666666701</v>
      </c>
      <c r="DN74" s="1169">
        <v>150497</v>
      </c>
      <c r="DO74" s="1169">
        <v>152515.33333333299</v>
      </c>
      <c r="DP74" s="1169">
        <v>155465.33333333299</v>
      </c>
      <c r="DQ74" s="1169">
        <v>163365.33333333299</v>
      </c>
      <c r="DR74" s="1169">
        <v>168776.33333333299</v>
      </c>
      <c r="DS74" s="1169">
        <v>165200.66666666701</v>
      </c>
      <c r="DT74" s="1169">
        <v>166145</v>
      </c>
      <c r="DU74" s="1169">
        <v>170616.66666666701</v>
      </c>
      <c r="DV74" s="1169">
        <v>176411.33333333299</v>
      </c>
      <c r="DW74" s="1169">
        <v>189275.66666666701</v>
      </c>
      <c r="DX74" s="1169">
        <v>187116</v>
      </c>
      <c r="DY74" s="1169">
        <v>193037.66666666701</v>
      </c>
      <c r="DZ74" s="1169">
        <v>198023.33333333299</v>
      </c>
      <c r="EA74" s="1169">
        <v>194794</v>
      </c>
      <c r="EB74" s="1169">
        <v>196443.66666666701</v>
      </c>
      <c r="EC74" s="1169">
        <v>199770.66666666701</v>
      </c>
      <c r="ED74" s="1169">
        <v>197410.66666666701</v>
      </c>
      <c r="EE74" s="1169">
        <v>195858</v>
      </c>
      <c r="EF74" s="1169">
        <v>200686</v>
      </c>
      <c r="EG74" s="1169">
        <v>199340</v>
      </c>
      <c r="EH74" s="1169">
        <v>197322.33333333299</v>
      </c>
      <c r="EI74" s="1169">
        <v>202356.33333333299</v>
      </c>
      <c r="EJ74" s="1169">
        <v>202328</v>
      </c>
      <c r="EK74" s="1169">
        <v>204931</v>
      </c>
      <c r="EL74" s="1169">
        <v>207202</v>
      </c>
      <c r="EM74" s="1169">
        <v>215946</v>
      </c>
      <c r="EN74" s="1169">
        <v>219407.66666666701</v>
      </c>
      <c r="EO74" s="1169">
        <v>222763.66666666701</v>
      </c>
      <c r="EP74" s="1169">
        <v>230117.66666666701</v>
      </c>
      <c r="EQ74" s="1169">
        <v>238436</v>
      </c>
      <c r="ER74" s="1169">
        <v>238965</v>
      </c>
      <c r="ES74" s="1169">
        <v>242956.33333333299</v>
      </c>
      <c r="ET74" s="1169">
        <v>258254.33333333299</v>
      </c>
      <c r="EU74" s="1169">
        <v>266203.66666666698</v>
      </c>
      <c r="EV74" s="1169">
        <v>271640.33333333302</v>
      </c>
      <c r="EW74" s="1169">
        <v>276454.66666666698</v>
      </c>
      <c r="EX74" s="1169">
        <v>278038.33333333302</v>
      </c>
      <c r="EY74" s="1169">
        <v>283074.33333333302</v>
      </c>
      <c r="EZ74" s="1169">
        <v>287093.66666666698</v>
      </c>
      <c r="FA74" s="1169">
        <v>288334</v>
      </c>
      <c r="FB74" s="1169">
        <v>289591.33333333302</v>
      </c>
      <c r="FC74" s="1169">
        <v>292223.66666666698</v>
      </c>
      <c r="FD74" s="1169">
        <v>287368</v>
      </c>
      <c r="FE74" s="1169">
        <v>274301</v>
      </c>
      <c r="FF74" s="1169">
        <v>268022</v>
      </c>
      <c r="FG74" s="1169">
        <v>274526.66666666698</v>
      </c>
      <c r="FH74" s="1169">
        <v>277232.33333333302</v>
      </c>
      <c r="FI74" s="1169">
        <v>269906.33333333302</v>
      </c>
      <c r="FJ74" s="1169">
        <v>258077</v>
      </c>
      <c r="FK74" s="1169">
        <v>251739</v>
      </c>
      <c r="FL74" s="1169">
        <v>253215.33333333299</v>
      </c>
      <c r="FM74" s="1169">
        <v>258046</v>
      </c>
      <c r="FN74" s="1169">
        <v>254528.33333333299</v>
      </c>
      <c r="FO74" s="1169">
        <v>254598.66666666701</v>
      </c>
      <c r="FP74" s="1169">
        <v>252248.66666666701</v>
      </c>
      <c r="FQ74" s="1169">
        <v>246424.33333333299</v>
      </c>
      <c r="FR74" s="1169">
        <v>242924.33333333299</v>
      </c>
      <c r="FS74" s="1169">
        <v>245991.66666666701</v>
      </c>
      <c r="FT74" s="1169">
        <v>249225</v>
      </c>
      <c r="FU74" s="1169">
        <v>247543.33333333299</v>
      </c>
      <c r="FV74" s="1169">
        <v>242281</v>
      </c>
      <c r="FW74" s="1169">
        <v>251080</v>
      </c>
      <c r="FX74" s="1169">
        <v>258128</v>
      </c>
      <c r="FY74" s="1169">
        <v>260687.66666666701</v>
      </c>
      <c r="FZ74" s="1169">
        <v>260300</v>
      </c>
      <c r="GA74" s="1169">
        <v>273597.33333333302</v>
      </c>
      <c r="GB74" s="1169">
        <v>278438.66666666698</v>
      </c>
      <c r="GC74" s="1169">
        <v>269445</v>
      </c>
      <c r="GD74" s="1169">
        <v>278949.33333333302</v>
      </c>
      <c r="GE74" s="1169">
        <v>274095</v>
      </c>
      <c r="GF74" s="1169">
        <v>271667</v>
      </c>
      <c r="GG74" s="1169">
        <v>276420.33333333302</v>
      </c>
      <c r="GH74" s="1169">
        <v>272574.33333333302</v>
      </c>
      <c r="GI74" s="1169">
        <v>274286.33333333302</v>
      </c>
      <c r="GJ74" s="1169">
        <v>274862.66666666698</v>
      </c>
      <c r="GK74" s="1169">
        <v>280795.33333333302</v>
      </c>
      <c r="GL74" s="1169">
        <v>282163</v>
      </c>
      <c r="GM74" s="1169">
        <v>291235.66666666698</v>
      </c>
      <c r="GN74" s="1169">
        <v>292706.66666666698</v>
      </c>
      <c r="GO74" s="1169">
        <v>285420</v>
      </c>
      <c r="GP74" s="1169">
        <v>304217</v>
      </c>
      <c r="GQ74" s="1169">
        <v>321543</v>
      </c>
      <c r="GR74" s="1169">
        <v>322016</v>
      </c>
      <c r="GS74" s="1169">
        <v>324071.66666666698</v>
      </c>
      <c r="GT74" s="1169">
        <v>341494</v>
      </c>
      <c r="GU74" s="1169">
        <v>335548.33333333302</v>
      </c>
      <c r="GV74" s="1169">
        <v>323099.33333333302</v>
      </c>
      <c r="GW74" s="1169">
        <v>328325</v>
      </c>
      <c r="GX74" s="1169">
        <v>322875.33333333302</v>
      </c>
      <c r="GY74" s="1169">
        <v>318491.33333333302</v>
      </c>
      <c r="GZ74" s="1169">
        <v>321889.66666666698</v>
      </c>
      <c r="HA74" s="1169">
        <v>325065.66666666698</v>
      </c>
    </row>
    <row r="75" spans="1:209" x14ac:dyDescent="0.35">
      <c r="A75" s="1169" t="s">
        <v>878</v>
      </c>
      <c r="B75" s="1169">
        <v>1.4432117337345E-2</v>
      </c>
      <c r="C75" s="1169">
        <v>1.4432117337345E-2</v>
      </c>
      <c r="D75" s="1169">
        <v>8.2024190184901702E-3</v>
      </c>
      <c r="E75" s="1169">
        <v>1.30998345284059E-2</v>
      </c>
      <c r="F75" s="1169">
        <v>1.51535774238918E-2</v>
      </c>
      <c r="G75" s="1169">
        <v>1.336312849162E-2</v>
      </c>
      <c r="H75" s="1169">
        <v>1.0099673635000301E-2</v>
      </c>
      <c r="I75" s="1169">
        <v>8.2521940357158704E-3</v>
      </c>
      <c r="J75" s="1169">
        <v>1.60661701022E-2</v>
      </c>
      <c r="K75" s="1169">
        <v>6.0947022972339697E-3</v>
      </c>
      <c r="L75" s="1169">
        <v>9.0654918241124295E-3</v>
      </c>
      <c r="M75" s="1169">
        <v>1.13350125944585E-2</v>
      </c>
      <c r="N75" s="1169">
        <v>1.2702366127023801E-2</v>
      </c>
      <c r="O75" s="1169">
        <v>1.6560091818330801E-2</v>
      </c>
      <c r="P75" s="1169">
        <v>1.9072580645161302E-2</v>
      </c>
      <c r="Q75" s="1169">
        <v>1.73307482293357E-2</v>
      </c>
      <c r="R75" s="1169">
        <v>2.0263700361712999E-2</v>
      </c>
      <c r="S75" s="1169">
        <v>2.2224763647453499E-2</v>
      </c>
      <c r="T75" s="1169">
        <v>3.0803654670893001E-2</v>
      </c>
      <c r="U75" s="1169">
        <v>3.03172822980355E-2</v>
      </c>
      <c r="V75" s="1169">
        <v>2.2648267144211399E-2</v>
      </c>
      <c r="W75" s="1169">
        <v>1.4489767889026299E-2</v>
      </c>
      <c r="X75" s="1169">
        <v>1.76673661409328E-2</v>
      </c>
      <c r="Y75" s="1169">
        <v>1.6695490222163E-2</v>
      </c>
      <c r="Z75" s="1169">
        <v>1.0958456002617E-2</v>
      </c>
      <c r="AA75" s="1169">
        <v>9.9660249150623804E-3</v>
      </c>
      <c r="AB75" s="1169">
        <v>1.2751097299202201E-2</v>
      </c>
      <c r="AC75" s="1169">
        <v>1.6987757426212498E-2</v>
      </c>
      <c r="AD75" s="1169">
        <v>1.6175189747418099E-2</v>
      </c>
      <c r="AE75" s="1169">
        <v>1.5795273662299499E-2</v>
      </c>
      <c r="AF75" s="1169">
        <v>1.37716972034716E-2</v>
      </c>
      <c r="AG75" s="1169">
        <v>1.67058054160103E-2</v>
      </c>
      <c r="AH75" s="1169">
        <v>1.6372832792445099E-2</v>
      </c>
      <c r="AI75" s="1169">
        <v>1.9963754566637099E-2</v>
      </c>
      <c r="AJ75" s="1169">
        <v>1.7655187974165799E-2</v>
      </c>
      <c r="AK75" s="1169">
        <v>1.9759997782889501E-2</v>
      </c>
      <c r="AL75" s="1169">
        <v>1.8670507663876498E-2</v>
      </c>
      <c r="AM75" s="1169">
        <v>2.41442787396953E-2</v>
      </c>
      <c r="AN75" s="1169">
        <v>2.0891945399603901E-2</v>
      </c>
      <c r="AO75" s="1169">
        <v>1.8244450114825301E-2</v>
      </c>
      <c r="AP75" s="1169">
        <v>2.1851898258363499E-2</v>
      </c>
      <c r="AQ75" s="1169">
        <v>2.3738872403560801E-2</v>
      </c>
      <c r="AR75" s="1169">
        <v>2.23020721044438E-2</v>
      </c>
      <c r="AS75" s="1169">
        <v>2.6502015184178399E-2</v>
      </c>
      <c r="AT75" s="1169">
        <v>2.65026137375306E-2</v>
      </c>
      <c r="AU75" s="1169">
        <v>1.8791140366482901E-2</v>
      </c>
      <c r="AV75" s="1169">
        <v>1.9426800253203199E-2</v>
      </c>
      <c r="AW75" s="1169">
        <v>1.65299873669786E-2</v>
      </c>
      <c r="AX75" s="1169">
        <v>1.4323328067404001E-2</v>
      </c>
      <c r="AY75" s="1169">
        <v>1.32904163638252E-2</v>
      </c>
      <c r="AZ75" s="1169">
        <v>1.3874372374218701E-2</v>
      </c>
      <c r="BA75" s="1169">
        <v>1.01269404915911E-2</v>
      </c>
      <c r="BB75" s="1169">
        <v>7.9843115282252092E-3</v>
      </c>
      <c r="BC75" s="1169">
        <v>7.4247597871834898E-3</v>
      </c>
      <c r="BD75" s="1169">
        <v>1.0621526819847699E-2</v>
      </c>
      <c r="BE75" s="1169">
        <v>7.4875694647558201E-3</v>
      </c>
      <c r="BF75" s="1169">
        <v>9.8511680117672196E-3</v>
      </c>
      <c r="BG75" s="1169">
        <v>8.9884625704319508E-3</v>
      </c>
      <c r="BH75" s="1169">
        <v>9.0223564495603998E-3</v>
      </c>
      <c r="BI75" s="1169">
        <v>7.0027483904972999E-3</v>
      </c>
      <c r="BJ75" s="1169">
        <v>1.0225445844393799E-2</v>
      </c>
      <c r="BK75" s="1169">
        <v>5.92143002535117E-3</v>
      </c>
      <c r="BL75" s="1169">
        <v>6.6407902724381403E-3</v>
      </c>
      <c r="BM75" s="1169">
        <v>5.18986879134542E-3</v>
      </c>
      <c r="BN75" s="1169">
        <v>4.9449151001708103E-3</v>
      </c>
      <c r="BO75" s="1169">
        <v>3.5095336300157202E-3</v>
      </c>
      <c r="BP75" s="1169">
        <v>4.7411306605133997E-3</v>
      </c>
      <c r="BQ75" s="1169">
        <v>5.9388176190904298E-3</v>
      </c>
      <c r="BR75" s="1169">
        <v>5.7967395569507004E-3</v>
      </c>
      <c r="BS75" s="1169">
        <v>6.79186394992115E-3</v>
      </c>
      <c r="BT75" s="1169">
        <v>7.7147990277239798E-3</v>
      </c>
      <c r="BU75" s="1169">
        <v>7.4984269034468198E-3</v>
      </c>
      <c r="BV75" s="1169">
        <v>7.7375479259556004E-3</v>
      </c>
      <c r="BW75" s="1169">
        <v>9.98502246630051E-3</v>
      </c>
      <c r="BX75" s="1169">
        <v>1.2238566826324701E-2</v>
      </c>
      <c r="BY75" s="1169">
        <v>9.2110802391176493E-3</v>
      </c>
      <c r="BZ75" s="1169">
        <v>9.6108923446573992E-3</v>
      </c>
      <c r="CA75" s="1169">
        <v>1.08250148740661E-2</v>
      </c>
      <c r="CB75" s="1169">
        <v>7.42278828703635E-3</v>
      </c>
      <c r="CC75" s="1169">
        <v>6.8163006962365102E-3</v>
      </c>
      <c r="CD75" s="1169">
        <v>1.08967229234167E-2</v>
      </c>
      <c r="CE75" s="1169">
        <v>1.1193851354583499E-2</v>
      </c>
      <c r="CF75" s="1169">
        <v>8.6414886067964804E-3</v>
      </c>
      <c r="CG75" s="1169">
        <v>7.6450447915199504E-3</v>
      </c>
      <c r="CH75" s="1169">
        <v>9.7126543784522602E-3</v>
      </c>
      <c r="CI75" s="1169">
        <v>7.2067365315466904E-3</v>
      </c>
      <c r="CJ75" s="1169">
        <v>7.6738828626787799E-3</v>
      </c>
      <c r="CK75" s="1169">
        <v>5.8137774413322702E-3</v>
      </c>
      <c r="CL75" s="1169">
        <v>4.0039738688022498E-3</v>
      </c>
      <c r="CM75" s="1169">
        <v>5.9670164917540198E-3</v>
      </c>
      <c r="CN75" s="1169">
        <v>4.7840472145219701E-3</v>
      </c>
      <c r="CO75" s="1169">
        <v>7.0454916269895298E-3</v>
      </c>
      <c r="CP75" s="1169">
        <v>5.9504521754498701E-3</v>
      </c>
      <c r="CQ75" s="1169">
        <v>5.9006120237781196E-3</v>
      </c>
      <c r="CR75" s="1169">
        <v>5.0217609641782799E-3</v>
      </c>
      <c r="CS75" s="1169">
        <v>5.8801378790949198E-3</v>
      </c>
      <c r="CT75" s="1169">
        <v>5.1114438749064704E-3</v>
      </c>
      <c r="CU75" s="1169">
        <v>4.7702952425974204E-3</v>
      </c>
      <c r="CV75" s="1169">
        <v>5.33219275734242E-3</v>
      </c>
      <c r="CW75" s="1169">
        <v>5.5733613183197601E-3</v>
      </c>
      <c r="CX75" s="1169">
        <v>5.6976039037051097E-3</v>
      </c>
      <c r="CY75" s="1169">
        <v>4.9080786975359602E-3</v>
      </c>
      <c r="CZ75" s="1169">
        <v>4.47942395445211E-3</v>
      </c>
      <c r="DA75" s="1169">
        <v>4.7234030729905703E-3</v>
      </c>
      <c r="DB75" s="1169">
        <v>4.6044080639362503E-3</v>
      </c>
      <c r="DC75" s="1169">
        <v>4.0878122634366897E-3</v>
      </c>
      <c r="DD75" s="1169">
        <v>4.8525057572101904E-3</v>
      </c>
      <c r="DE75" s="1169">
        <v>4.2288489346029596E-3</v>
      </c>
      <c r="DF75" s="1169">
        <v>4.4827211475766404E-3</v>
      </c>
      <c r="DG75" s="1169">
        <v>4.9766045492656303E-3</v>
      </c>
      <c r="DH75" s="1169">
        <v>2.9738676427053501E-3</v>
      </c>
      <c r="DI75" s="1169">
        <v>3.5822097001410001E-3</v>
      </c>
      <c r="DJ75" s="1169">
        <v>1.0160156145557801E-3</v>
      </c>
      <c r="DK75" s="1169">
        <v>2.59088116669792E-3</v>
      </c>
      <c r="DL75" s="1169">
        <v>3.87627877237851E-3</v>
      </c>
      <c r="DM75" s="1169">
        <v>2.6803603890504001E-3</v>
      </c>
      <c r="DN75" s="1169">
        <v>2.6996625421822399E-3</v>
      </c>
      <c r="DO75" s="1169">
        <v>4.5269173408648599E-3</v>
      </c>
      <c r="DP75" s="1169">
        <v>3.83645154509149E-3</v>
      </c>
      <c r="DQ75" s="1169">
        <v>5.2615046332653596E-3</v>
      </c>
      <c r="DR75" s="1169">
        <v>6.6661458740202599E-3</v>
      </c>
      <c r="DS75" s="1169">
        <v>6.0141234900024099E-3</v>
      </c>
      <c r="DT75" s="1169">
        <v>6.26100818945008E-3</v>
      </c>
      <c r="DU75" s="1169">
        <v>5.4171457774372404E-3</v>
      </c>
      <c r="DV75" s="1169">
        <v>6.8493150684931798E-3</v>
      </c>
      <c r="DW75" s="1169">
        <v>6.6638900458142504E-3</v>
      </c>
      <c r="DX75" s="1169">
        <v>3.0340642669976999E-3</v>
      </c>
      <c r="DY75" s="1169">
        <v>3.2248790670348399E-3</v>
      </c>
      <c r="DZ75" s="1169">
        <v>2.6663011923600002E-3</v>
      </c>
      <c r="EA75" s="1169">
        <v>3.96396396396392E-3</v>
      </c>
      <c r="EB75" s="1169">
        <v>4.4681535757606899E-3</v>
      </c>
      <c r="EC75" s="1169">
        <v>5.8160310516910396E-3</v>
      </c>
      <c r="ED75" s="1169">
        <v>5.4026241317211001E-3</v>
      </c>
      <c r="EE75" s="1169">
        <v>3.4239898620656E-3</v>
      </c>
      <c r="EF75" s="1169">
        <v>5.7438463126449103E-3</v>
      </c>
      <c r="EG75" s="1169">
        <v>5.7955615657676596E-3</v>
      </c>
      <c r="EH75" s="1169">
        <v>7.1666946771986604E-3</v>
      </c>
      <c r="EI75" s="1169">
        <v>8.1169024660603401E-3</v>
      </c>
      <c r="EJ75" s="1169">
        <v>6.33719555450463E-3</v>
      </c>
      <c r="EK75" s="1169">
        <v>7.7071290944123998E-3</v>
      </c>
      <c r="EL75" s="1169">
        <v>7.6715011891992403E-3</v>
      </c>
      <c r="EM75" s="1169">
        <v>7.3122758301513704E-3</v>
      </c>
      <c r="EN75" s="1169">
        <v>9.4415474030002892E-3</v>
      </c>
      <c r="EO75" s="1169">
        <v>7.9650448318238105E-3</v>
      </c>
      <c r="EP75" s="1169">
        <v>6.9990065926126598E-3</v>
      </c>
      <c r="EQ75" s="1169">
        <v>8.84489484776463E-3</v>
      </c>
      <c r="ER75" s="1169">
        <v>7.3227917726934599E-3</v>
      </c>
      <c r="ES75" s="1169">
        <v>3.8057626969067999E-3</v>
      </c>
      <c r="ET75" s="1169">
        <v>1.00113190544744E-2</v>
      </c>
      <c r="EU75" s="1169">
        <v>6.3432998215606799E-3</v>
      </c>
      <c r="EV75" s="1169">
        <v>4.2274383453526597E-3</v>
      </c>
      <c r="EW75" s="1169">
        <v>4.8448569152257396E-3</v>
      </c>
      <c r="EX75" s="1169">
        <v>4.31791882741184E-3</v>
      </c>
      <c r="EY75" s="1169">
        <v>3.6272470261908799E-3</v>
      </c>
      <c r="EZ75" s="1169">
        <v>7.7491363273982598E-3</v>
      </c>
      <c r="FA75" s="1169">
        <v>1.80372136196771E-3</v>
      </c>
      <c r="FB75" s="1169">
        <v>2.7375625164527401E-4</v>
      </c>
      <c r="FC75" s="1169">
        <v>-1.3789328533383399E-3</v>
      </c>
      <c r="FD75" s="1169">
        <v>6.1136291767671701E-4</v>
      </c>
      <c r="FE75" s="1169">
        <v>3.6764705882352802E-3</v>
      </c>
      <c r="FF75" s="1169">
        <v>2.5294667128477099E-3</v>
      </c>
      <c r="FG75" s="1169">
        <v>4.65880776398153E-3</v>
      </c>
      <c r="FH75" s="1169">
        <v>3.6368183570751902E-3</v>
      </c>
      <c r="FI75" s="1169">
        <v>5.7313730376278302E-3</v>
      </c>
      <c r="FJ75" s="1169">
        <v>4.9037826230591301E-3</v>
      </c>
      <c r="FK75" s="1169">
        <v>7.22218227021032E-3</v>
      </c>
      <c r="FL75" s="1169">
        <v>5.2936496603497299E-3</v>
      </c>
      <c r="FM75" s="1169">
        <v>1.2783961201692201E-3</v>
      </c>
      <c r="FN75" s="1169">
        <v>5.9784976744656796E-3</v>
      </c>
      <c r="FO75" s="1169">
        <v>4.16007735930779E-3</v>
      </c>
      <c r="FP75" s="1169">
        <v>6.1590931888855201E-3</v>
      </c>
      <c r="FQ75" s="1169">
        <v>4.2470888498964401E-3</v>
      </c>
      <c r="FR75" s="1169">
        <v>3.9114464409808498E-3</v>
      </c>
      <c r="FS75" s="1169">
        <v>3.0062101973813401E-3</v>
      </c>
      <c r="FT75" s="1169">
        <v>5.3732697085617804E-3</v>
      </c>
      <c r="FU75" s="1169">
        <v>5.6583605464191099E-3</v>
      </c>
      <c r="FV75" s="1169">
        <v>4.0468064358849497E-3</v>
      </c>
      <c r="FW75" s="1169">
        <v>5.7009663477880501E-3</v>
      </c>
      <c r="FX75" s="1169">
        <v>4.6063813349812603E-3</v>
      </c>
      <c r="FY75" s="1169">
        <v>7.2095281123529798E-4</v>
      </c>
      <c r="FZ75" s="1169">
        <v>-1.1526934603856E-4</v>
      </c>
      <c r="GA75" s="1169">
        <v>5.6776697536795604E-3</v>
      </c>
      <c r="GB75" s="1169">
        <v>2.4454782533933602E-3</v>
      </c>
      <c r="GC75" s="1169">
        <v>-6.6705419338730602E-5</v>
      </c>
      <c r="GD75" s="1169">
        <v>-5.6226889795296697E-4</v>
      </c>
      <c r="GE75" s="1169">
        <v>6.7033459517700199E-3</v>
      </c>
      <c r="GF75" s="1169">
        <v>3.0120481927711201E-3</v>
      </c>
      <c r="GG75" s="1169">
        <v>5.4394016658168001E-3</v>
      </c>
      <c r="GH75" s="1169">
        <v>5.0436742744435197E-3</v>
      </c>
      <c r="GI75" s="1169">
        <v>3.30819479099498E-3</v>
      </c>
      <c r="GJ75" s="1169">
        <v>5.4116485502182501E-3</v>
      </c>
      <c r="GK75" s="1169">
        <v>6.6331918993534104E-3</v>
      </c>
      <c r="GL75" s="1169">
        <v>6.0188849417437398E-3</v>
      </c>
      <c r="GM75" s="1169">
        <v>7.7210187353631303E-3</v>
      </c>
      <c r="GN75" s="1169">
        <v>4.45731508043146E-3</v>
      </c>
      <c r="GO75" s="1169">
        <v>4.9165363724275003E-3</v>
      </c>
      <c r="GP75" s="1169">
        <v>2.7969889649341901E-3</v>
      </c>
      <c r="GQ75" s="1169">
        <v>5.7398073577155104E-3</v>
      </c>
      <c r="GR75" s="1169">
        <v>3.4063954628953401E-3</v>
      </c>
      <c r="GS75" s="1169">
        <v>3.7591980377520398E-3</v>
      </c>
      <c r="GT75" s="1169">
        <v>3.9841695662568002E-3</v>
      </c>
      <c r="GU75" s="1169">
        <v>-3.7743502914540099E-3</v>
      </c>
      <c r="GV75" s="1169">
        <v>8.9847657321919794E-3</v>
      </c>
      <c r="GW75" s="1169">
        <v>5.5007720381807798E-3</v>
      </c>
      <c r="GX75" s="1169">
        <v>1.0601076685483799E-2</v>
      </c>
      <c r="GY75" s="1169">
        <v>1.48498609983942E-2</v>
      </c>
      <c r="GZ75" s="1169">
        <v>1.4573018222653099E-2</v>
      </c>
      <c r="HA75" s="1169">
        <v>1.7373950812936498E-2</v>
      </c>
    </row>
    <row r="76" spans="1:209" x14ac:dyDescent="0.35">
      <c r="A76" s="1169" t="s">
        <v>879</v>
      </c>
      <c r="B76" s="1169">
        <v>1.1084103062712699E-2</v>
      </c>
      <c r="C76" s="1169">
        <v>1.1084103062712699E-2</v>
      </c>
      <c r="D76" s="1169">
        <v>9.7124723531110107E-3</v>
      </c>
      <c r="E76" s="1169">
        <v>1.29523809523808E-2</v>
      </c>
      <c r="F76" s="1169">
        <v>9.4960511470478792E-3</v>
      </c>
      <c r="G76" s="1169">
        <v>1.1362578001303801E-2</v>
      </c>
      <c r="H76" s="1169">
        <v>9.8535776775023898E-3</v>
      </c>
      <c r="I76" s="1169">
        <v>6.2009848623016898E-3</v>
      </c>
      <c r="J76" s="1169">
        <v>1.05582744245059E-2</v>
      </c>
      <c r="K76" s="1169">
        <v>5.7396529303619399E-3</v>
      </c>
      <c r="L76" s="1169">
        <v>8.7832716572295907E-3</v>
      </c>
      <c r="M76" s="1169">
        <v>8.1764341907539801E-3</v>
      </c>
      <c r="N76" s="1169">
        <v>1.20555872166936E-2</v>
      </c>
      <c r="O76" s="1169">
        <v>1.9232435242138201E-2</v>
      </c>
      <c r="P76" s="1169">
        <v>1.81895452613683E-2</v>
      </c>
      <c r="Q76" s="1169">
        <v>2.0452458468987599E-2</v>
      </c>
      <c r="R76" s="1169">
        <v>2.9777486910994602E-2</v>
      </c>
      <c r="S76" s="1169">
        <v>2.8320622815379799E-2</v>
      </c>
      <c r="T76" s="1169">
        <v>2.69612576770057E-2</v>
      </c>
      <c r="U76" s="1169">
        <v>2.5425960055666299E-2</v>
      </c>
      <c r="V76" s="1169">
        <v>1.8816711293694801E-2</v>
      </c>
      <c r="W76" s="1169">
        <v>1.2276785714285801E-2</v>
      </c>
      <c r="X76" s="1169">
        <v>1.8707543479034E-2</v>
      </c>
      <c r="Y76" s="1169">
        <v>1.6792933701078799E-2</v>
      </c>
      <c r="Z76" s="1169">
        <v>1.0987501716797099E-2</v>
      </c>
      <c r="AA76" s="1169">
        <v>8.3888058687677809E-3</v>
      </c>
      <c r="AB76" s="1169">
        <v>1.5189788151291701E-2</v>
      </c>
      <c r="AC76" s="1169">
        <v>1.5791918253599501E-2</v>
      </c>
      <c r="AD76" s="1169">
        <v>1.8028610621203301E-2</v>
      </c>
      <c r="AE76" s="1169">
        <v>1.7131857555341599E-2</v>
      </c>
      <c r="AF76" s="1169">
        <v>1.50454201362602E-2</v>
      </c>
      <c r="AG76" s="1169">
        <v>1.4200926012243299E-2</v>
      </c>
      <c r="AH76" s="1169">
        <v>1.6422574912678501E-2</v>
      </c>
      <c r="AI76" s="1169">
        <v>2.05281244347983E-2</v>
      </c>
      <c r="AJ76" s="1169">
        <v>1.7545414266725699E-2</v>
      </c>
      <c r="AK76" s="1169">
        <v>1.8897500653139599E-2</v>
      </c>
      <c r="AL76" s="1169">
        <v>1.8860398860398801E-2</v>
      </c>
      <c r="AM76" s="1169">
        <v>2.7319501146468202E-2</v>
      </c>
      <c r="AN76" s="1169">
        <v>2.4796537739187201E-2</v>
      </c>
      <c r="AO76" s="1169">
        <v>2.4223107569721E-2</v>
      </c>
      <c r="AP76" s="1169">
        <v>3.0003630517089399E-2</v>
      </c>
      <c r="AQ76" s="1169">
        <v>2.4471915204310201E-2</v>
      </c>
      <c r="AR76" s="1169">
        <v>2.3395836917254401E-2</v>
      </c>
      <c r="AS76" s="1169">
        <v>2.47340489397978E-2</v>
      </c>
      <c r="AT76" s="1169">
        <v>2.59414618142619E-2</v>
      </c>
      <c r="AU76" s="1169">
        <v>1.6788487894015401E-2</v>
      </c>
      <c r="AV76" s="1169">
        <v>1.6466359654049099E-2</v>
      </c>
      <c r="AW76" s="1169">
        <v>1.53155940594061E-2</v>
      </c>
      <c r="AX76" s="1169">
        <v>1.2711956640038199E-2</v>
      </c>
      <c r="AY76" s="1169">
        <v>9.6292315959161101E-3</v>
      </c>
      <c r="AZ76" s="1169">
        <v>1.5796308517659102E-2</v>
      </c>
      <c r="BA76" s="1169">
        <v>1.1023787069055701E-2</v>
      </c>
      <c r="BB76" s="1169">
        <v>8.2709728239465097E-3</v>
      </c>
      <c r="BC76" s="1169">
        <v>9.1488486842106198E-3</v>
      </c>
      <c r="BD76" s="1169">
        <v>1.31404706122031E-2</v>
      </c>
      <c r="BE76" s="1169">
        <v>6.5956163281721799E-3</v>
      </c>
      <c r="BF76" s="1169">
        <v>1.08074633425226E-2</v>
      </c>
      <c r="BG76" s="1169">
        <v>9.6839858495227898E-3</v>
      </c>
      <c r="BH76" s="1169">
        <v>7.7120319442540702E-3</v>
      </c>
      <c r="BI76" s="1169">
        <v>6.1767962239964698E-3</v>
      </c>
      <c r="BJ76" s="1169">
        <v>1.1795139089978901E-2</v>
      </c>
      <c r="BK76" s="1169">
        <v>8.1088300389224894E-3</v>
      </c>
      <c r="BL76" s="1169">
        <v>7.8354183621325308E-3</v>
      </c>
      <c r="BM76" s="1169">
        <v>6.9857843045200204E-3</v>
      </c>
      <c r="BN76" s="1169">
        <v>7.08651138504002E-3</v>
      </c>
      <c r="BO76" s="1169">
        <v>-1.0554969168380399E-3</v>
      </c>
      <c r="BP76" s="1169">
        <v>5.2645237830422102E-3</v>
      </c>
      <c r="BQ76" s="1169">
        <v>6.0483127420247803E-3</v>
      </c>
      <c r="BR76" s="1169">
        <v>9.4211664650463208E-3</v>
      </c>
      <c r="BS76" s="1169">
        <v>9.6419233004068107E-3</v>
      </c>
      <c r="BT76" s="1169">
        <v>9.4779058683884792E-3</v>
      </c>
      <c r="BU76" s="1169">
        <v>8.6406556208800094E-3</v>
      </c>
      <c r="BV76" s="1169">
        <v>7.8954340722423594E-3</v>
      </c>
      <c r="BW76" s="1169">
        <v>1.10406224808104E-2</v>
      </c>
      <c r="BX76" s="1169">
        <v>1.23240657283505E-2</v>
      </c>
      <c r="BY76" s="1169">
        <v>1.01022207763299E-2</v>
      </c>
      <c r="BZ76" s="1169">
        <v>1.14928889868289E-2</v>
      </c>
      <c r="CA76" s="1169">
        <v>1.34738817851219E-2</v>
      </c>
      <c r="CB76" s="1169">
        <v>5.9032658123190397E-3</v>
      </c>
      <c r="CC76" s="1169">
        <v>7.8577064702787195E-3</v>
      </c>
      <c r="CD76" s="1169">
        <v>1.4500081552764501E-2</v>
      </c>
      <c r="CE76" s="1169">
        <v>9.0837473271274706E-3</v>
      </c>
      <c r="CF76" s="1169">
        <v>1.2698362118411801E-2</v>
      </c>
      <c r="CG76" s="1169">
        <v>1.3231384024795101E-2</v>
      </c>
      <c r="CH76" s="1169">
        <v>5.2482842147758601E-3</v>
      </c>
      <c r="CI76" s="1169">
        <v>5.4680259499535503E-3</v>
      </c>
      <c r="CJ76" s="1169">
        <v>6.7901803545642502E-3</v>
      </c>
      <c r="CK76" s="1169">
        <v>7.26318359375E-3</v>
      </c>
      <c r="CL76" s="1169">
        <v>6.2564382233532001E-3</v>
      </c>
      <c r="CM76" s="1169">
        <v>6.6541211893114101E-3</v>
      </c>
      <c r="CN76" s="1169">
        <v>6.3858106390295398E-3</v>
      </c>
      <c r="CO76" s="1169">
        <v>6.9694177787025203E-3</v>
      </c>
      <c r="CP76" s="1169">
        <v>5.9619556395083002E-3</v>
      </c>
      <c r="CQ76" s="1169">
        <v>6.7041236962166496E-3</v>
      </c>
      <c r="CR76" s="1169">
        <v>4.3570762415483504E-3</v>
      </c>
      <c r="CS76" s="1169">
        <v>5.7600510714854699E-3</v>
      </c>
      <c r="CT76" s="1169">
        <v>3.5776110790537402E-3</v>
      </c>
      <c r="CU76" s="1169">
        <v>5.5772769089237296E-3</v>
      </c>
      <c r="CV76" s="1169">
        <v>7.1902338612841498E-3</v>
      </c>
      <c r="CW76" s="1169">
        <v>4.6835748449451896E-3</v>
      </c>
      <c r="CX76" s="1169">
        <v>4.9018915368206403E-3</v>
      </c>
      <c r="CY76" s="1169">
        <v>5.8057804768332196E-3</v>
      </c>
      <c r="CZ76" s="1169">
        <v>4.0950956687024797E-3</v>
      </c>
      <c r="DA76" s="1169">
        <v>4.3985412432838702E-3</v>
      </c>
      <c r="DB76" s="1169">
        <v>5.5572493694391297E-3</v>
      </c>
      <c r="DC76" s="1169">
        <v>6.6842156038533504E-3</v>
      </c>
      <c r="DD76" s="1169">
        <v>4.2713980614423903E-3</v>
      </c>
      <c r="DE76" s="1169">
        <v>6.8160750313539503E-3</v>
      </c>
      <c r="DF76" s="1169">
        <v>4.4139948006933797E-3</v>
      </c>
      <c r="DG76" s="1169">
        <v>2.50734679571862E-3</v>
      </c>
      <c r="DH76" s="1169">
        <v>2.6355421686745698E-3</v>
      </c>
      <c r="DI76" s="1169">
        <v>3.1382436564562099E-3</v>
      </c>
      <c r="DJ76" s="1169">
        <v>8.0216048557346694E-5</v>
      </c>
      <c r="DK76" s="1169">
        <v>1.80471632533008E-3</v>
      </c>
      <c r="DL76" s="1169">
        <v>3.0825071057794E-3</v>
      </c>
      <c r="DM76" s="1169">
        <v>2.6473327125182702E-3</v>
      </c>
      <c r="DN76" s="1169">
        <v>1.9636720667648398E-3</v>
      </c>
      <c r="DO76" s="1169">
        <v>5.6940821272031296E-3</v>
      </c>
      <c r="DP76" s="1169">
        <v>5.5038382029572999E-3</v>
      </c>
      <c r="DQ76" s="1169">
        <v>6.06298697047092E-3</v>
      </c>
      <c r="DR76" s="1169">
        <v>8.1220388400062796E-3</v>
      </c>
      <c r="DS76" s="1169">
        <v>4.7642410783452797E-3</v>
      </c>
      <c r="DT76" s="1169">
        <v>6.4507009676051403E-3</v>
      </c>
      <c r="DU76" s="1169">
        <v>5.6560652681845198E-3</v>
      </c>
      <c r="DV76" s="1169">
        <v>7.4016707716526601E-3</v>
      </c>
      <c r="DW76" s="1169">
        <v>4.6881498191533302E-3</v>
      </c>
      <c r="DX76" s="1169">
        <v>5.0174985261097803E-4</v>
      </c>
      <c r="DY76" s="1169">
        <v>4.1373603640870699E-4</v>
      </c>
      <c r="DZ76" s="1169">
        <v>2.0051632954858302E-3</v>
      </c>
      <c r="EA76" s="1169">
        <v>7.41676463966789E-3</v>
      </c>
      <c r="EB76" s="1169">
        <v>5.1771015680286397E-3</v>
      </c>
      <c r="EC76" s="1169">
        <v>4.6687416629613799E-3</v>
      </c>
      <c r="ED76" s="1169">
        <v>7.6467261685231299E-3</v>
      </c>
      <c r="EE76" s="1169">
        <v>1.0004392172173701E-3</v>
      </c>
      <c r="EF76" s="1169">
        <v>6.5938619798648901E-3</v>
      </c>
      <c r="EG76" s="1169">
        <v>4.9160279462867598E-3</v>
      </c>
      <c r="EH76" s="1169">
        <v>7.7114937404358904E-3</v>
      </c>
      <c r="EI76" s="1169">
        <v>6.7317924742624803E-3</v>
      </c>
      <c r="EJ76" s="1169">
        <v>4.9170981994395299E-3</v>
      </c>
      <c r="EK76" s="1169">
        <v>8.5450892329512803E-3</v>
      </c>
      <c r="EL76" s="1169">
        <v>5.8125227051668603E-3</v>
      </c>
      <c r="EM76" s="1169">
        <v>6.3148819163685302E-3</v>
      </c>
      <c r="EN76" s="1169">
        <v>1.08022368619098E-2</v>
      </c>
      <c r="EO76" s="1169">
        <v>7.9606890864105696E-3</v>
      </c>
      <c r="EP76" s="1169">
        <v>5.1932408322823403E-3</v>
      </c>
      <c r="EQ76" s="1169">
        <v>8.772723161798E-3</v>
      </c>
      <c r="ER76" s="1169">
        <v>7.1947283485744896E-3</v>
      </c>
      <c r="ES76" s="1169">
        <v>-1.6467498942963599E-3</v>
      </c>
      <c r="ET76" s="1169">
        <v>9.1389340882241897E-3</v>
      </c>
      <c r="EU76" s="1169">
        <v>8.4929207253770008E-3</v>
      </c>
      <c r="EV76" s="1169">
        <v>5.6507693150085201E-3</v>
      </c>
      <c r="EW76" s="1169">
        <v>1.0170857335758E-2</v>
      </c>
      <c r="EX76" s="1169">
        <v>8.1388454697353101E-3</v>
      </c>
      <c r="EY76" s="1169">
        <v>9.7305389221558104E-3</v>
      </c>
      <c r="EZ76" s="1169">
        <v>1.06745737583394E-2</v>
      </c>
      <c r="FA76" s="1169">
        <v>-1.59684821559547E-2</v>
      </c>
      <c r="FB76" s="1169">
        <v>-6.7508571671954804E-3</v>
      </c>
      <c r="FC76" s="1169">
        <v>3.9772727272726601E-3</v>
      </c>
      <c r="FD76" s="1169">
        <v>6.88727296024605E-3</v>
      </c>
      <c r="FE76" s="1169">
        <v>7.7203698990413504E-3</v>
      </c>
      <c r="FF76" s="1169">
        <v>3.8621821855531202E-3</v>
      </c>
      <c r="FG76" s="1169">
        <v>1.5515090522166799E-3</v>
      </c>
      <c r="FH76" s="1169">
        <v>1.925915071332E-3</v>
      </c>
      <c r="FI76" s="1169">
        <v>6.4038945707927102E-3</v>
      </c>
      <c r="FJ76" s="1169">
        <v>8.3976914133865304E-3</v>
      </c>
      <c r="FK76" s="1169">
        <v>9.8306655000257592E-3</v>
      </c>
      <c r="FL76" s="1169">
        <v>4.6279306829766203E-3</v>
      </c>
      <c r="FM76" s="1169">
        <v>3.2976845181322801E-3</v>
      </c>
      <c r="FN76" s="1169">
        <v>6.6242579314110799E-3</v>
      </c>
      <c r="FO76" s="1169">
        <v>2.4212831796171E-3</v>
      </c>
      <c r="FP76" s="1169">
        <v>2.90653971435728E-3</v>
      </c>
      <c r="FQ76" s="1169">
        <v>5.6063558686854104E-3</v>
      </c>
      <c r="FR76" s="1169">
        <v>3.60741756603655E-3</v>
      </c>
      <c r="FS76" s="1169">
        <v>7.1294893503259804E-4</v>
      </c>
      <c r="FT76" s="1169">
        <v>4.0569557000227404E-3</v>
      </c>
      <c r="FU76" s="1169">
        <v>4.1883888007410199E-3</v>
      </c>
      <c r="FV76" s="1169">
        <v>4.8088246839914604E-3</v>
      </c>
      <c r="FW76" s="1169">
        <v>5.0104506475494599E-3</v>
      </c>
      <c r="FX76" s="1169">
        <v>2.8280158213393998E-3</v>
      </c>
      <c r="FY76" s="1169">
        <v>-1.15321252059308E-3</v>
      </c>
      <c r="FZ76" s="1169">
        <v>-4.1524774184784601E-3</v>
      </c>
      <c r="GA76" s="1169">
        <v>4.8517677776371802E-3</v>
      </c>
      <c r="GB76" s="1169">
        <v>2.4141708922735799E-3</v>
      </c>
      <c r="GC76" s="1169">
        <v>-9.8655575974471209E-4</v>
      </c>
      <c r="GD76" s="1169">
        <v>5.3249167376656604E-4</v>
      </c>
      <c r="GE76" s="1169">
        <v>6.2800576720243298E-3</v>
      </c>
      <c r="GF76" s="1169">
        <v>3.7502884837294901E-3</v>
      </c>
      <c r="GG76" s="1169">
        <v>4.7326167346859504E-3</v>
      </c>
      <c r="GH76" s="1169">
        <v>5.50173538273779E-3</v>
      </c>
      <c r="GI76" s="1169">
        <v>2.8259034830682198E-3</v>
      </c>
      <c r="GJ76" s="1169">
        <v>3.7351892653496601E-3</v>
      </c>
      <c r="GK76" s="1169">
        <v>6.6889001940722004E-3</v>
      </c>
      <c r="GL76" s="1169">
        <v>6.56023059070154E-3</v>
      </c>
      <c r="GM76" s="1169">
        <v>5.8294671662466602E-3</v>
      </c>
      <c r="GN76" s="1169">
        <v>3.3461510019967599E-3</v>
      </c>
      <c r="GO76" s="1169">
        <v>4.0535809702799703E-3</v>
      </c>
      <c r="GP76" s="1169">
        <v>1.0460059090158201E-3</v>
      </c>
      <c r="GQ76" s="1169">
        <v>6.7369385884510401E-3</v>
      </c>
      <c r="GR76" s="1169">
        <v>2.78599717758476E-3</v>
      </c>
      <c r="GS76" s="1169">
        <v>4.2763366956899401E-3</v>
      </c>
      <c r="GT76" s="1169">
        <v>3.1280512060174498E-3</v>
      </c>
      <c r="GU76" s="1169">
        <v>-4.0826258584330003E-3</v>
      </c>
      <c r="GV76" s="1169">
        <v>9.0674630107234807E-3</v>
      </c>
      <c r="GW76" s="1169">
        <v>3.7755477234613401E-3</v>
      </c>
      <c r="GX76" s="1169">
        <v>9.4793081266528693E-3</v>
      </c>
      <c r="GY76" s="1169">
        <v>1.5780297197072201E-2</v>
      </c>
      <c r="GZ76" s="1169">
        <v>1.3112954379116901E-2</v>
      </c>
      <c r="HA76" s="1169">
        <v>1.55146761612357E-2</v>
      </c>
    </row>
    <row r="77" spans="1:209" x14ac:dyDescent="0.35">
      <c r="A77" s="1169" t="s">
        <v>880</v>
      </c>
      <c r="B77" s="1169">
        <v>1.32057313943541E-2</v>
      </c>
      <c r="C77" s="1169">
        <v>1.32057313943541E-2</v>
      </c>
      <c r="D77" s="1169">
        <v>1.7043955464091501E-2</v>
      </c>
      <c r="E77" s="1169">
        <v>1.2711424717235501E-2</v>
      </c>
      <c r="F77" s="1169">
        <v>3.1661458066499303E-2</v>
      </c>
      <c r="G77" s="1169">
        <v>1.86720961414313E-2</v>
      </c>
      <c r="H77" s="1169">
        <v>1.4478623312046E-2</v>
      </c>
      <c r="I77" s="1169">
        <v>2.03267659778954E-2</v>
      </c>
      <c r="J77" s="1169">
        <v>4.11623416380162E-2</v>
      </c>
      <c r="K77" s="1169">
        <v>1.00873026643145E-2</v>
      </c>
      <c r="L77" s="1169">
        <v>8.1952530228392995E-3</v>
      </c>
      <c r="M77" s="1169">
        <v>2.17652023275441E-2</v>
      </c>
      <c r="N77" s="1169">
        <v>1.60848584967179E-2</v>
      </c>
      <c r="O77" s="1169">
        <v>1.74132546100201E-2</v>
      </c>
      <c r="P77" s="1169">
        <v>2.0689655172413599E-2</v>
      </c>
      <c r="Q77" s="1169">
        <v>2.13826631509559E-2</v>
      </c>
      <c r="R77" s="1169">
        <v>1.0245653664636501E-2</v>
      </c>
      <c r="S77" s="1169">
        <v>1.8087442603314002E-2</v>
      </c>
      <c r="T77" s="1169">
        <v>2.9178759118362301E-2</v>
      </c>
      <c r="U77" s="1169">
        <v>3.32291746055942E-2</v>
      </c>
      <c r="V77" s="1169">
        <v>1.8182488751198499E-2</v>
      </c>
      <c r="W77" s="1169">
        <v>1.4452856159669699E-2</v>
      </c>
      <c r="X77" s="1169">
        <v>1.34971077626223E-2</v>
      </c>
      <c r="Y77" s="1169">
        <v>2.29706877113867E-2</v>
      </c>
      <c r="Z77" s="1169">
        <v>1.4602562336409899E-2</v>
      </c>
      <c r="AA77" s="1169">
        <v>8.3842498302784101E-3</v>
      </c>
      <c r="AB77" s="1169">
        <v>1.1445113946208001E-2</v>
      </c>
      <c r="AC77" s="1169">
        <v>2.67580790095516E-2</v>
      </c>
      <c r="AD77" s="1169">
        <v>1.41324430326408E-2</v>
      </c>
      <c r="AE77" s="1169">
        <v>1.1378527823057601E-2</v>
      </c>
      <c r="AF77" s="1169">
        <v>4.9300003160255299E-3</v>
      </c>
      <c r="AG77" s="1169">
        <v>2.89946224724047E-2</v>
      </c>
      <c r="AH77" s="1169">
        <v>1.14299685217445E-2</v>
      </c>
      <c r="AI77" s="1169">
        <v>1.9640429067834898E-2</v>
      </c>
      <c r="AJ77" s="1169">
        <v>1.6713587198103501E-2</v>
      </c>
      <c r="AK77" s="1169">
        <v>1.7254947681366602E-2</v>
      </c>
      <c r="AL77" s="1169">
        <v>1.8423540872754201E-2</v>
      </c>
      <c r="AM77" s="1169">
        <v>1.51080351114115E-2</v>
      </c>
      <c r="AN77" s="1169">
        <v>2.3336382029322901E-2</v>
      </c>
      <c r="AO77" s="1169">
        <v>2.2018795872491299E-2</v>
      </c>
      <c r="AP77" s="1169">
        <v>1.97689209243164E-2</v>
      </c>
      <c r="AQ77" s="1169">
        <v>3.8667428927810402E-2</v>
      </c>
      <c r="AR77" s="1169">
        <v>1.0132599449587099E-2</v>
      </c>
      <c r="AS77" s="1169">
        <v>3.0092879256966101E-2</v>
      </c>
      <c r="AT77" s="1169">
        <v>1.9980764606876599E-2</v>
      </c>
      <c r="AU77" s="1169">
        <v>2.32432050163833E-2</v>
      </c>
      <c r="AV77" s="1169">
        <v>2.19549842191353E-2</v>
      </c>
      <c r="AW77" s="1169">
        <v>1.9138863841298599E-2</v>
      </c>
      <c r="AX77" s="1169">
        <v>1.5992390895618099E-2</v>
      </c>
      <c r="AY77" s="1169">
        <v>1.9790124531916801E-2</v>
      </c>
      <c r="AZ77" s="1169">
        <v>8.4114344271044601E-3</v>
      </c>
      <c r="BA77" s="1169">
        <v>1.17921033132211E-2</v>
      </c>
      <c r="BB77" s="1169">
        <v>1.8831603615667701E-3</v>
      </c>
      <c r="BC77" s="1169">
        <v>7.7273296854769597E-3</v>
      </c>
      <c r="BD77" s="1169">
        <v>1.1066898781397499E-2</v>
      </c>
      <c r="BE77" s="1169">
        <v>6.5387611199934099E-3</v>
      </c>
      <c r="BF77" s="1169">
        <v>1.2951837898381099E-2</v>
      </c>
      <c r="BG77" s="1169">
        <v>9.9716531633864403E-3</v>
      </c>
      <c r="BH77" s="1169">
        <v>1.48695184823935E-2</v>
      </c>
      <c r="BI77" s="1169">
        <v>1.23175898321042E-2</v>
      </c>
      <c r="BJ77" s="1169">
        <v>-3.9913198480974197E-3</v>
      </c>
      <c r="BK77" s="1169">
        <v>2.3538108392016101E-3</v>
      </c>
      <c r="BL77" s="1169">
        <v>5.3370077823275998E-3</v>
      </c>
      <c r="BM77" s="1169">
        <v>6.5634531485272403E-3</v>
      </c>
      <c r="BN77" s="1169">
        <v>-2.53154846381043E-3</v>
      </c>
      <c r="BO77" s="1169">
        <v>-2.48029225149005E-3</v>
      </c>
      <c r="BP77" s="1169">
        <v>1.4070661706597799E-3</v>
      </c>
      <c r="BQ77" s="1169">
        <v>1.13561997151312E-3</v>
      </c>
      <c r="BR77" s="1169">
        <v>-1.71111068386742E-3</v>
      </c>
      <c r="BS77" s="1169">
        <v>4.7569524689932098E-3</v>
      </c>
      <c r="BT77" s="1169">
        <v>7.2262367982212101E-3</v>
      </c>
      <c r="BU77" s="1169">
        <v>2.0933241988276802E-3</v>
      </c>
      <c r="BV77" s="1169">
        <v>1.36351551521137E-2</v>
      </c>
      <c r="BW77" s="1169">
        <v>9.8358812949641498E-3</v>
      </c>
      <c r="BX77" s="1169">
        <v>5.7141796998201296E-3</v>
      </c>
      <c r="BY77" s="1169">
        <v>8.0429448984487006E-3</v>
      </c>
      <c r="BZ77" s="1169">
        <v>7.42977399579092E-3</v>
      </c>
      <c r="CA77" s="1169">
        <v>7.3386496158107696E-3</v>
      </c>
      <c r="CB77" s="1169">
        <v>4.9770083851772302E-3</v>
      </c>
      <c r="CC77" s="1169">
        <v>3.5886669896465499E-3</v>
      </c>
      <c r="CD77" s="1169">
        <v>7.0086356403427103E-3</v>
      </c>
      <c r="CE77" s="1169">
        <v>1.7168829785345199E-2</v>
      </c>
      <c r="CF77" s="1169">
        <v>1.34403909931913E-3</v>
      </c>
      <c r="CG77" s="1169">
        <v>1.19057995014555E-2</v>
      </c>
      <c r="CH77" s="1169">
        <v>8.9750215331609907E-3</v>
      </c>
      <c r="CI77" s="1169">
        <v>4.9341824452373596E-3</v>
      </c>
      <c r="CJ77" s="1169">
        <v>1.2844036697247801E-2</v>
      </c>
      <c r="CK77" s="1169">
        <v>1.0114734299516899E-2</v>
      </c>
      <c r="CL77" s="1169">
        <v>1.4613328019394999E-3</v>
      </c>
      <c r="CM77" s="1169">
        <v>3.6480010612367502E-3</v>
      </c>
      <c r="CN77" s="1169">
        <v>8.7233796487518108E-3</v>
      </c>
      <c r="CO77" s="1169">
        <v>6.2894111866349496E-3</v>
      </c>
      <c r="CP77" s="1169">
        <v>2.49027490681808E-3</v>
      </c>
      <c r="CQ77" s="1169">
        <v>4.3999220678010396E-3</v>
      </c>
      <c r="CR77" s="1169">
        <v>7.2418085123580099E-3</v>
      </c>
      <c r="CS77" s="1169">
        <v>8.9711286931681792E-3</v>
      </c>
      <c r="CT77" s="1169">
        <v>4.58088118339428E-3</v>
      </c>
      <c r="CU77" s="1169">
        <v>8.3916526805789503E-3</v>
      </c>
      <c r="CV77" s="1169">
        <v>5.7467654817233704E-3</v>
      </c>
      <c r="CW77" s="1169">
        <v>8.2118212757984494E-3</v>
      </c>
      <c r="CX77" s="1169">
        <v>8.4236605760297199E-3</v>
      </c>
      <c r="CY77" s="1169">
        <v>6.6642098151221702E-3</v>
      </c>
      <c r="CZ77" s="1169">
        <v>5.1709936239665603E-3</v>
      </c>
      <c r="DA77" s="1169">
        <v>1.3809429867824E-2</v>
      </c>
      <c r="DB77" s="1169">
        <v>2.3500531381441801E-3</v>
      </c>
      <c r="DC77" s="1169">
        <v>-5.3610895406486199E-3</v>
      </c>
      <c r="DD77" s="1169">
        <v>5.8103745965016902E-3</v>
      </c>
      <c r="DE77" s="1169">
        <v>3.4332457606875998E-3</v>
      </c>
      <c r="DF77" s="1169">
        <v>3.40662283181103E-3</v>
      </c>
      <c r="DG77" s="1169">
        <v>6.5825562260011204E-3</v>
      </c>
      <c r="DH77" s="1169">
        <v>2.29766551292454E-3</v>
      </c>
      <c r="DI77" s="1169">
        <v>7.0094487957561603E-3</v>
      </c>
      <c r="DJ77" s="1169">
        <v>-4.1880691104366798E-3</v>
      </c>
      <c r="DK77" s="1169">
        <v>6.4330827508389801E-3</v>
      </c>
      <c r="DL77" s="1169">
        <v>6.5375655212580597E-3</v>
      </c>
      <c r="DM77" s="1169">
        <v>3.2113874061536801E-3</v>
      </c>
      <c r="DN77" s="1169">
        <v>2.9703969661576402E-3</v>
      </c>
      <c r="DO77" s="1169">
        <v>8.4103684747760497E-3</v>
      </c>
      <c r="DP77" s="1169">
        <v>9.0815773716175201E-3</v>
      </c>
      <c r="DQ77" s="1169">
        <v>1.22917814606027E-2</v>
      </c>
      <c r="DR77" s="1169">
        <v>9.7419363843178602E-3</v>
      </c>
      <c r="DS77" s="1169">
        <v>3.84259195267256E-3</v>
      </c>
      <c r="DT77" s="1169">
        <v>7.16006884681586E-3</v>
      </c>
      <c r="DU77" s="1169">
        <v>4.5252580490806604E-3</v>
      </c>
      <c r="DV77" s="1169">
        <v>1.7012357776688999E-3</v>
      </c>
      <c r="DW77" s="1169">
        <v>5.2580807325988098E-3</v>
      </c>
      <c r="DX77" s="1169">
        <v>6.4064442882629802E-3</v>
      </c>
      <c r="DY77" s="1169">
        <v>6.4731003733446996E-3</v>
      </c>
      <c r="DZ77" s="1169">
        <v>6.4848420153715801E-3</v>
      </c>
      <c r="EA77" s="1169">
        <v>9.4524724910511893E-3</v>
      </c>
      <c r="EB77" s="1169">
        <v>8.5891020842361297E-3</v>
      </c>
      <c r="EC77" s="1169">
        <v>1.85293696368347E-2</v>
      </c>
      <c r="ED77" s="1169">
        <v>1.11480439785221E-2</v>
      </c>
      <c r="EE77" s="1169">
        <v>7.1056491174834599E-3</v>
      </c>
      <c r="EF77" s="1169">
        <v>9.0516483792402198E-3</v>
      </c>
      <c r="EG77" s="1169">
        <v>7.4898911353034102E-3</v>
      </c>
      <c r="EH77" s="1169">
        <v>8.5085888585647602E-3</v>
      </c>
      <c r="EI77" s="1169">
        <v>8.6817035241104606E-3</v>
      </c>
      <c r="EJ77" s="1169">
        <v>9.1532625189680895E-3</v>
      </c>
      <c r="EK77" s="1169">
        <v>9.7318625269160498E-3</v>
      </c>
      <c r="EL77" s="1169">
        <v>1.3164478543687101E-2</v>
      </c>
      <c r="EM77" s="1169">
        <v>9.0189668755804604E-3</v>
      </c>
      <c r="EN77" s="1169">
        <v>1.0441673464631099E-2</v>
      </c>
      <c r="EO77" s="1169">
        <v>7.1852005628214597E-3</v>
      </c>
      <c r="EP77" s="1169">
        <v>8.4164481443735895E-3</v>
      </c>
      <c r="EQ77" s="1169">
        <v>6.9608466569768303E-3</v>
      </c>
      <c r="ER77" s="1169">
        <v>7.4089109915760299E-3</v>
      </c>
      <c r="ES77" s="1169">
        <v>5.2051850359326997E-3</v>
      </c>
      <c r="ET77" s="1169">
        <v>8.5524337687501503E-3</v>
      </c>
      <c r="EU77" s="1169">
        <v>7.9940817295483003E-3</v>
      </c>
      <c r="EV77" s="1169">
        <v>6.8900548794514904E-3</v>
      </c>
      <c r="EW77" s="1169">
        <v>8.0178416013925204E-3</v>
      </c>
      <c r="EX77" s="1169">
        <v>8.4289368315399998E-3</v>
      </c>
      <c r="EY77" s="1169">
        <v>1.02420856610801E-2</v>
      </c>
      <c r="EZ77" s="1169">
        <v>7.5003972668044004E-3</v>
      </c>
      <c r="FA77" s="1169">
        <v>-4.7632566795998699E-3</v>
      </c>
      <c r="FB77" s="1169">
        <v>-8.3888008452193095E-3</v>
      </c>
      <c r="FC77" s="1169">
        <v>1.81128537333874E-4</v>
      </c>
      <c r="FD77" s="1169">
        <v>3.0573221267029501E-3</v>
      </c>
      <c r="FE77" s="1169">
        <v>7.6890399320306297E-3</v>
      </c>
      <c r="FF77" s="1169">
        <v>6.3656675519581096E-3</v>
      </c>
      <c r="FG77" s="1169">
        <v>7.6658847184987201E-3</v>
      </c>
      <c r="FH77" s="1169">
        <v>3.97006859280813E-3</v>
      </c>
      <c r="FI77" s="1169">
        <v>8.1364775056416098E-3</v>
      </c>
      <c r="FJ77" s="1169">
        <v>8.9846798373516296E-3</v>
      </c>
      <c r="FK77" s="1169">
        <v>9.0471489777432801E-3</v>
      </c>
      <c r="FL77" s="1169">
        <v>3.4795062126835598E-3</v>
      </c>
      <c r="FM77" s="1169">
        <v>-1.3367237203131301E-3</v>
      </c>
      <c r="FN77" s="1169">
        <v>3.4620184372609101E-3</v>
      </c>
      <c r="FO77" s="1169">
        <v>2.2064428130139598E-3</v>
      </c>
      <c r="FP77" s="1169">
        <v>1.9213833960451999E-3</v>
      </c>
      <c r="FQ77" s="1169">
        <v>1.2385137834598501E-3</v>
      </c>
      <c r="FR77" s="1169">
        <v>-4.9878296955352397E-5</v>
      </c>
      <c r="FS77" s="1169">
        <v>1.9752790829916699E-3</v>
      </c>
      <c r="FT77" s="1169">
        <v>3.23585929488135E-3</v>
      </c>
      <c r="FU77" s="1169">
        <v>1.5214068795776199E-2</v>
      </c>
      <c r="FV77" s="1169">
        <v>-2.5807712986949398E-3</v>
      </c>
      <c r="FW77" s="1169">
        <v>4.4202252256666501E-3</v>
      </c>
      <c r="FX77" s="1169">
        <v>4.6739915302198599E-3</v>
      </c>
      <c r="FY77" s="1169">
        <v>1.3403133225202699E-3</v>
      </c>
      <c r="FZ77" s="1169">
        <v>-1.6101029107944401E-3</v>
      </c>
      <c r="GA77" s="1169">
        <v>1.9624415882175698E-3</v>
      </c>
      <c r="GB77" s="1169">
        <v>1.53197265719696E-3</v>
      </c>
      <c r="GC77" s="1169">
        <v>-7.9385824789679504E-4</v>
      </c>
      <c r="GD77" s="1169">
        <v>-2.4997335555317899E-3</v>
      </c>
      <c r="GE77" s="1169">
        <v>5.3810962283760101E-3</v>
      </c>
      <c r="GF77" s="1169">
        <v>3.8837952988686202E-3</v>
      </c>
      <c r="GG77" s="1169">
        <v>4.8215265280195903E-3</v>
      </c>
      <c r="GH77" s="1169">
        <v>5.2485394119337102E-3</v>
      </c>
      <c r="GI77" s="1169">
        <v>3.7919929876712999E-3</v>
      </c>
      <c r="GJ77" s="1169">
        <v>4.7837807054178496E-3</v>
      </c>
      <c r="GK77" s="1169">
        <v>7.3020971093897798E-3</v>
      </c>
      <c r="GL77" s="1169">
        <v>9.5842750368084796E-3</v>
      </c>
      <c r="GM77" s="1169">
        <v>7.3568343318934897E-3</v>
      </c>
      <c r="GN77" s="1169">
        <v>5.7724049535716696E-3</v>
      </c>
      <c r="GO77" s="1169">
        <v>7.8387868675107199E-3</v>
      </c>
      <c r="GP77" s="1169">
        <v>1.0461392911724101E-2</v>
      </c>
      <c r="GQ77" s="1169">
        <v>-6.9770791695925602E-3</v>
      </c>
      <c r="GR77" s="1169">
        <v>3.3543965259330601E-3</v>
      </c>
      <c r="GS77" s="1169">
        <v>3.5690728542643298E-3</v>
      </c>
      <c r="GT77" s="1169">
        <v>2.9891597940001598E-3</v>
      </c>
      <c r="GU77" s="1169">
        <v>3.94973070017901E-4</v>
      </c>
      <c r="GV77" s="1169">
        <v>7.4028211478411902E-3</v>
      </c>
      <c r="GW77" s="1169">
        <v>6.1459530235417103E-3</v>
      </c>
      <c r="GX77" s="1169">
        <v>9.7911631653961901E-3</v>
      </c>
      <c r="GY77" s="1169">
        <v>1.0195940910884001E-2</v>
      </c>
      <c r="GZ77" s="1169">
        <v>1.2280001388551299E-2</v>
      </c>
      <c r="HA77" s="1169">
        <v>1.38713853381685E-2</v>
      </c>
    </row>
    <row r="78" spans="1:209" x14ac:dyDescent="0.35">
      <c r="A78" s="1169" t="s">
        <v>881</v>
      </c>
      <c r="B78" s="1169">
        <v>2.12315774113527E-2</v>
      </c>
      <c r="C78" s="1169">
        <v>2.12315774113527E-2</v>
      </c>
      <c r="D78" s="1169">
        <v>1.8075301850396502E-2</v>
      </c>
      <c r="E78" s="1169">
        <v>1.8947368421052602E-2</v>
      </c>
      <c r="F78" s="1169">
        <v>2.26584022038567E-2</v>
      </c>
      <c r="G78" s="1169">
        <v>1.8115698026803101E-2</v>
      </c>
      <c r="H78" s="1169">
        <v>1.4089165233496501E-2</v>
      </c>
      <c r="I78" s="1169">
        <v>1.0892961972474E-2</v>
      </c>
      <c r="J78" s="1169">
        <v>2.23899858046199E-2</v>
      </c>
      <c r="K78" s="1169">
        <v>1.1801830230356599E-2</v>
      </c>
      <c r="L78" s="1169">
        <v>1.5219560878243501E-2</v>
      </c>
      <c r="M78" s="1169">
        <v>1.37625952322438E-2</v>
      </c>
      <c r="N78" s="1169">
        <v>1.9696969696969501E-2</v>
      </c>
      <c r="O78" s="1169">
        <v>1.7771173848439799E-2</v>
      </c>
      <c r="P78" s="1169">
        <v>1.3431441252044001E-2</v>
      </c>
      <c r="Q78" s="1169">
        <v>1.8958165264492299E-2</v>
      </c>
      <c r="R78" s="1169">
        <v>2.9010914437595601E-2</v>
      </c>
      <c r="S78" s="1169">
        <v>3.4787865464937402E-2</v>
      </c>
      <c r="T78" s="1169">
        <v>3.6486271177439002E-2</v>
      </c>
      <c r="U78" s="1169">
        <v>2.9411764705882502E-2</v>
      </c>
      <c r="V78" s="1169">
        <v>2.0109507217521201E-2</v>
      </c>
      <c r="W78" s="1169">
        <v>1.9810676295501001E-2</v>
      </c>
      <c r="X78" s="1169">
        <v>1.2775119617225E-2</v>
      </c>
      <c r="Y78" s="1169">
        <v>1.28029479850709E-2</v>
      </c>
      <c r="Z78" s="1169">
        <v>1.1288366452094399E-2</v>
      </c>
      <c r="AA78" s="1169">
        <v>1.2130996309963201E-2</v>
      </c>
      <c r="AB78" s="1169">
        <v>7.4283370550973799E-3</v>
      </c>
      <c r="AC78" s="1169">
        <v>1.19424590608883E-2</v>
      </c>
      <c r="AD78" s="1169">
        <v>1.88645507375951E-2</v>
      </c>
      <c r="AE78" s="1169">
        <v>1.79010179010177E-2</v>
      </c>
      <c r="AF78" s="1169">
        <v>1.7025862068965399E-2</v>
      </c>
      <c r="AG78" s="1169">
        <v>1.6867980504344099E-2</v>
      </c>
      <c r="AH78" s="1169">
        <v>1.41291209936232E-2</v>
      </c>
      <c r="AI78" s="1169">
        <v>1.66858457997698E-2</v>
      </c>
      <c r="AJ78" s="1169">
        <v>1.52397121836849E-2</v>
      </c>
      <c r="AK78" s="1169">
        <v>1.43340633087798E-2</v>
      </c>
      <c r="AL78" s="1169">
        <v>2.3788027477919398E-2</v>
      </c>
      <c r="AM78" s="1169">
        <v>2.2890226601740799E-2</v>
      </c>
      <c r="AN78" s="1169">
        <v>3.3885598620586203E-2</v>
      </c>
      <c r="AO78" s="1169">
        <v>1.95417301138423E-2</v>
      </c>
      <c r="AP78" s="1169">
        <v>2.6030368763557701E-2</v>
      </c>
      <c r="AQ78" s="1169">
        <v>2.7449485322150101E-2</v>
      </c>
      <c r="AR78" s="1169">
        <v>2.8841288581548299E-2</v>
      </c>
      <c r="AS78" s="1169">
        <v>2.7213114754098398E-2</v>
      </c>
      <c r="AT78" s="1169">
        <v>3.25247366741142E-2</v>
      </c>
      <c r="AU78" s="1169">
        <v>2.15153482333303E-2</v>
      </c>
      <c r="AV78" s="1169">
        <v>1.35875321531245E-2</v>
      </c>
      <c r="AW78" s="1169">
        <v>1.5793873529587499E-2</v>
      </c>
      <c r="AX78" s="1169">
        <v>1.68415483643416E-2</v>
      </c>
      <c r="AY78" s="1169">
        <v>1.6071222106601901E-2</v>
      </c>
      <c r="AZ78" s="1169">
        <v>1.5703231679563098E-2</v>
      </c>
      <c r="BA78" s="1169">
        <v>1.2715662110687901E-2</v>
      </c>
      <c r="BB78" s="1169">
        <v>7.1906632003981797E-3</v>
      </c>
      <c r="BC78" s="1169">
        <v>1.09561205997035E-2</v>
      </c>
      <c r="BD78" s="1169">
        <v>9.6694461797539599E-3</v>
      </c>
      <c r="BE78" s="1169">
        <v>7.6130524843300903E-3</v>
      </c>
      <c r="BF78" s="1169">
        <v>1.44970098248611E-2</v>
      </c>
      <c r="BG78" s="1169">
        <v>9.5265664885917402E-3</v>
      </c>
      <c r="BH78" s="1169">
        <v>9.3323948802170893E-3</v>
      </c>
      <c r="BI78" s="1169">
        <v>9.9176115085617394E-3</v>
      </c>
      <c r="BJ78" s="1169">
        <v>1.1789376774160599E-2</v>
      </c>
      <c r="BK78" s="1169">
        <v>9.8574461631786292E-3</v>
      </c>
      <c r="BL78" s="1169">
        <v>8.2845272062870307E-3</v>
      </c>
      <c r="BM78" s="1169">
        <v>9.2590294154153395E-3</v>
      </c>
      <c r="BN78" s="1169">
        <v>4.1566235427221701E-3</v>
      </c>
      <c r="BO78" s="1169">
        <v>4.4088470864869196E-3</v>
      </c>
      <c r="BP78" s="1169">
        <v>8.6570585509790892E-3</v>
      </c>
      <c r="BQ78" s="1169">
        <v>1.2716986606063499E-2</v>
      </c>
      <c r="BR78" s="1169">
        <v>1.4300038197096999E-2</v>
      </c>
      <c r="BS78" s="1169">
        <v>1.22155012121354E-2</v>
      </c>
      <c r="BT78" s="1169">
        <v>1.1975073245593699E-2</v>
      </c>
      <c r="BU78" s="1169">
        <v>5.9511500195308402E-3</v>
      </c>
      <c r="BV78" s="1169">
        <v>5.1393330287803404E-3</v>
      </c>
      <c r="BW78" s="1169">
        <v>9.7488921713440001E-3</v>
      </c>
      <c r="BX78" s="1169">
        <v>8.4169779898277692E-3</v>
      </c>
      <c r="BY78" s="1169">
        <v>1.14488484199249E-2</v>
      </c>
      <c r="BZ78" s="1169">
        <v>1.31506365702434E-2</v>
      </c>
      <c r="CA78" s="1169">
        <v>1.35679595792408E-2</v>
      </c>
      <c r="CB78" s="1169">
        <v>9.3682853459389204E-3</v>
      </c>
      <c r="CC78" s="1169">
        <v>1.2921491825613101E-2</v>
      </c>
      <c r="CD78" s="1169">
        <v>1.4143706786037E-2</v>
      </c>
      <c r="CE78" s="1169">
        <v>1.0319960212201501E-2</v>
      </c>
      <c r="CF78" s="1169">
        <v>1.35988841941175E-2</v>
      </c>
      <c r="CG78" s="1169">
        <v>1.5743570026509199E-2</v>
      </c>
      <c r="CH78" s="1169">
        <v>4.20360593684621E-3</v>
      </c>
      <c r="CI78" s="1169">
        <v>6.0508669602825603E-3</v>
      </c>
      <c r="CJ78" s="1169">
        <v>8.2427875608841496E-3</v>
      </c>
      <c r="CK78" s="1169">
        <v>8.7230338946586699E-3</v>
      </c>
      <c r="CL78" s="1169">
        <v>7.1352399418322899E-3</v>
      </c>
      <c r="CM78" s="1169">
        <v>1.1936160791637101E-2</v>
      </c>
      <c r="CN78" s="1169">
        <v>7.3816182485779702E-3</v>
      </c>
      <c r="CO78" s="1169">
        <v>6.8176238409094498E-3</v>
      </c>
      <c r="CP78" s="1169">
        <v>5.8148259303723001E-3</v>
      </c>
      <c r="CQ78" s="1169">
        <v>5.8931035768901002E-3</v>
      </c>
      <c r="CR78" s="1169">
        <v>2.8551299640327001E-3</v>
      </c>
      <c r="CS78" s="1169">
        <v>5.0469570361606503E-3</v>
      </c>
      <c r="CT78" s="1169">
        <v>8.1670192219258607E-3</v>
      </c>
      <c r="CU78" s="1169">
        <v>5.5647795070152802E-3</v>
      </c>
      <c r="CV78" s="1169">
        <v>8.7455093079797895E-3</v>
      </c>
      <c r="CW78" s="1169">
        <v>8.4898194114684192E-3</v>
      </c>
      <c r="CX78" s="1169">
        <v>5.5825069558392802E-3</v>
      </c>
      <c r="CY78" s="1169">
        <v>7.5912098047215002E-3</v>
      </c>
      <c r="CZ78" s="1169">
        <v>4.1190656410077199E-3</v>
      </c>
      <c r="DA78" s="1169">
        <v>3.82167838297431E-3</v>
      </c>
      <c r="DB78" s="1169">
        <v>9.98934702502563E-3</v>
      </c>
      <c r="DC78" s="1169">
        <v>1.3660021095223099E-3</v>
      </c>
      <c r="DD78" s="1169">
        <v>6.3199336924990596E-3</v>
      </c>
      <c r="DE78" s="1169">
        <v>7.1725179312949203E-3</v>
      </c>
      <c r="DF78" s="1169">
        <v>6.62736813411491E-3</v>
      </c>
      <c r="DG78" s="1169">
        <v>3.2326309554033799E-3</v>
      </c>
      <c r="DH78" s="1169">
        <v>4.3525204129832903E-3</v>
      </c>
      <c r="DI78" s="1169">
        <v>7.8274599388585796E-3</v>
      </c>
      <c r="DJ78" s="1169">
        <v>1.34999999999996E-3</v>
      </c>
      <c r="DK78" s="1169">
        <v>4.4273564021903898E-3</v>
      </c>
      <c r="DL78" s="1169">
        <v>7.4900160737070296E-3</v>
      </c>
      <c r="DM78" s="1169">
        <v>8.3554005822463803E-3</v>
      </c>
      <c r="DN78" s="1169">
        <v>7.6826463535974998E-3</v>
      </c>
      <c r="DO78" s="1169">
        <v>1.35323254232897E-2</v>
      </c>
      <c r="DP78" s="1169">
        <v>1.20100935892931E-2</v>
      </c>
      <c r="DQ78" s="1169">
        <v>1.14888110343085E-2</v>
      </c>
      <c r="DR78" s="1169">
        <v>1.2778107155116099E-2</v>
      </c>
      <c r="DS78" s="1169">
        <v>1.0614206707439299E-2</v>
      </c>
      <c r="DT78" s="1169">
        <v>1.07313801408493E-2</v>
      </c>
      <c r="DU78" s="1169">
        <v>1.2487557687087101E-2</v>
      </c>
      <c r="DV78" s="1169">
        <v>1.19462567402508E-2</v>
      </c>
      <c r="DW78" s="1169">
        <v>3.9154498351388102E-3</v>
      </c>
      <c r="DX78" s="1169">
        <v>2.6245564646199E-3</v>
      </c>
      <c r="DY78" s="1169">
        <v>1.9449847179771099E-3</v>
      </c>
      <c r="DZ78" s="1169">
        <v>6.0863473158769797E-3</v>
      </c>
      <c r="EA78" s="1169">
        <v>8.9945017481249893E-3</v>
      </c>
      <c r="EB78" s="1169">
        <v>7.1889692455895399E-3</v>
      </c>
      <c r="EC78" s="1169">
        <v>8.3510585145107896E-3</v>
      </c>
      <c r="ED78" s="1169">
        <v>1.42420295599976E-2</v>
      </c>
      <c r="EE78" s="1169">
        <v>7.2583121632563397E-4</v>
      </c>
      <c r="EF78" s="1169">
        <v>6.7090690992272998E-3</v>
      </c>
      <c r="EG78" s="1169">
        <v>7.8420505715275403E-3</v>
      </c>
      <c r="EH78" s="1169">
        <v>1.2647612763090999E-2</v>
      </c>
      <c r="EI78" s="1169">
        <v>1.4281641574238601E-2</v>
      </c>
      <c r="EJ78" s="1169">
        <v>1.61953073762264E-2</v>
      </c>
      <c r="EK78" s="1169">
        <v>1.7227980980730299E-2</v>
      </c>
      <c r="EL78" s="1169">
        <v>8.9860289262084798E-3</v>
      </c>
      <c r="EM78" s="1169">
        <v>1.2794353545075399E-2</v>
      </c>
      <c r="EN78" s="1169">
        <v>1.5977800866678701E-2</v>
      </c>
      <c r="EO78" s="1169">
        <v>1.6337627676689299E-2</v>
      </c>
      <c r="EP78" s="1169">
        <v>7.11717570834303E-3</v>
      </c>
      <c r="EQ78" s="1169">
        <v>1.53521864681443E-2</v>
      </c>
      <c r="ER78" s="1169">
        <v>1.00320401281604E-2</v>
      </c>
      <c r="ES78" s="1169">
        <v>1.0573964286138699E-2</v>
      </c>
      <c r="ET78" s="1169">
        <v>1.9092629821653401E-2</v>
      </c>
      <c r="EU78" s="1169">
        <v>1.0774892424120001E-2</v>
      </c>
      <c r="EV78" s="1169">
        <v>1.08768846228471E-2</v>
      </c>
      <c r="EW78" s="1169">
        <v>1.45082985209439E-2</v>
      </c>
      <c r="EX78" s="1169">
        <v>1.6025819375660801E-2</v>
      </c>
      <c r="EY78" s="1169">
        <v>1.39219015280136E-2</v>
      </c>
      <c r="EZ78" s="1169">
        <v>1.34174534926432E-2</v>
      </c>
      <c r="FA78" s="1169">
        <v>-1.18966399454206E-2</v>
      </c>
      <c r="FB78" s="1169">
        <v>-1.2956889483450499E-2</v>
      </c>
      <c r="FC78" s="1169">
        <v>2.1969374036789899E-3</v>
      </c>
      <c r="FD78" s="1169">
        <v>5.1149500501681501E-3</v>
      </c>
      <c r="FE78" s="1169">
        <v>7.3458404314188401E-3</v>
      </c>
      <c r="FF78" s="1169">
        <v>9.9097352377259806E-3</v>
      </c>
      <c r="FG78" s="1169">
        <v>6.6660978263188798E-3</v>
      </c>
      <c r="FH78" s="1169">
        <v>5.2339934098302203E-3</v>
      </c>
      <c r="FI78" s="1169">
        <v>8.4425097758149496E-3</v>
      </c>
      <c r="FJ78" s="1169">
        <v>1.01590752315057E-2</v>
      </c>
      <c r="FK78" s="1169">
        <v>1.2043455768235799E-2</v>
      </c>
      <c r="FL78" s="1169">
        <v>5.1628601222730702E-3</v>
      </c>
      <c r="FM78" s="1169">
        <v>-1.1696620185316399E-3</v>
      </c>
      <c r="FN78" s="1169">
        <v>1.2188912875239301E-2</v>
      </c>
      <c r="FO78" s="1169">
        <v>1.00602609631739E-5</v>
      </c>
      <c r="FP78" s="1169">
        <v>5.91537393613795E-3</v>
      </c>
      <c r="FQ78" s="1169">
        <v>1.21812181218122E-2</v>
      </c>
      <c r="FR78" s="1169">
        <v>1.1491186467472899E-2</v>
      </c>
      <c r="FS78" s="1169">
        <v>5.2846997684892196E-3</v>
      </c>
      <c r="FT78" s="1169">
        <v>7.9193874378109506E-3</v>
      </c>
      <c r="FU78" s="1169">
        <v>5.6976486353601504E-3</v>
      </c>
      <c r="FV78" s="1169">
        <v>7.9276826626277792E-3</v>
      </c>
      <c r="FW78" s="1169">
        <v>3.3953112368634302E-3</v>
      </c>
      <c r="FX78" s="1169">
        <v>5.5733540596387696E-3</v>
      </c>
      <c r="FY78" s="1169">
        <v>-3.3933452728818198E-4</v>
      </c>
      <c r="FZ78" s="1169">
        <v>-8.2788013653421998E-3</v>
      </c>
      <c r="GA78" s="1169">
        <v>6.5319084201718204E-3</v>
      </c>
      <c r="GB78" s="1169">
        <v>1.0012941254262701E-3</v>
      </c>
      <c r="GC78" s="1169">
        <v>-3.3405996093196499E-3</v>
      </c>
      <c r="GD78" s="1169">
        <v>-7.43265634616297E-3</v>
      </c>
      <c r="GE78" s="1169">
        <v>7.6981780024802902E-3</v>
      </c>
      <c r="GF78" s="1169">
        <v>3.2943002925112101E-3</v>
      </c>
      <c r="GG78" s="1169">
        <v>4.8969193753833897E-3</v>
      </c>
      <c r="GH78" s="1169">
        <v>9.0794711935702193E-3</v>
      </c>
      <c r="GI78" s="1169">
        <v>2.9217184170613501E-3</v>
      </c>
      <c r="GJ78" s="1169">
        <v>9.0921742357470397E-3</v>
      </c>
      <c r="GK78" s="1169">
        <v>1.20535098607089E-2</v>
      </c>
      <c r="GL78" s="1169">
        <v>1.18736145935536E-2</v>
      </c>
      <c r="GM78" s="1169">
        <v>1.10609338947596E-2</v>
      </c>
      <c r="GN78" s="1169">
        <v>9.0307685477069004E-3</v>
      </c>
      <c r="GO78" s="1169">
        <v>5.9402281047591403E-3</v>
      </c>
      <c r="GP78" s="1169">
        <v>-2.5632725904800599E-3</v>
      </c>
      <c r="GQ78" s="1169">
        <v>7.5780167347869699E-3</v>
      </c>
      <c r="GR78" s="1169">
        <v>2.0543533139505401E-3</v>
      </c>
      <c r="GS78" s="1169">
        <v>2.8927845440172E-3</v>
      </c>
      <c r="GT78" s="1169">
        <v>9.4328999454293995E-3</v>
      </c>
      <c r="GU78" s="1169">
        <v>-3.8014004256194901E-3</v>
      </c>
      <c r="GV78" s="1169">
        <v>4.8754016176686399E-3</v>
      </c>
      <c r="GW78" s="1169">
        <v>8.1605362638115207E-3</v>
      </c>
      <c r="GX78" s="1169">
        <v>1.53472039180007E-2</v>
      </c>
      <c r="GY78" s="1169">
        <v>1.78200576137202E-2</v>
      </c>
      <c r="GZ78" s="1169">
        <v>1.6430263937339502E-2</v>
      </c>
      <c r="HA78" s="1169">
        <v>2.1434179745995201E-2</v>
      </c>
    </row>
    <row r="79" spans="1:209" x14ac:dyDescent="0.35">
      <c r="A79" s="1169" t="s">
        <v>882</v>
      </c>
      <c r="B79" s="1169">
        <v>1.9913023575188999E-2</v>
      </c>
      <c r="C79" s="1169">
        <v>1.9913023575188999E-2</v>
      </c>
      <c r="D79" s="1169">
        <v>1.7654099341711402E-2</v>
      </c>
      <c r="E79" s="1169">
        <v>1.6833284328138898E-2</v>
      </c>
      <c r="F79" s="1169">
        <v>2.4651196414371399E-2</v>
      </c>
      <c r="G79" s="1169">
        <v>1.8696204317764999E-2</v>
      </c>
      <c r="H79" s="1169">
        <v>1.5097998476348899E-2</v>
      </c>
      <c r="I79" s="1169">
        <v>9.0741625162038507E-3</v>
      </c>
      <c r="J79" s="1169">
        <v>2.5152129817444399E-2</v>
      </c>
      <c r="K79" s="1169">
        <v>1.3124917557050499E-2</v>
      </c>
      <c r="L79" s="1169">
        <v>1.5558882885228701E-2</v>
      </c>
      <c r="M79" s="1169">
        <v>1.2435897435897601E-2</v>
      </c>
      <c r="N79" s="1169">
        <v>1.9754337090034199E-2</v>
      </c>
      <c r="O79" s="1169">
        <v>1.68881162299763E-2</v>
      </c>
      <c r="P79" s="1169">
        <v>1.1600928074246E-2</v>
      </c>
      <c r="Q79" s="1169">
        <v>1.6779333655238898E-2</v>
      </c>
      <c r="R79" s="1169">
        <v>2.42787605366259E-2</v>
      </c>
      <c r="S79" s="1169">
        <v>2.68907563025211E-2</v>
      </c>
      <c r="T79" s="1169">
        <v>2.8726226084993398E-2</v>
      </c>
      <c r="U79" s="1169">
        <v>2.6113671274961399E-2</v>
      </c>
      <c r="V79" s="1169">
        <v>1.99957228400343E-2</v>
      </c>
      <c r="W79" s="1169">
        <v>2.4111542090365898E-2</v>
      </c>
      <c r="X79" s="1169">
        <v>1.5354693417954699E-2</v>
      </c>
      <c r="Y79" s="1169">
        <v>1.45680008065328E-2</v>
      </c>
      <c r="Z79" s="1169">
        <v>1.30173398916877E-2</v>
      </c>
      <c r="AA79" s="1169">
        <v>1.3046250429153101E-2</v>
      </c>
      <c r="AB79" s="1169">
        <v>8.7630113773904394E-3</v>
      </c>
      <c r="AC79" s="1169">
        <v>1.31983106162412E-2</v>
      </c>
      <c r="AD79" s="1169">
        <v>2.0321159585050302E-2</v>
      </c>
      <c r="AE79" s="1169">
        <v>1.9870009285051001E-2</v>
      </c>
      <c r="AF79" s="1169">
        <v>1.7889657683903801E-2</v>
      </c>
      <c r="AG79" s="1169">
        <v>1.83354948347569E-2</v>
      </c>
      <c r="AH79" s="1169">
        <v>1.4536032673137E-2</v>
      </c>
      <c r="AI79" s="1169">
        <v>1.6015929356765699E-2</v>
      </c>
      <c r="AJ79" s="1169">
        <v>1.4314928425357899E-2</v>
      </c>
      <c r="AK79" s="1169">
        <v>1.33988575268817E-2</v>
      </c>
      <c r="AL79" s="1169">
        <v>2.4536825962614601E-2</v>
      </c>
      <c r="AM79" s="1169">
        <v>2.18455439135887E-2</v>
      </c>
      <c r="AN79" s="1169">
        <v>3.5116196207292602E-2</v>
      </c>
      <c r="AO79" s="1169">
        <v>1.7211045666641198E-2</v>
      </c>
      <c r="AP79" s="1169">
        <v>2.5718153105730199E-2</v>
      </c>
      <c r="AQ79" s="1169">
        <v>2.7126099706744799E-2</v>
      </c>
      <c r="AR79" s="1169">
        <v>2.7801570306923699E-2</v>
      </c>
      <c r="AS79" s="1169">
        <v>2.65981457689504E-2</v>
      </c>
      <c r="AT79" s="1169">
        <v>3.3519364112971399E-2</v>
      </c>
      <c r="AU79" s="1169">
        <v>2.0912423092027701E-2</v>
      </c>
      <c r="AV79" s="1169">
        <v>1.1957044398140699E-2</v>
      </c>
      <c r="AW79" s="1169">
        <v>1.53319817536746E-2</v>
      </c>
      <c r="AX79" s="1169">
        <v>1.7534007238237701E-2</v>
      </c>
      <c r="AY79" s="1169">
        <v>1.5944073097442901E-2</v>
      </c>
      <c r="AZ79" s="1169">
        <v>1.65992635963059E-2</v>
      </c>
      <c r="BA79" s="1169">
        <v>1.5021968887305399E-2</v>
      </c>
      <c r="BB79" s="1169">
        <v>8.5697572389587008E-3</v>
      </c>
      <c r="BC79" s="1169">
        <v>1.36589043876694E-2</v>
      </c>
      <c r="BD79" s="1169">
        <v>1.17010928649082E-2</v>
      </c>
      <c r="BE79" s="1169">
        <v>9.3600656052936805E-3</v>
      </c>
      <c r="BF79" s="1169">
        <v>1.7537961562167099E-2</v>
      </c>
      <c r="BG79" s="1169">
        <v>1.09030837004405E-2</v>
      </c>
      <c r="BH79" s="1169">
        <v>1.07310164505936E-2</v>
      </c>
      <c r="BI79" s="1169">
        <v>1.1802748585286999E-2</v>
      </c>
      <c r="BJ79" s="1169">
        <v>1.3209758176201E-2</v>
      </c>
      <c r="BK79" s="1169">
        <v>1.1434128903375E-2</v>
      </c>
      <c r="BL79" s="1169">
        <v>9.2777878843004497E-3</v>
      </c>
      <c r="BM79" s="1169">
        <v>1.0067978164589601E-2</v>
      </c>
      <c r="BN79" s="1169">
        <v>3.6709409335409201E-3</v>
      </c>
      <c r="BO79" s="1169">
        <v>2.9971298671609401E-3</v>
      </c>
      <c r="BP79" s="1169">
        <v>8.5593456405581598E-3</v>
      </c>
      <c r="BQ79" s="1169">
        <v>1.3182012202777E-2</v>
      </c>
      <c r="BR79" s="1169">
        <v>1.61825931800159E-2</v>
      </c>
      <c r="BS79" s="1169">
        <v>1.3169125716376E-2</v>
      </c>
      <c r="BT79" s="1169">
        <v>1.2685040317727899E-2</v>
      </c>
      <c r="BU79" s="1169">
        <v>6.1085757748620103E-3</v>
      </c>
      <c r="BV79" s="1169">
        <v>4.4413995133361101E-3</v>
      </c>
      <c r="BW79" s="1169">
        <v>1.0772161723545901E-2</v>
      </c>
      <c r="BX79" s="1169">
        <v>8.8888888888889496E-3</v>
      </c>
      <c r="BY79" s="1169">
        <v>1.29621514403671E-2</v>
      </c>
      <c r="BZ79" s="1169">
        <v>1.5164279696714401E-2</v>
      </c>
      <c r="CA79" s="1169">
        <v>1.48704721318829E-2</v>
      </c>
      <c r="CB79" s="1169">
        <v>9.8346888260254506E-3</v>
      </c>
      <c r="CC79" s="1169">
        <v>1.46849626857506E-2</v>
      </c>
      <c r="CD79" s="1169">
        <v>1.5852816840652199E-2</v>
      </c>
      <c r="CE79" s="1169">
        <v>1.0679632263954599E-2</v>
      </c>
      <c r="CF79" s="1169">
        <v>1.4537204319146299E-2</v>
      </c>
      <c r="CG79" s="1169">
        <v>1.8925746469540702E-2</v>
      </c>
      <c r="CH79" s="1169">
        <v>4.7553243375060301E-3</v>
      </c>
      <c r="CI79" s="1169">
        <v>6.2699728975366097E-3</v>
      </c>
      <c r="CJ79" s="1169">
        <v>9.5473548802056402E-3</v>
      </c>
      <c r="CK79" s="1169">
        <v>1.13683875206563E-2</v>
      </c>
      <c r="CL79" s="1169">
        <v>9.4491909130280903E-3</v>
      </c>
      <c r="CM79" s="1169">
        <v>1.35925738133313E-2</v>
      </c>
      <c r="CN79" s="1169">
        <v>8.5618085618086592E-3</v>
      </c>
      <c r="CO79" s="1169">
        <v>7.3063716138877001E-3</v>
      </c>
      <c r="CP79" s="1169">
        <v>5.4731738726967504E-3</v>
      </c>
      <c r="CQ79" s="1169">
        <v>5.91426203571155E-3</v>
      </c>
      <c r="CR79" s="1169">
        <v>3.2580608920345102E-3</v>
      </c>
      <c r="CS79" s="1169">
        <v>5.1138484509145599E-3</v>
      </c>
      <c r="CT79" s="1169">
        <v>8.3744940023024999E-3</v>
      </c>
      <c r="CU79" s="1169">
        <v>5.8189853604639899E-3</v>
      </c>
      <c r="CV79" s="1169">
        <v>8.7329049266764401E-3</v>
      </c>
      <c r="CW79" s="1169">
        <v>8.5484046607862095E-3</v>
      </c>
      <c r="CX79" s="1169">
        <v>4.6068851337977001E-3</v>
      </c>
      <c r="CY79" s="1169">
        <v>7.6847290640393896E-3</v>
      </c>
      <c r="CZ79" s="1169">
        <v>3.8041739254097702E-3</v>
      </c>
      <c r="DA79" s="1169">
        <v>3.4001558404759299E-3</v>
      </c>
      <c r="DB79" s="1169">
        <v>1.1013060360042499E-2</v>
      </c>
      <c r="DC79" s="1169">
        <v>1.4314642832204999E-3</v>
      </c>
      <c r="DD79" s="1169">
        <v>6.62413276156615E-3</v>
      </c>
      <c r="DE79" s="1169">
        <v>8.1044574515982699E-3</v>
      </c>
      <c r="DF79" s="1169">
        <v>6.8540213694301402E-3</v>
      </c>
      <c r="DG79" s="1169">
        <v>2.3885486154948698E-3</v>
      </c>
      <c r="DH79" s="1169">
        <v>4.7827344986639498E-3</v>
      </c>
      <c r="DI79" s="1169">
        <v>8.1647863942813093E-3</v>
      </c>
      <c r="DJ79" s="1169">
        <v>1.57940721822714E-3</v>
      </c>
      <c r="DK79" s="1169">
        <v>5.3178996812615099E-3</v>
      </c>
      <c r="DL79" s="1169">
        <v>7.8095015602317498E-3</v>
      </c>
      <c r="DM79" s="1169">
        <v>9.0073681596158899E-3</v>
      </c>
      <c r="DN79" s="1169">
        <v>8.5495331396971998E-3</v>
      </c>
      <c r="DO79" s="1169">
        <v>1.5001627074519901E-2</v>
      </c>
      <c r="DP79" s="1169">
        <v>1.3850149081466E-2</v>
      </c>
      <c r="DQ79" s="1169">
        <v>1.2206305537109099E-2</v>
      </c>
      <c r="DR79" s="1169">
        <v>1.3964822393701899E-2</v>
      </c>
      <c r="DS79" s="1169">
        <v>1.0444910032043399E-2</v>
      </c>
      <c r="DT79" s="1169">
        <v>1.1724348223814501E-2</v>
      </c>
      <c r="DU79" s="1169">
        <v>1.40749559215783E-2</v>
      </c>
      <c r="DV79" s="1169">
        <v>1.33446272272004E-2</v>
      </c>
      <c r="DW79" s="1169">
        <v>4.2380959364138899E-3</v>
      </c>
      <c r="DX79" s="1169">
        <v>2.5116822429906999E-3</v>
      </c>
      <c r="DY79" s="1169">
        <v>1.1215987880905901E-3</v>
      </c>
      <c r="DZ79" s="1169">
        <v>6.4892548996784401E-3</v>
      </c>
      <c r="EA79" s="1169">
        <v>9.8445970365015293E-3</v>
      </c>
      <c r="EB79" s="1169">
        <v>8.1882730187814393E-3</v>
      </c>
      <c r="EC79" s="1169">
        <v>9.9534276140171903E-3</v>
      </c>
      <c r="ED79" s="1169">
        <v>1.5675744070632099E-2</v>
      </c>
      <c r="EE79" s="1169">
        <v>6.5057305797022703E-4</v>
      </c>
      <c r="EF79" s="1169">
        <v>8.0369617241426994E-3</v>
      </c>
      <c r="EG79" s="1169">
        <v>9.0569766165331505E-3</v>
      </c>
      <c r="EH79" s="1169">
        <v>1.41163031061307E-2</v>
      </c>
      <c r="EI79" s="1169">
        <v>1.3289526619284101E-2</v>
      </c>
      <c r="EJ79" s="1169">
        <v>1.3644605021108799E-2</v>
      </c>
      <c r="EK79" s="1169">
        <v>1.5641320242323099E-2</v>
      </c>
      <c r="EL79" s="1169">
        <v>9.1014269186271406E-3</v>
      </c>
      <c r="EM79" s="1169">
        <v>1.14015643710668E-2</v>
      </c>
      <c r="EN79" s="1169">
        <v>1.45100953484565E-2</v>
      </c>
      <c r="EO79" s="1169">
        <v>1.68973865541002E-2</v>
      </c>
      <c r="EP79" s="1169">
        <v>7.3498888970282604E-3</v>
      </c>
      <c r="EQ79" s="1169">
        <v>1.37441217821301E-2</v>
      </c>
      <c r="ER79" s="1169">
        <v>9.0863441811530592E-3</v>
      </c>
      <c r="ES79" s="1169">
        <v>7.4998222790929603E-3</v>
      </c>
      <c r="ET79" s="1169">
        <v>1.7604515787616799E-2</v>
      </c>
      <c r="EU79" s="1169">
        <v>1.0828364073406401E-2</v>
      </c>
      <c r="EV79" s="1169">
        <v>1.11811041626177E-2</v>
      </c>
      <c r="EW79" s="1169">
        <v>1.51616222144335E-2</v>
      </c>
      <c r="EX79" s="1169">
        <v>1.7608143627210901E-2</v>
      </c>
      <c r="EY79" s="1169">
        <v>1.5453819129026301E-2</v>
      </c>
      <c r="EZ79" s="1169">
        <v>1.35264763259719E-2</v>
      </c>
      <c r="FA79" s="1169">
        <v>-1.9077799991492599E-2</v>
      </c>
      <c r="FB79" s="1169">
        <v>-1.7573339693415201E-2</v>
      </c>
      <c r="FC79" s="1169">
        <v>4.9215965394333603E-3</v>
      </c>
      <c r="FD79" s="1169">
        <v>8.5870842346844594E-3</v>
      </c>
      <c r="FE79" s="1169">
        <v>9.2760944593843798E-3</v>
      </c>
      <c r="FF79" s="1169">
        <v>1.15424860573241E-2</v>
      </c>
      <c r="FG79" s="1169">
        <v>7.18772328331774E-3</v>
      </c>
      <c r="FH79" s="1169">
        <v>5.7176134258034601E-3</v>
      </c>
      <c r="FI79" s="1169">
        <v>9.3383165763014607E-3</v>
      </c>
      <c r="FJ79" s="1169">
        <v>1.10981308411215E-2</v>
      </c>
      <c r="FK79" s="1169">
        <v>1.24721465709332E-2</v>
      </c>
      <c r="FL79" s="1169">
        <v>3.7903102552345699E-3</v>
      </c>
      <c r="FM79" s="1169">
        <v>-3.54253580600294E-3</v>
      </c>
      <c r="FN79" s="1169">
        <v>1.32629777524242E-2</v>
      </c>
      <c r="FO79" s="1169">
        <v>-1.7492711370261599E-3</v>
      </c>
      <c r="FP79" s="1169">
        <v>6.0526103770543998E-3</v>
      </c>
      <c r="FQ79" s="1169">
        <v>1.4414847292711501E-2</v>
      </c>
      <c r="FR79" s="1169">
        <v>1.3085052843482501E-2</v>
      </c>
      <c r="FS79" s="1169">
        <v>5.3281123676494103E-3</v>
      </c>
      <c r="FT79" s="1169">
        <v>8.4487937215385108E-3</v>
      </c>
      <c r="FU79" s="1169">
        <v>5.3227263119464104E-3</v>
      </c>
      <c r="FV79" s="1169">
        <v>8.4005504797584098E-3</v>
      </c>
      <c r="FW79" s="1169">
        <v>3.1559493910817702E-3</v>
      </c>
      <c r="FX79" s="1169">
        <v>5.7251908396946903E-3</v>
      </c>
      <c r="FY79" s="1169">
        <v>-7.7967948597512703E-4</v>
      </c>
      <c r="FZ79" s="1169">
        <v>-9.9745231313045392E-3</v>
      </c>
      <c r="GA79" s="1169">
        <v>6.9983857183553199E-3</v>
      </c>
      <c r="GB79" s="1169">
        <v>6.0350599262592997E-4</v>
      </c>
      <c r="GC79" s="1169">
        <v>-3.9392711405981098E-3</v>
      </c>
      <c r="GD79" s="1169">
        <v>-8.5246894307096106E-3</v>
      </c>
      <c r="GE79" s="1169">
        <v>7.6055424078174099E-3</v>
      </c>
      <c r="GF79" s="1169">
        <v>3.8450975006867299E-3</v>
      </c>
      <c r="GG79" s="1169">
        <v>4.9153261946317502E-3</v>
      </c>
      <c r="GH79" s="1169">
        <v>9.5572496150813108E-3</v>
      </c>
      <c r="GI79" s="1169">
        <v>2.49223501404217E-3</v>
      </c>
      <c r="GJ79" s="1169">
        <v>9.1185692287711895E-3</v>
      </c>
      <c r="GK79" s="1169">
        <v>1.3485315071011699E-2</v>
      </c>
      <c r="GL79" s="1169">
        <v>1.24714290897217E-2</v>
      </c>
      <c r="GM79" s="1169">
        <v>1.06067528465337E-2</v>
      </c>
      <c r="GN79" s="1169">
        <v>9.4317043550717905E-3</v>
      </c>
      <c r="GO79" s="1169">
        <v>4.9527991218440998E-3</v>
      </c>
      <c r="GP79" s="1169">
        <v>-4.0108704200489996E-3</v>
      </c>
      <c r="GQ79" s="1169">
        <v>6.8257589050710896E-3</v>
      </c>
      <c r="GR79" s="1169">
        <v>1.40295229962173E-3</v>
      </c>
      <c r="GS79" s="1169">
        <v>3.1848519391919298E-3</v>
      </c>
      <c r="GT79" s="1169">
        <v>1.09381099015484E-2</v>
      </c>
      <c r="GU79" s="1169">
        <v>-4.0670636486881398E-3</v>
      </c>
      <c r="GV79" s="1169">
        <v>3.8510579640223001E-3</v>
      </c>
      <c r="GW79" s="1169">
        <v>9.2173808563409398E-3</v>
      </c>
      <c r="GX79" s="1169">
        <v>1.5528135178114201E-2</v>
      </c>
      <c r="GY79" s="1169">
        <v>1.6797996968656699E-2</v>
      </c>
      <c r="GZ79" s="1169">
        <v>1.53675108091413E-2</v>
      </c>
      <c r="HA79" s="1169">
        <v>1.96364698153151E-2</v>
      </c>
    </row>
    <row r="80" spans="1:209" x14ac:dyDescent="0.35">
      <c r="A80" s="1169" t="s">
        <v>883</v>
      </c>
      <c r="B80" s="1169">
        <v>2.51411589895989E-2</v>
      </c>
      <c r="C80" s="1169">
        <v>2.51411589895989E-2</v>
      </c>
      <c r="D80" s="1169">
        <v>1.9364564007421099E-2</v>
      </c>
      <c r="E80" s="1169">
        <v>2.5366852462745899E-2</v>
      </c>
      <c r="F80" s="1169">
        <v>1.6862658087419598E-2</v>
      </c>
      <c r="G80" s="1169">
        <v>1.59829805804057E-2</v>
      </c>
      <c r="H80" s="1169">
        <v>1.0899328859060401E-2</v>
      </c>
      <c r="I80" s="1169">
        <v>1.7261525387720401E-2</v>
      </c>
      <c r="J80" s="1169">
        <v>1.27917297551299E-2</v>
      </c>
      <c r="K80" s="1169">
        <v>7.0110320651612899E-3</v>
      </c>
      <c r="L80" s="1169">
        <v>1.38732466468721E-2</v>
      </c>
      <c r="M80" s="1169">
        <v>1.8682150971976799E-2</v>
      </c>
      <c r="N80" s="1169">
        <v>1.9281288723668001E-2</v>
      </c>
      <c r="O80" s="1169">
        <v>2.1056214744213299E-2</v>
      </c>
      <c r="P80" s="1169">
        <v>2.03838643615755E-2</v>
      </c>
      <c r="Q80" s="1169">
        <v>2.68378063010501E-2</v>
      </c>
      <c r="R80" s="1169">
        <v>4.6363636363636399E-2</v>
      </c>
      <c r="S80" s="1169">
        <v>6.2858384013900995E-2</v>
      </c>
      <c r="T80" s="1169">
        <v>6.3922834838762405E-2</v>
      </c>
      <c r="U80" s="1169">
        <v>4.15658253620683E-2</v>
      </c>
      <c r="V80" s="1169">
        <v>2.1244421495223698E-2</v>
      </c>
      <c r="W80" s="1169">
        <v>4.9478132110223304E-3</v>
      </c>
      <c r="X80" s="1169">
        <v>3.16250988284339E-3</v>
      </c>
      <c r="Y80" s="1169">
        <v>6.0901339829475499E-3</v>
      </c>
      <c r="Z80" s="1169">
        <v>4.91382993875522E-3</v>
      </c>
      <c r="AA80" s="1169">
        <v>8.5748706682728902E-3</v>
      </c>
      <c r="AB80" s="1169">
        <v>2.17818999437891E-3</v>
      </c>
      <c r="AC80" s="1169">
        <v>6.8008132931360902E-3</v>
      </c>
      <c r="AD80" s="1169">
        <v>1.2952646239554401E-2</v>
      </c>
      <c r="AE80" s="1169">
        <v>9.8652550529356696E-3</v>
      </c>
      <c r="AF80" s="1169">
        <v>1.3444977705163501E-2</v>
      </c>
      <c r="AG80" s="1169">
        <v>1.0680459461274799E-2</v>
      </c>
      <c r="AH80" s="1169">
        <v>1.23953210155523E-2</v>
      </c>
      <c r="AI80" s="1169">
        <v>1.9661907106515601E-2</v>
      </c>
      <c r="AJ80" s="1169">
        <v>1.9121813031161401E-2</v>
      </c>
      <c r="AK80" s="1169">
        <v>1.78785772948384E-2</v>
      </c>
      <c r="AL80" s="1169">
        <v>2.0636792452830299E-2</v>
      </c>
      <c r="AM80" s="1169">
        <v>2.7151935297515601E-2</v>
      </c>
      <c r="AN80" s="1169">
        <v>2.9187141081049101E-2</v>
      </c>
      <c r="AO80" s="1169">
        <v>2.83594109526E-2</v>
      </c>
      <c r="AP80" s="1169">
        <v>2.7325613917324101E-2</v>
      </c>
      <c r="AQ80" s="1169">
        <v>2.8695107674715899E-2</v>
      </c>
      <c r="AR80" s="1169">
        <v>3.2870186581977198E-2</v>
      </c>
      <c r="AS80" s="1169">
        <v>2.9594895841340601E-2</v>
      </c>
      <c r="AT80" s="1169">
        <v>2.8321138818376401E-2</v>
      </c>
      <c r="AU80" s="1169">
        <v>2.39109390125847E-2</v>
      </c>
      <c r="AV80" s="1169">
        <v>2.0492578235794499E-2</v>
      </c>
      <c r="AW80" s="1169">
        <v>1.7811233352634799E-2</v>
      </c>
      <c r="AX80" s="1169">
        <v>1.40178408884035E-2</v>
      </c>
      <c r="AY80" s="1169">
        <v>1.6719030520646199E-2</v>
      </c>
      <c r="AZ80" s="1169">
        <v>1.1808851120185501E-2</v>
      </c>
      <c r="BA80" s="1169">
        <v>2.5305410122164998E-3</v>
      </c>
      <c r="BB80" s="1169">
        <v>9.3567760466539696E-4</v>
      </c>
      <c r="BC80" s="1169">
        <v>-1.3478553881607299E-3</v>
      </c>
      <c r="BD80" s="1169">
        <v>5.6599255502098899E-4</v>
      </c>
      <c r="BE80" s="1169">
        <v>-2.82836194330227E-4</v>
      </c>
      <c r="BF80" s="1169">
        <v>1.0881392818280499E-3</v>
      </c>
      <c r="BG80" s="1169">
        <v>3.5434782608694299E-3</v>
      </c>
      <c r="BH80" s="1169">
        <v>3.22769317418703E-3</v>
      </c>
      <c r="BI80" s="1169">
        <v>2.0297115218517198E-3</v>
      </c>
      <c r="BJ80" s="1169">
        <v>5.5596259104426799E-3</v>
      </c>
      <c r="BK80" s="1169">
        <v>3.0858906223212301E-3</v>
      </c>
      <c r="BL80" s="1169">
        <v>4.1018629294138397E-3</v>
      </c>
      <c r="BM80" s="1169">
        <v>5.9574468085106204E-3</v>
      </c>
      <c r="BN80" s="1169">
        <v>6.2182741116749698E-3</v>
      </c>
      <c r="BO80" s="1169">
        <v>1.02787236725943E-2</v>
      </c>
      <c r="BP80" s="1169">
        <v>9.1130391361338194E-3</v>
      </c>
      <c r="BQ80" s="1169">
        <v>1.08245190820808E-2</v>
      </c>
      <c r="BR80" s="1169">
        <v>6.4047648186675897E-3</v>
      </c>
      <c r="BS80" s="1169">
        <v>8.4110255370895004E-3</v>
      </c>
      <c r="BT80" s="1169">
        <v>8.9036277761027592E-3</v>
      </c>
      <c r="BU80" s="1169">
        <v>5.29901589704762E-3</v>
      </c>
      <c r="BV80" s="1169">
        <v>8.0453392517438899E-3</v>
      </c>
      <c r="BW80" s="1169">
        <v>5.5238844112444098E-3</v>
      </c>
      <c r="BX80" s="1169">
        <v>6.45148677445206E-3</v>
      </c>
      <c r="BY80" s="1169">
        <v>5.2835026514637101E-3</v>
      </c>
      <c r="BZ80" s="1169">
        <v>4.8306378374200999E-3</v>
      </c>
      <c r="CA80" s="1169">
        <v>8.1149164471279196E-3</v>
      </c>
      <c r="CB80" s="1169">
        <v>7.4201239866476002E-3</v>
      </c>
      <c r="CC80" s="1169">
        <v>5.5099026773204303E-3</v>
      </c>
      <c r="CD80" s="1169">
        <v>7.1932962997835999E-3</v>
      </c>
      <c r="CE80" s="1169">
        <v>8.8245741955990092E-3</v>
      </c>
      <c r="CF80" s="1169">
        <v>9.7110769287791499E-3</v>
      </c>
      <c r="CG80" s="1169">
        <v>2.66138061413668E-3</v>
      </c>
      <c r="CH80" s="1169">
        <v>1.9770081276999601E-3</v>
      </c>
      <c r="CI80" s="1169">
        <v>5.1520023384976597E-3</v>
      </c>
      <c r="CJ80" s="1169">
        <v>2.6536769784435399E-3</v>
      </c>
      <c r="CK80" s="1169">
        <v>-2.5016314988035599E-3</v>
      </c>
      <c r="CL80" s="1169">
        <v>-2.61694471704299E-3</v>
      </c>
      <c r="CM80" s="1169">
        <v>4.7374366823367299E-3</v>
      </c>
      <c r="CN80" s="1169">
        <v>2.03111965470959E-3</v>
      </c>
      <c r="CO80" s="1169">
        <v>4.5607557823867896E-3</v>
      </c>
      <c r="CP80" s="1169">
        <v>7.4406370482469298E-3</v>
      </c>
      <c r="CQ80" s="1169">
        <v>5.8298610490172802E-3</v>
      </c>
      <c r="CR80" s="1169">
        <v>1.01342341541466E-3</v>
      </c>
      <c r="CS80" s="1169">
        <v>4.6712372562254202E-3</v>
      </c>
      <c r="CT80" s="1169">
        <v>7.3013347476356101E-3</v>
      </c>
      <c r="CU80" s="1169">
        <v>4.3350064937344203E-3</v>
      </c>
      <c r="CV80" s="1169">
        <v>8.7549148099605994E-3</v>
      </c>
      <c r="CW80" s="1169">
        <v>8.3324671725046907E-3</v>
      </c>
      <c r="CX80" s="1169">
        <v>9.9816173312487991E-3</v>
      </c>
      <c r="CY80" s="1169">
        <v>7.1443151663605998E-3</v>
      </c>
      <c r="CZ80" s="1169">
        <v>5.5229023104985701E-3</v>
      </c>
      <c r="DA80" s="1169">
        <v>5.7613168724279804E-3</v>
      </c>
      <c r="DB80" s="1169">
        <v>5.3609004976786804E-3</v>
      </c>
      <c r="DC80" s="1169">
        <v>1.1129752985929999E-3</v>
      </c>
      <c r="DD80" s="1169">
        <v>4.9613380678989998E-3</v>
      </c>
      <c r="DE80" s="1169">
        <v>3.2361925204327201E-3</v>
      </c>
      <c r="DF80" s="1169">
        <v>5.6450683826796402E-3</v>
      </c>
      <c r="DG80" s="1169">
        <v>6.8244304791831301E-3</v>
      </c>
      <c r="DH80" s="1169">
        <v>2.5357195104109801E-3</v>
      </c>
      <c r="DI80" s="1169">
        <v>6.4367592457479396E-3</v>
      </c>
      <c r="DJ80" s="1169">
        <v>3.3830589296646201E-4</v>
      </c>
      <c r="DK80" s="1169">
        <v>6.2806989290598004E-4</v>
      </c>
      <c r="DL80" s="1169">
        <v>6.1640969517495802E-3</v>
      </c>
      <c r="DM80" s="1169">
        <v>5.6464641617479704E-3</v>
      </c>
      <c r="DN80" s="1169">
        <v>4.0082710354700799E-3</v>
      </c>
      <c r="DO80" s="1169">
        <v>7.4142137448116596E-3</v>
      </c>
      <c r="DP80" s="1169">
        <v>4.2144991350840898E-3</v>
      </c>
      <c r="DQ80" s="1169">
        <v>8.5189013122866104E-3</v>
      </c>
      <c r="DR80" s="1169">
        <v>7.9190087264371396E-3</v>
      </c>
      <c r="DS80" s="1169">
        <v>1.13846438254868E-2</v>
      </c>
      <c r="DT80" s="1169">
        <v>6.5497859895509202E-3</v>
      </c>
      <c r="DU80" s="1169">
        <v>5.8867147894250396E-3</v>
      </c>
      <c r="DV80" s="1169">
        <v>6.16819617872721E-3</v>
      </c>
      <c r="DW80" s="1169">
        <v>2.5717703349283898E-3</v>
      </c>
      <c r="DX80" s="1169">
        <v>3.1318976316887502E-3</v>
      </c>
      <c r="DY80" s="1169">
        <v>5.3670720466236803E-3</v>
      </c>
      <c r="DZ80" s="1169">
        <v>4.4067846738535801E-3</v>
      </c>
      <c r="EA80" s="1169">
        <v>5.4327822028532599E-3</v>
      </c>
      <c r="EB80" s="1169">
        <v>3.07512080831729E-3</v>
      </c>
      <c r="EC80" s="1169">
        <v>1.7226277372262E-3</v>
      </c>
      <c r="ED80" s="1169">
        <v>8.2922848232243104E-3</v>
      </c>
      <c r="EE80" s="1169">
        <v>1.0406579270672001E-3</v>
      </c>
      <c r="EF80" s="1169">
        <v>1.2705929915244299E-3</v>
      </c>
      <c r="EG80" s="1169">
        <v>2.7686850188184402E-3</v>
      </c>
      <c r="EH80" s="1169">
        <v>6.5143300881520504E-3</v>
      </c>
      <c r="EI80" s="1169">
        <v>1.8373528403245999E-2</v>
      </c>
      <c r="EJ80" s="1169">
        <v>2.6922753163668899E-2</v>
      </c>
      <c r="EK80" s="1169">
        <v>2.4017377761383699E-2</v>
      </c>
      <c r="EL80" s="1169">
        <v>8.4450670402240694E-3</v>
      </c>
      <c r="EM80" s="1169">
        <v>1.8812509922210102E-2</v>
      </c>
      <c r="EN80" s="1169">
        <v>2.2269835086352399E-2</v>
      </c>
      <c r="EO80" s="1169">
        <v>1.39472848523341E-2</v>
      </c>
      <c r="EP80" s="1169">
        <v>6.2137479172670301E-3</v>
      </c>
      <c r="EQ80" s="1169">
        <v>2.20371269562618E-2</v>
      </c>
      <c r="ER80" s="1169">
        <v>1.39239118517707E-2</v>
      </c>
      <c r="ES80" s="1169">
        <v>2.34645328719723E-2</v>
      </c>
      <c r="ET80" s="1169">
        <v>2.5227446146622E-2</v>
      </c>
      <c r="EU80" s="1169">
        <v>1.0454118670849799E-2</v>
      </c>
      <c r="EV80" s="1169">
        <v>9.6320554806394992E-3</v>
      </c>
      <c r="EW80" s="1169">
        <v>1.1762461137861099E-2</v>
      </c>
      <c r="EX80" s="1169">
        <v>9.4736258250596207E-3</v>
      </c>
      <c r="EY80" s="1169">
        <v>7.6923922240903497E-3</v>
      </c>
      <c r="EZ80" s="1169">
        <v>1.29227145334192E-2</v>
      </c>
      <c r="FA80" s="1169">
        <v>1.8323930924594199E-2</v>
      </c>
      <c r="FB80" s="1169">
        <v>6.2377095976149403E-3</v>
      </c>
      <c r="FC80" s="1169">
        <v>-8.7837269899974108E-3</v>
      </c>
      <c r="FD80" s="1169">
        <v>-9.0099639601441996E-3</v>
      </c>
      <c r="FE80" s="1169">
        <v>-7.7013584340557305E-4</v>
      </c>
      <c r="FF80" s="1169">
        <v>2.8367124108843499E-3</v>
      </c>
      <c r="FG80" s="1169">
        <v>4.3444381584705196E-3</v>
      </c>
      <c r="FH80" s="1169">
        <v>3.1459241152087501E-3</v>
      </c>
      <c r="FI80" s="1169">
        <v>4.4921916385904899E-3</v>
      </c>
      <c r="FJ80" s="1169">
        <v>6.0436662799281402E-3</v>
      </c>
      <c r="FK80" s="1169">
        <v>1.01066227734501E-2</v>
      </c>
      <c r="FL80" s="1169">
        <v>1.13028947450362E-2</v>
      </c>
      <c r="FM80" s="1169">
        <v>9.4010427357444897E-3</v>
      </c>
      <c r="FN80" s="1169">
        <v>7.4934927606962196E-3</v>
      </c>
      <c r="FO80" s="1169">
        <v>7.9726306653615797E-3</v>
      </c>
      <c r="FP80" s="1169">
        <v>5.3865176864005297E-3</v>
      </c>
      <c r="FQ80" s="1169">
        <v>1.9717776870449301E-3</v>
      </c>
      <c r="FR80" s="1169">
        <v>4.05506137255873E-3</v>
      </c>
      <c r="FS80" s="1169">
        <v>5.0978490046820202E-3</v>
      </c>
      <c r="FT80" s="1169">
        <v>5.3871456991470001E-3</v>
      </c>
      <c r="FU80" s="1169">
        <v>7.55252975461618E-3</v>
      </c>
      <c r="FV80" s="1169">
        <v>5.6292292136579398E-3</v>
      </c>
      <c r="FW80" s="1169">
        <v>4.5632522840430801E-3</v>
      </c>
      <c r="FX80" s="1169">
        <v>4.8312433233566E-3</v>
      </c>
      <c r="FY80" s="1169">
        <v>1.76230018484991E-3</v>
      </c>
      <c r="FZ80" s="1169">
        <v>-2.9638694750133698E-4</v>
      </c>
      <c r="GA80" s="1169">
        <v>4.3897400585299904E-3</v>
      </c>
      <c r="GB80" s="1169">
        <v>2.8375277325487498E-3</v>
      </c>
      <c r="GC80" s="1169">
        <v>-5.5070784948596497E-4</v>
      </c>
      <c r="GD80" s="1169">
        <v>-2.4225496622680702E-3</v>
      </c>
      <c r="GE80" s="1169">
        <v>8.1519151286593202E-3</v>
      </c>
      <c r="GF80" s="1169">
        <v>7.5570081804610101E-4</v>
      </c>
      <c r="GG80" s="1169">
        <v>4.8328330595985803E-3</v>
      </c>
      <c r="GH80" s="1169">
        <v>6.8949969000695601E-3</v>
      </c>
      <c r="GI80" s="1169">
        <v>4.8886069336120403E-3</v>
      </c>
      <c r="GJ80" s="1169">
        <v>8.94979203802726E-3</v>
      </c>
      <c r="GK80" s="1169">
        <v>5.6038131694209304E-3</v>
      </c>
      <c r="GL80" s="1169">
        <v>9.2052889234570702E-3</v>
      </c>
      <c r="GM80" s="1169">
        <v>1.3101703674824E-2</v>
      </c>
      <c r="GN80" s="1169">
        <v>7.2134316603422698E-3</v>
      </c>
      <c r="GO80" s="1169">
        <v>1.0422775497147801E-2</v>
      </c>
      <c r="GP80" s="1169">
        <v>4.0452007211009304E-3</v>
      </c>
      <c r="GQ80" s="1169">
        <v>1.0886796584191E-2</v>
      </c>
      <c r="GR80" s="1169">
        <v>4.8865861477411796E-3</v>
      </c>
      <c r="GS80" s="1169">
        <v>1.59507509785994E-3</v>
      </c>
      <c r="GT80" s="1169">
        <v>2.86656279322006E-3</v>
      </c>
      <c r="GU80" s="1169">
        <v>-2.61802575107306E-3</v>
      </c>
      <c r="GV80" s="1169">
        <v>9.3807823056069103E-3</v>
      </c>
      <c r="GW80" s="1169">
        <v>3.5895468303705999E-3</v>
      </c>
      <c r="GX80" s="1169">
        <v>1.45277216114725E-2</v>
      </c>
      <c r="GY80" s="1169">
        <v>2.24844241977624E-2</v>
      </c>
      <c r="GZ80" s="1169">
        <v>2.13675563672697E-2</v>
      </c>
      <c r="HA80" s="1169">
        <v>2.9981557212733798E-2</v>
      </c>
    </row>
    <row r="81" spans="1:209" x14ac:dyDescent="0.35">
      <c r="A81" s="1169" t="s">
        <v>1144</v>
      </c>
      <c r="B81" s="1169">
        <v>545.1</v>
      </c>
      <c r="C81" s="1169">
        <v>549</v>
      </c>
      <c r="D81" s="1169">
        <v>555.70000000000005</v>
      </c>
      <c r="E81" s="1169">
        <v>556.29999999999995</v>
      </c>
      <c r="F81" s="1169">
        <v>570.5</v>
      </c>
      <c r="G81" s="1169">
        <v>580.4</v>
      </c>
      <c r="H81" s="1169">
        <v>588.79999999999995</v>
      </c>
      <c r="I81" s="1169">
        <v>598.4</v>
      </c>
      <c r="J81" s="1169">
        <v>618.5</v>
      </c>
      <c r="K81" s="1169">
        <v>630.4</v>
      </c>
      <c r="L81" s="1169">
        <v>642.29999999999995</v>
      </c>
      <c r="M81" s="1169">
        <v>664</v>
      </c>
      <c r="N81" s="1169">
        <v>683.4</v>
      </c>
      <c r="O81" s="1169">
        <v>700.2</v>
      </c>
      <c r="P81" s="1169">
        <v>716.2</v>
      </c>
      <c r="Q81" s="1169">
        <v>735.4</v>
      </c>
      <c r="R81" s="1169">
        <v>748.2</v>
      </c>
      <c r="S81" s="1169">
        <v>765.3</v>
      </c>
      <c r="T81" s="1169">
        <v>783.2</v>
      </c>
      <c r="U81" s="1169">
        <v>792.5</v>
      </c>
      <c r="V81" s="1169">
        <v>792</v>
      </c>
      <c r="W81" s="1169">
        <v>800.4</v>
      </c>
      <c r="X81" s="1169">
        <v>821.3</v>
      </c>
      <c r="Y81" s="1169">
        <v>845.8</v>
      </c>
      <c r="Z81" s="1169">
        <v>871.3</v>
      </c>
      <c r="AA81" s="1169">
        <v>889.4</v>
      </c>
      <c r="AB81" s="1169">
        <v>908.5</v>
      </c>
      <c r="AC81" s="1169">
        <v>930</v>
      </c>
      <c r="AD81" s="1169">
        <v>950.1</v>
      </c>
      <c r="AE81" s="1169">
        <v>981</v>
      </c>
      <c r="AF81" s="1169">
        <v>1007.6</v>
      </c>
      <c r="AG81" s="1169">
        <v>1038.2</v>
      </c>
      <c r="AH81" s="1169">
        <v>1063.9000000000001</v>
      </c>
      <c r="AI81" s="1169">
        <v>1106.0999999999999</v>
      </c>
      <c r="AJ81" s="1169">
        <v>1138.0999999999999</v>
      </c>
      <c r="AK81" s="1169">
        <v>1174.5</v>
      </c>
      <c r="AL81" s="1169">
        <v>1208.5999999999999</v>
      </c>
      <c r="AM81" s="1169">
        <v>1234.5</v>
      </c>
      <c r="AN81" s="1169">
        <v>1269.5</v>
      </c>
      <c r="AO81" s="1169">
        <v>1301</v>
      </c>
      <c r="AP81" s="1169">
        <v>1333.9</v>
      </c>
      <c r="AQ81" s="1169">
        <v>1354</v>
      </c>
      <c r="AR81" s="1169">
        <v>1377.4</v>
      </c>
      <c r="AS81" s="1169">
        <v>1428.8</v>
      </c>
      <c r="AT81" s="1169">
        <v>1467.8</v>
      </c>
      <c r="AU81" s="1169">
        <v>1496.8</v>
      </c>
      <c r="AV81" s="1169">
        <v>1530.7</v>
      </c>
      <c r="AW81" s="1169">
        <v>1550.7</v>
      </c>
      <c r="AX81" s="1169">
        <v>1567.7</v>
      </c>
      <c r="AY81" s="1169">
        <v>1581.9</v>
      </c>
      <c r="AZ81" s="1169">
        <v>1596.6</v>
      </c>
      <c r="BA81" s="1169">
        <v>1604.5</v>
      </c>
      <c r="BB81" s="1169">
        <v>1622.6</v>
      </c>
      <c r="BC81" s="1169">
        <v>1654.8</v>
      </c>
      <c r="BD81" s="1169">
        <v>1691.6</v>
      </c>
      <c r="BE81" s="1169">
        <v>1741.7</v>
      </c>
      <c r="BF81" s="1169">
        <v>1784.2</v>
      </c>
      <c r="BG81" s="1169">
        <v>1828.4</v>
      </c>
      <c r="BH81" s="1169">
        <v>1867.3</v>
      </c>
      <c r="BI81" s="1169">
        <v>1900.7</v>
      </c>
      <c r="BJ81" s="1169">
        <v>1932.4</v>
      </c>
      <c r="BK81" s="1169">
        <v>1963.8</v>
      </c>
      <c r="BL81" s="1169">
        <v>1997.6</v>
      </c>
      <c r="BM81" s="1169">
        <v>2037.2</v>
      </c>
      <c r="BN81" s="1169">
        <v>2065.5</v>
      </c>
      <c r="BO81" s="1169">
        <v>2083.6</v>
      </c>
      <c r="BP81" s="1169">
        <v>2113.1</v>
      </c>
      <c r="BQ81" s="1169">
        <v>2154.1999999999998</v>
      </c>
      <c r="BR81" s="1169">
        <v>2194.3000000000002</v>
      </c>
      <c r="BS81" s="1169">
        <v>2231.4</v>
      </c>
      <c r="BT81" s="1169">
        <v>2272</v>
      </c>
      <c r="BU81" s="1169">
        <v>2332.8000000000002</v>
      </c>
      <c r="BV81" s="1169">
        <v>2367.1</v>
      </c>
      <c r="BW81" s="1169">
        <v>2422.5</v>
      </c>
      <c r="BX81" s="1169">
        <v>2463.6</v>
      </c>
      <c r="BY81" s="1169">
        <v>2509.5</v>
      </c>
      <c r="BZ81" s="1169">
        <v>2541.9</v>
      </c>
      <c r="CA81" s="1169">
        <v>2564.6999999999998</v>
      </c>
      <c r="CB81" s="1169">
        <v>2593.5</v>
      </c>
      <c r="CC81" s="1169">
        <v>2637.3</v>
      </c>
      <c r="CD81" s="1169">
        <v>2686.6</v>
      </c>
      <c r="CE81" s="1169">
        <v>2741</v>
      </c>
      <c r="CF81" s="1169">
        <v>2771.6</v>
      </c>
      <c r="CG81" s="1169">
        <v>2774.8</v>
      </c>
      <c r="CH81" s="1169">
        <v>2774.1</v>
      </c>
      <c r="CI81" s="1169">
        <v>2802.8</v>
      </c>
      <c r="CJ81" s="1169">
        <v>2830.9</v>
      </c>
      <c r="CK81" s="1169">
        <v>2861.2</v>
      </c>
      <c r="CL81" s="1169">
        <v>2915.9</v>
      </c>
      <c r="CM81" s="1169">
        <v>2955</v>
      </c>
      <c r="CN81" s="1169">
        <v>2979.4</v>
      </c>
      <c r="CO81" s="1169">
        <v>3023.8</v>
      </c>
      <c r="CP81" s="1169">
        <v>3019</v>
      </c>
      <c r="CQ81" s="1169">
        <v>3069.8</v>
      </c>
      <c r="CR81" s="1169">
        <v>3096.9</v>
      </c>
      <c r="CS81" s="1169">
        <v>3144.9</v>
      </c>
      <c r="CT81" s="1169">
        <v>3156.6</v>
      </c>
      <c r="CU81" s="1169">
        <v>3227.4</v>
      </c>
      <c r="CV81" s="1169">
        <v>3262.7</v>
      </c>
      <c r="CW81" s="1169">
        <v>3315.7</v>
      </c>
      <c r="CX81" s="1169">
        <v>3362.1</v>
      </c>
      <c r="CY81" s="1169">
        <v>3399.3</v>
      </c>
      <c r="CZ81" s="1169">
        <v>3443</v>
      </c>
      <c r="DA81" s="1169">
        <v>3484.1</v>
      </c>
      <c r="DB81" s="1169">
        <v>3528.3</v>
      </c>
      <c r="DC81" s="1169">
        <v>3594</v>
      </c>
      <c r="DD81" s="1169">
        <v>3651.3</v>
      </c>
      <c r="DE81" s="1169">
        <v>3708.7</v>
      </c>
      <c r="DF81" s="1169">
        <v>3780.5</v>
      </c>
      <c r="DG81" s="1169">
        <v>3840</v>
      </c>
      <c r="DH81" s="1169">
        <v>3907.4</v>
      </c>
      <c r="DI81" s="1169">
        <v>3997.1</v>
      </c>
      <c r="DJ81" s="1169">
        <v>4079.3</v>
      </c>
      <c r="DK81" s="1169">
        <v>4149.8999999999996</v>
      </c>
      <c r="DL81" s="1169">
        <v>4222</v>
      </c>
      <c r="DM81" s="1169">
        <v>4293.5</v>
      </c>
      <c r="DN81" s="1169">
        <v>4372.7</v>
      </c>
      <c r="DO81" s="1169">
        <v>4416.8999999999996</v>
      </c>
      <c r="DP81" s="1169">
        <v>4480.2</v>
      </c>
      <c r="DQ81" s="1169">
        <v>4591</v>
      </c>
      <c r="DR81" s="1169">
        <v>4758.7</v>
      </c>
      <c r="DS81" s="1169">
        <v>4786.6000000000004</v>
      </c>
      <c r="DT81" s="1169">
        <v>4878.8</v>
      </c>
      <c r="DU81" s="1169">
        <v>4905.7</v>
      </c>
      <c r="DV81" s="1169">
        <v>4987.2</v>
      </c>
      <c r="DW81" s="1169">
        <v>4969.3</v>
      </c>
      <c r="DX81" s="1169">
        <v>4944.1000000000004</v>
      </c>
      <c r="DY81" s="1169">
        <v>4946</v>
      </c>
      <c r="DZ81" s="1169">
        <v>4953.8999999999996</v>
      </c>
      <c r="EA81" s="1169">
        <v>5006.3999999999996</v>
      </c>
      <c r="EB81" s="1169">
        <v>5020.5</v>
      </c>
      <c r="EC81" s="1169">
        <v>5035.5</v>
      </c>
      <c r="ED81" s="1169">
        <v>5035.7</v>
      </c>
      <c r="EE81" s="1169">
        <v>5109.8</v>
      </c>
      <c r="EF81" s="1169">
        <v>5177.3999999999996</v>
      </c>
      <c r="EG81" s="1169">
        <v>5264.9</v>
      </c>
      <c r="EH81" s="1169">
        <v>5284</v>
      </c>
      <c r="EI81" s="1169">
        <v>5390.8</v>
      </c>
      <c r="EJ81" s="1169">
        <v>5502.5</v>
      </c>
      <c r="EK81" s="1169">
        <v>5546.1</v>
      </c>
      <c r="EL81" s="1169">
        <v>5586.1</v>
      </c>
      <c r="EM81" s="1169">
        <v>5649.4</v>
      </c>
      <c r="EN81" s="1169">
        <v>5749.8</v>
      </c>
      <c r="EO81" s="1169">
        <v>5826.7</v>
      </c>
      <c r="EP81" s="1169">
        <v>5983.1</v>
      </c>
      <c r="EQ81" s="1169">
        <v>6024.2</v>
      </c>
      <c r="ER81" s="1169">
        <v>6073</v>
      </c>
      <c r="ES81" s="1169">
        <v>6193</v>
      </c>
      <c r="ET81" s="1169">
        <v>6354.7</v>
      </c>
      <c r="EU81" s="1169">
        <v>6381.4</v>
      </c>
      <c r="EV81" s="1169">
        <v>6407.7</v>
      </c>
      <c r="EW81" s="1169">
        <v>6485.3</v>
      </c>
      <c r="EX81" s="1169">
        <v>6552.3</v>
      </c>
      <c r="EY81" s="1169">
        <v>6544.1</v>
      </c>
      <c r="EZ81" s="1169">
        <v>6558</v>
      </c>
      <c r="FA81" s="1169">
        <v>6529.4</v>
      </c>
      <c r="FB81" s="1169">
        <v>6234.6</v>
      </c>
      <c r="FC81" s="1169">
        <v>6262.8</v>
      </c>
      <c r="FD81" s="1169">
        <v>6245.2</v>
      </c>
      <c r="FE81" s="1169">
        <v>6286.6</v>
      </c>
      <c r="FF81" s="1169">
        <v>6240.2</v>
      </c>
      <c r="FG81" s="1169">
        <v>6368.2</v>
      </c>
      <c r="FH81" s="1169">
        <v>6430.5</v>
      </c>
      <c r="FI81" s="1169">
        <v>6481.4</v>
      </c>
      <c r="FJ81" s="1169">
        <v>6584.9</v>
      </c>
      <c r="FK81" s="1169">
        <v>6615.9</v>
      </c>
      <c r="FL81" s="1169">
        <v>6689.7</v>
      </c>
      <c r="FM81" s="1169">
        <v>6645.7</v>
      </c>
      <c r="FN81" s="1169">
        <v>6844.2</v>
      </c>
      <c r="FO81" s="1169">
        <v>6884.3</v>
      </c>
      <c r="FP81" s="1169">
        <v>6914.2</v>
      </c>
      <c r="FQ81" s="1169">
        <v>7101.8</v>
      </c>
      <c r="FR81" s="1169">
        <v>7052.2</v>
      </c>
      <c r="FS81" s="1169">
        <v>7111.5</v>
      </c>
      <c r="FT81" s="1169">
        <v>7121.5</v>
      </c>
      <c r="FU81" s="1169">
        <v>7205.1</v>
      </c>
      <c r="FV81" s="1169">
        <v>7367.7</v>
      </c>
      <c r="FW81" s="1169">
        <v>7418.9</v>
      </c>
      <c r="FX81" s="1169">
        <v>7512.6</v>
      </c>
      <c r="FY81" s="1169">
        <v>7643.9</v>
      </c>
      <c r="FZ81" s="1169">
        <v>7755.9</v>
      </c>
      <c r="GA81" s="1169">
        <v>7840.7</v>
      </c>
      <c r="GB81" s="1169">
        <v>7913.3</v>
      </c>
      <c r="GC81" s="1169">
        <v>7968.5</v>
      </c>
      <c r="GD81" s="1169">
        <v>8003.5</v>
      </c>
      <c r="GE81" s="1169">
        <v>8050.2</v>
      </c>
      <c r="GF81" s="1169">
        <v>8130.4</v>
      </c>
      <c r="GG81" s="1169">
        <v>8224.9</v>
      </c>
      <c r="GH81" s="1169">
        <v>8321.6</v>
      </c>
      <c r="GI81" s="1169">
        <v>8413.2000000000007</v>
      </c>
      <c r="GJ81" s="1169">
        <v>8529.4</v>
      </c>
      <c r="GK81" s="1169">
        <v>8677</v>
      </c>
      <c r="GL81" s="1169">
        <v>8772.5</v>
      </c>
      <c r="GM81" s="1169">
        <v>8853.1</v>
      </c>
      <c r="GN81" s="1169">
        <v>8980.4</v>
      </c>
      <c r="GO81" s="1169">
        <v>9037.2000000000007</v>
      </c>
      <c r="GP81" s="1169">
        <v>9237.7000000000007</v>
      </c>
      <c r="GQ81" s="1169">
        <v>9287.2000000000007</v>
      </c>
      <c r="GR81" s="1169">
        <v>9338.7000000000007</v>
      </c>
      <c r="GS81" s="1169">
        <v>9477.6</v>
      </c>
      <c r="GT81" s="1169">
        <v>9613.2999999999993</v>
      </c>
      <c r="GU81" s="1169">
        <v>8985.9</v>
      </c>
      <c r="GV81" s="1169">
        <v>9417.7999999999993</v>
      </c>
      <c r="GW81" s="1169">
        <v>9791.1</v>
      </c>
      <c r="GX81" s="1169">
        <v>9888.1</v>
      </c>
      <c r="GY81" s="1169">
        <v>10189.1</v>
      </c>
      <c r="GZ81" s="1169">
        <v>10497.2</v>
      </c>
      <c r="HA81" s="1169">
        <v>10771.2</v>
      </c>
    </row>
    <row r="82" spans="1:209" x14ac:dyDescent="0.35">
      <c r="A82" s="1169" t="s">
        <v>1145</v>
      </c>
      <c r="B82" s="1169">
        <v>77.099999999999994</v>
      </c>
      <c r="C82" s="1169">
        <v>76.7</v>
      </c>
      <c r="D82" s="1169">
        <v>78.5</v>
      </c>
      <c r="E82" s="1169">
        <v>78.900000000000006</v>
      </c>
      <c r="F82" s="1169">
        <v>80.3</v>
      </c>
      <c r="G82" s="1169">
        <v>82.8</v>
      </c>
      <c r="H82" s="1169">
        <v>84.6</v>
      </c>
      <c r="I82" s="1169">
        <v>87.9</v>
      </c>
      <c r="J82" s="1169">
        <v>87.9</v>
      </c>
      <c r="K82" s="1169">
        <v>91.3</v>
      </c>
      <c r="L82" s="1169">
        <v>95.5</v>
      </c>
      <c r="M82" s="1169">
        <v>105.6</v>
      </c>
      <c r="N82" s="1169">
        <v>104.1</v>
      </c>
      <c r="O82" s="1169">
        <v>109.9</v>
      </c>
      <c r="P82" s="1169">
        <v>113.8</v>
      </c>
      <c r="Q82" s="1169">
        <v>122.2</v>
      </c>
      <c r="R82" s="1169">
        <v>115.7</v>
      </c>
      <c r="S82" s="1169">
        <v>108.6</v>
      </c>
      <c r="T82" s="1169">
        <v>111</v>
      </c>
      <c r="U82" s="1169">
        <v>113.5</v>
      </c>
      <c r="V82" s="1169">
        <v>112.7</v>
      </c>
      <c r="W82" s="1169">
        <v>114.3</v>
      </c>
      <c r="X82" s="1169">
        <v>120.7</v>
      </c>
      <c r="Y82" s="1169">
        <v>125.2</v>
      </c>
      <c r="Z82" s="1169">
        <v>126.4</v>
      </c>
      <c r="AA82" s="1169">
        <v>128.6</v>
      </c>
      <c r="AB82" s="1169">
        <v>132.69999999999999</v>
      </c>
      <c r="AC82" s="1169">
        <v>136.19999999999999</v>
      </c>
      <c r="AD82" s="1169">
        <v>138.6</v>
      </c>
      <c r="AE82" s="1169">
        <v>140.5</v>
      </c>
      <c r="AF82" s="1169">
        <v>142.4</v>
      </c>
      <c r="AG82" s="1169">
        <v>156.5</v>
      </c>
      <c r="AH82" s="1169">
        <v>158.5</v>
      </c>
      <c r="AI82" s="1169">
        <v>166.1</v>
      </c>
      <c r="AJ82" s="1169">
        <v>168.3</v>
      </c>
      <c r="AK82" s="1169">
        <v>170.9</v>
      </c>
      <c r="AL82" s="1169">
        <v>180.1</v>
      </c>
      <c r="AM82" s="1169">
        <v>179.2</v>
      </c>
      <c r="AN82" s="1169">
        <v>180.7</v>
      </c>
      <c r="AO82" s="1169">
        <v>177.8</v>
      </c>
      <c r="AP82" s="1169">
        <v>167.6</v>
      </c>
      <c r="AQ82" s="1169">
        <v>160.30000000000001</v>
      </c>
      <c r="AR82" s="1169">
        <v>173.4</v>
      </c>
      <c r="AS82" s="1169">
        <v>185</v>
      </c>
      <c r="AT82" s="1169">
        <v>188.2</v>
      </c>
      <c r="AU82" s="1169">
        <v>176.4</v>
      </c>
      <c r="AV82" s="1169">
        <v>182.3</v>
      </c>
      <c r="AW82" s="1169">
        <v>171.8</v>
      </c>
      <c r="AX82" s="1169">
        <v>165.2</v>
      </c>
      <c r="AY82" s="1169">
        <v>169.4</v>
      </c>
      <c r="AZ82" s="1169">
        <v>170.7</v>
      </c>
      <c r="BA82" s="1169">
        <v>179.5</v>
      </c>
      <c r="BB82" s="1169">
        <v>183.3</v>
      </c>
      <c r="BC82" s="1169">
        <v>182.6</v>
      </c>
      <c r="BD82" s="1169">
        <v>183.8</v>
      </c>
      <c r="BE82" s="1169">
        <v>195.3</v>
      </c>
      <c r="BF82" s="1169">
        <v>221.9</v>
      </c>
      <c r="BG82" s="1169">
        <v>231.8</v>
      </c>
      <c r="BH82" s="1169">
        <v>232.4</v>
      </c>
      <c r="BI82" s="1169">
        <v>226.9</v>
      </c>
      <c r="BJ82" s="1169">
        <v>240.7</v>
      </c>
      <c r="BK82" s="1169">
        <v>238.5</v>
      </c>
      <c r="BL82" s="1169">
        <v>240.7</v>
      </c>
      <c r="BM82" s="1169">
        <v>244.3</v>
      </c>
      <c r="BN82" s="1169">
        <v>245.6</v>
      </c>
      <c r="BO82" s="1169">
        <v>251.6</v>
      </c>
      <c r="BP82" s="1169">
        <v>264.39999999999998</v>
      </c>
      <c r="BQ82" s="1169">
        <v>264.2</v>
      </c>
      <c r="BR82" s="1169">
        <v>275.39999999999998</v>
      </c>
      <c r="BS82" s="1169">
        <v>282.3</v>
      </c>
      <c r="BT82" s="1169">
        <v>289.5</v>
      </c>
      <c r="BU82" s="1169">
        <v>298.60000000000002</v>
      </c>
      <c r="BV82" s="1169">
        <v>319.2</v>
      </c>
      <c r="BW82" s="1169">
        <v>322.5</v>
      </c>
      <c r="BX82" s="1169">
        <v>333.6</v>
      </c>
      <c r="BY82" s="1169">
        <v>326.8</v>
      </c>
      <c r="BZ82" s="1169">
        <v>348.1</v>
      </c>
      <c r="CA82" s="1169">
        <v>339.5</v>
      </c>
      <c r="CB82" s="1169">
        <v>337.2</v>
      </c>
      <c r="CC82" s="1169">
        <v>339.7</v>
      </c>
      <c r="CD82" s="1169">
        <v>345.6</v>
      </c>
      <c r="CE82" s="1169">
        <v>351.1</v>
      </c>
      <c r="CF82" s="1169">
        <v>358.9</v>
      </c>
      <c r="CG82" s="1169">
        <v>357</v>
      </c>
      <c r="CH82" s="1169">
        <v>347.5</v>
      </c>
      <c r="CI82" s="1169">
        <v>353</v>
      </c>
      <c r="CJ82" s="1169">
        <v>353.6</v>
      </c>
      <c r="CK82" s="1169">
        <v>362.6</v>
      </c>
      <c r="CL82" s="1169">
        <v>378.7</v>
      </c>
      <c r="CM82" s="1169">
        <v>395.2</v>
      </c>
      <c r="CN82" s="1169">
        <v>407.9</v>
      </c>
      <c r="CO82" s="1169">
        <v>418.8</v>
      </c>
      <c r="CP82" s="1169">
        <v>418.9</v>
      </c>
      <c r="CQ82" s="1169">
        <v>429.6</v>
      </c>
      <c r="CR82" s="1169">
        <v>423.4</v>
      </c>
      <c r="CS82" s="1169">
        <v>440</v>
      </c>
      <c r="CT82" s="1169">
        <v>450.2</v>
      </c>
      <c r="CU82" s="1169">
        <v>454.1</v>
      </c>
      <c r="CV82" s="1169">
        <v>456.8</v>
      </c>
      <c r="CW82" s="1169">
        <v>465.5</v>
      </c>
      <c r="CX82" s="1169">
        <v>467.4</v>
      </c>
      <c r="CY82" s="1169">
        <v>472</v>
      </c>
      <c r="CZ82" s="1169">
        <v>484.5</v>
      </c>
      <c r="DA82" s="1169">
        <v>501</v>
      </c>
      <c r="DB82" s="1169">
        <v>523.29999999999995</v>
      </c>
      <c r="DC82" s="1169">
        <v>547.5</v>
      </c>
      <c r="DD82" s="1169">
        <v>547.5</v>
      </c>
      <c r="DE82" s="1169">
        <v>556.79999999999995</v>
      </c>
      <c r="DF82" s="1169">
        <v>575.6</v>
      </c>
      <c r="DG82" s="1169">
        <v>575.1</v>
      </c>
      <c r="DH82" s="1169">
        <v>588.5</v>
      </c>
      <c r="DI82" s="1169">
        <v>596.6</v>
      </c>
      <c r="DJ82" s="1169">
        <v>617.4</v>
      </c>
      <c r="DK82" s="1169">
        <v>629.6</v>
      </c>
      <c r="DL82" s="1169">
        <v>645</v>
      </c>
      <c r="DM82" s="1169">
        <v>668.7</v>
      </c>
      <c r="DN82" s="1169">
        <v>681.9</v>
      </c>
      <c r="DO82" s="1169">
        <v>690.1</v>
      </c>
      <c r="DP82" s="1169">
        <v>699.8</v>
      </c>
      <c r="DQ82" s="1169">
        <v>713.9</v>
      </c>
      <c r="DR82" s="1169">
        <v>720.9</v>
      </c>
      <c r="DS82" s="1169">
        <v>751.3</v>
      </c>
      <c r="DT82" s="1169">
        <v>760.8</v>
      </c>
      <c r="DU82" s="1169">
        <v>782.4</v>
      </c>
      <c r="DV82" s="1169">
        <v>809.8</v>
      </c>
      <c r="DW82" s="1169">
        <v>827.7</v>
      </c>
      <c r="DX82" s="1169">
        <v>845.6</v>
      </c>
      <c r="DY82" s="1169">
        <v>840.9</v>
      </c>
      <c r="DZ82" s="1169">
        <v>859.5</v>
      </c>
      <c r="EA82" s="1169">
        <v>864.5</v>
      </c>
      <c r="EB82" s="1169">
        <v>872.9</v>
      </c>
      <c r="EC82" s="1169">
        <v>883.3</v>
      </c>
      <c r="ED82" s="1169">
        <v>876.3</v>
      </c>
      <c r="EE82" s="1169">
        <v>892.4</v>
      </c>
      <c r="EF82" s="1169">
        <v>905.3</v>
      </c>
      <c r="EG82" s="1169">
        <v>916.1</v>
      </c>
      <c r="EH82" s="1169">
        <v>946.5</v>
      </c>
      <c r="EI82" s="1169">
        <v>963</v>
      </c>
      <c r="EJ82" s="1169">
        <v>964.2</v>
      </c>
      <c r="EK82" s="1169">
        <v>977.8</v>
      </c>
      <c r="EL82" s="1169">
        <v>957.1</v>
      </c>
      <c r="EM82" s="1169">
        <v>964.1</v>
      </c>
      <c r="EN82" s="1169">
        <v>988.1</v>
      </c>
      <c r="EO82" s="1169">
        <v>1007.2</v>
      </c>
      <c r="EP82" s="1169">
        <v>1049.0999999999999</v>
      </c>
      <c r="EQ82" s="1169">
        <v>1052.0999999999999</v>
      </c>
      <c r="ER82" s="1169">
        <v>1049</v>
      </c>
      <c r="ES82" s="1169">
        <v>1053.3</v>
      </c>
      <c r="ET82" s="1169">
        <v>1017.5</v>
      </c>
      <c r="EU82" s="1169">
        <v>997.9</v>
      </c>
      <c r="EV82" s="1169">
        <v>986.8</v>
      </c>
      <c r="EW82" s="1169">
        <v>979.8</v>
      </c>
      <c r="EX82" s="1169">
        <v>964.1</v>
      </c>
      <c r="EY82" s="1169">
        <v>967.2</v>
      </c>
      <c r="EZ82" s="1169">
        <v>956.6</v>
      </c>
      <c r="FA82" s="1169">
        <v>950.7</v>
      </c>
      <c r="FB82" s="1169">
        <v>913.2</v>
      </c>
      <c r="FC82" s="1169">
        <v>901.5</v>
      </c>
      <c r="FD82" s="1169">
        <v>934.5</v>
      </c>
      <c r="FE82" s="1169">
        <v>1001.3</v>
      </c>
      <c r="FF82" s="1169">
        <v>1055.8</v>
      </c>
      <c r="FG82" s="1169">
        <v>1102.7</v>
      </c>
      <c r="FH82" s="1169">
        <v>1128</v>
      </c>
      <c r="FI82" s="1169">
        <v>1142.7</v>
      </c>
      <c r="FJ82" s="1169">
        <v>1179</v>
      </c>
      <c r="FK82" s="1169">
        <v>1210.2</v>
      </c>
      <c r="FL82" s="1169">
        <v>1251.5999999999999</v>
      </c>
      <c r="FM82" s="1169">
        <v>1268.9000000000001</v>
      </c>
      <c r="FN82" s="1169">
        <v>1321.8</v>
      </c>
      <c r="FO82" s="1169">
        <v>1355.6</v>
      </c>
      <c r="FP82" s="1169">
        <v>1344.9</v>
      </c>
      <c r="FQ82" s="1169">
        <v>1363.2</v>
      </c>
      <c r="FR82" s="1169">
        <v>1387.2</v>
      </c>
      <c r="FS82" s="1169">
        <v>1410.6</v>
      </c>
      <c r="FT82" s="1169">
        <v>1411</v>
      </c>
      <c r="FU82" s="1169">
        <v>1400</v>
      </c>
      <c r="FV82" s="1169">
        <v>1411.4</v>
      </c>
      <c r="FW82" s="1169">
        <v>1450.6</v>
      </c>
      <c r="FX82" s="1169">
        <v>1466.2</v>
      </c>
      <c r="FY82" s="1169">
        <v>1454.4</v>
      </c>
      <c r="FZ82" s="1169">
        <v>1434.9</v>
      </c>
      <c r="GA82" s="1169">
        <v>1411.3</v>
      </c>
      <c r="GB82" s="1169">
        <v>1423.2</v>
      </c>
      <c r="GC82" s="1169">
        <v>1413.8</v>
      </c>
      <c r="GD82" s="1169">
        <v>1410.1</v>
      </c>
      <c r="GE82" s="1169">
        <v>1409.6</v>
      </c>
      <c r="GF82" s="1169">
        <v>1431</v>
      </c>
      <c r="GG82" s="1169">
        <v>1442.5</v>
      </c>
      <c r="GH82" s="1169">
        <v>1484.4</v>
      </c>
      <c r="GI82" s="1169">
        <v>1498.5</v>
      </c>
      <c r="GJ82" s="1169">
        <v>1502.9</v>
      </c>
      <c r="GK82" s="1169">
        <v>1537.5</v>
      </c>
      <c r="GL82" s="1169">
        <v>1567</v>
      </c>
      <c r="GM82" s="1169">
        <v>1572.1</v>
      </c>
      <c r="GN82" s="1169">
        <v>1581.3</v>
      </c>
      <c r="GO82" s="1169">
        <v>1601.4</v>
      </c>
      <c r="GP82" s="1169">
        <v>1585.5</v>
      </c>
      <c r="GQ82" s="1169">
        <v>1572.8</v>
      </c>
      <c r="GR82" s="1169">
        <v>1610.6</v>
      </c>
      <c r="GS82" s="1169">
        <v>1626.8</v>
      </c>
      <c r="GT82" s="1169">
        <v>1638.3</v>
      </c>
      <c r="GU82" s="1169">
        <v>1471.1</v>
      </c>
      <c r="GV82" s="1169">
        <v>1760.7</v>
      </c>
      <c r="GW82" s="1169">
        <v>1730</v>
      </c>
      <c r="GX82" s="1169">
        <v>1714</v>
      </c>
      <c r="GY82" s="1169">
        <v>1848.2</v>
      </c>
      <c r="GZ82" s="1169">
        <v>1867</v>
      </c>
      <c r="HA82" s="1169">
        <v>1858.5</v>
      </c>
    </row>
    <row r="83" spans="1:209" x14ac:dyDescent="0.35">
      <c r="A83" s="1169" t="s">
        <v>1151</v>
      </c>
      <c r="B83" s="1169">
        <v>20.399999999999999</v>
      </c>
      <c r="C83" s="1169">
        <v>20.2</v>
      </c>
      <c r="D83" s="1169">
        <v>20.9</v>
      </c>
      <c r="E83" s="1169">
        <v>21.2</v>
      </c>
      <c r="F83" s="1169">
        <v>21.1</v>
      </c>
      <c r="G83" s="1169">
        <v>21.7</v>
      </c>
      <c r="H83" s="1169">
        <v>22</v>
      </c>
      <c r="I83" s="1169">
        <v>22.5</v>
      </c>
      <c r="J83" s="1169">
        <v>23.1</v>
      </c>
      <c r="K83" s="1169">
        <v>20.2</v>
      </c>
      <c r="L83" s="1169">
        <v>23.9</v>
      </c>
      <c r="M83" s="1169">
        <v>23.8</v>
      </c>
      <c r="N83" s="1169">
        <v>23.5</v>
      </c>
      <c r="O83" s="1169">
        <v>23.3</v>
      </c>
      <c r="P83" s="1169">
        <v>22.3</v>
      </c>
      <c r="Q83" s="1169">
        <v>23.3</v>
      </c>
      <c r="R83" s="1169">
        <v>23.5</v>
      </c>
      <c r="S83" s="1169">
        <v>22.9</v>
      </c>
      <c r="T83" s="1169">
        <v>23.3</v>
      </c>
      <c r="U83" s="1169">
        <v>23</v>
      </c>
      <c r="V83" s="1169">
        <v>22.7</v>
      </c>
      <c r="W83" s="1169">
        <v>22.4</v>
      </c>
      <c r="X83" s="1169">
        <v>22.2</v>
      </c>
      <c r="Y83" s="1169">
        <v>21.9</v>
      </c>
      <c r="Z83" s="1169">
        <v>21.6</v>
      </c>
      <c r="AA83" s="1169">
        <v>20.5</v>
      </c>
      <c r="AB83" s="1169">
        <v>20</v>
      </c>
      <c r="AC83" s="1169">
        <v>19.100000000000001</v>
      </c>
      <c r="AD83" s="1169">
        <v>16.399999999999999</v>
      </c>
      <c r="AE83" s="1169">
        <v>16.3</v>
      </c>
      <c r="AF83" s="1169">
        <v>15.6</v>
      </c>
      <c r="AG83" s="1169">
        <v>15.1</v>
      </c>
      <c r="AH83" s="1169">
        <v>15.9</v>
      </c>
      <c r="AI83" s="1169">
        <v>15.6</v>
      </c>
      <c r="AJ83" s="1169">
        <v>17.100000000000001</v>
      </c>
      <c r="AK83" s="1169">
        <v>17.5</v>
      </c>
      <c r="AL83" s="1169">
        <v>17.3</v>
      </c>
      <c r="AM83" s="1169">
        <v>15.6</v>
      </c>
      <c r="AN83" s="1169">
        <v>15.4</v>
      </c>
      <c r="AO83" s="1169">
        <v>16.100000000000001</v>
      </c>
      <c r="AP83" s="1169">
        <v>15.8</v>
      </c>
      <c r="AQ83" s="1169">
        <v>17.100000000000001</v>
      </c>
      <c r="AR83" s="1169">
        <v>19.899999999999999</v>
      </c>
      <c r="AS83" s="1169">
        <v>23.2</v>
      </c>
      <c r="AT83" s="1169">
        <v>24</v>
      </c>
      <c r="AU83" s="1169">
        <v>23.3</v>
      </c>
      <c r="AV83" s="1169">
        <v>23.1</v>
      </c>
      <c r="AW83" s="1169">
        <v>24.7</v>
      </c>
      <c r="AX83" s="1169">
        <v>23.5</v>
      </c>
      <c r="AY83" s="1169">
        <v>21.1</v>
      </c>
      <c r="AZ83" s="1169">
        <v>24.4</v>
      </c>
      <c r="BA83" s="1169">
        <v>26.3</v>
      </c>
      <c r="BB83" s="1169">
        <v>25.8</v>
      </c>
      <c r="BC83" s="1169">
        <v>24.7</v>
      </c>
      <c r="BD83" s="1169">
        <v>23.7</v>
      </c>
      <c r="BE83" s="1169">
        <v>23.5</v>
      </c>
      <c r="BF83" s="1169">
        <v>23.2</v>
      </c>
      <c r="BG83" s="1169">
        <v>21.7</v>
      </c>
      <c r="BH83" s="1169">
        <v>24.4</v>
      </c>
      <c r="BI83" s="1169">
        <v>29.3</v>
      </c>
      <c r="BJ83" s="1169">
        <v>26.9</v>
      </c>
      <c r="BK83" s="1169">
        <v>25.3</v>
      </c>
      <c r="BL83" s="1169">
        <v>27.1</v>
      </c>
      <c r="BM83" s="1169">
        <v>25.6</v>
      </c>
      <c r="BN83" s="1169">
        <v>22</v>
      </c>
      <c r="BO83" s="1169">
        <v>21.1</v>
      </c>
      <c r="BP83" s="1169">
        <v>16.600000000000001</v>
      </c>
      <c r="BQ83" s="1169">
        <v>13.4</v>
      </c>
      <c r="BR83" s="1169">
        <v>14.5</v>
      </c>
      <c r="BS83" s="1169">
        <v>14.1</v>
      </c>
      <c r="BT83" s="1169">
        <v>17.5</v>
      </c>
      <c r="BU83" s="1169">
        <v>20.3</v>
      </c>
      <c r="BV83" s="1169">
        <v>21.1</v>
      </c>
      <c r="BW83" s="1169">
        <v>20.3</v>
      </c>
      <c r="BX83" s="1169">
        <v>21.2</v>
      </c>
      <c r="BY83" s="1169">
        <v>27.4</v>
      </c>
      <c r="BZ83" s="1169">
        <v>23.1</v>
      </c>
      <c r="CA83" s="1169">
        <v>21.2</v>
      </c>
      <c r="CB83" s="1169">
        <v>20</v>
      </c>
      <c r="CC83" s="1169">
        <v>21.8</v>
      </c>
      <c r="CD83" s="1169">
        <v>23.1</v>
      </c>
      <c r="CE83" s="1169">
        <v>26.7</v>
      </c>
      <c r="CF83" s="1169">
        <v>31.6</v>
      </c>
      <c r="CG83" s="1169">
        <v>31.3</v>
      </c>
      <c r="CH83" s="1169">
        <v>33</v>
      </c>
      <c r="CI83" s="1169">
        <v>35.5</v>
      </c>
      <c r="CJ83" s="1169">
        <v>39.4</v>
      </c>
      <c r="CK83" s="1169">
        <v>46.4</v>
      </c>
      <c r="CL83" s="1169">
        <v>50</v>
      </c>
      <c r="CM83" s="1169">
        <v>57.3</v>
      </c>
      <c r="CN83" s="1169">
        <v>64.3</v>
      </c>
      <c r="CO83" s="1169">
        <v>70.7</v>
      </c>
      <c r="CP83" s="1169">
        <v>80.7</v>
      </c>
      <c r="CQ83" s="1169">
        <v>86.9</v>
      </c>
      <c r="CR83" s="1169">
        <v>92.5</v>
      </c>
      <c r="CS83" s="1169">
        <v>100.2</v>
      </c>
      <c r="CT83" s="1169">
        <v>109</v>
      </c>
      <c r="CU83" s="1169">
        <v>113.5</v>
      </c>
      <c r="CV83" s="1169">
        <v>116.3</v>
      </c>
      <c r="CW83" s="1169">
        <v>115.9</v>
      </c>
      <c r="CX83" s="1169">
        <v>118.3</v>
      </c>
      <c r="CY83" s="1169">
        <v>121.6</v>
      </c>
      <c r="CZ83" s="1169">
        <v>125.7</v>
      </c>
      <c r="DA83" s="1169">
        <v>134</v>
      </c>
      <c r="DB83" s="1169">
        <v>139.5</v>
      </c>
      <c r="DC83" s="1169">
        <v>141.6</v>
      </c>
      <c r="DD83" s="1169">
        <v>143.69999999999999</v>
      </c>
      <c r="DE83" s="1169">
        <v>145.30000000000001</v>
      </c>
      <c r="DF83" s="1169">
        <v>144.19999999999999</v>
      </c>
      <c r="DG83" s="1169">
        <v>144.6</v>
      </c>
      <c r="DH83" s="1169">
        <v>147.4</v>
      </c>
      <c r="DI83" s="1169">
        <v>152.1</v>
      </c>
      <c r="DJ83" s="1169">
        <v>156.80000000000001</v>
      </c>
      <c r="DK83" s="1169">
        <v>162.6</v>
      </c>
      <c r="DL83" s="1169">
        <v>168</v>
      </c>
      <c r="DM83" s="1169">
        <v>173.4</v>
      </c>
      <c r="DN83" s="1169">
        <v>176.1</v>
      </c>
      <c r="DO83" s="1169">
        <v>179.6</v>
      </c>
      <c r="DP83" s="1169">
        <v>179.4</v>
      </c>
      <c r="DQ83" s="1169">
        <v>178.9</v>
      </c>
      <c r="DR83" s="1169">
        <v>179.8</v>
      </c>
      <c r="DS83" s="1169">
        <v>180.2</v>
      </c>
      <c r="DT83" s="1169">
        <v>182.9</v>
      </c>
      <c r="DU83" s="1169">
        <v>191</v>
      </c>
      <c r="DV83" s="1169">
        <v>197.1</v>
      </c>
      <c r="DW83" s="1169">
        <v>202.6</v>
      </c>
      <c r="DX83" s="1169">
        <v>204.8</v>
      </c>
      <c r="DY83" s="1169">
        <v>205.1</v>
      </c>
      <c r="DZ83" s="1169">
        <v>207.3</v>
      </c>
      <c r="EA83" s="1169">
        <v>208.9</v>
      </c>
      <c r="EB83" s="1169">
        <v>207.7</v>
      </c>
      <c r="EC83" s="1169">
        <v>209.9</v>
      </c>
      <c r="ED83" s="1169">
        <v>218.7</v>
      </c>
      <c r="EE83" s="1169">
        <v>223.2</v>
      </c>
      <c r="EF83" s="1169">
        <v>227.5</v>
      </c>
      <c r="EG83" s="1169">
        <v>239</v>
      </c>
      <c r="EH83" s="1169">
        <v>243</v>
      </c>
      <c r="EI83" s="1169">
        <v>243.4</v>
      </c>
      <c r="EJ83" s="1169">
        <v>241.8</v>
      </c>
      <c r="EK83" s="1169">
        <v>242.9</v>
      </c>
      <c r="EL83" s="1169">
        <v>233.7</v>
      </c>
      <c r="EM83" s="1169">
        <v>231.2</v>
      </c>
      <c r="EN83" s="1169">
        <v>213.6</v>
      </c>
      <c r="EO83" s="1169">
        <v>206</v>
      </c>
      <c r="EP83" s="1169">
        <v>194.5</v>
      </c>
      <c r="EQ83" s="1169">
        <v>183.4</v>
      </c>
      <c r="ER83" s="1169">
        <v>177.8</v>
      </c>
      <c r="ES83" s="1169">
        <v>168.7</v>
      </c>
      <c r="ET83" s="1169">
        <v>162.5</v>
      </c>
      <c r="EU83" s="1169">
        <v>180.3</v>
      </c>
      <c r="EV83" s="1169">
        <v>193.6</v>
      </c>
      <c r="EW83" s="1169">
        <v>208.7</v>
      </c>
      <c r="EX83" s="1169">
        <v>249.2</v>
      </c>
      <c r="EY83" s="1169">
        <v>280.89999999999998</v>
      </c>
      <c r="EZ83" s="1169">
        <v>305.3</v>
      </c>
      <c r="FA83" s="1169">
        <v>325.7</v>
      </c>
      <c r="FB83" s="1169">
        <v>326.60000000000002</v>
      </c>
      <c r="FC83" s="1169">
        <v>335.9</v>
      </c>
      <c r="FD83" s="1169">
        <v>355.8</v>
      </c>
      <c r="FE83" s="1169">
        <v>372</v>
      </c>
      <c r="FF83" s="1169">
        <v>404.9</v>
      </c>
      <c r="FG83" s="1169">
        <v>428.9</v>
      </c>
      <c r="FH83" s="1169">
        <v>442.6</v>
      </c>
      <c r="FI83" s="1169">
        <v>458.3</v>
      </c>
      <c r="FJ83" s="1169">
        <v>489.1</v>
      </c>
      <c r="FK83" s="1169">
        <v>501.4</v>
      </c>
      <c r="FL83" s="1169">
        <v>510.1</v>
      </c>
      <c r="FM83" s="1169">
        <v>525.6</v>
      </c>
      <c r="FN83" s="1169">
        <v>526.70000000000005</v>
      </c>
      <c r="FO83" s="1169">
        <v>532.4</v>
      </c>
      <c r="FP83" s="1169">
        <v>536.1</v>
      </c>
      <c r="FQ83" s="1169">
        <v>542.79999999999995</v>
      </c>
      <c r="FR83" s="1169">
        <v>560.79999999999995</v>
      </c>
      <c r="FS83" s="1169">
        <v>573.1</v>
      </c>
      <c r="FT83" s="1169">
        <v>585.1</v>
      </c>
      <c r="FU83" s="1169">
        <v>590.70000000000005</v>
      </c>
      <c r="FV83" s="1169">
        <v>598.1</v>
      </c>
      <c r="FW83" s="1169">
        <v>602.6</v>
      </c>
      <c r="FX83" s="1169">
        <v>604.6</v>
      </c>
      <c r="FY83" s="1169">
        <v>605.5</v>
      </c>
      <c r="FZ83" s="1169">
        <v>596.20000000000005</v>
      </c>
      <c r="GA83" s="1169">
        <v>611.29999999999995</v>
      </c>
      <c r="GB83" s="1169">
        <v>614.9</v>
      </c>
      <c r="GC83" s="1169">
        <v>615.6</v>
      </c>
      <c r="GD83" s="1169">
        <v>619.79999999999995</v>
      </c>
      <c r="GE83" s="1169">
        <v>626.70000000000005</v>
      </c>
      <c r="GF83" s="1169">
        <v>627.6</v>
      </c>
      <c r="GG83" s="1169">
        <v>632.5</v>
      </c>
      <c r="GH83" s="1169">
        <v>643.9</v>
      </c>
      <c r="GI83" s="1169">
        <v>645.1</v>
      </c>
      <c r="GJ83" s="1169">
        <v>654.9</v>
      </c>
      <c r="GK83" s="1169">
        <v>667</v>
      </c>
      <c r="GL83" s="1169">
        <v>671.8</v>
      </c>
      <c r="GM83" s="1169">
        <v>677.3</v>
      </c>
      <c r="GN83" s="1169">
        <v>689.8</v>
      </c>
      <c r="GO83" s="1169">
        <v>688.6</v>
      </c>
      <c r="GP83" s="1169">
        <v>687</v>
      </c>
      <c r="GQ83" s="1169">
        <v>691</v>
      </c>
      <c r="GR83" s="1169">
        <v>691.5</v>
      </c>
      <c r="GS83" s="1169">
        <v>699</v>
      </c>
      <c r="GT83" s="1169">
        <v>712.2</v>
      </c>
      <c r="GU83" s="1169">
        <v>709.5</v>
      </c>
      <c r="GV83" s="1169">
        <v>714.5</v>
      </c>
      <c r="GW83" s="1169">
        <v>710</v>
      </c>
      <c r="GX83" s="1169">
        <v>716.9</v>
      </c>
      <c r="GY83" s="1169">
        <v>716.3</v>
      </c>
      <c r="GZ83" s="1169">
        <v>729</v>
      </c>
      <c r="HA83" s="1169">
        <v>743.6</v>
      </c>
    </row>
    <row r="84" spans="1:209" x14ac:dyDescent="0.35">
      <c r="A84" s="1169" t="s">
        <v>1147</v>
      </c>
      <c r="B84" s="1169">
        <v>109.2</v>
      </c>
      <c r="C84" s="1169">
        <v>113.1</v>
      </c>
      <c r="D84" s="1169">
        <v>117.5</v>
      </c>
      <c r="E84" s="1169">
        <v>120</v>
      </c>
      <c r="F84" s="1169">
        <v>122.8</v>
      </c>
      <c r="G84" s="1169">
        <v>124.2</v>
      </c>
      <c r="H84" s="1169">
        <v>126.1</v>
      </c>
      <c r="I84" s="1169">
        <v>127.4</v>
      </c>
      <c r="J84" s="1169">
        <v>131</v>
      </c>
      <c r="K84" s="1169">
        <v>134.1</v>
      </c>
      <c r="L84" s="1169">
        <v>138.4</v>
      </c>
      <c r="M84" s="1169">
        <v>142.80000000000001</v>
      </c>
      <c r="N84" s="1169">
        <v>146.6</v>
      </c>
      <c r="O84" s="1169">
        <v>151.6</v>
      </c>
      <c r="P84" s="1169">
        <v>158.80000000000001</v>
      </c>
      <c r="Q84" s="1169">
        <v>164.6</v>
      </c>
      <c r="R84" s="1169">
        <v>170.5</v>
      </c>
      <c r="S84" s="1169">
        <v>177.6</v>
      </c>
      <c r="T84" s="1169">
        <v>183.9</v>
      </c>
      <c r="U84" s="1169">
        <v>190.4</v>
      </c>
      <c r="V84" s="1169">
        <v>196.4</v>
      </c>
      <c r="W84" s="1169">
        <v>198.5</v>
      </c>
      <c r="X84" s="1169">
        <v>202.5</v>
      </c>
      <c r="Y84" s="1169">
        <v>206.5</v>
      </c>
      <c r="Z84" s="1169">
        <v>210.5</v>
      </c>
      <c r="AA84" s="1169">
        <v>217.1</v>
      </c>
      <c r="AB84" s="1169">
        <v>222.8</v>
      </c>
      <c r="AC84" s="1169">
        <v>229.7</v>
      </c>
      <c r="AD84" s="1169">
        <v>238.8</v>
      </c>
      <c r="AE84" s="1169">
        <v>246.6</v>
      </c>
      <c r="AF84" s="1169">
        <v>255.4</v>
      </c>
      <c r="AG84" s="1169">
        <v>265.5</v>
      </c>
      <c r="AH84" s="1169">
        <v>273.3</v>
      </c>
      <c r="AI84" s="1169">
        <v>281.3</v>
      </c>
      <c r="AJ84" s="1169">
        <v>289.8</v>
      </c>
      <c r="AK84" s="1169">
        <v>298.89999999999998</v>
      </c>
      <c r="AL84" s="1169">
        <v>308.8</v>
      </c>
      <c r="AM84" s="1169">
        <v>318.8</v>
      </c>
      <c r="AN84" s="1169">
        <v>330.4</v>
      </c>
      <c r="AO84" s="1169">
        <v>350.4</v>
      </c>
      <c r="AP84" s="1169">
        <v>377.5</v>
      </c>
      <c r="AQ84" s="1169">
        <v>391.2</v>
      </c>
      <c r="AR84" s="1169">
        <v>397</v>
      </c>
      <c r="AS84" s="1169">
        <v>421.9</v>
      </c>
      <c r="AT84" s="1169">
        <v>440.5</v>
      </c>
      <c r="AU84" s="1169">
        <v>469</v>
      </c>
      <c r="AV84" s="1169">
        <v>508.5</v>
      </c>
      <c r="AW84" s="1169">
        <v>525.4</v>
      </c>
      <c r="AX84" s="1169">
        <v>544.1</v>
      </c>
      <c r="AY84" s="1169">
        <v>559.9</v>
      </c>
      <c r="AZ84" s="1169">
        <v>560.79999999999995</v>
      </c>
      <c r="BA84" s="1169">
        <v>563.20000000000005</v>
      </c>
      <c r="BB84" s="1169">
        <v>574.29999999999995</v>
      </c>
      <c r="BC84" s="1169">
        <v>584.4</v>
      </c>
      <c r="BD84" s="1169">
        <v>609.20000000000005</v>
      </c>
      <c r="BE84" s="1169">
        <v>630.20000000000005</v>
      </c>
      <c r="BF84" s="1169">
        <v>645.6</v>
      </c>
      <c r="BG84" s="1169">
        <v>671.4</v>
      </c>
      <c r="BH84" s="1169">
        <v>698.4</v>
      </c>
      <c r="BI84" s="1169">
        <v>707.7</v>
      </c>
      <c r="BJ84" s="1169">
        <v>718.6</v>
      </c>
      <c r="BK84" s="1169">
        <v>723.8</v>
      </c>
      <c r="BL84" s="1169">
        <v>724.1</v>
      </c>
      <c r="BM84" s="1169">
        <v>738.7</v>
      </c>
      <c r="BN84" s="1169">
        <v>762.3</v>
      </c>
      <c r="BO84" s="1169">
        <v>770.2</v>
      </c>
      <c r="BP84" s="1169">
        <v>770.3</v>
      </c>
      <c r="BQ84" s="1169">
        <v>769.8</v>
      </c>
      <c r="BR84" s="1169">
        <v>771.1</v>
      </c>
      <c r="BS84" s="1169">
        <v>781</v>
      </c>
      <c r="BT84" s="1169">
        <v>796.9</v>
      </c>
      <c r="BU84" s="1169">
        <v>815.4</v>
      </c>
      <c r="BV84" s="1169">
        <v>824</v>
      </c>
      <c r="BW84" s="1169">
        <v>833.7</v>
      </c>
      <c r="BX84" s="1169">
        <v>860.5</v>
      </c>
      <c r="BY84" s="1169">
        <v>887.5</v>
      </c>
      <c r="BZ84" s="1169">
        <v>933.6</v>
      </c>
      <c r="CA84" s="1169">
        <v>961.5</v>
      </c>
      <c r="CB84" s="1169">
        <v>975.6</v>
      </c>
      <c r="CC84" s="1169">
        <v>986.6</v>
      </c>
      <c r="CD84" s="1169">
        <v>999.5</v>
      </c>
      <c r="CE84" s="1169">
        <v>1003.1</v>
      </c>
      <c r="CF84" s="1169">
        <v>1010</v>
      </c>
      <c r="CG84" s="1169">
        <v>1008.7</v>
      </c>
      <c r="CH84" s="1169">
        <v>1003.9</v>
      </c>
      <c r="CI84" s="1169">
        <v>1004.2</v>
      </c>
      <c r="CJ84" s="1169">
        <v>1006.8</v>
      </c>
      <c r="CK84" s="1169">
        <v>999.9</v>
      </c>
      <c r="CL84" s="1169">
        <v>996.8</v>
      </c>
      <c r="CM84" s="1169">
        <v>1000.4</v>
      </c>
      <c r="CN84" s="1169">
        <v>997.1</v>
      </c>
      <c r="CO84" s="1169">
        <v>1000.9</v>
      </c>
      <c r="CP84" s="1169">
        <v>1007.7</v>
      </c>
      <c r="CQ84" s="1169">
        <v>1007.4</v>
      </c>
      <c r="CR84" s="1169">
        <v>1006.4</v>
      </c>
      <c r="CS84" s="1169">
        <v>1006.7</v>
      </c>
      <c r="CT84" s="1169">
        <v>1015.2</v>
      </c>
      <c r="CU84" s="1169">
        <v>1035.9000000000001</v>
      </c>
      <c r="CV84" s="1169">
        <v>1057.7</v>
      </c>
      <c r="CW84" s="1169">
        <v>1090.4000000000001</v>
      </c>
      <c r="CX84" s="1169">
        <v>1112.7</v>
      </c>
      <c r="CY84" s="1169">
        <v>1130.9000000000001</v>
      </c>
      <c r="CZ84" s="1169">
        <v>1144.3</v>
      </c>
      <c r="DA84" s="1169">
        <v>1158.4000000000001</v>
      </c>
      <c r="DB84" s="1169">
        <v>1170.8</v>
      </c>
      <c r="DC84" s="1169">
        <v>1188.5</v>
      </c>
      <c r="DD84" s="1169">
        <v>1210.7</v>
      </c>
      <c r="DE84" s="1169">
        <v>1234.7</v>
      </c>
      <c r="DF84" s="1169">
        <v>1251.4000000000001</v>
      </c>
      <c r="DG84" s="1169">
        <v>1274.5</v>
      </c>
      <c r="DH84" s="1169">
        <v>1294.9000000000001</v>
      </c>
      <c r="DI84" s="1169">
        <v>1319.4</v>
      </c>
      <c r="DJ84" s="1169">
        <v>1353.9</v>
      </c>
      <c r="DK84" s="1169">
        <v>1379.1</v>
      </c>
      <c r="DL84" s="1169">
        <v>1385.2</v>
      </c>
      <c r="DM84" s="1169">
        <v>1365.3</v>
      </c>
      <c r="DN84" s="1169">
        <v>1349.7</v>
      </c>
      <c r="DO84" s="1169">
        <v>1347.3</v>
      </c>
      <c r="DP84" s="1169">
        <v>1367.2</v>
      </c>
      <c r="DQ84" s="1169">
        <v>1393</v>
      </c>
      <c r="DR84" s="1169">
        <v>1432.6</v>
      </c>
      <c r="DS84" s="1169">
        <v>1477.5</v>
      </c>
      <c r="DT84" s="1169">
        <v>1512.9</v>
      </c>
      <c r="DU84" s="1169">
        <v>1536.8</v>
      </c>
      <c r="DV84" s="1169">
        <v>1528.9</v>
      </c>
      <c r="DW84" s="1169">
        <v>1507</v>
      </c>
      <c r="DX84" s="1169">
        <v>1474.9</v>
      </c>
      <c r="DY84" s="1169">
        <v>1416</v>
      </c>
      <c r="DZ84" s="1169">
        <v>1397</v>
      </c>
      <c r="EA84" s="1169">
        <v>1408.1</v>
      </c>
      <c r="EB84" s="1169">
        <v>1413.1</v>
      </c>
      <c r="EC84" s="1169">
        <v>1436.3</v>
      </c>
      <c r="ED84" s="1169">
        <v>1444.5</v>
      </c>
      <c r="EE84" s="1169">
        <v>1436.1</v>
      </c>
      <c r="EF84" s="1169">
        <v>1455.3</v>
      </c>
      <c r="EG84" s="1169">
        <v>1473.4</v>
      </c>
      <c r="EH84" s="1169">
        <v>1473.6</v>
      </c>
      <c r="EI84" s="1169">
        <v>1490.5</v>
      </c>
      <c r="EJ84" s="1169">
        <v>1507.5</v>
      </c>
      <c r="EK84" s="1169">
        <v>1636.7</v>
      </c>
      <c r="EL84" s="1169">
        <v>1598.1</v>
      </c>
      <c r="EM84" s="1169">
        <v>1669.6</v>
      </c>
      <c r="EN84" s="1169">
        <v>1713</v>
      </c>
      <c r="EO84" s="1169">
        <v>1800.1</v>
      </c>
      <c r="EP84" s="1169">
        <v>1882.7</v>
      </c>
      <c r="EQ84" s="1169">
        <v>1988</v>
      </c>
      <c r="ER84" s="1169">
        <v>2015.8</v>
      </c>
      <c r="ES84" s="1169">
        <v>2040.4</v>
      </c>
      <c r="ET84" s="1169">
        <v>2087.1</v>
      </c>
      <c r="EU84" s="1169">
        <v>2212.3000000000002</v>
      </c>
      <c r="EV84" s="1169">
        <v>2231.6</v>
      </c>
      <c r="EW84" s="1169">
        <v>2246.9</v>
      </c>
      <c r="EX84" s="1169">
        <v>2248.1999999999998</v>
      </c>
      <c r="EY84" s="1169">
        <v>2204.1999999999998</v>
      </c>
      <c r="EZ84" s="1169">
        <v>2222.5</v>
      </c>
      <c r="FA84" s="1169">
        <v>2141.3000000000002</v>
      </c>
      <c r="FB84" s="1169">
        <v>2006.9</v>
      </c>
      <c r="FC84" s="1169">
        <v>1875.6</v>
      </c>
      <c r="FD84" s="1169">
        <v>1783.9</v>
      </c>
      <c r="FE84" s="1169">
        <v>1748.4</v>
      </c>
      <c r="FF84" s="1169">
        <v>1763.3</v>
      </c>
      <c r="FG84" s="1169">
        <v>1775.8</v>
      </c>
      <c r="FH84" s="1169">
        <v>1780.5</v>
      </c>
      <c r="FI84" s="1169">
        <v>1827.5</v>
      </c>
      <c r="FJ84" s="1169">
        <v>1887.8</v>
      </c>
      <c r="FK84" s="1169">
        <v>1915.4</v>
      </c>
      <c r="FL84" s="1169">
        <v>1935.6</v>
      </c>
      <c r="FM84" s="1169">
        <v>2009.8</v>
      </c>
      <c r="FN84" s="1169">
        <v>2081.4</v>
      </c>
      <c r="FO84" s="1169">
        <v>2136</v>
      </c>
      <c r="FP84" s="1169">
        <v>2078.6</v>
      </c>
      <c r="FQ84" s="1169">
        <v>2318.6999999999998</v>
      </c>
      <c r="FR84" s="1169">
        <v>2026.1</v>
      </c>
      <c r="FS84" s="1169">
        <v>2036.5</v>
      </c>
      <c r="FT84" s="1169">
        <v>2074.1999999999998</v>
      </c>
      <c r="FU84" s="1169">
        <v>2099</v>
      </c>
      <c r="FV84" s="1169">
        <v>2167</v>
      </c>
      <c r="FW84" s="1169">
        <v>2266.6999999999998</v>
      </c>
      <c r="FX84" s="1169">
        <v>2336</v>
      </c>
      <c r="FY84" s="1169">
        <v>2390.4</v>
      </c>
      <c r="FZ84" s="1169">
        <v>2447.6</v>
      </c>
      <c r="GA84" s="1169">
        <v>2469.6999999999998</v>
      </c>
      <c r="GB84" s="1169">
        <v>2478.9</v>
      </c>
      <c r="GC84" s="1169">
        <v>2503.1999999999998</v>
      </c>
      <c r="GD84" s="1169">
        <v>2517</v>
      </c>
      <c r="GE84" s="1169">
        <v>2524.3000000000002</v>
      </c>
      <c r="GF84" s="1169">
        <v>2549.9</v>
      </c>
      <c r="GG84" s="1169">
        <v>2579.4</v>
      </c>
      <c r="GH84" s="1169">
        <v>2643.2</v>
      </c>
      <c r="GI84" s="1169">
        <v>2708.8</v>
      </c>
      <c r="GJ84" s="1169">
        <v>2728.2</v>
      </c>
      <c r="GK84" s="1169">
        <v>2751.6</v>
      </c>
      <c r="GL84" s="1169">
        <v>2786</v>
      </c>
      <c r="GM84" s="1169">
        <v>2842.4</v>
      </c>
      <c r="GN84" s="1169">
        <v>2884.4</v>
      </c>
      <c r="GO84" s="1169">
        <v>2960.5</v>
      </c>
      <c r="GP84" s="1169">
        <v>2944.3</v>
      </c>
      <c r="GQ84" s="1169">
        <v>2972.5</v>
      </c>
      <c r="GR84" s="1169">
        <v>2973.2</v>
      </c>
      <c r="GS84" s="1169">
        <v>2982.1</v>
      </c>
      <c r="GT84" s="1169">
        <v>2976.4</v>
      </c>
      <c r="GU84" s="1169">
        <v>2910.9</v>
      </c>
      <c r="GV84" s="1169">
        <v>2851.7</v>
      </c>
      <c r="GW84" s="1169">
        <v>2909.6</v>
      </c>
      <c r="GX84" s="1169">
        <v>2898.8</v>
      </c>
      <c r="GY84" s="1169">
        <v>2932.1</v>
      </c>
      <c r="GZ84" s="1169">
        <v>2945.2</v>
      </c>
      <c r="HA84" s="1169">
        <v>2989.2</v>
      </c>
    </row>
    <row r="85" spans="1:209" x14ac:dyDescent="0.35">
      <c r="A85" s="1169" t="s">
        <v>1146</v>
      </c>
      <c r="B85" s="1169">
        <v>77.5</v>
      </c>
      <c r="C85" s="1169">
        <v>81.099999999999994</v>
      </c>
      <c r="D85" s="1169">
        <v>81.099999999999994</v>
      </c>
      <c r="E85" s="1169">
        <v>76.900000000000006</v>
      </c>
      <c r="F85" s="1169">
        <v>89.1</v>
      </c>
      <c r="G85" s="1169">
        <v>90.8</v>
      </c>
      <c r="H85" s="1169">
        <v>93.7</v>
      </c>
      <c r="I85" s="1169">
        <v>97.6</v>
      </c>
      <c r="J85" s="1169">
        <v>102.7</v>
      </c>
      <c r="K85" s="1169">
        <v>104.3</v>
      </c>
      <c r="L85" s="1169">
        <v>108.2</v>
      </c>
      <c r="M85" s="1169">
        <v>115.5</v>
      </c>
      <c r="N85" s="1169">
        <v>121</v>
      </c>
      <c r="O85" s="1169">
        <v>117.2</v>
      </c>
      <c r="P85" s="1169">
        <v>116.6</v>
      </c>
      <c r="Q85" s="1169">
        <v>119.1</v>
      </c>
      <c r="R85" s="1169">
        <v>111.1</v>
      </c>
      <c r="S85" s="1169">
        <v>110.8</v>
      </c>
      <c r="T85" s="1169">
        <v>107.3</v>
      </c>
      <c r="U85" s="1169">
        <v>103.8</v>
      </c>
      <c r="V85" s="1169">
        <v>103.9</v>
      </c>
      <c r="W85" s="1169">
        <v>115.6</v>
      </c>
      <c r="X85" s="1169">
        <v>135.4</v>
      </c>
      <c r="Y85" s="1169">
        <v>142</v>
      </c>
      <c r="Z85" s="1169">
        <v>159.1</v>
      </c>
      <c r="AA85" s="1169">
        <v>156.6</v>
      </c>
      <c r="AB85" s="1169">
        <v>158.4</v>
      </c>
      <c r="AC85" s="1169">
        <v>157.1</v>
      </c>
      <c r="AD85" s="1169">
        <v>165</v>
      </c>
      <c r="AE85" s="1169">
        <v>185.7</v>
      </c>
      <c r="AF85" s="1169">
        <v>199.9</v>
      </c>
      <c r="AG85" s="1169">
        <v>196.1</v>
      </c>
      <c r="AH85" s="1169">
        <v>187.5</v>
      </c>
      <c r="AI85" s="1169">
        <v>220</v>
      </c>
      <c r="AJ85" s="1169">
        <v>223.8</v>
      </c>
      <c r="AK85" s="1169">
        <v>231.5</v>
      </c>
      <c r="AL85" s="1169">
        <v>221.9</v>
      </c>
      <c r="AM85" s="1169">
        <v>219.4</v>
      </c>
      <c r="AN85" s="1169">
        <v>211.1</v>
      </c>
      <c r="AO85" s="1169">
        <v>205.1</v>
      </c>
      <c r="AP85" s="1169">
        <v>197.2</v>
      </c>
      <c r="AQ85" s="1169">
        <v>170.2</v>
      </c>
      <c r="AR85" s="1169">
        <v>179.7</v>
      </c>
      <c r="AS85" s="1169">
        <v>205.2</v>
      </c>
      <c r="AT85" s="1169">
        <v>214.2</v>
      </c>
      <c r="AU85" s="1169">
        <v>213.3</v>
      </c>
      <c r="AV85" s="1169">
        <v>230.4</v>
      </c>
      <c r="AW85" s="1169">
        <v>213.3</v>
      </c>
      <c r="AX85" s="1169">
        <v>190.2</v>
      </c>
      <c r="AY85" s="1169">
        <v>202.6</v>
      </c>
      <c r="AZ85" s="1169">
        <v>202.5</v>
      </c>
      <c r="BA85" s="1169">
        <v>193.7</v>
      </c>
      <c r="BB85" s="1169">
        <v>211.7</v>
      </c>
      <c r="BC85" s="1169">
        <v>240.3</v>
      </c>
      <c r="BD85" s="1169">
        <v>256.2</v>
      </c>
      <c r="BE85" s="1169">
        <v>270.60000000000002</v>
      </c>
      <c r="BF85" s="1169">
        <v>302</v>
      </c>
      <c r="BG85" s="1169">
        <v>301.8</v>
      </c>
      <c r="BH85" s="1169">
        <v>295.7</v>
      </c>
      <c r="BI85" s="1169">
        <v>305.7</v>
      </c>
      <c r="BJ85" s="1169">
        <v>312.3</v>
      </c>
      <c r="BK85" s="1169">
        <v>311.60000000000002</v>
      </c>
      <c r="BL85" s="1169">
        <v>333.1</v>
      </c>
      <c r="BM85" s="1169">
        <v>308.5</v>
      </c>
      <c r="BN85" s="1169">
        <v>298.8</v>
      </c>
      <c r="BO85" s="1169">
        <v>288.10000000000002</v>
      </c>
      <c r="BP85" s="1169">
        <v>276.2</v>
      </c>
      <c r="BQ85" s="1169">
        <v>276.39999999999998</v>
      </c>
      <c r="BR85" s="1169">
        <v>284.60000000000002</v>
      </c>
      <c r="BS85" s="1169">
        <v>314.39999999999998</v>
      </c>
      <c r="BT85" s="1169">
        <v>338.6</v>
      </c>
      <c r="BU85" s="1169">
        <v>334.3</v>
      </c>
      <c r="BV85" s="1169">
        <v>341.5</v>
      </c>
      <c r="BW85" s="1169">
        <v>350.9</v>
      </c>
      <c r="BX85" s="1169">
        <v>358.1</v>
      </c>
      <c r="BY85" s="1169">
        <v>379.5</v>
      </c>
      <c r="BZ85" s="1169">
        <v>359.7</v>
      </c>
      <c r="CA85" s="1169">
        <v>351.9</v>
      </c>
      <c r="CB85" s="1169">
        <v>350.1</v>
      </c>
      <c r="CC85" s="1169">
        <v>327</v>
      </c>
      <c r="CD85" s="1169">
        <v>340.5</v>
      </c>
      <c r="CE85" s="1169">
        <v>358.8</v>
      </c>
      <c r="CF85" s="1169">
        <v>336.8</v>
      </c>
      <c r="CG85" s="1169">
        <v>330.6</v>
      </c>
      <c r="CH85" s="1169">
        <v>370.8</v>
      </c>
      <c r="CI85" s="1169">
        <v>378</v>
      </c>
      <c r="CJ85" s="1169">
        <v>380.7</v>
      </c>
      <c r="CK85" s="1169">
        <v>375</v>
      </c>
      <c r="CL85" s="1169">
        <v>399.7</v>
      </c>
      <c r="CM85" s="1169">
        <v>404</v>
      </c>
      <c r="CN85" s="1169">
        <v>393.9</v>
      </c>
      <c r="CO85" s="1169">
        <v>418.7</v>
      </c>
      <c r="CP85" s="1169">
        <v>400.8</v>
      </c>
      <c r="CQ85" s="1169">
        <v>439</v>
      </c>
      <c r="CR85" s="1169">
        <v>446.2</v>
      </c>
      <c r="CS85" s="1169">
        <v>504.6</v>
      </c>
      <c r="CT85" s="1169">
        <v>509.3</v>
      </c>
      <c r="CU85" s="1169">
        <v>530</v>
      </c>
      <c r="CV85" s="1169">
        <v>562.20000000000005</v>
      </c>
      <c r="CW85" s="1169">
        <v>585.79999999999995</v>
      </c>
      <c r="CX85" s="1169">
        <v>579</v>
      </c>
      <c r="CY85" s="1169">
        <v>595.70000000000005</v>
      </c>
      <c r="CZ85" s="1169">
        <v>639.4</v>
      </c>
      <c r="DA85" s="1169">
        <v>639</v>
      </c>
      <c r="DB85" s="1169">
        <v>671.6</v>
      </c>
      <c r="DC85" s="1169">
        <v>686.9</v>
      </c>
      <c r="DD85" s="1169">
        <v>691.4</v>
      </c>
      <c r="DE85" s="1169">
        <v>700.2</v>
      </c>
      <c r="DF85" s="1169">
        <v>735.7</v>
      </c>
      <c r="DG85" s="1169">
        <v>748.6</v>
      </c>
      <c r="DH85" s="1169">
        <v>787.1</v>
      </c>
      <c r="DI85" s="1169">
        <v>777.2</v>
      </c>
      <c r="DJ85" s="1169">
        <v>704</v>
      </c>
      <c r="DK85" s="1169">
        <v>703.4</v>
      </c>
      <c r="DL85" s="1169">
        <v>721.5</v>
      </c>
      <c r="DM85" s="1169">
        <v>693.8</v>
      </c>
      <c r="DN85" s="1169">
        <v>732.4</v>
      </c>
      <c r="DO85" s="1169">
        <v>723.4</v>
      </c>
      <c r="DP85" s="1169">
        <v>705.2</v>
      </c>
      <c r="DQ85" s="1169">
        <v>691.7</v>
      </c>
      <c r="DR85" s="1169">
        <v>677.3</v>
      </c>
      <c r="DS85" s="1169">
        <v>659.6</v>
      </c>
      <c r="DT85" s="1169">
        <v>636.70000000000005</v>
      </c>
      <c r="DU85" s="1169">
        <v>589.9</v>
      </c>
      <c r="DV85" s="1169">
        <v>588.6</v>
      </c>
      <c r="DW85" s="1169">
        <v>607.9</v>
      </c>
      <c r="DX85" s="1169">
        <v>601.20000000000005</v>
      </c>
      <c r="DY85" s="1169">
        <v>561.9</v>
      </c>
      <c r="DZ85" s="1169">
        <v>694.1</v>
      </c>
      <c r="EA85" s="1169">
        <v>737.7</v>
      </c>
      <c r="EB85" s="1169">
        <v>759.1</v>
      </c>
      <c r="EC85" s="1169">
        <v>828.9</v>
      </c>
      <c r="ED85" s="1169">
        <v>844.2</v>
      </c>
      <c r="EE85" s="1169">
        <v>872.2</v>
      </c>
      <c r="EF85" s="1169">
        <v>919.9</v>
      </c>
      <c r="EG85" s="1169">
        <v>953.1</v>
      </c>
      <c r="EH85" s="1169">
        <v>1038.4000000000001</v>
      </c>
      <c r="EI85" s="1169">
        <v>1083.9000000000001</v>
      </c>
      <c r="EJ85" s="1169">
        <v>1125.2</v>
      </c>
      <c r="EK85" s="1169">
        <v>1129.3</v>
      </c>
      <c r="EL85" s="1169">
        <v>1219.8</v>
      </c>
      <c r="EM85" s="1169">
        <v>1236.8</v>
      </c>
      <c r="EN85" s="1169">
        <v>1244.4000000000001</v>
      </c>
      <c r="EO85" s="1169">
        <v>1350.6</v>
      </c>
      <c r="EP85" s="1169">
        <v>1399.2</v>
      </c>
      <c r="EQ85" s="1169">
        <v>1404.9</v>
      </c>
      <c r="ER85" s="1169">
        <v>1455.1</v>
      </c>
      <c r="ES85" s="1169">
        <v>1366.9</v>
      </c>
      <c r="ET85" s="1169">
        <v>1257.7</v>
      </c>
      <c r="EU85" s="1169">
        <v>1285.5</v>
      </c>
      <c r="EV85" s="1169">
        <v>1165.3</v>
      </c>
      <c r="EW85" s="1169">
        <v>1073.0999999999999</v>
      </c>
      <c r="EX85" s="1169">
        <v>988</v>
      </c>
      <c r="EY85" s="1169">
        <v>963.5</v>
      </c>
      <c r="EZ85" s="1169">
        <v>949.5</v>
      </c>
      <c r="FA85" s="1169">
        <v>681.6</v>
      </c>
      <c r="FB85" s="1169">
        <v>911.1</v>
      </c>
      <c r="FC85" s="1169">
        <v>965.2</v>
      </c>
      <c r="FD85" s="1169">
        <v>1087.0999999999999</v>
      </c>
      <c r="FE85" s="1169">
        <v>1188.7</v>
      </c>
      <c r="FF85" s="1169">
        <v>1253.4000000000001</v>
      </c>
      <c r="FG85" s="1169">
        <v>1255.5</v>
      </c>
      <c r="FH85" s="1169">
        <v>1428</v>
      </c>
      <c r="FI85" s="1169">
        <v>1434.9</v>
      </c>
      <c r="FJ85" s="1169">
        <v>1273.5999999999999</v>
      </c>
      <c r="FK85" s="1169">
        <v>1392.8</v>
      </c>
      <c r="FL85" s="1169">
        <v>1393.4</v>
      </c>
      <c r="FM85" s="1169">
        <v>1529</v>
      </c>
      <c r="FN85" s="1169">
        <v>1606.9</v>
      </c>
      <c r="FO85" s="1169">
        <v>1605.9</v>
      </c>
      <c r="FP85" s="1169">
        <v>1583</v>
      </c>
      <c r="FQ85" s="1169">
        <v>1572.4</v>
      </c>
      <c r="FR85" s="1169">
        <v>1596.1</v>
      </c>
      <c r="FS85" s="1169">
        <v>1605.3</v>
      </c>
      <c r="FT85" s="1169">
        <v>1602.5</v>
      </c>
      <c r="FU85" s="1169">
        <v>1643.5</v>
      </c>
      <c r="FV85" s="1169">
        <v>1561.5</v>
      </c>
      <c r="FW85" s="1169">
        <v>1743.6</v>
      </c>
      <c r="FX85" s="1169">
        <v>1769.4</v>
      </c>
      <c r="FY85" s="1169">
        <v>1786.9</v>
      </c>
      <c r="FZ85" s="1169">
        <v>1728.9</v>
      </c>
      <c r="GA85" s="1169">
        <v>1721.5</v>
      </c>
      <c r="GB85" s="1169">
        <v>1673.6</v>
      </c>
      <c r="GC85" s="1169">
        <v>1537.1</v>
      </c>
      <c r="GD85" s="1169">
        <v>1645.7</v>
      </c>
      <c r="GE85" s="1169">
        <v>1600.3</v>
      </c>
      <c r="GF85" s="1169">
        <v>1625.4</v>
      </c>
      <c r="GG85" s="1169">
        <v>1599.7</v>
      </c>
      <c r="GH85" s="1169">
        <v>1604.1</v>
      </c>
      <c r="GI85" s="1169">
        <v>1634.8</v>
      </c>
      <c r="GJ85" s="1169">
        <v>1639</v>
      </c>
      <c r="GK85" s="1169">
        <v>1641.9</v>
      </c>
      <c r="GL85" s="1169">
        <v>1701.8</v>
      </c>
      <c r="GM85" s="1169">
        <v>1742.3</v>
      </c>
      <c r="GN85" s="1169">
        <v>1816.9</v>
      </c>
      <c r="GO85" s="1169">
        <v>1872</v>
      </c>
      <c r="GP85" s="1169">
        <v>1799.2</v>
      </c>
      <c r="GQ85" s="1169">
        <v>1858.1</v>
      </c>
      <c r="GR85" s="1169">
        <v>1859.3</v>
      </c>
      <c r="GS85" s="1169">
        <v>1901</v>
      </c>
      <c r="GT85" s="1169">
        <v>1690.4</v>
      </c>
      <c r="GU85" s="1169">
        <v>1534.3</v>
      </c>
      <c r="GV85" s="1169">
        <v>1981</v>
      </c>
      <c r="GW85" s="1169">
        <v>1950.5</v>
      </c>
      <c r="GX85" s="1169">
        <v>2085</v>
      </c>
      <c r="GY85" s="1169">
        <v>2359</v>
      </c>
      <c r="GZ85" s="1169">
        <v>2404.8000000000002</v>
      </c>
      <c r="HA85" s="1169">
        <v>2408.5</v>
      </c>
    </row>
    <row r="86" spans="1:209" x14ac:dyDescent="0.35">
      <c r="A86" s="1169" t="s">
        <v>1149</v>
      </c>
      <c r="B86" s="1169"/>
      <c r="C86" s="1169"/>
      <c r="D86" s="1169"/>
      <c r="E86" s="1169"/>
      <c r="F86" s="1169"/>
      <c r="G86" s="1169"/>
      <c r="H86" s="1169"/>
      <c r="I86" s="1169"/>
      <c r="J86" s="1169"/>
      <c r="K86" s="1169"/>
      <c r="L86" s="1169"/>
      <c r="M86" s="1169"/>
      <c r="N86" s="1169"/>
      <c r="O86" s="1169"/>
      <c r="P86" s="1169"/>
      <c r="Q86" s="1169"/>
      <c r="R86" s="1169"/>
      <c r="S86" s="1169"/>
      <c r="T86" s="1169"/>
      <c r="U86" s="1169"/>
      <c r="V86" s="1169"/>
      <c r="W86" s="1169"/>
      <c r="X86" s="1169"/>
      <c r="Y86" s="1169"/>
      <c r="Z86" s="1169"/>
      <c r="AA86" s="1169"/>
      <c r="AB86" s="1169"/>
      <c r="AC86" s="1169"/>
      <c r="AD86" s="1169"/>
      <c r="AE86" s="1169"/>
      <c r="AF86" s="1169"/>
      <c r="AG86" s="1169"/>
      <c r="AH86" s="1169"/>
      <c r="AI86" s="1169"/>
      <c r="AJ86" s="1169"/>
      <c r="AK86" s="1169"/>
      <c r="AL86" s="1169"/>
      <c r="AM86" s="1169"/>
      <c r="AN86" s="1169"/>
      <c r="AO86" s="1169"/>
      <c r="AP86" s="1169"/>
      <c r="AQ86" s="1169"/>
      <c r="AR86" s="1169"/>
      <c r="AS86" s="1169"/>
      <c r="AT86" s="1169"/>
      <c r="AU86" s="1169"/>
      <c r="AV86" s="1169"/>
      <c r="AW86" s="1169"/>
      <c r="AX86" s="1169"/>
      <c r="AY86" s="1169"/>
      <c r="AZ86" s="1169"/>
      <c r="BA86" s="1169"/>
      <c r="BB86" s="1169"/>
      <c r="BC86" s="1169"/>
      <c r="BD86" s="1169"/>
      <c r="BE86" s="1169"/>
      <c r="BF86" s="1169"/>
      <c r="BG86" s="1169"/>
      <c r="BH86" s="1169"/>
      <c r="BI86" s="1169"/>
      <c r="BJ86" s="1169"/>
      <c r="BK86" s="1169"/>
      <c r="BL86" s="1169"/>
      <c r="BM86" s="1169"/>
      <c r="BN86" s="1169"/>
      <c r="BO86" s="1169"/>
      <c r="BP86" s="1169"/>
      <c r="BQ86" s="1169"/>
      <c r="BR86" s="1169"/>
      <c r="BS86" s="1169"/>
      <c r="BT86" s="1169"/>
      <c r="BU86" s="1169"/>
      <c r="BV86" s="1169"/>
      <c r="BW86" s="1169"/>
      <c r="BX86" s="1169"/>
      <c r="BY86" s="1169"/>
      <c r="BZ86" s="1169"/>
      <c r="CA86" s="1169"/>
      <c r="CB86" s="1169"/>
      <c r="CC86" s="1169"/>
      <c r="CD86" s="1169"/>
      <c r="CE86" s="1169"/>
      <c r="CF86" s="1169"/>
      <c r="CG86" s="1169"/>
      <c r="CH86" s="1169"/>
      <c r="CI86" s="1169"/>
      <c r="CJ86" s="1169"/>
      <c r="CK86" s="1169"/>
      <c r="CL86" s="1169"/>
      <c r="CM86" s="1169"/>
      <c r="CN86" s="1169"/>
      <c r="CO86" s="1169"/>
      <c r="CP86" s="1169"/>
      <c r="CQ86" s="1169"/>
      <c r="CR86" s="1169"/>
      <c r="CS86" s="1169"/>
      <c r="CT86" s="1169"/>
      <c r="CU86" s="1169"/>
      <c r="CV86" s="1169"/>
      <c r="CW86" s="1169"/>
      <c r="CX86" s="1169"/>
      <c r="CY86" s="1169"/>
      <c r="CZ86" s="1169"/>
      <c r="DA86" s="1169"/>
      <c r="DB86" s="1169"/>
      <c r="DC86" s="1169"/>
      <c r="DD86" s="1169"/>
      <c r="DE86" s="1169"/>
      <c r="DF86" s="1169"/>
      <c r="DG86" s="1169"/>
      <c r="DH86" s="1169"/>
      <c r="DI86" s="1169"/>
      <c r="DJ86" s="1169"/>
      <c r="DK86" s="1169"/>
      <c r="DL86" s="1169"/>
      <c r="DM86" s="1169"/>
      <c r="DN86" s="1169"/>
      <c r="DO86" s="1169"/>
      <c r="DP86" s="1169"/>
      <c r="DQ86" s="1169"/>
      <c r="DR86" s="1169"/>
      <c r="DS86" s="1169"/>
      <c r="DT86" s="1169"/>
      <c r="DU86" s="1169"/>
      <c r="DV86" s="1169"/>
      <c r="DW86" s="1169"/>
      <c r="DX86" s="1169"/>
      <c r="DY86" s="1169"/>
      <c r="DZ86" s="1169"/>
      <c r="EA86" s="1169"/>
      <c r="EB86" s="1169"/>
      <c r="EC86" s="1169"/>
      <c r="ED86" s="1169"/>
      <c r="EE86" s="1169"/>
      <c r="EF86" s="1169"/>
      <c r="EG86" s="1169"/>
      <c r="EH86" s="1169"/>
      <c r="EI86" s="1169"/>
      <c r="EJ86" s="1169"/>
      <c r="EK86" s="1169"/>
      <c r="EL86" s="1169"/>
      <c r="EM86" s="1169"/>
      <c r="EN86" s="1169"/>
      <c r="EO86" s="1169"/>
      <c r="EP86" s="1169"/>
      <c r="EQ86" s="1169"/>
      <c r="ER86" s="1169"/>
      <c r="ES86" s="1169"/>
      <c r="ET86" s="1169"/>
      <c r="EU86" s="1169"/>
      <c r="EV86" s="1169"/>
      <c r="EW86" s="1169"/>
      <c r="EX86" s="1169"/>
      <c r="EY86" s="1169"/>
      <c r="EZ86" s="1169"/>
      <c r="FA86" s="1169"/>
      <c r="FB86" s="1169"/>
      <c r="FC86" s="1169"/>
      <c r="FD86" s="1169"/>
      <c r="FE86" s="1169"/>
      <c r="FF86" s="1169"/>
      <c r="FG86" s="1169"/>
      <c r="FH86" s="1169"/>
      <c r="FI86" s="1169"/>
      <c r="FJ86" s="1169"/>
      <c r="FK86" s="1169"/>
      <c r="FL86" s="1169"/>
      <c r="FM86" s="1169"/>
      <c r="FN86" s="1169"/>
      <c r="FO86" s="1169"/>
      <c r="FP86" s="1169"/>
      <c r="FQ86" s="1169"/>
      <c r="FR86" s="1169"/>
      <c r="FS86" s="1169"/>
      <c r="FT86" s="1169"/>
      <c r="FU86" s="1169"/>
      <c r="FV86" s="1169"/>
      <c r="FW86" s="1169"/>
      <c r="FX86" s="1169"/>
      <c r="FY86" s="1169"/>
      <c r="FZ86" s="1169"/>
      <c r="GA86" s="1169"/>
      <c r="GB86" s="1169"/>
      <c r="GC86" s="1169"/>
      <c r="GD86" s="1169"/>
      <c r="GE86" s="1169"/>
      <c r="GF86" s="1169"/>
      <c r="GG86" s="1169"/>
      <c r="GH86" s="1169"/>
      <c r="GI86" s="1169"/>
      <c r="GJ86" s="1169"/>
      <c r="GK86" s="1169"/>
      <c r="GL86" s="1169"/>
      <c r="GM86" s="1169"/>
      <c r="GN86" s="1169"/>
      <c r="GO86" s="1169"/>
      <c r="GP86" s="1169"/>
      <c r="GQ86" s="1169"/>
      <c r="GR86" s="1169"/>
      <c r="GS86" s="1169"/>
      <c r="GT86" s="1169"/>
      <c r="GU86" s="1169"/>
      <c r="GV86" s="1169"/>
      <c r="GW86" s="1169"/>
      <c r="GX86" s="1169"/>
      <c r="GY86" s="1169">
        <v>21.4</v>
      </c>
      <c r="GZ86" s="1169">
        <v>57</v>
      </c>
      <c r="HA86" s="1169">
        <v>35.5</v>
      </c>
    </row>
    <row r="87" spans="1:209" x14ac:dyDescent="0.35">
      <c r="A87" s="1169" t="s">
        <v>1150</v>
      </c>
      <c r="B87" s="1169"/>
      <c r="C87" s="1169"/>
      <c r="D87" s="1169"/>
      <c r="E87" s="1169"/>
      <c r="F87" s="1169"/>
      <c r="G87" s="1169"/>
      <c r="H87" s="1169"/>
      <c r="I87" s="1169"/>
      <c r="J87" s="1169"/>
      <c r="K87" s="1169"/>
      <c r="L87" s="1169"/>
      <c r="M87" s="1169"/>
      <c r="N87" s="1169"/>
      <c r="O87" s="1169"/>
      <c r="P87" s="1169"/>
      <c r="Q87" s="1169"/>
      <c r="R87" s="1169"/>
      <c r="S87" s="1169"/>
      <c r="T87" s="1169"/>
      <c r="U87" s="1169"/>
      <c r="V87" s="1169"/>
      <c r="W87" s="1169"/>
      <c r="X87" s="1169"/>
      <c r="Y87" s="1169"/>
      <c r="Z87" s="1169"/>
      <c r="AA87" s="1169"/>
      <c r="AB87" s="1169"/>
      <c r="AC87" s="1169"/>
      <c r="AD87" s="1169"/>
      <c r="AE87" s="1169"/>
      <c r="AF87" s="1169"/>
      <c r="AG87" s="1169"/>
      <c r="AH87" s="1169"/>
      <c r="AI87" s="1169"/>
      <c r="AJ87" s="1169"/>
      <c r="AK87" s="1169"/>
      <c r="AL87" s="1169"/>
      <c r="AM87" s="1169"/>
      <c r="AN87" s="1169"/>
      <c r="AO87" s="1169"/>
      <c r="AP87" s="1169"/>
      <c r="AQ87" s="1169"/>
      <c r="AR87" s="1169"/>
      <c r="AS87" s="1169"/>
      <c r="AT87" s="1169"/>
      <c r="AU87" s="1169"/>
      <c r="AV87" s="1169"/>
      <c r="AW87" s="1169"/>
      <c r="AX87" s="1169"/>
      <c r="AY87" s="1169"/>
      <c r="AZ87" s="1169"/>
      <c r="BA87" s="1169"/>
      <c r="BB87" s="1169"/>
      <c r="BC87" s="1169"/>
      <c r="BD87" s="1169"/>
      <c r="BE87" s="1169"/>
      <c r="BF87" s="1169"/>
      <c r="BG87" s="1169"/>
      <c r="BH87" s="1169"/>
      <c r="BI87" s="1169"/>
      <c r="BJ87" s="1169"/>
      <c r="BK87" s="1169"/>
      <c r="BL87" s="1169"/>
      <c r="BM87" s="1169"/>
      <c r="BN87" s="1169"/>
      <c r="BO87" s="1169"/>
      <c r="BP87" s="1169"/>
      <c r="BQ87" s="1169"/>
      <c r="BR87" s="1169"/>
      <c r="BS87" s="1169"/>
      <c r="BT87" s="1169"/>
      <c r="BU87" s="1169"/>
      <c r="BV87" s="1169"/>
      <c r="BW87" s="1169"/>
      <c r="BX87" s="1169"/>
      <c r="BY87" s="1169"/>
      <c r="BZ87" s="1169"/>
      <c r="CA87" s="1169"/>
      <c r="CB87" s="1169"/>
      <c r="CC87" s="1169"/>
      <c r="CD87" s="1169"/>
      <c r="CE87" s="1169"/>
      <c r="CF87" s="1169"/>
      <c r="CG87" s="1169"/>
      <c r="CH87" s="1169"/>
      <c r="CI87" s="1169"/>
      <c r="CJ87" s="1169"/>
      <c r="CK87" s="1169"/>
      <c r="CL87" s="1169"/>
      <c r="CM87" s="1169"/>
      <c r="CN87" s="1169"/>
      <c r="CO87" s="1169"/>
      <c r="CP87" s="1169"/>
      <c r="CQ87" s="1169"/>
      <c r="CR87" s="1169"/>
      <c r="CS87" s="1169"/>
      <c r="CT87" s="1169"/>
      <c r="CU87" s="1169"/>
      <c r="CV87" s="1169"/>
      <c r="CW87" s="1169"/>
      <c r="CX87" s="1169"/>
      <c r="CY87" s="1169"/>
      <c r="CZ87" s="1169"/>
      <c r="DA87" s="1169"/>
      <c r="DB87" s="1169"/>
      <c r="DC87" s="1169"/>
      <c r="DD87" s="1169"/>
      <c r="DE87" s="1169"/>
      <c r="DF87" s="1169"/>
      <c r="DG87" s="1169"/>
      <c r="DH87" s="1169"/>
      <c r="DI87" s="1169"/>
      <c r="DJ87" s="1169"/>
      <c r="DK87" s="1169"/>
      <c r="DL87" s="1169"/>
      <c r="DM87" s="1169"/>
      <c r="DN87" s="1169"/>
      <c r="DO87" s="1169"/>
      <c r="DP87" s="1169"/>
      <c r="DQ87" s="1169"/>
      <c r="DR87" s="1169"/>
      <c r="DS87" s="1169"/>
      <c r="DT87" s="1169"/>
      <c r="DU87" s="1169"/>
      <c r="DV87" s="1169"/>
      <c r="DW87" s="1169"/>
      <c r="DX87" s="1169"/>
      <c r="DY87" s="1169"/>
      <c r="DZ87" s="1169"/>
      <c r="EA87" s="1169"/>
      <c r="EB87" s="1169"/>
      <c r="EC87" s="1169"/>
      <c r="ED87" s="1169"/>
      <c r="EE87" s="1169"/>
      <c r="EF87" s="1169"/>
      <c r="EG87" s="1169"/>
      <c r="EH87" s="1169"/>
      <c r="EI87" s="1169"/>
      <c r="EJ87" s="1169"/>
      <c r="EK87" s="1169"/>
      <c r="EL87" s="1169"/>
      <c r="EM87" s="1169"/>
      <c r="EN87" s="1169"/>
      <c r="EO87" s="1169"/>
      <c r="EP87" s="1169"/>
      <c r="EQ87" s="1169"/>
      <c r="ER87" s="1169"/>
      <c r="ES87" s="1169"/>
      <c r="ET87" s="1169"/>
      <c r="EU87" s="1169"/>
      <c r="EV87" s="1169"/>
      <c r="EW87" s="1169"/>
      <c r="EX87" s="1169"/>
      <c r="EY87" s="1169"/>
      <c r="EZ87" s="1169"/>
      <c r="FA87" s="1169"/>
      <c r="FB87" s="1169"/>
      <c r="FC87" s="1169"/>
      <c r="FD87" s="1169"/>
      <c r="FE87" s="1169"/>
      <c r="FF87" s="1169"/>
      <c r="FG87" s="1169"/>
      <c r="FH87" s="1169"/>
      <c r="FI87" s="1169"/>
      <c r="FJ87" s="1169"/>
      <c r="FK87" s="1169"/>
      <c r="FL87" s="1169"/>
      <c r="FM87" s="1169"/>
      <c r="FN87" s="1169"/>
      <c r="FO87" s="1169"/>
      <c r="FP87" s="1169"/>
      <c r="FQ87" s="1169"/>
      <c r="FR87" s="1169"/>
      <c r="FS87" s="1169"/>
      <c r="FT87" s="1169"/>
      <c r="FU87" s="1169"/>
      <c r="FV87" s="1169"/>
      <c r="FW87" s="1169"/>
      <c r="FX87" s="1169"/>
      <c r="FY87" s="1169"/>
      <c r="FZ87" s="1169"/>
      <c r="GA87" s="1169"/>
      <c r="GB87" s="1169"/>
      <c r="GC87" s="1169"/>
      <c r="GD87" s="1169"/>
      <c r="GE87" s="1169"/>
      <c r="GF87" s="1169"/>
      <c r="GG87" s="1169"/>
      <c r="GH87" s="1169"/>
      <c r="GI87" s="1169"/>
      <c r="GJ87" s="1169"/>
      <c r="GK87" s="1169"/>
      <c r="GL87" s="1169"/>
      <c r="GM87" s="1169"/>
      <c r="GN87" s="1169"/>
      <c r="GO87" s="1169"/>
      <c r="GP87" s="1169"/>
      <c r="GQ87" s="1169"/>
      <c r="GR87" s="1169"/>
      <c r="GS87" s="1169"/>
      <c r="GT87" s="1169"/>
      <c r="GU87" s="1169">
        <v>60.3</v>
      </c>
      <c r="GV87" s="1169">
        <v>18.5</v>
      </c>
      <c r="GW87" s="1169">
        <v>0</v>
      </c>
      <c r="GX87" s="1169">
        <v>0.3</v>
      </c>
      <c r="GY87" s="1169">
        <v>11.3</v>
      </c>
      <c r="GZ87" s="1169">
        <v>10.4</v>
      </c>
      <c r="HA87" s="1169">
        <v>5.3</v>
      </c>
    </row>
    <row r="88" spans="1:209" x14ac:dyDescent="0.35">
      <c r="A88" s="1169" t="s">
        <v>585</v>
      </c>
      <c r="B88" s="1169">
        <v>27088</v>
      </c>
      <c r="C88" s="1169">
        <v>34148</v>
      </c>
      <c r="D88" s="1169">
        <v>31952</v>
      </c>
      <c r="E88" s="1169">
        <v>32332</v>
      </c>
      <c r="F88" s="1169">
        <v>32820</v>
      </c>
      <c r="G88" s="1169">
        <v>38700</v>
      </c>
      <c r="H88" s="1169">
        <v>37216</v>
      </c>
      <c r="I88" s="1169">
        <v>37732</v>
      </c>
      <c r="J88" s="1169">
        <v>38284</v>
      </c>
      <c r="K88" s="1169">
        <v>38748</v>
      </c>
      <c r="L88" s="1169">
        <v>39284</v>
      </c>
      <c r="M88" s="1169">
        <v>47476</v>
      </c>
      <c r="N88" s="1169">
        <v>49096</v>
      </c>
      <c r="O88" s="1169">
        <v>50332</v>
      </c>
      <c r="P88" s="1169">
        <v>51216</v>
      </c>
      <c r="Q88" s="1169">
        <v>52016</v>
      </c>
      <c r="R88" s="1169">
        <v>52464</v>
      </c>
      <c r="S88" s="1169">
        <v>56916</v>
      </c>
      <c r="T88" s="1169">
        <v>59804</v>
      </c>
      <c r="U88" s="1169">
        <v>61244</v>
      </c>
      <c r="V88" s="1169">
        <v>62000</v>
      </c>
      <c r="W88" s="1169">
        <v>62888</v>
      </c>
      <c r="X88" s="1169">
        <v>69012</v>
      </c>
      <c r="Y88" s="1169">
        <v>69680</v>
      </c>
      <c r="Z88" s="1169">
        <v>70960</v>
      </c>
      <c r="AA88" s="1169">
        <v>71416</v>
      </c>
      <c r="AB88" s="1169">
        <v>76996</v>
      </c>
      <c r="AC88" s="1169">
        <v>78632</v>
      </c>
      <c r="AD88" s="1169">
        <v>79228</v>
      </c>
      <c r="AE88" s="1169">
        <v>80364</v>
      </c>
      <c r="AF88" s="1169">
        <v>86256</v>
      </c>
      <c r="AG88" s="1169">
        <v>87108</v>
      </c>
      <c r="AH88" s="1169">
        <v>87776</v>
      </c>
      <c r="AI88" s="1169">
        <v>87912</v>
      </c>
      <c r="AJ88" s="1169">
        <v>94276</v>
      </c>
      <c r="AK88" s="1169">
        <v>95556</v>
      </c>
      <c r="AL88" s="1169">
        <v>96528</v>
      </c>
      <c r="AM88" s="1169">
        <v>97848</v>
      </c>
      <c r="AN88" s="1169">
        <v>107624</v>
      </c>
      <c r="AO88" s="1169">
        <v>108324</v>
      </c>
      <c r="AP88" s="1169">
        <v>109348</v>
      </c>
      <c r="AQ88" s="1169">
        <v>109988</v>
      </c>
      <c r="AR88" s="1169">
        <v>126932</v>
      </c>
      <c r="AS88" s="1169">
        <v>128076</v>
      </c>
      <c r="AT88" s="1169">
        <v>130716</v>
      </c>
      <c r="AU88" s="1169">
        <v>131096</v>
      </c>
      <c r="AV88" s="1169">
        <v>146284</v>
      </c>
      <c r="AW88" s="1169">
        <v>146480</v>
      </c>
      <c r="AX88" s="1169">
        <v>146772</v>
      </c>
      <c r="AY88" s="1169">
        <v>147528</v>
      </c>
      <c r="AZ88" s="1169">
        <v>157636</v>
      </c>
      <c r="BA88" s="1169">
        <v>162896</v>
      </c>
      <c r="BB88" s="1169">
        <v>162144</v>
      </c>
      <c r="BC88" s="1169">
        <v>164008</v>
      </c>
      <c r="BD88" s="1169">
        <v>163980</v>
      </c>
      <c r="BE88" s="1169">
        <v>167572</v>
      </c>
      <c r="BF88" s="1169">
        <v>170936</v>
      </c>
      <c r="BG88" s="1169">
        <v>172680</v>
      </c>
      <c r="BH88" s="1169">
        <v>172444</v>
      </c>
      <c r="BI88" s="1169">
        <v>176048</v>
      </c>
      <c r="BJ88" s="1169">
        <v>181540</v>
      </c>
      <c r="BK88" s="1169">
        <v>181976</v>
      </c>
      <c r="BL88" s="1169">
        <v>185252</v>
      </c>
      <c r="BM88" s="1169">
        <v>184332</v>
      </c>
      <c r="BN88" s="1169">
        <v>191100</v>
      </c>
      <c r="BO88" s="1169">
        <v>192104</v>
      </c>
      <c r="BP88" s="1169">
        <v>195880</v>
      </c>
      <c r="BQ88" s="1169">
        <v>195440</v>
      </c>
      <c r="BR88" s="1169">
        <v>198912</v>
      </c>
      <c r="BS88" s="1169">
        <v>201652</v>
      </c>
      <c r="BT88" s="1169">
        <v>201436</v>
      </c>
      <c r="BU88" s="1169">
        <v>201980</v>
      </c>
      <c r="BV88" s="1169">
        <v>213484</v>
      </c>
      <c r="BW88" s="1169">
        <v>213536</v>
      </c>
      <c r="BX88" s="1169">
        <v>214156</v>
      </c>
      <c r="BY88" s="1169">
        <v>214488</v>
      </c>
      <c r="BZ88" s="1169">
        <v>225904</v>
      </c>
      <c r="CA88" s="1169">
        <v>226768</v>
      </c>
      <c r="CB88" s="1169">
        <v>227804</v>
      </c>
      <c r="CC88" s="1169">
        <v>229044</v>
      </c>
      <c r="CD88" s="1169">
        <v>241024</v>
      </c>
      <c r="CE88" s="1169">
        <v>243792</v>
      </c>
      <c r="CF88" s="1169">
        <v>244712</v>
      </c>
      <c r="CG88" s="1169">
        <v>247012</v>
      </c>
      <c r="CH88" s="1169">
        <v>261292</v>
      </c>
      <c r="CI88" s="1169">
        <v>263620</v>
      </c>
      <c r="CJ88" s="1169">
        <v>265076</v>
      </c>
      <c r="CK88" s="1169">
        <v>266828</v>
      </c>
      <c r="CL88" s="1169">
        <v>278568</v>
      </c>
      <c r="CM88" s="1169">
        <v>281744</v>
      </c>
      <c r="CN88" s="1169">
        <v>282848</v>
      </c>
      <c r="CO88" s="1169">
        <v>283944</v>
      </c>
      <c r="CP88" s="1169">
        <v>295568</v>
      </c>
      <c r="CQ88" s="1169">
        <v>297064</v>
      </c>
      <c r="CR88" s="1169">
        <v>298552</v>
      </c>
      <c r="CS88" s="1169">
        <v>300556</v>
      </c>
      <c r="CT88" s="1169">
        <v>308800</v>
      </c>
      <c r="CU88" s="1169">
        <v>311776</v>
      </c>
      <c r="CV88" s="1169">
        <v>312956</v>
      </c>
      <c r="CW88" s="1169">
        <v>315112</v>
      </c>
      <c r="CX88" s="1169">
        <v>324784</v>
      </c>
      <c r="CY88" s="1169">
        <v>327504</v>
      </c>
      <c r="CZ88" s="1169">
        <v>328632</v>
      </c>
      <c r="DA88" s="1169">
        <v>329780</v>
      </c>
      <c r="DB88" s="1169">
        <v>339100</v>
      </c>
      <c r="DC88" s="1169">
        <v>341412</v>
      </c>
      <c r="DD88" s="1169">
        <v>342632</v>
      </c>
      <c r="DE88" s="1169">
        <v>344876</v>
      </c>
      <c r="DF88" s="1169">
        <v>353920</v>
      </c>
      <c r="DG88" s="1169">
        <v>355872</v>
      </c>
      <c r="DH88" s="1169">
        <v>357524</v>
      </c>
      <c r="DI88" s="1169">
        <v>359052</v>
      </c>
      <c r="DJ88" s="1169">
        <v>366632</v>
      </c>
      <c r="DK88" s="1169">
        <v>368208</v>
      </c>
      <c r="DL88" s="1169">
        <v>370704</v>
      </c>
      <c r="DM88" s="1169">
        <v>371184</v>
      </c>
      <c r="DN88" s="1169">
        <v>376964</v>
      </c>
      <c r="DO88" s="1169">
        <v>378944</v>
      </c>
      <c r="DP88" s="1169">
        <v>380800</v>
      </c>
      <c r="DQ88" s="1169">
        <v>382748</v>
      </c>
      <c r="DR88" s="1169">
        <v>392512</v>
      </c>
      <c r="DS88" s="1169">
        <v>404664</v>
      </c>
      <c r="DT88" s="1169">
        <v>403872</v>
      </c>
      <c r="DU88" s="1169">
        <v>404524</v>
      </c>
      <c r="DV88" s="1169">
        <v>420812</v>
      </c>
      <c r="DW88" s="1169">
        <v>422668</v>
      </c>
      <c r="DX88" s="1169">
        <v>428384</v>
      </c>
      <c r="DY88" s="1169">
        <v>428472</v>
      </c>
      <c r="DZ88" s="1169">
        <v>442872</v>
      </c>
      <c r="EA88" s="1169">
        <v>445487</v>
      </c>
      <c r="EB88" s="1169">
        <v>448080</v>
      </c>
      <c r="EC88" s="1169">
        <v>451196</v>
      </c>
      <c r="ED88" s="1169">
        <v>458142</v>
      </c>
      <c r="EE88" s="1169">
        <v>463083</v>
      </c>
      <c r="EF88" s="1169">
        <v>464765</v>
      </c>
      <c r="EG88" s="1169">
        <v>468133</v>
      </c>
      <c r="EH88" s="1169">
        <v>479685</v>
      </c>
      <c r="EI88" s="1169">
        <v>484798</v>
      </c>
      <c r="EJ88" s="1169">
        <v>486184</v>
      </c>
      <c r="EK88" s="1169">
        <v>491380</v>
      </c>
      <c r="EL88" s="1169">
        <v>506486</v>
      </c>
      <c r="EM88" s="1169">
        <v>512872</v>
      </c>
      <c r="EN88" s="1169">
        <v>514043</v>
      </c>
      <c r="EO88" s="1169">
        <v>517512</v>
      </c>
      <c r="EP88" s="1169">
        <v>538042</v>
      </c>
      <c r="EQ88" s="1169">
        <v>543660</v>
      </c>
      <c r="ER88" s="1169">
        <v>546105</v>
      </c>
      <c r="ES88" s="1169">
        <v>548576</v>
      </c>
      <c r="ET88" s="1169">
        <v>568277</v>
      </c>
      <c r="EU88" s="1169">
        <v>575021</v>
      </c>
      <c r="EV88" s="1169">
        <v>578227</v>
      </c>
      <c r="EW88" s="1169">
        <v>581089</v>
      </c>
      <c r="EX88" s="1169">
        <v>597326</v>
      </c>
      <c r="EY88" s="1169">
        <v>602859</v>
      </c>
      <c r="EZ88" s="1169">
        <v>608868</v>
      </c>
      <c r="FA88" s="1169">
        <v>613115</v>
      </c>
      <c r="FB88" s="1169">
        <v>651871</v>
      </c>
      <c r="FC88" s="1169">
        <v>662422</v>
      </c>
      <c r="FD88" s="1169">
        <v>667932</v>
      </c>
      <c r="FE88" s="1169">
        <v>675654</v>
      </c>
      <c r="FF88" s="1169">
        <v>678854</v>
      </c>
      <c r="FG88" s="1169">
        <v>689251</v>
      </c>
      <c r="FH88" s="1169">
        <v>693594</v>
      </c>
      <c r="FI88" s="1169">
        <v>698996</v>
      </c>
      <c r="FJ88" s="1169">
        <v>703143</v>
      </c>
      <c r="FK88" s="1169">
        <v>712039</v>
      </c>
      <c r="FL88" s="1169">
        <v>716021</v>
      </c>
      <c r="FM88" s="1169">
        <v>721840</v>
      </c>
      <c r="FN88" s="1169">
        <v>753212</v>
      </c>
      <c r="FO88" s="1169">
        <v>759410</v>
      </c>
      <c r="FP88" s="1169">
        <v>765124</v>
      </c>
      <c r="FQ88" s="1169">
        <v>770811</v>
      </c>
      <c r="FR88" s="1169">
        <v>789992</v>
      </c>
      <c r="FS88" s="1169">
        <v>795240</v>
      </c>
      <c r="FT88" s="1169">
        <v>802336</v>
      </c>
      <c r="FU88" s="1169">
        <v>808608</v>
      </c>
      <c r="FV88" s="1169">
        <v>824825</v>
      </c>
      <c r="FW88" s="1169">
        <v>831664</v>
      </c>
      <c r="FX88" s="1169">
        <v>836478</v>
      </c>
      <c r="FY88" s="1169">
        <v>845592</v>
      </c>
      <c r="FZ88" s="1169">
        <v>861827</v>
      </c>
      <c r="GA88" s="1169">
        <v>868501</v>
      </c>
      <c r="GB88" s="1169">
        <v>873921</v>
      </c>
      <c r="GC88" s="1169">
        <v>882925</v>
      </c>
      <c r="GD88" s="1169">
        <v>886054</v>
      </c>
      <c r="GE88" s="1169">
        <v>893200</v>
      </c>
      <c r="GF88" s="1169">
        <v>899396</v>
      </c>
      <c r="GG88" s="1169">
        <v>907237</v>
      </c>
      <c r="GH88" s="1169">
        <v>916563</v>
      </c>
      <c r="GI88" s="1169">
        <v>921907</v>
      </c>
      <c r="GJ88" s="1169">
        <v>929187</v>
      </c>
      <c r="GK88" s="1169">
        <v>936629</v>
      </c>
      <c r="GL88" s="1169">
        <v>961074</v>
      </c>
      <c r="GM88" s="1169">
        <v>968110</v>
      </c>
      <c r="GN88" s="1169">
        <v>976505</v>
      </c>
      <c r="GO88" s="1169">
        <v>983959</v>
      </c>
      <c r="GP88" s="1169">
        <v>1019419</v>
      </c>
      <c r="GQ88" s="1169">
        <v>1026418</v>
      </c>
      <c r="GR88" s="1169">
        <v>1034208</v>
      </c>
      <c r="GS88" s="1169">
        <v>1042927</v>
      </c>
      <c r="GT88" s="1169">
        <v>1067885</v>
      </c>
      <c r="GU88" s="1169">
        <v>1074791</v>
      </c>
      <c r="GV88" s="1169">
        <v>1080221</v>
      </c>
      <c r="GW88" s="1169">
        <v>1088815</v>
      </c>
      <c r="GX88" s="1169">
        <v>1106316</v>
      </c>
      <c r="GY88" s="1169">
        <v>1109664</v>
      </c>
      <c r="GZ88" s="1169">
        <v>1117202</v>
      </c>
      <c r="HA88" s="1169">
        <v>1126867</v>
      </c>
    </row>
    <row r="89" spans="1:209" x14ac:dyDescent="0.35">
      <c r="A89" s="1169" t="s">
        <v>1201</v>
      </c>
      <c r="B89" s="1169"/>
      <c r="C89" s="1169"/>
      <c r="D89" s="1169"/>
      <c r="E89" s="1169"/>
      <c r="F89" s="1169"/>
      <c r="G89" s="1169"/>
      <c r="H89" s="1169"/>
      <c r="I89" s="1169"/>
      <c r="J89" s="1169"/>
      <c r="K89" s="1169"/>
      <c r="L89" s="1169"/>
      <c r="M89" s="1169"/>
      <c r="N89" s="1169"/>
      <c r="O89" s="1169"/>
      <c r="P89" s="1169"/>
      <c r="Q89" s="1169"/>
      <c r="R89" s="1169"/>
      <c r="S89" s="1169"/>
      <c r="T89" s="1169"/>
      <c r="U89" s="1169"/>
      <c r="V89" s="1169"/>
      <c r="W89" s="1169"/>
      <c r="X89" s="1169"/>
      <c r="Y89" s="1169"/>
      <c r="Z89" s="1169"/>
      <c r="AA89" s="1169"/>
      <c r="AB89" s="1169"/>
      <c r="AC89" s="1169"/>
      <c r="AD89" s="1169"/>
      <c r="AE89" s="1169"/>
      <c r="AF89" s="1169"/>
      <c r="AG89" s="1169"/>
      <c r="AH89" s="1169"/>
      <c r="AI89" s="1169"/>
      <c r="AJ89" s="1169"/>
      <c r="AK89" s="1169"/>
      <c r="AL89" s="1169"/>
      <c r="AM89" s="1169"/>
      <c r="AN89" s="1169"/>
      <c r="AO89" s="1169"/>
      <c r="AP89" s="1169"/>
      <c r="AQ89" s="1169"/>
      <c r="AR89" s="1169"/>
      <c r="AS89" s="1169"/>
      <c r="AT89" s="1169"/>
      <c r="AU89" s="1169"/>
      <c r="AV89" s="1169"/>
      <c r="AW89" s="1169"/>
      <c r="AX89" s="1169"/>
      <c r="AY89" s="1169"/>
      <c r="AZ89" s="1169"/>
      <c r="BA89" s="1169"/>
      <c r="BB89" s="1169"/>
      <c r="BC89" s="1169"/>
      <c r="BD89" s="1169"/>
      <c r="BE89" s="1169"/>
      <c r="BF89" s="1169"/>
      <c r="BG89" s="1169"/>
      <c r="BH89" s="1169"/>
      <c r="BI89" s="1169"/>
      <c r="BJ89" s="1169"/>
      <c r="BK89" s="1169"/>
      <c r="BL89" s="1169"/>
      <c r="BM89" s="1169"/>
      <c r="BN89" s="1169"/>
      <c r="BO89" s="1169"/>
      <c r="BP89" s="1169"/>
      <c r="BQ89" s="1169"/>
      <c r="BR89" s="1169"/>
      <c r="BS89" s="1169"/>
      <c r="BT89" s="1169"/>
      <c r="BU89" s="1169"/>
      <c r="BV89" s="1169"/>
      <c r="BW89" s="1169"/>
      <c r="BX89" s="1169"/>
      <c r="BY89" s="1169"/>
      <c r="BZ89" s="1169"/>
      <c r="CA89" s="1169"/>
      <c r="CB89" s="1169"/>
      <c r="CC89" s="1169"/>
      <c r="CD89" s="1169"/>
      <c r="CE89" s="1169"/>
      <c r="CF89" s="1169"/>
      <c r="CG89" s="1169"/>
      <c r="CH89" s="1169"/>
      <c r="CI89" s="1169"/>
      <c r="CJ89" s="1169"/>
      <c r="CK89" s="1169"/>
      <c r="CL89" s="1169"/>
      <c r="CM89" s="1169"/>
      <c r="CN89" s="1169"/>
      <c r="CO89" s="1169"/>
      <c r="CP89" s="1169"/>
      <c r="CQ89" s="1169"/>
      <c r="CR89" s="1169"/>
      <c r="CS89" s="1169"/>
      <c r="CT89" s="1169"/>
      <c r="CU89" s="1169"/>
      <c r="CV89" s="1169"/>
      <c r="CW89" s="1169"/>
      <c r="CX89" s="1169"/>
      <c r="CY89" s="1169"/>
      <c r="CZ89" s="1169"/>
      <c r="DA89" s="1169"/>
      <c r="DB89" s="1169"/>
      <c r="DC89" s="1169"/>
      <c r="DD89" s="1169"/>
      <c r="DE89" s="1169"/>
      <c r="DF89" s="1169"/>
      <c r="DG89" s="1169"/>
      <c r="DH89" s="1169"/>
      <c r="DI89" s="1169"/>
      <c r="DJ89" s="1169"/>
      <c r="DK89" s="1169"/>
      <c r="DL89" s="1169"/>
      <c r="DM89" s="1169"/>
      <c r="DN89" s="1169"/>
      <c r="DO89" s="1169"/>
      <c r="DP89" s="1169"/>
      <c r="DQ89" s="1169"/>
      <c r="DR89" s="1169"/>
      <c r="DS89" s="1169"/>
      <c r="DT89" s="1169"/>
      <c r="DU89" s="1169"/>
      <c r="DV89" s="1169"/>
      <c r="DW89" s="1169"/>
      <c r="DX89" s="1169"/>
      <c r="DY89" s="1169"/>
      <c r="DZ89" s="1169"/>
      <c r="EA89" s="1169"/>
      <c r="EB89" s="1169"/>
      <c r="EC89" s="1169"/>
      <c r="ED89" s="1169"/>
      <c r="EE89" s="1169"/>
      <c r="EF89" s="1169"/>
      <c r="EG89" s="1169"/>
      <c r="EH89" s="1169"/>
      <c r="EI89" s="1169"/>
      <c r="EJ89" s="1169"/>
      <c r="EK89" s="1169"/>
      <c r="EL89" s="1169"/>
      <c r="EM89" s="1169"/>
      <c r="EN89" s="1169"/>
      <c r="EO89" s="1169"/>
      <c r="EP89" s="1169"/>
      <c r="EQ89" s="1169"/>
      <c r="ER89" s="1169"/>
      <c r="ES89" s="1169"/>
      <c r="ET89" s="1169"/>
      <c r="EU89" s="1169"/>
      <c r="EV89" s="1169"/>
      <c r="EW89" s="1169"/>
      <c r="EX89" s="1169"/>
      <c r="EY89" s="1169"/>
      <c r="EZ89" s="1169"/>
      <c r="FA89" s="1169"/>
      <c r="FB89" s="1169"/>
      <c r="FC89" s="1169"/>
      <c r="FD89" s="1169"/>
      <c r="FE89" s="1169"/>
      <c r="FF89" s="1169"/>
      <c r="FG89" s="1169"/>
      <c r="FH89" s="1169"/>
      <c r="FI89" s="1169"/>
      <c r="FJ89" s="1169"/>
      <c r="FK89" s="1169"/>
      <c r="FL89" s="1169"/>
      <c r="FM89" s="1169"/>
      <c r="FN89" s="1169"/>
      <c r="FO89" s="1169"/>
      <c r="FP89" s="1169"/>
      <c r="FQ89" s="1169"/>
      <c r="FR89" s="1169"/>
      <c r="FS89" s="1169"/>
      <c r="FT89" s="1169"/>
      <c r="FU89" s="1169"/>
      <c r="FV89" s="1169"/>
      <c r="FW89" s="1169"/>
      <c r="FX89" s="1169"/>
      <c r="FY89" s="1169"/>
      <c r="FZ89" s="1169"/>
      <c r="GA89" s="1169"/>
      <c r="GB89" s="1169"/>
      <c r="GC89" s="1169"/>
      <c r="GD89" s="1169"/>
      <c r="GE89" s="1169"/>
      <c r="GF89" s="1169"/>
      <c r="GG89" s="1169"/>
      <c r="GH89" s="1169"/>
      <c r="GI89" s="1169"/>
      <c r="GJ89" s="1169"/>
      <c r="GK89" s="1169"/>
      <c r="GL89" s="1169"/>
      <c r="GM89" s="1169"/>
      <c r="GN89" s="1169"/>
      <c r="GO89" s="1169"/>
      <c r="GP89" s="1169"/>
      <c r="GQ89" s="1169"/>
      <c r="GR89" s="1169"/>
      <c r="GS89" s="1169"/>
      <c r="GT89" s="1169"/>
      <c r="GU89" s="1169"/>
      <c r="GV89" s="1169"/>
      <c r="GW89" s="1169"/>
      <c r="GX89" s="1169">
        <v>34.4</v>
      </c>
      <c r="GY89" s="1169">
        <v>34.4</v>
      </c>
      <c r="GZ89" s="1169">
        <v>218.933333333333</v>
      </c>
      <c r="HA89" s="1169">
        <v>223.13333333333301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topLeftCell="A27" zoomScale="150" workbookViewId="0">
      <selection activeCell="D24" sqref="D24:I24"/>
    </sheetView>
  </sheetViews>
  <sheetFormatPr defaultColWidth="8.7265625" defaultRowHeight="14.5" x14ac:dyDescent="0.35"/>
  <cols>
    <col min="3" max="3" width="33.7265625" customWidth="1"/>
  </cols>
  <sheetData>
    <row r="3" spans="1:17" x14ac:dyDescent="0.35">
      <c r="A3" s="191" t="s">
        <v>884</v>
      </c>
      <c r="B3" s="178"/>
    </row>
    <row r="4" spans="1:17" x14ac:dyDescent="0.35">
      <c r="A4" s="192" t="s">
        <v>885</v>
      </c>
      <c r="B4" s="193"/>
      <c r="C4" s="193"/>
    </row>
    <row r="7" spans="1:17" x14ac:dyDescent="0.35">
      <c r="A7" s="1422" t="s">
        <v>886</v>
      </c>
      <c r="B7" s="1423"/>
      <c r="C7" s="1423"/>
      <c r="D7" s="1423"/>
      <c r="E7" s="1423"/>
      <c r="F7" s="1423"/>
      <c r="G7" s="1423"/>
      <c r="H7" s="1423"/>
      <c r="I7" s="1423"/>
      <c r="J7" s="1423"/>
      <c r="K7" s="1423"/>
      <c r="L7" s="1423"/>
      <c r="M7" s="1423"/>
      <c r="N7" s="1423"/>
      <c r="O7" s="1423"/>
      <c r="P7" s="1423"/>
    </row>
    <row r="8" spans="1:17" x14ac:dyDescent="0.35">
      <c r="A8" s="183" t="s">
        <v>887</v>
      </c>
      <c r="B8" s="183"/>
      <c r="C8" s="184"/>
      <c r="D8" s="185"/>
      <c r="E8" s="184"/>
      <c r="F8" s="184"/>
      <c r="G8" s="184"/>
      <c r="H8" s="184"/>
      <c r="I8" s="184"/>
      <c r="J8" s="184"/>
      <c r="K8" s="184"/>
      <c r="L8" s="184"/>
      <c r="M8" s="184"/>
      <c r="N8" s="184"/>
      <c r="O8" s="184"/>
      <c r="P8" s="184"/>
    </row>
    <row r="9" spans="1:17" x14ac:dyDescent="0.35">
      <c r="A9" s="179"/>
      <c r="B9" s="179"/>
      <c r="C9" s="179"/>
      <c r="D9" s="186"/>
      <c r="E9" s="179"/>
      <c r="F9" s="179"/>
      <c r="G9" s="179"/>
      <c r="H9" s="179"/>
      <c r="I9" s="179"/>
      <c r="J9" s="179"/>
      <c r="K9" s="179"/>
      <c r="L9" s="179"/>
      <c r="M9" s="179"/>
      <c r="N9" s="179"/>
      <c r="O9" s="179"/>
      <c r="P9" s="179"/>
    </row>
    <row r="10" spans="1:17" x14ac:dyDescent="0.35">
      <c r="A10" s="179"/>
      <c r="B10" s="179"/>
      <c r="C10" s="179"/>
      <c r="D10" s="186"/>
      <c r="E10" s="179"/>
      <c r="F10" s="179"/>
      <c r="G10" s="179"/>
      <c r="H10" s="179"/>
      <c r="I10" s="179"/>
      <c r="J10" s="179"/>
      <c r="K10" s="179"/>
      <c r="L10" s="179"/>
      <c r="M10" s="179"/>
      <c r="N10" s="179"/>
      <c r="O10" s="1424" t="s">
        <v>385</v>
      </c>
      <c r="P10" s="1424"/>
    </row>
    <row r="11" spans="1:17" x14ac:dyDescent="0.35">
      <c r="A11" s="179"/>
      <c r="B11" s="179"/>
      <c r="C11" s="177"/>
      <c r="D11" s="180"/>
      <c r="E11" s="177"/>
      <c r="F11" s="177"/>
      <c r="G11" s="177"/>
      <c r="H11" s="177"/>
      <c r="I11" s="177"/>
      <c r="J11" s="177"/>
      <c r="K11" s="177"/>
      <c r="L11" s="177"/>
      <c r="M11" s="177"/>
      <c r="N11" s="177"/>
      <c r="O11" s="175" t="s">
        <v>888</v>
      </c>
      <c r="P11" s="175" t="s">
        <v>888</v>
      </c>
    </row>
    <row r="12" spans="1:17" x14ac:dyDescent="0.35">
      <c r="A12" s="184"/>
      <c r="B12" s="184"/>
      <c r="C12" s="184"/>
      <c r="D12" s="185">
        <v>2020</v>
      </c>
      <c r="E12" s="185">
        <v>2021</v>
      </c>
      <c r="F12" s="185">
        <v>2022</v>
      </c>
      <c r="G12" s="185">
        <v>2023</v>
      </c>
      <c r="H12" s="185">
        <v>2024</v>
      </c>
      <c r="I12" s="185">
        <v>2025</v>
      </c>
      <c r="J12" s="185">
        <v>2026</v>
      </c>
      <c r="K12" s="185">
        <v>2027</v>
      </c>
      <c r="L12" s="185">
        <v>2028</v>
      </c>
      <c r="M12" s="185">
        <v>2029</v>
      </c>
      <c r="N12" s="185">
        <v>2030</v>
      </c>
      <c r="O12" s="176">
        <v>2025</v>
      </c>
      <c r="P12" s="176">
        <v>2030</v>
      </c>
    </row>
    <row r="13" spans="1:17" x14ac:dyDescent="0.35">
      <c r="A13" s="177" t="s">
        <v>889</v>
      </c>
      <c r="B13" s="177"/>
      <c r="C13" s="177"/>
      <c r="D13" s="764">
        <v>540.56299999999999</v>
      </c>
      <c r="E13" s="764">
        <v>0</v>
      </c>
      <c r="F13" s="764">
        <v>0</v>
      </c>
      <c r="G13" s="764">
        <v>0</v>
      </c>
      <c r="H13" s="764">
        <v>0</v>
      </c>
      <c r="I13" s="764">
        <v>0</v>
      </c>
      <c r="J13" s="764">
        <v>0</v>
      </c>
      <c r="K13" s="764">
        <v>0</v>
      </c>
      <c r="L13" s="764">
        <v>0</v>
      </c>
      <c r="M13" s="764">
        <v>0</v>
      </c>
      <c r="N13" s="764">
        <v>0</v>
      </c>
      <c r="O13" s="764">
        <v>0</v>
      </c>
      <c r="P13" s="764">
        <v>0</v>
      </c>
      <c r="Q13" t="s">
        <v>50</v>
      </c>
    </row>
    <row r="14" spans="1:17" x14ac:dyDescent="0.35">
      <c r="A14" s="179" t="s">
        <v>890</v>
      </c>
      <c r="B14" s="179"/>
      <c r="C14" s="179"/>
      <c r="D14" s="180"/>
      <c r="E14" s="177"/>
      <c r="F14" s="177"/>
      <c r="G14" s="177"/>
      <c r="H14" s="177"/>
      <c r="I14" s="177"/>
      <c r="J14" s="177"/>
      <c r="K14" s="177"/>
      <c r="L14" s="177"/>
      <c r="M14" s="177"/>
      <c r="N14" s="177"/>
      <c r="O14" s="177"/>
      <c r="P14" s="177"/>
      <c r="Q14" t="s">
        <v>891</v>
      </c>
    </row>
    <row r="15" spans="1:17" x14ac:dyDescent="0.35">
      <c r="A15" s="179"/>
      <c r="B15" s="179" t="s">
        <v>892</v>
      </c>
      <c r="C15" s="179"/>
      <c r="D15" s="180">
        <v>285.56</v>
      </c>
      <c r="E15" s="180">
        <v>5</v>
      </c>
      <c r="F15" s="180">
        <v>0</v>
      </c>
      <c r="G15" s="180">
        <v>0</v>
      </c>
      <c r="H15" s="180">
        <v>0</v>
      </c>
      <c r="I15" s="180">
        <v>0</v>
      </c>
      <c r="J15" s="180">
        <v>0</v>
      </c>
      <c r="K15" s="180">
        <v>0</v>
      </c>
      <c r="L15" s="180">
        <v>0</v>
      </c>
      <c r="M15" s="180">
        <v>0</v>
      </c>
      <c r="N15" s="180">
        <v>0</v>
      </c>
      <c r="O15" s="180">
        <v>5</v>
      </c>
      <c r="P15" s="180">
        <v>5</v>
      </c>
    </row>
    <row r="16" spans="1:17" x14ac:dyDescent="0.35">
      <c r="A16" s="177"/>
      <c r="B16" s="179" t="s">
        <v>893</v>
      </c>
      <c r="C16" s="177"/>
      <c r="D16" s="180">
        <v>67.209999999999994</v>
      </c>
      <c r="E16" s="180">
        <v>13.68</v>
      </c>
      <c r="F16" s="180">
        <v>0</v>
      </c>
      <c r="G16" s="180">
        <v>0</v>
      </c>
      <c r="H16" s="180">
        <v>0</v>
      </c>
      <c r="I16" s="180">
        <v>0</v>
      </c>
      <c r="J16" s="180">
        <v>0</v>
      </c>
      <c r="K16" s="180">
        <v>0</v>
      </c>
      <c r="L16" s="180">
        <v>0</v>
      </c>
      <c r="M16" s="180">
        <v>0</v>
      </c>
      <c r="N16" s="180">
        <v>0</v>
      </c>
      <c r="O16" s="180">
        <v>13.68</v>
      </c>
      <c r="P16" s="180">
        <v>13.68</v>
      </c>
    </row>
    <row r="17" spans="1:17" x14ac:dyDescent="0.35">
      <c r="A17" s="177"/>
      <c r="B17" s="179" t="s">
        <v>894</v>
      </c>
      <c r="C17" s="177"/>
      <c r="D17" s="180">
        <v>11.12</v>
      </c>
      <c r="E17" s="180">
        <v>47.8</v>
      </c>
      <c r="F17" s="180">
        <v>0</v>
      </c>
      <c r="G17" s="180">
        <v>0</v>
      </c>
      <c r="H17" s="180">
        <v>0</v>
      </c>
      <c r="I17" s="180">
        <v>0</v>
      </c>
      <c r="J17" s="180">
        <v>0</v>
      </c>
      <c r="K17" s="180">
        <v>0</v>
      </c>
      <c r="L17" s="180">
        <v>0</v>
      </c>
      <c r="M17" s="180">
        <v>0</v>
      </c>
      <c r="N17" s="180">
        <v>0</v>
      </c>
      <c r="O17" s="180">
        <v>47.8</v>
      </c>
      <c r="P17" s="180">
        <v>47.8</v>
      </c>
    </row>
    <row r="18" spans="1:17" x14ac:dyDescent="0.35">
      <c r="A18" s="177"/>
      <c r="B18" s="179" t="s">
        <v>895</v>
      </c>
      <c r="C18" s="177"/>
      <c r="D18" s="180">
        <v>6.2149999999999999</v>
      </c>
      <c r="E18" s="180">
        <v>5.0049999999999999</v>
      </c>
      <c r="F18" s="180">
        <v>0</v>
      </c>
      <c r="G18" s="180">
        <v>0</v>
      </c>
      <c r="H18" s="180">
        <v>0</v>
      </c>
      <c r="I18" s="180">
        <v>0</v>
      </c>
      <c r="J18" s="180">
        <v>0</v>
      </c>
      <c r="K18" s="180">
        <v>0</v>
      </c>
      <c r="L18" s="180">
        <v>0</v>
      </c>
      <c r="M18" s="180">
        <v>0</v>
      </c>
      <c r="N18" s="180">
        <v>0</v>
      </c>
      <c r="O18" s="180">
        <v>5.0049999999999999</v>
      </c>
      <c r="P18" s="180">
        <v>5.0049999999999999</v>
      </c>
    </row>
    <row r="19" spans="1:17" x14ac:dyDescent="0.35">
      <c r="A19" s="177"/>
      <c r="B19" s="179"/>
      <c r="C19" s="177"/>
      <c r="D19" s="180" t="s">
        <v>896</v>
      </c>
      <c r="E19" s="180" t="s">
        <v>896</v>
      </c>
      <c r="F19" s="180" t="s">
        <v>896</v>
      </c>
      <c r="G19" s="180" t="s">
        <v>896</v>
      </c>
      <c r="H19" s="180" t="s">
        <v>896</v>
      </c>
      <c r="I19" s="180" t="s">
        <v>896</v>
      </c>
      <c r="J19" s="180" t="s">
        <v>896</v>
      </c>
      <c r="K19" s="180" t="s">
        <v>896</v>
      </c>
      <c r="L19" s="180" t="s">
        <v>896</v>
      </c>
      <c r="M19" s="180" t="s">
        <v>896</v>
      </c>
      <c r="N19" s="180" t="s">
        <v>896</v>
      </c>
      <c r="O19" s="180" t="s">
        <v>896</v>
      </c>
      <c r="P19" s="180" t="s">
        <v>896</v>
      </c>
    </row>
    <row r="20" spans="1:17" x14ac:dyDescent="0.35">
      <c r="A20" s="177"/>
      <c r="B20" s="179"/>
      <c r="C20" s="177" t="s">
        <v>897</v>
      </c>
      <c r="D20" s="180">
        <v>370.10500000000002</v>
      </c>
      <c r="E20" s="180">
        <v>71.484999999999999</v>
      </c>
      <c r="F20" s="180">
        <v>0</v>
      </c>
      <c r="G20" s="180">
        <v>0</v>
      </c>
      <c r="H20" s="180">
        <v>0</v>
      </c>
      <c r="I20" s="180">
        <v>0</v>
      </c>
      <c r="J20" s="180">
        <v>0</v>
      </c>
      <c r="K20" s="180">
        <v>0</v>
      </c>
      <c r="L20" s="180">
        <v>0</v>
      </c>
      <c r="M20" s="180">
        <v>0</v>
      </c>
      <c r="N20" s="180">
        <v>0</v>
      </c>
      <c r="O20" s="180">
        <v>71.484999999999999</v>
      </c>
      <c r="P20" s="180">
        <v>71.484999999999999</v>
      </c>
    </row>
    <row r="21" spans="1:17" x14ac:dyDescent="0.35">
      <c r="A21" s="177"/>
      <c r="B21" s="179"/>
      <c r="C21" s="177"/>
      <c r="D21" s="180"/>
      <c r="E21" s="180"/>
      <c r="F21" s="180"/>
      <c r="G21" s="180"/>
      <c r="H21" s="180"/>
      <c r="I21" s="180"/>
      <c r="J21" s="180"/>
      <c r="K21" s="180"/>
      <c r="L21" s="180"/>
      <c r="M21" s="180"/>
      <c r="N21" s="180"/>
      <c r="O21" s="180"/>
      <c r="P21" s="180"/>
    </row>
    <row r="22" spans="1:17" ht="17" x14ac:dyDescent="0.35">
      <c r="A22" s="177" t="s">
        <v>898</v>
      </c>
      <c r="B22" s="179"/>
      <c r="C22" s="177"/>
      <c r="D22" s="180">
        <v>271.98399999999998</v>
      </c>
      <c r="E22" s="180">
        <v>9.327</v>
      </c>
      <c r="F22" s="180">
        <v>0</v>
      </c>
      <c r="G22" s="180">
        <v>0</v>
      </c>
      <c r="H22" s="180">
        <v>0</v>
      </c>
      <c r="I22" s="180">
        <v>0</v>
      </c>
      <c r="J22" s="180">
        <v>0</v>
      </c>
      <c r="K22" s="180">
        <v>0</v>
      </c>
      <c r="L22" s="180">
        <v>0</v>
      </c>
      <c r="M22" s="180">
        <v>0</v>
      </c>
      <c r="N22" s="180">
        <v>0</v>
      </c>
      <c r="O22" s="180">
        <v>9.327</v>
      </c>
      <c r="P22" s="180">
        <v>9.327</v>
      </c>
      <c r="Q22" t="s">
        <v>899</v>
      </c>
    </row>
    <row r="23" spans="1:17" x14ac:dyDescent="0.35">
      <c r="A23" s="177" t="s">
        <v>163</v>
      </c>
      <c r="B23" s="179"/>
      <c r="C23" s="179"/>
      <c r="D23" s="180">
        <v>149.97300000000001</v>
      </c>
      <c r="E23" s="180">
        <v>2.5999999999999999E-2</v>
      </c>
      <c r="F23" s="180">
        <v>0</v>
      </c>
      <c r="G23" s="180">
        <v>0</v>
      </c>
      <c r="H23" s="180">
        <v>0</v>
      </c>
      <c r="I23" s="180">
        <v>0</v>
      </c>
      <c r="J23" s="180">
        <v>0</v>
      </c>
      <c r="K23" s="180">
        <v>0</v>
      </c>
      <c r="L23" s="180">
        <v>0</v>
      </c>
      <c r="M23" s="180">
        <v>0</v>
      </c>
      <c r="N23" s="180">
        <v>0</v>
      </c>
      <c r="O23" s="180">
        <v>2.5999999999999999E-2</v>
      </c>
      <c r="P23" s="180">
        <v>2.5999999999999999E-2</v>
      </c>
      <c r="Q23" t="s">
        <v>51</v>
      </c>
    </row>
    <row r="24" spans="1:17" x14ac:dyDescent="0.35">
      <c r="A24" s="177" t="s">
        <v>900</v>
      </c>
      <c r="B24" s="179"/>
      <c r="C24" s="179"/>
      <c r="D24" s="180">
        <v>135.41999999999999</v>
      </c>
      <c r="E24" s="180">
        <v>72.537999999999997</v>
      </c>
      <c r="F24" s="180">
        <v>10.331</v>
      </c>
      <c r="G24" s="180">
        <v>4.2670000000000003</v>
      </c>
      <c r="H24" s="180">
        <v>1.347</v>
      </c>
      <c r="I24" s="180">
        <v>0.67400000000000004</v>
      </c>
      <c r="J24" s="180">
        <v>0</v>
      </c>
      <c r="K24" s="180">
        <v>0</v>
      </c>
      <c r="L24" s="180">
        <v>0</v>
      </c>
      <c r="M24" s="180">
        <v>0</v>
      </c>
      <c r="N24" s="180">
        <v>0</v>
      </c>
      <c r="O24" s="180">
        <v>89.156999999999996</v>
      </c>
      <c r="P24" s="180">
        <v>89.156999999999996</v>
      </c>
      <c r="Q24" t="s">
        <v>901</v>
      </c>
    </row>
    <row r="25" spans="1:17" x14ac:dyDescent="0.35">
      <c r="A25" s="177" t="s">
        <v>902</v>
      </c>
      <c r="B25" s="179"/>
      <c r="C25" s="179"/>
      <c r="D25" s="180"/>
      <c r="E25" s="180"/>
      <c r="F25" s="180"/>
      <c r="G25" s="180"/>
      <c r="H25" s="180"/>
      <c r="I25" s="180"/>
      <c r="J25" s="180"/>
      <c r="K25" s="180"/>
      <c r="L25" s="180"/>
      <c r="M25" s="180"/>
      <c r="N25" s="180"/>
      <c r="O25" s="180"/>
      <c r="P25" s="180"/>
    </row>
    <row r="26" spans="1:17" x14ac:dyDescent="0.35">
      <c r="A26" s="177" t="s">
        <v>903</v>
      </c>
      <c r="B26" s="179"/>
      <c r="C26" s="179"/>
      <c r="D26" s="180">
        <v>40.831000000000003</v>
      </c>
      <c r="E26" s="180">
        <v>79.391999999999996</v>
      </c>
      <c r="F26" s="180">
        <v>47.442999999999998</v>
      </c>
      <c r="G26" s="180">
        <v>4.7220000000000004</v>
      </c>
      <c r="H26" s="180">
        <v>0</v>
      </c>
      <c r="I26" s="180">
        <v>0</v>
      </c>
      <c r="J26" s="180">
        <v>0</v>
      </c>
      <c r="K26" s="180">
        <v>0</v>
      </c>
      <c r="L26" s="180">
        <v>0</v>
      </c>
      <c r="M26" s="180">
        <v>0</v>
      </c>
      <c r="N26" s="180">
        <v>0</v>
      </c>
      <c r="O26" s="180">
        <v>131.55699999999999</v>
      </c>
      <c r="P26" s="180">
        <v>131.55699999999999</v>
      </c>
      <c r="Q26" t="s">
        <v>147</v>
      </c>
    </row>
    <row r="27" spans="1:17" x14ac:dyDescent="0.35">
      <c r="A27" s="177" t="s">
        <v>904</v>
      </c>
      <c r="B27" s="179"/>
      <c r="C27" s="179"/>
      <c r="D27" s="180">
        <v>58.054000000000002</v>
      </c>
      <c r="E27" s="180">
        <v>14.755000000000001</v>
      </c>
      <c r="F27" s="180">
        <v>3.4750000000000001</v>
      </c>
      <c r="G27" s="180">
        <v>3.9249999999999998</v>
      </c>
      <c r="H27" s="180">
        <v>4.375</v>
      </c>
      <c r="I27" s="180">
        <v>4.375</v>
      </c>
      <c r="J27" s="180">
        <v>4.5</v>
      </c>
      <c r="K27" s="180">
        <v>4.5</v>
      </c>
      <c r="L27" s="180">
        <v>4.5</v>
      </c>
      <c r="M27" s="180">
        <v>4.5</v>
      </c>
      <c r="N27" s="180">
        <v>4.5</v>
      </c>
      <c r="O27" s="180">
        <v>30.905000000000001</v>
      </c>
      <c r="P27" s="180">
        <v>53.405000000000001</v>
      </c>
    </row>
    <row r="28" spans="1:17" x14ac:dyDescent="0.35">
      <c r="A28" s="177" t="s">
        <v>905</v>
      </c>
      <c r="B28" s="179"/>
      <c r="C28" s="179"/>
      <c r="D28" s="180">
        <v>47.372999999999998</v>
      </c>
      <c r="E28" s="180">
        <v>-46.081000000000003</v>
      </c>
      <c r="F28" s="180">
        <v>0</v>
      </c>
      <c r="G28" s="180">
        <v>0</v>
      </c>
      <c r="H28" s="180">
        <v>0</v>
      </c>
      <c r="I28" s="180">
        <v>0</v>
      </c>
      <c r="J28" s="180">
        <v>0</v>
      </c>
      <c r="K28" s="180">
        <v>0</v>
      </c>
      <c r="L28" s="180">
        <v>0</v>
      </c>
      <c r="M28" s="180">
        <v>0</v>
      </c>
      <c r="N28" s="180">
        <v>0</v>
      </c>
      <c r="O28" s="180">
        <v>-46.081000000000003</v>
      </c>
      <c r="P28" s="180">
        <v>-46.081000000000003</v>
      </c>
      <c r="Q28" t="s">
        <v>55</v>
      </c>
    </row>
    <row r="29" spans="1:17" x14ac:dyDescent="0.35">
      <c r="A29" s="177" t="s">
        <v>906</v>
      </c>
      <c r="B29" s="179"/>
      <c r="C29" s="179"/>
      <c r="D29" s="180">
        <v>24.475000000000001</v>
      </c>
      <c r="E29" s="180">
        <v>32.784999999999997</v>
      </c>
      <c r="F29" s="180">
        <v>8.4600000000000009</v>
      </c>
      <c r="G29" s="180">
        <v>0</v>
      </c>
      <c r="H29" s="180">
        <v>0</v>
      </c>
      <c r="I29" s="180">
        <v>0</v>
      </c>
      <c r="J29" s="180">
        <v>0</v>
      </c>
      <c r="K29" s="180">
        <v>0</v>
      </c>
      <c r="L29" s="180">
        <v>0</v>
      </c>
      <c r="M29" s="180">
        <v>0</v>
      </c>
      <c r="N29" s="180">
        <v>0</v>
      </c>
      <c r="O29" s="180">
        <v>41.244999999999997</v>
      </c>
      <c r="P29" s="180">
        <v>41.244999999999997</v>
      </c>
      <c r="Q29" t="s">
        <v>907</v>
      </c>
    </row>
    <row r="30" spans="1:17" x14ac:dyDescent="0.35">
      <c r="A30" s="177" t="s">
        <v>908</v>
      </c>
      <c r="B30" s="179"/>
      <c r="C30" s="179"/>
      <c r="D30" s="180">
        <v>27.5</v>
      </c>
      <c r="E30" s="180">
        <v>0.86</v>
      </c>
      <c r="F30" s="180">
        <v>-0.22</v>
      </c>
      <c r="G30" s="180">
        <v>-0.49</v>
      </c>
      <c r="H30" s="180">
        <v>-0.56000000000000005</v>
      </c>
      <c r="I30" s="180">
        <v>-0.98</v>
      </c>
      <c r="J30" s="180">
        <v>-0.76</v>
      </c>
      <c r="K30" s="180">
        <v>-0.74</v>
      </c>
      <c r="L30" s="180">
        <v>-0.72</v>
      </c>
      <c r="M30" s="180">
        <v>-0.7</v>
      </c>
      <c r="N30" s="180">
        <v>-0.69</v>
      </c>
      <c r="O30" s="180">
        <v>-1.39</v>
      </c>
      <c r="P30" s="180">
        <v>-5</v>
      </c>
      <c r="Q30" t="s">
        <v>52</v>
      </c>
    </row>
    <row r="31" spans="1:17" x14ac:dyDescent="0.35">
      <c r="A31" s="177" t="s">
        <v>164</v>
      </c>
      <c r="B31" s="179"/>
      <c r="C31" s="179"/>
      <c r="D31" s="180">
        <v>11.407999999999999</v>
      </c>
      <c r="E31" s="180">
        <v>10.763</v>
      </c>
      <c r="F31" s="180">
        <v>5.7809999999999997</v>
      </c>
      <c r="G31" s="180">
        <v>0.92300000000000004</v>
      </c>
      <c r="H31" s="180">
        <v>0.52300000000000002</v>
      </c>
      <c r="I31" s="180">
        <v>0.43099999999999999</v>
      </c>
      <c r="J31" s="180">
        <v>0.246</v>
      </c>
      <c r="K31" s="180">
        <v>0</v>
      </c>
      <c r="L31" s="180">
        <v>0</v>
      </c>
      <c r="M31" s="180">
        <v>0</v>
      </c>
      <c r="N31" s="180">
        <v>0</v>
      </c>
      <c r="O31" s="180">
        <v>18.420999999999999</v>
      </c>
      <c r="P31" s="180">
        <v>18.667000000000002</v>
      </c>
      <c r="Q31" t="s">
        <v>909</v>
      </c>
    </row>
    <row r="32" spans="1:17" x14ac:dyDescent="0.35">
      <c r="A32" s="177" t="s">
        <v>910</v>
      </c>
      <c r="B32" s="179"/>
      <c r="C32" s="179"/>
      <c r="D32" s="180">
        <v>99.444000000000003</v>
      </c>
      <c r="E32" s="180">
        <v>61.634</v>
      </c>
      <c r="F32" s="180">
        <v>23.815000000000001</v>
      </c>
      <c r="G32" s="180">
        <v>7.35</v>
      </c>
      <c r="H32" s="180">
        <v>4.4029999999999996</v>
      </c>
      <c r="I32" s="180">
        <v>1.663</v>
      </c>
      <c r="J32" s="180">
        <v>0.74399999999999999</v>
      </c>
      <c r="K32" s="180">
        <v>0.65500000000000003</v>
      </c>
      <c r="L32" s="180">
        <v>0.68799999999999994</v>
      </c>
      <c r="M32" s="180">
        <v>10.603</v>
      </c>
      <c r="N32" s="180">
        <v>-35.328000000000003</v>
      </c>
      <c r="O32" s="180">
        <v>98.864999999999995</v>
      </c>
      <c r="P32" s="180">
        <v>76.227000000000004</v>
      </c>
      <c r="Q32" t="s">
        <v>911</v>
      </c>
    </row>
    <row r="33" spans="1:16" x14ac:dyDescent="0.35">
      <c r="A33" s="177"/>
      <c r="B33" s="179"/>
      <c r="C33" s="179"/>
      <c r="D33" s="180"/>
      <c r="E33" s="180"/>
      <c r="F33" s="180"/>
      <c r="G33" s="180"/>
      <c r="H33" s="180"/>
      <c r="I33" s="180"/>
      <c r="J33" s="180"/>
      <c r="K33" s="180"/>
      <c r="L33" s="180"/>
      <c r="M33" s="180"/>
      <c r="N33" s="180"/>
      <c r="O33" s="180"/>
      <c r="P33" s="180"/>
    </row>
    <row r="34" spans="1:16" x14ac:dyDescent="0.35">
      <c r="A34" s="181"/>
      <c r="B34" s="181"/>
      <c r="C34" s="181" t="s">
        <v>385</v>
      </c>
      <c r="D34" s="182">
        <v>1777.13</v>
      </c>
      <c r="E34" s="182">
        <v>307.48399999999998</v>
      </c>
      <c r="F34" s="182">
        <v>99.084999999999994</v>
      </c>
      <c r="G34" s="182">
        <v>20.696999999999999</v>
      </c>
      <c r="H34" s="182">
        <v>10.087999999999999</v>
      </c>
      <c r="I34" s="182">
        <v>6.1630000000000003</v>
      </c>
      <c r="J34" s="182">
        <v>4.7300000000000004</v>
      </c>
      <c r="K34" s="182">
        <v>4.415</v>
      </c>
      <c r="L34" s="182">
        <v>4.468</v>
      </c>
      <c r="M34" s="182">
        <v>14.403</v>
      </c>
      <c r="N34" s="182">
        <v>-31.518000000000001</v>
      </c>
      <c r="O34" s="182">
        <v>443.517</v>
      </c>
      <c r="P34" s="182">
        <v>440.01499999999999</v>
      </c>
    </row>
    <row r="35" spans="1:16" x14ac:dyDescent="0.35">
      <c r="A35" s="179"/>
      <c r="B35" s="179"/>
      <c r="C35" s="179"/>
      <c r="D35" s="201"/>
      <c r="E35" s="197"/>
      <c r="F35" s="177"/>
      <c r="G35" s="177"/>
      <c r="H35" s="177"/>
      <c r="I35" s="177"/>
      <c r="J35" s="177"/>
      <c r="K35" s="177"/>
      <c r="L35" s="177"/>
      <c r="M35" s="177"/>
      <c r="N35" s="177"/>
      <c r="O35" s="177"/>
      <c r="P35" s="177"/>
    </row>
    <row r="36" spans="1:16" x14ac:dyDescent="0.35">
      <c r="A36" s="187" t="s">
        <v>912</v>
      </c>
      <c r="B36" s="187"/>
      <c r="C36" s="187"/>
      <c r="D36" s="188"/>
      <c r="E36" s="187"/>
      <c r="F36" s="187"/>
      <c r="G36" s="187"/>
      <c r="H36" s="187"/>
      <c r="I36" s="187"/>
      <c r="J36" s="187"/>
      <c r="K36" s="187"/>
      <c r="L36" s="187"/>
      <c r="M36" s="187"/>
      <c r="N36" s="187"/>
      <c r="O36" s="187"/>
      <c r="P36" s="187"/>
    </row>
    <row r="37" spans="1:16" x14ac:dyDescent="0.35">
      <c r="A37" s="187"/>
      <c r="B37" s="187"/>
      <c r="C37" s="187"/>
      <c r="D37" s="188"/>
      <c r="E37" s="187"/>
      <c r="F37" s="187"/>
      <c r="G37" s="187"/>
      <c r="H37" s="187"/>
      <c r="I37" s="187"/>
      <c r="J37" s="187"/>
      <c r="K37" s="187"/>
      <c r="L37" s="187"/>
      <c r="M37" s="187"/>
      <c r="N37" s="187"/>
      <c r="O37" s="187"/>
      <c r="P37" s="187"/>
    </row>
    <row r="38" spans="1:16" x14ac:dyDescent="0.35">
      <c r="A38" s="1427" t="s">
        <v>913</v>
      </c>
      <c r="B38" s="1427"/>
      <c r="C38" s="1427"/>
      <c r="D38" s="1427"/>
      <c r="E38" s="1427"/>
      <c r="F38" s="1427"/>
      <c r="G38" s="1427"/>
      <c r="H38" s="1427"/>
      <c r="I38" s="1427"/>
      <c r="J38" s="1427"/>
      <c r="K38" s="1427"/>
      <c r="L38" s="1427"/>
      <c r="M38" s="1427"/>
      <c r="N38" s="1427"/>
      <c r="O38" s="1427"/>
      <c r="P38" s="1427"/>
    </row>
    <row r="39" spans="1:16" x14ac:dyDescent="0.35">
      <c r="A39" s="1427"/>
      <c r="B39" s="1427"/>
      <c r="C39" s="1427"/>
      <c r="D39" s="1427"/>
      <c r="E39" s="1427"/>
      <c r="F39" s="1427"/>
      <c r="G39" s="1427"/>
      <c r="H39" s="1427"/>
      <c r="I39" s="1427"/>
      <c r="J39" s="1427"/>
      <c r="K39" s="1427"/>
      <c r="L39" s="1427"/>
      <c r="M39" s="1427"/>
      <c r="N39" s="1427"/>
      <c r="O39" s="1427"/>
      <c r="P39" s="1427"/>
    </row>
    <row r="40" spans="1:16" x14ac:dyDescent="0.35">
      <c r="A40" s="1427"/>
      <c r="B40" s="1427"/>
      <c r="C40" s="1427"/>
      <c r="D40" s="1427"/>
      <c r="E40" s="1427"/>
      <c r="F40" s="1427"/>
      <c r="G40" s="1427"/>
      <c r="H40" s="1427"/>
      <c r="I40" s="1427"/>
      <c r="J40" s="1427"/>
      <c r="K40" s="1427"/>
      <c r="L40" s="1427"/>
      <c r="M40" s="1427"/>
      <c r="N40" s="1427"/>
      <c r="O40" s="1427"/>
      <c r="P40" s="1427"/>
    </row>
    <row r="41" spans="1:16" x14ac:dyDescent="0.35">
      <c r="A41" s="1427"/>
      <c r="B41" s="1427"/>
      <c r="C41" s="1427"/>
      <c r="D41" s="1427"/>
      <c r="E41" s="1427"/>
      <c r="F41" s="1427"/>
      <c r="G41" s="1427"/>
      <c r="H41" s="1427"/>
      <c r="I41" s="1427"/>
      <c r="J41" s="1427"/>
      <c r="K41" s="1427"/>
      <c r="L41" s="1427"/>
      <c r="M41" s="1427"/>
      <c r="N41" s="1427"/>
      <c r="O41" s="1427"/>
      <c r="P41" s="1427"/>
    </row>
    <row r="42" spans="1:16" x14ac:dyDescent="0.35">
      <c r="A42" s="1427"/>
      <c r="B42" s="1427"/>
      <c r="C42" s="1427"/>
      <c r="D42" s="1427"/>
      <c r="E42" s="1427"/>
      <c r="F42" s="1427"/>
      <c r="G42" s="1427"/>
      <c r="H42" s="1427"/>
      <c r="I42" s="1427"/>
      <c r="J42" s="1427"/>
      <c r="K42" s="1427"/>
      <c r="L42" s="1427"/>
      <c r="M42" s="1427"/>
      <c r="N42" s="1427"/>
      <c r="O42" s="1427"/>
      <c r="P42" s="1427"/>
    </row>
    <row r="43" spans="1:16" x14ac:dyDescent="0.35">
      <c r="A43" s="194"/>
      <c r="B43" s="194"/>
      <c r="C43" s="194"/>
      <c r="D43" s="194"/>
      <c r="E43" s="194"/>
      <c r="F43" s="194"/>
      <c r="G43" s="194"/>
      <c r="H43" s="194"/>
      <c r="I43" s="194"/>
      <c r="J43" s="194"/>
      <c r="K43" s="194"/>
      <c r="L43" s="194"/>
      <c r="M43" s="194"/>
      <c r="N43" s="194"/>
      <c r="O43" s="194"/>
      <c r="P43" s="194"/>
    </row>
    <row r="44" spans="1:16" x14ac:dyDescent="0.35">
      <c r="A44" s="1428" t="s">
        <v>914</v>
      </c>
      <c r="B44" s="1428"/>
      <c r="C44" s="1428"/>
      <c r="D44" s="1428"/>
      <c r="E44" s="1428"/>
      <c r="F44" s="1428"/>
      <c r="G44" s="1428"/>
      <c r="H44" s="1428"/>
      <c r="I44" s="1428"/>
      <c r="J44" s="1428"/>
      <c r="K44" s="1428"/>
      <c r="L44" s="1428"/>
      <c r="M44" s="1428"/>
      <c r="N44" s="1428"/>
      <c r="O44" s="1428"/>
      <c r="P44" s="1428"/>
    </row>
    <row r="45" spans="1:16" x14ac:dyDescent="0.35">
      <c r="A45" s="1428"/>
      <c r="B45" s="1428"/>
      <c r="C45" s="1428"/>
      <c r="D45" s="1428"/>
      <c r="E45" s="1428"/>
      <c r="F45" s="1428"/>
      <c r="G45" s="1428"/>
      <c r="H45" s="1428"/>
      <c r="I45" s="1428"/>
      <c r="J45" s="1428"/>
      <c r="K45" s="1428"/>
      <c r="L45" s="1428"/>
      <c r="M45" s="1428"/>
      <c r="N45" s="1428"/>
      <c r="O45" s="1428"/>
      <c r="P45" s="1428"/>
    </row>
    <row r="46" spans="1:16" x14ac:dyDescent="0.35">
      <c r="A46" s="1428"/>
      <c r="B46" s="1428"/>
      <c r="C46" s="1428"/>
      <c r="D46" s="1428"/>
      <c r="E46" s="1428"/>
      <c r="F46" s="1428"/>
      <c r="G46" s="1428"/>
      <c r="H46" s="1428"/>
      <c r="I46" s="1428"/>
      <c r="J46" s="1428"/>
      <c r="K46" s="1428"/>
      <c r="L46" s="1428"/>
      <c r="M46" s="1428"/>
      <c r="N46" s="1428"/>
      <c r="O46" s="1428"/>
      <c r="P46" s="1428"/>
    </row>
    <row r="47" spans="1:16" x14ac:dyDescent="0.35">
      <c r="A47" s="187"/>
      <c r="B47" s="187"/>
      <c r="C47" s="187"/>
      <c r="D47" s="188"/>
      <c r="E47" s="187"/>
      <c r="F47" s="187"/>
      <c r="G47" s="187"/>
      <c r="H47" s="187"/>
      <c r="I47" s="187"/>
      <c r="J47" s="187"/>
      <c r="K47" s="187"/>
      <c r="L47" s="187"/>
      <c r="M47" s="187"/>
      <c r="N47" s="187"/>
      <c r="O47" s="187"/>
      <c r="P47" s="187"/>
    </row>
    <row r="48" spans="1:16" x14ac:dyDescent="0.35">
      <c r="A48" s="1425" t="s">
        <v>915</v>
      </c>
      <c r="B48" s="1426"/>
      <c r="C48" s="1426"/>
      <c r="D48" s="1426"/>
      <c r="E48" s="1426"/>
      <c r="F48" s="1426"/>
      <c r="G48" s="1426"/>
      <c r="H48" s="1426"/>
      <c r="I48" s="1426"/>
      <c r="J48" s="1426"/>
      <c r="K48" s="1426"/>
      <c r="L48" s="1426"/>
      <c r="M48" s="1426"/>
      <c r="N48" s="1426"/>
      <c r="O48" s="1426"/>
      <c r="P48" s="1426"/>
    </row>
    <row r="49" spans="1:16" x14ac:dyDescent="0.35">
      <c r="A49" s="1426"/>
      <c r="B49" s="1426"/>
      <c r="C49" s="1426"/>
      <c r="D49" s="1426"/>
      <c r="E49" s="1426"/>
      <c r="F49" s="1426"/>
      <c r="G49" s="1426"/>
      <c r="H49" s="1426"/>
      <c r="I49" s="1426"/>
      <c r="J49" s="1426"/>
      <c r="K49" s="1426"/>
      <c r="L49" s="1426"/>
      <c r="M49" s="1426"/>
      <c r="N49" s="1426"/>
      <c r="O49" s="1426"/>
      <c r="P49" s="1426"/>
    </row>
    <row r="50" spans="1:16" x14ac:dyDescent="0.35">
      <c r="A50" s="187"/>
      <c r="B50" s="187"/>
      <c r="C50" s="187"/>
      <c r="D50" s="188"/>
      <c r="E50" s="187"/>
      <c r="F50" s="187"/>
      <c r="G50" s="187"/>
      <c r="H50" s="187"/>
      <c r="I50" s="187"/>
      <c r="J50" s="187"/>
      <c r="K50" s="187"/>
      <c r="L50" s="187"/>
      <c r="M50" s="187"/>
      <c r="N50" s="187"/>
      <c r="O50" s="187"/>
      <c r="P50" s="187"/>
    </row>
    <row r="51" spans="1:16" x14ac:dyDescent="0.35">
      <c r="A51" s="1421" t="s">
        <v>916</v>
      </c>
      <c r="B51" s="1421"/>
      <c r="C51" s="1421"/>
      <c r="D51" s="1421"/>
      <c r="E51" s="1421"/>
      <c r="F51" s="1421"/>
      <c r="G51" s="1421"/>
      <c r="H51" s="1421"/>
      <c r="I51" s="1421"/>
      <c r="J51" s="1421"/>
      <c r="K51" s="1421"/>
      <c r="L51" s="1421"/>
      <c r="M51" s="1421"/>
      <c r="N51" s="1421"/>
      <c r="O51" s="1421"/>
      <c r="P51" s="1421"/>
    </row>
    <row r="52" spans="1:16" x14ac:dyDescent="0.35">
      <c r="A52" s="1421"/>
      <c r="B52" s="1421"/>
      <c r="C52" s="1421"/>
      <c r="D52" s="1421"/>
      <c r="E52" s="1421"/>
      <c r="F52" s="1421"/>
      <c r="G52" s="1421"/>
      <c r="H52" s="1421"/>
      <c r="I52" s="1421"/>
      <c r="J52" s="1421"/>
      <c r="K52" s="1421"/>
      <c r="L52" s="1421"/>
      <c r="M52" s="1421"/>
      <c r="N52" s="1421"/>
      <c r="O52" s="1421"/>
      <c r="P52" s="1421"/>
    </row>
    <row r="53" spans="1:16" x14ac:dyDescent="0.35">
      <c r="A53" s="1421"/>
      <c r="B53" s="1421"/>
      <c r="C53" s="1421"/>
      <c r="D53" s="1421"/>
      <c r="E53" s="1421"/>
      <c r="F53" s="1421"/>
      <c r="G53" s="1421"/>
      <c r="H53" s="1421"/>
      <c r="I53" s="1421"/>
      <c r="J53" s="1421"/>
      <c r="K53" s="1421"/>
      <c r="L53" s="1421"/>
      <c r="M53" s="1421"/>
      <c r="N53" s="1421"/>
      <c r="O53" s="1421"/>
      <c r="P53" s="1421"/>
    </row>
    <row r="54" spans="1:16" x14ac:dyDescent="0.35">
      <c r="A54" s="189"/>
      <c r="B54" s="189"/>
      <c r="C54" s="189"/>
      <c r="D54" s="190"/>
      <c r="E54" s="189"/>
      <c r="F54" s="189"/>
      <c r="G54" s="189"/>
      <c r="H54" s="189"/>
      <c r="I54" s="189"/>
      <c r="J54" s="189"/>
      <c r="K54" s="189"/>
      <c r="L54" s="189"/>
      <c r="M54" s="189"/>
      <c r="N54" s="189"/>
      <c r="O54" s="189"/>
      <c r="P54" s="189"/>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workbookViewId="0">
      <selection activeCell="E6" sqref="E6"/>
    </sheetView>
  </sheetViews>
  <sheetFormatPr defaultColWidth="8.7265625" defaultRowHeight="14" x14ac:dyDescent="0.3"/>
  <cols>
    <col min="1" max="1" width="77.7265625" style="27" bestFit="1" customWidth="1"/>
    <col min="2" max="2" width="21" style="27" customWidth="1"/>
    <col min="3" max="4" width="8.7265625" style="27"/>
    <col min="5" max="5" width="37.453125" style="27" customWidth="1"/>
    <col min="6" max="6" width="16" style="27" customWidth="1"/>
    <col min="7" max="16384" width="8.7265625" style="27"/>
  </cols>
  <sheetData>
    <row r="1" spans="1:6" x14ac:dyDescent="0.3">
      <c r="A1" s="27" t="s">
        <v>917</v>
      </c>
    </row>
    <row r="2" spans="1:6" ht="20" x14ac:dyDescent="0.4">
      <c r="A2" s="90" t="s">
        <v>918</v>
      </c>
      <c r="B2" s="90" t="s">
        <v>919</v>
      </c>
      <c r="C2" s="90" t="s">
        <v>920</v>
      </c>
      <c r="D2" s="90" t="s">
        <v>921</v>
      </c>
    </row>
    <row r="3" spans="1:6" x14ac:dyDescent="0.3">
      <c r="A3" s="92" t="s">
        <v>922</v>
      </c>
      <c r="B3" s="91">
        <f>SUM(B4:B7)</f>
        <v>325</v>
      </c>
      <c r="E3" s="1429" t="s">
        <v>923</v>
      </c>
      <c r="F3" s="1429"/>
    </row>
    <row r="4" spans="1:6" x14ac:dyDescent="0.3">
      <c r="A4" s="84" t="s">
        <v>924</v>
      </c>
      <c r="B4" s="91">
        <v>284</v>
      </c>
      <c r="E4" s="44" t="s">
        <v>51</v>
      </c>
      <c r="F4" s="44" t="s">
        <v>925</v>
      </c>
    </row>
    <row r="5" spans="1:6" x14ac:dyDescent="0.3">
      <c r="A5" s="84" t="s">
        <v>509</v>
      </c>
      <c r="B5" s="91">
        <v>20</v>
      </c>
      <c r="E5" s="27" t="s">
        <v>164</v>
      </c>
      <c r="F5" s="27">
        <f>SUM(B11:B16)</f>
        <v>82</v>
      </c>
    </row>
    <row r="6" spans="1:6" x14ac:dyDescent="0.3">
      <c r="A6" s="84" t="s">
        <v>516</v>
      </c>
      <c r="B6" s="91">
        <v>15</v>
      </c>
      <c r="E6" s="27" t="s">
        <v>49</v>
      </c>
      <c r="F6" s="27">
        <f>B23</f>
        <v>3</v>
      </c>
    </row>
    <row r="7" spans="1:6" x14ac:dyDescent="0.3">
      <c r="A7" s="84" t="s">
        <v>517</v>
      </c>
      <c r="B7" s="91">
        <v>6</v>
      </c>
      <c r="E7" s="27" t="s">
        <v>416</v>
      </c>
      <c r="F7" s="27">
        <f>B27-B28</f>
        <v>29</v>
      </c>
    </row>
    <row r="8" spans="1:6" x14ac:dyDescent="0.3">
      <c r="A8" s="44" t="s">
        <v>926</v>
      </c>
      <c r="B8" s="91">
        <v>121</v>
      </c>
      <c r="E8" s="27" t="s">
        <v>433</v>
      </c>
      <c r="F8" s="27">
        <f>B42</f>
        <v>2</v>
      </c>
    </row>
    <row r="9" spans="1:6" x14ac:dyDescent="0.3">
      <c r="A9" s="93" t="s">
        <v>927</v>
      </c>
      <c r="B9" s="91">
        <v>166</v>
      </c>
      <c r="E9" s="27" t="s">
        <v>928</v>
      </c>
      <c r="F9" s="27">
        <f>B18+B20+B21</f>
        <v>34</v>
      </c>
    </row>
    <row r="10" spans="1:6" x14ac:dyDescent="0.3">
      <c r="A10" s="85" t="s">
        <v>929</v>
      </c>
      <c r="B10" s="91">
        <v>82</v>
      </c>
      <c r="E10" s="44" t="s">
        <v>930</v>
      </c>
      <c r="F10" s="44" t="s">
        <v>931</v>
      </c>
    </row>
    <row r="11" spans="1:6" x14ac:dyDescent="0.3">
      <c r="A11" s="84" t="s">
        <v>932</v>
      </c>
      <c r="B11" s="91">
        <v>54</v>
      </c>
      <c r="E11" s="27" t="s">
        <v>389</v>
      </c>
      <c r="F11" s="27">
        <f>B4</f>
        <v>284</v>
      </c>
    </row>
    <row r="12" spans="1:6" x14ac:dyDescent="0.3">
      <c r="A12" s="84" t="s">
        <v>933</v>
      </c>
      <c r="B12" s="91">
        <v>20</v>
      </c>
      <c r="E12" s="27" t="s">
        <v>934</v>
      </c>
      <c r="F12" s="27">
        <f>B5</f>
        <v>20</v>
      </c>
    </row>
    <row r="13" spans="1:6" x14ac:dyDescent="0.3">
      <c r="A13" s="84" t="s">
        <v>935</v>
      </c>
      <c r="B13" s="91">
        <v>4</v>
      </c>
      <c r="E13" s="27" t="s">
        <v>516</v>
      </c>
      <c r="F13" s="27">
        <f>B6</f>
        <v>15</v>
      </c>
    </row>
    <row r="14" spans="1:6" ht="28" x14ac:dyDescent="0.3">
      <c r="A14" s="84" t="s">
        <v>936</v>
      </c>
      <c r="B14" s="91">
        <v>2</v>
      </c>
      <c r="E14" s="32" t="s">
        <v>517</v>
      </c>
      <c r="F14" s="27">
        <f>B7</f>
        <v>6</v>
      </c>
    </row>
    <row r="15" spans="1:6" ht="28" x14ac:dyDescent="0.3">
      <c r="A15" s="84" t="s">
        <v>937</v>
      </c>
      <c r="B15" s="91">
        <v>1</v>
      </c>
      <c r="E15" s="32" t="s">
        <v>938</v>
      </c>
      <c r="F15" s="27">
        <f>B28</f>
        <v>15</v>
      </c>
    </row>
    <row r="16" spans="1:6" x14ac:dyDescent="0.3">
      <c r="A16" s="84" t="s">
        <v>939</v>
      </c>
      <c r="B16" s="91">
        <v>1</v>
      </c>
      <c r="E16" s="27" t="s">
        <v>940</v>
      </c>
      <c r="F16" s="27">
        <f>B37</f>
        <v>12</v>
      </c>
    </row>
    <row r="17" spans="1:6" x14ac:dyDescent="0.3">
      <c r="A17" s="44" t="s">
        <v>941</v>
      </c>
      <c r="B17" s="91">
        <v>72</v>
      </c>
      <c r="E17" s="27" t="s">
        <v>942</v>
      </c>
      <c r="F17" s="27">
        <f>B38</f>
        <v>10</v>
      </c>
    </row>
    <row r="18" spans="1:6" x14ac:dyDescent="0.3">
      <c r="A18" s="84" t="s">
        <v>943</v>
      </c>
      <c r="B18" s="91">
        <v>22</v>
      </c>
      <c r="C18" s="27" t="s">
        <v>944</v>
      </c>
    </row>
    <row r="19" spans="1:6" x14ac:dyDescent="0.3">
      <c r="A19" s="84" t="s">
        <v>945</v>
      </c>
      <c r="B19" s="91">
        <v>20</v>
      </c>
      <c r="C19" s="27" t="s">
        <v>123</v>
      </c>
    </row>
    <row r="20" spans="1:6" x14ac:dyDescent="0.3">
      <c r="A20" s="84" t="s">
        <v>946</v>
      </c>
      <c r="B20" s="91">
        <v>8</v>
      </c>
      <c r="C20" s="27" t="s">
        <v>944</v>
      </c>
    </row>
    <row r="21" spans="1:6" x14ac:dyDescent="0.3">
      <c r="A21" s="84" t="s">
        <v>947</v>
      </c>
      <c r="B21" s="91">
        <v>4</v>
      </c>
      <c r="C21" s="27" t="s">
        <v>51</v>
      </c>
    </row>
    <row r="22" spans="1:6" x14ac:dyDescent="0.3">
      <c r="A22" s="84" t="s">
        <v>948</v>
      </c>
      <c r="B22" s="91">
        <v>4</v>
      </c>
      <c r="C22" s="27" t="s">
        <v>123</v>
      </c>
    </row>
    <row r="23" spans="1:6" x14ac:dyDescent="0.3">
      <c r="A23" s="84" t="s">
        <v>949</v>
      </c>
      <c r="B23" s="91">
        <v>3</v>
      </c>
      <c r="C23" s="27" t="s">
        <v>950</v>
      </c>
    </row>
    <row r="24" spans="1:6" x14ac:dyDescent="0.3">
      <c r="A24" s="84" t="s">
        <v>951</v>
      </c>
      <c r="B24" s="91">
        <v>3</v>
      </c>
      <c r="C24" s="27" t="s">
        <v>952</v>
      </c>
    </row>
    <row r="25" spans="1:6" x14ac:dyDescent="0.3">
      <c r="A25" s="94" t="s">
        <v>953</v>
      </c>
      <c r="B25" s="91">
        <v>3</v>
      </c>
      <c r="C25" s="27" t="s">
        <v>55</v>
      </c>
    </row>
    <row r="26" spans="1:6" x14ac:dyDescent="0.3">
      <c r="A26" s="84" t="s">
        <v>954</v>
      </c>
      <c r="B26" s="91">
        <v>4</v>
      </c>
      <c r="C26" s="27" t="s">
        <v>955</v>
      </c>
    </row>
    <row r="27" spans="1:6" x14ac:dyDescent="0.3">
      <c r="A27" s="44" t="s">
        <v>416</v>
      </c>
      <c r="B27" s="91">
        <v>44</v>
      </c>
    </row>
    <row r="28" spans="1:6" x14ac:dyDescent="0.3">
      <c r="A28" s="109" t="s">
        <v>938</v>
      </c>
      <c r="B28" s="110">
        <v>15</v>
      </c>
    </row>
    <row r="29" spans="1:6" x14ac:dyDescent="0.3">
      <c r="A29" s="84" t="s">
        <v>956</v>
      </c>
      <c r="B29" s="91">
        <v>14</v>
      </c>
    </row>
    <row r="30" spans="1:6" x14ac:dyDescent="0.3">
      <c r="A30" s="84" t="s">
        <v>957</v>
      </c>
      <c r="B30" s="91">
        <v>10</v>
      </c>
    </row>
    <row r="31" spans="1:6" x14ac:dyDescent="0.3">
      <c r="A31" s="84" t="s">
        <v>958</v>
      </c>
      <c r="B31" s="91">
        <v>2</v>
      </c>
    </row>
    <row r="32" spans="1:6" x14ac:dyDescent="0.3">
      <c r="A32" s="84" t="s">
        <v>959</v>
      </c>
      <c r="B32" s="91">
        <v>2</v>
      </c>
    </row>
    <row r="33" spans="1:6" x14ac:dyDescent="0.3">
      <c r="A33" s="84" t="s">
        <v>960</v>
      </c>
      <c r="B33" s="91">
        <v>1</v>
      </c>
    </row>
    <row r="34" spans="1:6" x14ac:dyDescent="0.3">
      <c r="A34" s="44" t="s">
        <v>961</v>
      </c>
      <c r="B34" s="91">
        <v>88</v>
      </c>
    </row>
    <row r="35" spans="1:6" x14ac:dyDescent="0.3">
      <c r="A35" s="94" t="s">
        <v>962</v>
      </c>
      <c r="B35" s="91">
        <v>26</v>
      </c>
    </row>
    <row r="36" spans="1:6" x14ac:dyDescent="0.3">
      <c r="A36" s="84" t="s">
        <v>963</v>
      </c>
      <c r="B36" s="91">
        <v>25</v>
      </c>
    </row>
    <row r="37" spans="1:6" x14ac:dyDescent="0.3">
      <c r="A37" s="84" t="s">
        <v>940</v>
      </c>
      <c r="B37" s="91">
        <v>12</v>
      </c>
      <c r="C37" s="27" t="s">
        <v>964</v>
      </c>
      <c r="E37" s="27" t="s">
        <v>965</v>
      </c>
      <c r="F37" s="27" t="s">
        <v>966</v>
      </c>
    </row>
    <row r="38" spans="1:6" x14ac:dyDescent="0.3">
      <c r="A38" s="84" t="s">
        <v>942</v>
      </c>
      <c r="B38" s="91">
        <v>10</v>
      </c>
      <c r="C38" s="27" t="s">
        <v>964</v>
      </c>
      <c r="E38" s="27" t="s">
        <v>967</v>
      </c>
      <c r="F38" s="27" t="s">
        <v>968</v>
      </c>
    </row>
    <row r="39" spans="1:6" x14ac:dyDescent="0.3">
      <c r="A39" s="84" t="s">
        <v>969</v>
      </c>
      <c r="B39" s="91">
        <v>7</v>
      </c>
      <c r="C39" s="27" t="s">
        <v>955</v>
      </c>
      <c r="E39" s="27" t="s">
        <v>970</v>
      </c>
      <c r="F39" s="27" t="s">
        <v>971</v>
      </c>
    </row>
    <row r="40" spans="1:6" x14ac:dyDescent="0.3">
      <c r="A40" s="84" t="s">
        <v>972</v>
      </c>
      <c r="B40" s="91">
        <v>5</v>
      </c>
      <c r="C40" s="27" t="s">
        <v>123</v>
      </c>
      <c r="E40" s="27" t="s">
        <v>973</v>
      </c>
    </row>
    <row r="41" spans="1:6" x14ac:dyDescent="0.3">
      <c r="A41" s="84" t="s">
        <v>974</v>
      </c>
      <c r="B41" s="91">
        <v>2</v>
      </c>
      <c r="C41" s="27" t="s">
        <v>955</v>
      </c>
      <c r="E41" s="27" t="s">
        <v>975</v>
      </c>
    </row>
    <row r="42" spans="1:6" x14ac:dyDescent="0.3">
      <c r="A42" s="84" t="s">
        <v>976</v>
      </c>
      <c r="B42" s="91">
        <v>2</v>
      </c>
      <c r="C42" s="27" t="s">
        <v>944</v>
      </c>
      <c r="E42" s="117" t="s">
        <v>977</v>
      </c>
    </row>
    <row r="43" spans="1:6" x14ac:dyDescent="0.3">
      <c r="A43" s="84" t="s">
        <v>978</v>
      </c>
      <c r="B43" s="91">
        <v>0</v>
      </c>
      <c r="E43" s="27" t="s">
        <v>979</v>
      </c>
    </row>
    <row r="44" spans="1:6" x14ac:dyDescent="0.3">
      <c r="A44" s="44" t="s">
        <v>980</v>
      </c>
      <c r="B44" s="91">
        <v>40</v>
      </c>
    </row>
    <row r="45" spans="1:6" x14ac:dyDescent="0.3">
      <c r="A45" s="94" t="s">
        <v>981</v>
      </c>
      <c r="B45" s="95">
        <v>21</v>
      </c>
    </row>
    <row r="46" spans="1:6" x14ac:dyDescent="0.3">
      <c r="A46" s="84" t="s">
        <v>982</v>
      </c>
      <c r="B46" s="91">
        <v>6</v>
      </c>
    </row>
    <row r="47" spans="1:6" x14ac:dyDescent="0.3">
      <c r="A47" s="94" t="s">
        <v>983</v>
      </c>
      <c r="B47" s="95">
        <v>4</v>
      </c>
    </row>
    <row r="48" spans="1:6" x14ac:dyDescent="0.3">
      <c r="A48" s="84" t="s">
        <v>984</v>
      </c>
      <c r="B48" s="91">
        <v>4</v>
      </c>
    </row>
    <row r="49" spans="1:2" x14ac:dyDescent="0.3">
      <c r="A49" s="94" t="s">
        <v>985</v>
      </c>
      <c r="B49" s="95">
        <v>3</v>
      </c>
    </row>
    <row r="50" spans="1:2" x14ac:dyDescent="0.3">
      <c r="A50" s="84" t="s">
        <v>986</v>
      </c>
      <c r="B50" s="91">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X1" zoomScale="105" zoomScaleNormal="90" workbookViewId="0">
      <selection activeCell="AK3" sqref="AK3"/>
    </sheetView>
  </sheetViews>
  <sheetFormatPr defaultColWidth="9" defaultRowHeight="14.5" x14ac:dyDescent="0.35"/>
  <cols>
    <col min="1" max="1" width="6.453125" customWidth="1"/>
    <col min="2" max="2" width="8.1796875" bestFit="1" customWidth="1"/>
    <col min="4" max="4" width="7.1796875" bestFit="1" customWidth="1"/>
    <col min="5" max="5" width="8.7265625" bestFit="1" customWidth="1"/>
    <col min="7" max="7" width="8.1796875" bestFit="1" customWidth="1"/>
    <col min="8" max="8" width="7.1796875" bestFit="1" customWidth="1"/>
    <col min="10" max="10" width="8.453125" bestFit="1" customWidth="1"/>
    <col min="12" max="13" width="8.453125" bestFit="1" customWidth="1"/>
    <col min="14" max="14" width="7.453125" bestFit="1" customWidth="1"/>
    <col min="15" max="62" width="8.453125" customWidth="1"/>
  </cols>
  <sheetData>
    <row r="1" spans="1:62" x14ac:dyDescent="0.35">
      <c r="A1" s="886" t="s">
        <v>1211</v>
      </c>
      <c r="I1" s="1430"/>
      <c r="J1" s="1430"/>
      <c r="K1" s="1430"/>
    </row>
    <row r="2" spans="1:62" s="1" customFormat="1" ht="13.15" customHeight="1" x14ac:dyDescent="0.35">
      <c r="A2" s="210"/>
      <c r="O2" s="791" t="s">
        <v>1159</v>
      </c>
      <c r="P2" s="1436" t="s">
        <v>987</v>
      </c>
      <c r="Q2" s="1436"/>
      <c r="R2" s="1436"/>
      <c r="S2" s="1436"/>
      <c r="T2" s="209"/>
      <c r="U2" s="209"/>
      <c r="V2" s="209"/>
      <c r="W2" s="209"/>
      <c r="X2" s="209"/>
      <c r="Y2" s="1431" t="s">
        <v>988</v>
      </c>
      <c r="Z2" s="1432"/>
      <c r="AA2" s="1432"/>
      <c r="AB2" s="1432"/>
      <c r="AC2" s="1432"/>
      <c r="AD2" s="1432"/>
      <c r="AE2" s="209"/>
      <c r="AF2" s="209"/>
      <c r="AG2" s="1433" t="s">
        <v>989</v>
      </c>
      <c r="AH2" s="1432"/>
      <c r="AI2" s="1432"/>
      <c r="AJ2" s="1435" t="s">
        <v>990</v>
      </c>
      <c r="AK2" s="1435"/>
      <c r="AL2" s="1435"/>
      <c r="AM2" s="1435"/>
      <c r="AN2" s="1435"/>
      <c r="AO2" s="1435"/>
      <c r="AP2" s="1435"/>
      <c r="AQ2" s="1435"/>
      <c r="AR2" s="1435"/>
      <c r="AS2" s="1435"/>
      <c r="AT2" s="445"/>
      <c r="AU2" s="1434" t="s">
        <v>459</v>
      </c>
      <c r="AV2" s="1434"/>
      <c r="AW2" s="1434"/>
      <c r="AX2" s="1434"/>
      <c r="AY2" s="1434"/>
      <c r="AZ2" s="1434"/>
      <c r="BA2" s="1434"/>
      <c r="BB2" s="365"/>
      <c r="BC2" s="365"/>
      <c r="BD2" s="365"/>
      <c r="BE2" s="365"/>
      <c r="BF2" s="365"/>
      <c r="BG2" s="365"/>
      <c r="BH2" s="365"/>
      <c r="BI2" s="365"/>
      <c r="BJ2" s="372" t="s">
        <v>991</v>
      </c>
    </row>
    <row r="3" spans="1:62" ht="43.5" x14ac:dyDescent="0.35">
      <c r="A3" s="211"/>
      <c r="B3" s="211"/>
      <c r="C3" s="211"/>
      <c r="D3" s="211"/>
      <c r="E3" s="211"/>
      <c r="F3" s="211"/>
      <c r="G3" s="211"/>
      <c r="H3" s="211"/>
      <c r="I3" s="211"/>
      <c r="J3" s="211"/>
      <c r="K3" s="211"/>
      <c r="L3" s="211"/>
      <c r="M3" s="211"/>
      <c r="N3" s="211"/>
      <c r="O3" s="792" t="s">
        <v>992</v>
      </c>
      <c r="P3" s="3" t="s">
        <v>993</v>
      </c>
      <c r="Q3" s="3" t="s">
        <v>994</v>
      </c>
      <c r="R3" s="3" t="s">
        <v>995</v>
      </c>
      <c r="S3" s="3" t="s">
        <v>996</v>
      </c>
      <c r="T3" s="3" t="s">
        <v>997</v>
      </c>
      <c r="U3" s="3" t="s">
        <v>998</v>
      </c>
      <c r="V3" s="3" t="s">
        <v>999</v>
      </c>
      <c r="W3" s="3" t="s">
        <v>1000</v>
      </c>
      <c r="X3" s="3" t="s">
        <v>1001</v>
      </c>
      <c r="Y3" s="3" t="s">
        <v>1002</v>
      </c>
      <c r="Z3" s="3"/>
      <c r="AA3" s="3"/>
      <c r="AB3" s="3"/>
      <c r="AC3" s="3" t="s">
        <v>1003</v>
      </c>
      <c r="AD3" s="3" t="s">
        <v>1004</v>
      </c>
      <c r="AE3" s="3" t="s">
        <v>1005</v>
      </c>
      <c r="AF3" s="3" t="s">
        <v>1006</v>
      </c>
      <c r="AG3" s="3" t="s">
        <v>1007</v>
      </c>
      <c r="AH3" s="3" t="s">
        <v>1008</v>
      </c>
      <c r="AI3" s="3" t="s">
        <v>1009</v>
      </c>
      <c r="AJ3" s="3" t="s">
        <v>1010</v>
      </c>
      <c r="AK3" s="3" t="s">
        <v>1011</v>
      </c>
      <c r="AL3" s="3" t="s">
        <v>1012</v>
      </c>
      <c r="AM3" s="3" t="s">
        <v>1013</v>
      </c>
      <c r="AN3" s="3" t="s">
        <v>1014</v>
      </c>
      <c r="AO3" s="3" t="s">
        <v>1015</v>
      </c>
      <c r="AP3" s="3" t="s">
        <v>1016</v>
      </c>
      <c r="AQ3" s="4" t="s">
        <v>1017</v>
      </c>
      <c r="AR3" s="3" t="s">
        <v>1018</v>
      </c>
      <c r="AS3" s="3" t="s">
        <v>1019</v>
      </c>
      <c r="AT3" s="3" t="s">
        <v>1020</v>
      </c>
      <c r="AU3" s="3" t="s">
        <v>1021</v>
      </c>
      <c r="AV3" s="3" t="s">
        <v>1022</v>
      </c>
      <c r="AW3" s="3" t="s">
        <v>1023</v>
      </c>
      <c r="AX3" s="3" t="s">
        <v>1024</v>
      </c>
      <c r="AY3" s="3" t="s">
        <v>1025</v>
      </c>
      <c r="AZ3" s="3" t="s">
        <v>1026</v>
      </c>
      <c r="BA3" s="3" t="s">
        <v>1003</v>
      </c>
      <c r="BB3" s="373" t="s">
        <v>1027</v>
      </c>
      <c r="BC3" s="373" t="s">
        <v>1028</v>
      </c>
      <c r="BD3" s="373" t="s">
        <v>1029</v>
      </c>
      <c r="BE3" s="373" t="s">
        <v>1030</v>
      </c>
      <c r="BF3" s="373" t="s">
        <v>1031</v>
      </c>
      <c r="BG3" s="373" t="s">
        <v>1032</v>
      </c>
      <c r="BH3" s="373" t="s">
        <v>1033</v>
      </c>
      <c r="BI3" s="373" t="s">
        <v>1034</v>
      </c>
      <c r="BJ3" s="367" t="s">
        <v>1035</v>
      </c>
    </row>
    <row r="4" spans="1:62" s="1" customFormat="1" ht="63" customHeight="1" x14ac:dyDescent="0.35">
      <c r="A4" s="376" t="s">
        <v>1036</v>
      </c>
      <c r="B4" s="210" t="s">
        <v>56</v>
      </c>
      <c r="C4" s="210" t="s">
        <v>1037</v>
      </c>
      <c r="D4" s="210" t="s">
        <v>907</v>
      </c>
      <c r="E4" s="210" t="s">
        <v>1038</v>
      </c>
      <c r="F4" s="210" t="s">
        <v>1039</v>
      </c>
      <c r="G4" s="210" t="s">
        <v>1040</v>
      </c>
      <c r="H4" s="210" t="s">
        <v>145</v>
      </c>
      <c r="I4" s="226" t="s">
        <v>421</v>
      </c>
      <c r="J4" s="226" t="s">
        <v>164</v>
      </c>
      <c r="K4" s="226" t="s">
        <v>1041</v>
      </c>
      <c r="L4" s="218" t="s">
        <v>173</v>
      </c>
      <c r="M4" s="210" t="s">
        <v>123</v>
      </c>
      <c r="N4" s="210" t="s">
        <v>1042</v>
      </c>
      <c r="O4" s="793" t="s">
        <v>1043</v>
      </c>
      <c r="P4" s="373" t="s">
        <v>1044</v>
      </c>
      <c r="Q4" s="373" t="s">
        <v>1045</v>
      </c>
      <c r="R4" s="373" t="s">
        <v>1046</v>
      </c>
      <c r="S4" s="373" t="s">
        <v>1047</v>
      </c>
      <c r="T4" s="373" t="s">
        <v>1048</v>
      </c>
      <c r="U4" s="373" t="s">
        <v>1049</v>
      </c>
      <c r="V4" s="373" t="s">
        <v>1050</v>
      </c>
      <c r="W4" s="373" t="s">
        <v>1051</v>
      </c>
      <c r="X4" s="373" t="s">
        <v>1052</v>
      </c>
      <c r="Y4" s="373" t="s">
        <v>1053</v>
      </c>
      <c r="Z4" s="373" t="s">
        <v>1054</v>
      </c>
      <c r="AA4" s="373" t="s">
        <v>1055</v>
      </c>
      <c r="AB4" s="373" t="s">
        <v>1056</v>
      </c>
      <c r="AC4" s="373" t="s">
        <v>1057</v>
      </c>
      <c r="AD4" s="373" t="s">
        <v>1058</v>
      </c>
      <c r="AE4" s="373" t="s">
        <v>1059</v>
      </c>
      <c r="AF4" s="373" t="s">
        <v>1060</v>
      </c>
      <c r="AG4" s="373" t="s">
        <v>224</v>
      </c>
      <c r="AH4" s="373" t="s">
        <v>225</v>
      </c>
      <c r="AI4" s="373" t="s">
        <v>1061</v>
      </c>
      <c r="AJ4" s="373" t="s">
        <v>1062</v>
      </c>
      <c r="AK4" s="373" t="s">
        <v>1063</v>
      </c>
      <c r="AL4" s="373" t="s">
        <v>1064</v>
      </c>
      <c r="AM4" s="373" t="s">
        <v>1065</v>
      </c>
      <c r="AN4" s="373" t="s">
        <v>1066</v>
      </c>
      <c r="AO4" s="373" t="s">
        <v>1067</v>
      </c>
      <c r="AP4" s="373" t="s">
        <v>1068</v>
      </c>
      <c r="AQ4" s="374" t="s">
        <v>1069</v>
      </c>
      <c r="AR4" s="373" t="s">
        <v>1070</v>
      </c>
      <c r="AS4" s="373" t="s">
        <v>1071</v>
      </c>
      <c r="AT4" s="373" t="s">
        <v>1072</v>
      </c>
      <c r="AU4" s="373" t="s">
        <v>1073</v>
      </c>
      <c r="AV4" s="373" t="s">
        <v>1074</v>
      </c>
      <c r="AW4" s="373" t="s">
        <v>1075</v>
      </c>
      <c r="AX4" s="373" t="s">
        <v>1076</v>
      </c>
      <c r="AY4" s="373" t="s">
        <v>1077</v>
      </c>
      <c r="AZ4" s="373" t="s">
        <v>1078</v>
      </c>
      <c r="BA4" s="373"/>
      <c r="BB4" s="373" t="s">
        <v>521</v>
      </c>
      <c r="BC4" s="373" t="s">
        <v>1079</v>
      </c>
      <c r="BD4" s="373" t="s">
        <v>1080</v>
      </c>
      <c r="BE4" s="373" t="s">
        <v>1081</v>
      </c>
      <c r="BF4" s="373" t="s">
        <v>1082</v>
      </c>
      <c r="BG4" s="373" t="s">
        <v>1083</v>
      </c>
      <c r="BH4" s="373" t="s">
        <v>1084</v>
      </c>
      <c r="BI4" s="373" t="s">
        <v>1085</v>
      </c>
      <c r="BJ4" s="375" t="s">
        <v>1086</v>
      </c>
    </row>
    <row r="5" spans="1:62" x14ac:dyDescent="0.35">
      <c r="A5" s="212">
        <v>2021</v>
      </c>
      <c r="B5" s="214">
        <f>Q5</f>
        <v>394.202</v>
      </c>
      <c r="C5" s="214">
        <f>SUM(Y5:AB5)</f>
        <v>195.7</v>
      </c>
      <c r="D5" s="214">
        <f>T5</f>
        <v>18.823</v>
      </c>
      <c r="E5" s="214">
        <f>SUM(P5:S5)-B5</f>
        <v>0.77600000000001046</v>
      </c>
      <c r="F5" s="214">
        <f>SUM(T5:AF5)-C5-L5-D5 - 28</f>
        <v>19.722000000000016</v>
      </c>
      <c r="G5" s="214">
        <f>SUM(BB5:BI5)-BC5</f>
        <v>81.642999999999986</v>
      </c>
      <c r="H5" s="214">
        <f>SUM(AG5:AI5)</f>
        <v>7.798</v>
      </c>
      <c r="I5" s="214">
        <f>AJ5</f>
        <v>283.95749999999998</v>
      </c>
      <c r="J5" s="214">
        <f>AL5</f>
        <v>12.347</v>
      </c>
      <c r="K5" s="214">
        <f>SUM(AM5:AT5)</f>
        <v>29.628</v>
      </c>
      <c r="L5" s="228">
        <f>103/4</f>
        <v>25.75</v>
      </c>
      <c r="M5" s="214">
        <f t="shared" ref="M5:M16" si="0">SUM(AU5:BA5)</f>
        <v>31.939</v>
      </c>
      <c r="N5" s="214">
        <f>AK5</f>
        <v>3.4</v>
      </c>
      <c r="O5" s="794">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68">
        <v>1.1599999999999999</v>
      </c>
    </row>
    <row r="6" spans="1:62" x14ac:dyDescent="0.35">
      <c r="A6" s="212">
        <v>2022</v>
      </c>
      <c r="B6" s="214">
        <f t="shared" ref="B6:B15" si="1">Q6</f>
        <v>17.465</v>
      </c>
      <c r="C6" s="214">
        <f t="shared" ref="C6:C15" si="2">SUM(Y6:AB6)</f>
        <v>10.1</v>
      </c>
      <c r="D6" s="214">
        <f t="shared" ref="D6:D15" si="3">T6</f>
        <v>2.5950000000000002</v>
      </c>
      <c r="E6" s="214">
        <f t="shared" ref="E6:E15" si="4">SUM(P6:S6)-B6</f>
        <v>19.719000000000005</v>
      </c>
      <c r="F6" s="214">
        <f>SUM(T6:AF6)-C6-L6-D6</f>
        <v>52.756999999999998</v>
      </c>
      <c r="G6" s="214">
        <f t="shared" ref="G6:G16" si="5">SUM(BB6:BI6)-BC6</f>
        <v>110.24799999999999</v>
      </c>
      <c r="H6" s="214">
        <f t="shared" ref="H6:H15" si="6">SUM(AG6:AI6)</f>
        <v>7.9489999999999998</v>
      </c>
      <c r="I6" s="214">
        <f t="shared" ref="I6:I15" si="7">AJ6</f>
        <v>77.092500000000001</v>
      </c>
      <c r="J6" s="214">
        <f t="shared" ref="J6:J15" si="8">AL6</f>
        <v>46.79</v>
      </c>
      <c r="K6" s="214">
        <f t="shared" ref="K6:K16" si="9">SUM(AM6:AT6)</f>
        <v>35.671000000000006</v>
      </c>
      <c r="L6" s="228">
        <v>0</v>
      </c>
      <c r="M6" s="214">
        <f t="shared" si="0"/>
        <v>56.412999999999997</v>
      </c>
      <c r="N6" s="214">
        <f t="shared" ref="N6:N15" si="10">AK6</f>
        <v>5.0999999999999996</v>
      </c>
      <c r="O6" s="794">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68">
        <v>4.2</v>
      </c>
    </row>
    <row r="7" spans="1:62" x14ac:dyDescent="0.35">
      <c r="A7" s="212">
        <v>2023</v>
      </c>
      <c r="B7" s="214">
        <f t="shared" si="1"/>
        <v>0.48599999999999999</v>
      </c>
      <c r="C7" s="214">
        <f t="shared" si="2"/>
        <v>0</v>
      </c>
      <c r="D7" s="214">
        <f t="shared" si="3"/>
        <v>0.93700000000000006</v>
      </c>
      <c r="E7" s="214">
        <f t="shared" si="4"/>
        <v>1.4159999999999999</v>
      </c>
      <c r="F7" s="214">
        <f t="shared" ref="F7:F15" si="11">SUM(T7:AF7)-C7-L7-D7</f>
        <v>12</v>
      </c>
      <c r="G7" s="214">
        <f t="shared" si="5"/>
        <v>12.726000000000001</v>
      </c>
      <c r="H7" s="214">
        <f t="shared" si="6"/>
        <v>4.7519999999999998</v>
      </c>
      <c r="I7" s="214">
        <f t="shared" si="7"/>
        <v>1</v>
      </c>
      <c r="J7" s="214">
        <f t="shared" si="8"/>
        <v>38.595999999999997</v>
      </c>
      <c r="K7" s="214">
        <f t="shared" si="9"/>
        <v>24.216000000000001</v>
      </c>
      <c r="L7" s="228">
        <v>0</v>
      </c>
      <c r="M7" s="214">
        <f t="shared" si="0"/>
        <v>15.652999999999999</v>
      </c>
      <c r="N7" s="214">
        <f t="shared" si="10"/>
        <v>0</v>
      </c>
      <c r="O7" s="794">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68">
        <v>2.7</v>
      </c>
    </row>
    <row r="8" spans="1:62" x14ac:dyDescent="0.35">
      <c r="A8" s="212">
        <v>2024</v>
      </c>
      <c r="B8" s="214">
        <f t="shared" si="1"/>
        <v>0</v>
      </c>
      <c r="C8" s="214">
        <f t="shared" si="2"/>
        <v>0</v>
      </c>
      <c r="D8" s="214">
        <f t="shared" si="3"/>
        <v>0.16</v>
      </c>
      <c r="E8" s="214">
        <f t="shared" si="4"/>
        <v>1.4790000000000001</v>
      </c>
      <c r="F8" s="214">
        <f t="shared" si="11"/>
        <v>4.2219999999999995</v>
      </c>
      <c r="G8" s="214">
        <f t="shared" si="5"/>
        <v>1.365</v>
      </c>
      <c r="H8" s="214">
        <f t="shared" si="6"/>
        <v>4.637999999999999</v>
      </c>
      <c r="I8" s="214">
        <f t="shared" si="7"/>
        <v>0</v>
      </c>
      <c r="J8" s="214">
        <f t="shared" si="8"/>
        <v>31.911000000000001</v>
      </c>
      <c r="K8" s="214">
        <f t="shared" si="9"/>
        <v>9.6430000000000007</v>
      </c>
      <c r="L8" s="228">
        <v>0</v>
      </c>
      <c r="M8" s="214">
        <f t="shared" si="0"/>
        <v>3.9320000000000004</v>
      </c>
      <c r="N8" s="214">
        <f t="shared" si="10"/>
        <v>0</v>
      </c>
      <c r="O8" s="794">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69">
        <v>0.87</v>
      </c>
    </row>
    <row r="9" spans="1:62" x14ac:dyDescent="0.35">
      <c r="A9" s="212">
        <v>2025</v>
      </c>
      <c r="B9" s="214">
        <f t="shared" si="1"/>
        <v>0</v>
      </c>
      <c r="C9" s="214">
        <f t="shared" si="2"/>
        <v>0</v>
      </c>
      <c r="D9" s="214">
        <f t="shared" si="3"/>
        <v>3.3000000000000002E-2</v>
      </c>
      <c r="E9" s="214">
        <f t="shared" si="4"/>
        <v>1.63</v>
      </c>
      <c r="F9" s="214">
        <f t="shared" si="11"/>
        <v>2.3719999999999999</v>
      </c>
      <c r="G9" s="214">
        <f t="shared" si="5"/>
        <v>-0.90100000000000025</v>
      </c>
      <c r="H9" s="214">
        <f t="shared" si="6"/>
        <v>1.8800000000000001</v>
      </c>
      <c r="I9" s="214">
        <f t="shared" si="7"/>
        <v>0</v>
      </c>
      <c r="J9" s="214">
        <f t="shared" si="8"/>
        <v>23.099</v>
      </c>
      <c r="K9" s="214">
        <f t="shared" si="9"/>
        <v>4.5789999999999997</v>
      </c>
      <c r="L9" s="228">
        <v>0</v>
      </c>
      <c r="M9" s="214">
        <f t="shared" si="0"/>
        <v>-0.74299999999999988</v>
      </c>
      <c r="N9" s="214">
        <f t="shared" si="10"/>
        <v>0</v>
      </c>
      <c r="O9" s="794">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377">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69">
        <v>0.33</v>
      </c>
    </row>
    <row r="10" spans="1:62" x14ac:dyDescent="0.35">
      <c r="A10" s="212">
        <v>2026</v>
      </c>
      <c r="B10" s="214">
        <f t="shared" si="1"/>
        <v>0</v>
      </c>
      <c r="C10" s="214">
        <f t="shared" si="2"/>
        <v>0</v>
      </c>
      <c r="D10" s="214">
        <f t="shared" si="3"/>
        <v>3.2000000000000001E-2</v>
      </c>
      <c r="E10" s="214">
        <f t="shared" si="4"/>
        <v>1.671</v>
      </c>
      <c r="F10" s="214">
        <f t="shared" si="11"/>
        <v>0.49</v>
      </c>
      <c r="G10" s="214">
        <f t="shared" si="5"/>
        <v>-2.1500000000000004</v>
      </c>
      <c r="H10" s="214">
        <f t="shared" si="6"/>
        <v>1.446</v>
      </c>
      <c r="I10" s="214">
        <f t="shared" si="7"/>
        <v>0</v>
      </c>
      <c r="J10" s="214">
        <f t="shared" si="8"/>
        <v>10.766999999999999</v>
      </c>
      <c r="K10" s="214">
        <f t="shared" si="9"/>
        <v>2.9130000000000003</v>
      </c>
      <c r="L10" s="228"/>
      <c r="M10" s="214">
        <f t="shared" si="0"/>
        <v>-21.606000000000002</v>
      </c>
      <c r="N10" s="214">
        <f t="shared" si="10"/>
        <v>0</v>
      </c>
      <c r="O10" s="794">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377">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69">
        <v>0.17</v>
      </c>
    </row>
    <row r="11" spans="1:62" x14ac:dyDescent="0.35">
      <c r="A11" s="212">
        <v>2027</v>
      </c>
      <c r="B11" s="214">
        <f t="shared" si="1"/>
        <v>0</v>
      </c>
      <c r="C11" s="214">
        <f t="shared" si="2"/>
        <v>0</v>
      </c>
      <c r="D11" s="214">
        <f t="shared" si="3"/>
        <v>3.2000000000000001E-2</v>
      </c>
      <c r="E11" s="214">
        <f t="shared" si="4"/>
        <v>1.7130000000000001</v>
      </c>
      <c r="F11" s="214">
        <f t="shared" si="11"/>
        <v>0</v>
      </c>
      <c r="G11" s="214">
        <f t="shared" si="5"/>
        <v>-4.8169999999999993</v>
      </c>
      <c r="H11" s="214">
        <f t="shared" si="6"/>
        <v>0.65699999999999992</v>
      </c>
      <c r="I11" s="214">
        <f t="shared" si="7"/>
        <v>0</v>
      </c>
      <c r="J11" s="214">
        <f t="shared" si="8"/>
        <v>4.0789999999999997</v>
      </c>
      <c r="K11" s="214">
        <f t="shared" si="9"/>
        <v>2.46</v>
      </c>
      <c r="L11" s="228"/>
      <c r="M11" s="214">
        <f t="shared" si="0"/>
        <v>-14.713000000000001</v>
      </c>
      <c r="N11" s="214">
        <f t="shared" si="10"/>
        <v>0</v>
      </c>
      <c r="O11" s="794">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377">
        <v>0.1</v>
      </c>
      <c r="AP11" s="5">
        <v>0.03</v>
      </c>
      <c r="AQ11" s="10">
        <v>0</v>
      </c>
      <c r="AR11" s="5">
        <v>0</v>
      </c>
      <c r="AS11" s="5">
        <v>0</v>
      </c>
      <c r="AT11" s="377">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70">
        <v>0.06</v>
      </c>
    </row>
    <row r="12" spans="1:62" x14ac:dyDescent="0.35">
      <c r="A12" s="212">
        <v>2028</v>
      </c>
      <c r="B12" s="214">
        <f t="shared" si="1"/>
        <v>0</v>
      </c>
      <c r="C12" s="214">
        <f t="shared" si="2"/>
        <v>0</v>
      </c>
      <c r="D12" s="214">
        <f t="shared" si="3"/>
        <v>3.3000000000000002E-2</v>
      </c>
      <c r="E12" s="214">
        <f t="shared" si="4"/>
        <v>1.7130000000000001</v>
      </c>
      <c r="F12" s="214">
        <f t="shared" si="11"/>
        <v>0</v>
      </c>
      <c r="G12" s="214">
        <f t="shared" si="5"/>
        <v>-5.0590000000000002</v>
      </c>
      <c r="H12" s="214">
        <f t="shared" si="6"/>
        <v>-1.071</v>
      </c>
      <c r="I12" s="214">
        <f t="shared" si="7"/>
        <v>0</v>
      </c>
      <c r="J12" s="214">
        <f t="shared" si="8"/>
        <v>1.635</v>
      </c>
      <c r="K12" s="214">
        <f t="shared" si="9"/>
        <v>1.81</v>
      </c>
      <c r="L12" s="228"/>
      <c r="M12" s="214">
        <f t="shared" si="0"/>
        <v>-2.7690000000000001</v>
      </c>
      <c r="N12" s="214">
        <f t="shared" si="10"/>
        <v>0</v>
      </c>
      <c r="O12" s="794">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377">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70">
        <v>0.03</v>
      </c>
    </row>
    <row r="13" spans="1:62" x14ac:dyDescent="0.35">
      <c r="A13" s="212">
        <v>2029</v>
      </c>
      <c r="B13" s="214">
        <f t="shared" si="1"/>
        <v>0</v>
      </c>
      <c r="C13" s="214">
        <f t="shared" si="2"/>
        <v>0</v>
      </c>
      <c r="D13" s="214">
        <f t="shared" si="3"/>
        <v>3.3000000000000002E-2</v>
      </c>
      <c r="E13" s="214">
        <f t="shared" si="4"/>
        <v>1.7130000000000001</v>
      </c>
      <c r="F13" s="214">
        <f t="shared" si="11"/>
        <v>0</v>
      </c>
      <c r="G13" s="214">
        <f t="shared" si="5"/>
        <v>-5.218</v>
      </c>
      <c r="H13" s="214">
        <f t="shared" si="6"/>
        <v>-1.964</v>
      </c>
      <c r="I13" s="214">
        <f t="shared" si="7"/>
        <v>0</v>
      </c>
      <c r="J13" s="214">
        <f t="shared" si="8"/>
        <v>-1.7000000000000001E-2</v>
      </c>
      <c r="K13" s="214">
        <f t="shared" si="9"/>
        <v>1</v>
      </c>
      <c r="L13" s="228"/>
      <c r="M13" s="214">
        <f t="shared" si="0"/>
        <v>-2.75</v>
      </c>
      <c r="N13" s="214">
        <f t="shared" si="10"/>
        <v>0</v>
      </c>
      <c r="O13" s="794">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377">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70">
        <v>0.01</v>
      </c>
    </row>
    <row r="14" spans="1:62" x14ac:dyDescent="0.35">
      <c r="A14" s="212">
        <v>2030</v>
      </c>
      <c r="B14" s="214">
        <f t="shared" si="1"/>
        <v>0</v>
      </c>
      <c r="C14" s="214">
        <f t="shared" si="2"/>
        <v>0</v>
      </c>
      <c r="D14" s="214">
        <f t="shared" si="3"/>
        <v>3.3000000000000002E-2</v>
      </c>
      <c r="E14" s="214">
        <f t="shared" si="4"/>
        <v>1.8130000000000002</v>
      </c>
      <c r="F14" s="214">
        <f t="shared" si="11"/>
        <v>0</v>
      </c>
      <c r="G14" s="214">
        <f t="shared" si="5"/>
        <v>-5.9420000000000002</v>
      </c>
      <c r="H14" s="214">
        <f t="shared" si="6"/>
        <v>-2.0210000000000004</v>
      </c>
      <c r="I14" s="214">
        <f t="shared" si="7"/>
        <v>0</v>
      </c>
      <c r="J14" s="214">
        <f t="shared" si="8"/>
        <v>-1.9E-2</v>
      </c>
      <c r="K14" s="214">
        <f t="shared" si="9"/>
        <v>0.8</v>
      </c>
      <c r="L14" s="228"/>
      <c r="M14" s="214">
        <f t="shared" si="0"/>
        <v>-8.1189999999999998</v>
      </c>
      <c r="N14" s="214">
        <f t="shared" si="10"/>
        <v>0</v>
      </c>
      <c r="O14" s="794">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69">
        <v>0.01</v>
      </c>
    </row>
    <row r="15" spans="1:62" ht="17.25" customHeight="1" x14ac:dyDescent="0.35">
      <c r="A15" s="212">
        <v>2031</v>
      </c>
      <c r="B15" s="214">
        <f t="shared" si="1"/>
        <v>0</v>
      </c>
      <c r="C15" s="214">
        <f t="shared" si="2"/>
        <v>0</v>
      </c>
      <c r="D15" s="214">
        <f t="shared" si="3"/>
        <v>0</v>
      </c>
      <c r="E15" s="214">
        <f t="shared" si="4"/>
        <v>1.8230000000000002</v>
      </c>
      <c r="F15" s="214">
        <f t="shared" si="11"/>
        <v>0</v>
      </c>
      <c r="G15" s="214">
        <f t="shared" si="5"/>
        <v>-7.7250000000000005</v>
      </c>
      <c r="H15" s="214">
        <f t="shared" si="6"/>
        <v>-2.4630000000000001</v>
      </c>
      <c r="I15" s="214">
        <f t="shared" si="7"/>
        <v>0</v>
      </c>
      <c r="J15" s="214">
        <f t="shared" si="8"/>
        <v>-1.9E-2</v>
      </c>
      <c r="K15" s="214">
        <f t="shared" si="9"/>
        <v>0</v>
      </c>
      <c r="L15" s="228"/>
      <c r="M15" s="214">
        <f t="shared" si="0"/>
        <v>-3.0390000000000001</v>
      </c>
      <c r="N15" s="214">
        <f t="shared" si="10"/>
        <v>0</v>
      </c>
      <c r="O15" s="794">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69">
        <v>0</v>
      </c>
    </row>
    <row r="16" spans="1:62" x14ac:dyDescent="0.35">
      <c r="A16" s="213" t="s">
        <v>385</v>
      </c>
      <c r="B16" s="213">
        <f>SUM(B5:B15)</f>
        <v>412.15299999999996</v>
      </c>
      <c r="C16" s="213">
        <f>SUM(C5:C15)</f>
        <v>205.79999999999998</v>
      </c>
      <c r="D16" s="213">
        <f>SUM(D5:D15)</f>
        <v>22.711000000000006</v>
      </c>
      <c r="E16" s="213">
        <f t="shared" ref="E16:H16" si="12">SUM(E5:E15)</f>
        <v>35.466000000000015</v>
      </c>
      <c r="F16" s="213">
        <f t="shared" si="12"/>
        <v>91.563000000000002</v>
      </c>
      <c r="G16" s="214">
        <f t="shared" si="5"/>
        <v>174.17</v>
      </c>
      <c r="H16" s="213">
        <f t="shared" si="12"/>
        <v>21.600999999999996</v>
      </c>
      <c r="I16" s="228">
        <f t="shared" ref="I16" si="13">SUM(I5:I15)</f>
        <v>362.04999999999995</v>
      </c>
      <c r="J16" s="228">
        <f t="shared" ref="J16" si="14">SUM(J5:J15)</f>
        <v>169.16899999999998</v>
      </c>
      <c r="K16" s="214">
        <f t="shared" si="9"/>
        <v>112.72</v>
      </c>
      <c r="L16" s="228">
        <f>SUM(L5:L15)</f>
        <v>25.75</v>
      </c>
      <c r="M16" s="214">
        <f t="shared" si="0"/>
        <v>85.197999999999993</v>
      </c>
      <c r="N16" s="214">
        <f>AK16</f>
        <v>8.5</v>
      </c>
      <c r="O16" s="795">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71">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1087</v>
      </c>
      <c r="BD18" s="8" t="s">
        <v>1087</v>
      </c>
      <c r="BE18" s="8"/>
      <c r="BF18" s="8" t="s">
        <v>1087</v>
      </c>
      <c r="BG18" s="8" t="s">
        <v>1087</v>
      </c>
      <c r="BI18" s="8" t="s">
        <v>1087</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1088</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defaultColWidth="8.7265625" defaultRowHeight="14.5" x14ac:dyDescent="0.35"/>
  <cols>
    <col min="1" max="1" width="23.1796875" customWidth="1"/>
  </cols>
  <sheetData>
    <row r="1" spans="1:22" x14ac:dyDescent="0.35">
      <c r="A1" s="248" t="s">
        <v>1089</v>
      </c>
      <c r="B1" s="248"/>
      <c r="C1" s="248"/>
      <c r="D1" s="248"/>
    </row>
    <row r="2" spans="1:22" x14ac:dyDescent="0.35">
      <c r="A2" t="s">
        <v>1090</v>
      </c>
      <c r="B2" s="203">
        <v>2021</v>
      </c>
      <c r="C2" s="203">
        <v>2021</v>
      </c>
      <c r="D2" s="203">
        <v>2021</v>
      </c>
      <c r="E2" s="203">
        <v>2022</v>
      </c>
      <c r="F2" s="203">
        <v>2022</v>
      </c>
      <c r="G2" s="203">
        <v>2022</v>
      </c>
      <c r="H2" s="203">
        <v>2022</v>
      </c>
      <c r="I2" s="203">
        <v>2023</v>
      </c>
      <c r="J2" s="203">
        <v>2023</v>
      </c>
      <c r="K2" s="203">
        <v>2023</v>
      </c>
      <c r="L2" s="203">
        <v>2023</v>
      </c>
      <c r="M2" s="203">
        <v>2024</v>
      </c>
      <c r="N2" s="203">
        <v>2024</v>
      </c>
      <c r="O2" s="203">
        <v>2024</v>
      </c>
      <c r="P2" s="203">
        <v>2024</v>
      </c>
      <c r="Q2" s="203">
        <v>2025</v>
      </c>
      <c r="R2" s="203">
        <v>2025</v>
      </c>
      <c r="S2" s="203">
        <v>2025</v>
      </c>
      <c r="T2" s="203">
        <v>2025</v>
      </c>
      <c r="U2" s="203">
        <v>2026</v>
      </c>
    </row>
    <row r="3" spans="1:22" x14ac:dyDescent="0.35">
      <c r="A3" s="24" t="s">
        <v>1091</v>
      </c>
      <c r="B3" s="215" t="s">
        <v>1092</v>
      </c>
      <c r="C3" s="215" t="s">
        <v>1093</v>
      </c>
      <c r="D3" s="215" t="s">
        <v>1094</v>
      </c>
      <c r="E3" s="215" t="s">
        <v>1095</v>
      </c>
      <c r="F3" s="215" t="s">
        <v>1096</v>
      </c>
      <c r="G3" s="215" t="s">
        <v>1097</v>
      </c>
      <c r="H3" s="215" t="s">
        <v>1098</v>
      </c>
      <c r="I3" s="215" t="s">
        <v>1099</v>
      </c>
      <c r="J3" s="215" t="s">
        <v>1100</v>
      </c>
      <c r="K3" s="215" t="s">
        <v>1101</v>
      </c>
      <c r="L3" s="215" t="s">
        <v>1102</v>
      </c>
      <c r="M3" s="215" t="s">
        <v>1103</v>
      </c>
      <c r="N3" s="215" t="s">
        <v>1104</v>
      </c>
      <c r="O3" s="215" t="s">
        <v>1105</v>
      </c>
      <c r="P3" s="215" t="s">
        <v>1106</v>
      </c>
      <c r="Q3" s="215" t="s">
        <v>1107</v>
      </c>
      <c r="R3" s="215" t="s">
        <v>1108</v>
      </c>
      <c r="S3" s="215" t="s">
        <v>1109</v>
      </c>
      <c r="T3" s="215" t="s">
        <v>1110</v>
      </c>
      <c r="U3" s="215" t="s">
        <v>1111</v>
      </c>
    </row>
    <row r="4" spans="1:22" x14ac:dyDescent="0.35">
      <c r="A4" s="24" t="s">
        <v>1112</v>
      </c>
      <c r="B4" s="215"/>
      <c r="C4" s="215"/>
      <c r="D4" s="215">
        <v>0</v>
      </c>
      <c r="E4" s="215">
        <v>0</v>
      </c>
      <c r="F4" s="215">
        <v>0.5</v>
      </c>
      <c r="G4" s="215">
        <v>0.5</v>
      </c>
      <c r="H4" s="215">
        <v>0</v>
      </c>
      <c r="I4" s="215">
        <v>0</v>
      </c>
      <c r="J4" s="215">
        <v>0</v>
      </c>
      <c r="K4" s="215">
        <v>0</v>
      </c>
      <c r="L4" s="215">
        <v>0</v>
      </c>
      <c r="M4" s="215">
        <v>0</v>
      </c>
      <c r="N4" s="215">
        <v>0</v>
      </c>
      <c r="O4" s="215">
        <v>0</v>
      </c>
      <c r="P4" s="215">
        <v>0</v>
      </c>
      <c r="Q4" s="215">
        <v>0</v>
      </c>
      <c r="R4" s="215">
        <v>0</v>
      </c>
      <c r="S4" s="215">
        <v>0</v>
      </c>
      <c r="T4" s="215">
        <v>0</v>
      </c>
      <c r="U4" s="215">
        <v>0</v>
      </c>
    </row>
    <row r="5" spans="1:22" x14ac:dyDescent="0.35">
      <c r="A5" s="24" t="s">
        <v>1113</v>
      </c>
      <c r="B5" s="215">
        <v>0.04</v>
      </c>
      <c r="C5" s="215">
        <v>0.48</v>
      </c>
      <c r="D5" s="215">
        <v>0.48</v>
      </c>
      <c r="E5" s="215">
        <v>0</v>
      </c>
      <c r="F5" s="215">
        <v>0</v>
      </c>
      <c r="G5" s="215">
        <v>0</v>
      </c>
      <c r="H5" s="215">
        <v>0</v>
      </c>
      <c r="I5" s="215">
        <v>0</v>
      </c>
      <c r="J5" s="215">
        <v>0</v>
      </c>
      <c r="K5" s="215">
        <v>0</v>
      </c>
      <c r="L5" s="215">
        <v>0</v>
      </c>
      <c r="M5" s="215">
        <v>0</v>
      </c>
      <c r="N5" s="215">
        <v>0</v>
      </c>
      <c r="O5" s="215">
        <v>0</v>
      </c>
      <c r="P5" s="215">
        <v>0</v>
      </c>
      <c r="Q5" s="215">
        <v>0</v>
      </c>
      <c r="R5" s="215">
        <v>0</v>
      </c>
      <c r="S5" s="215">
        <v>0</v>
      </c>
      <c r="T5" s="215">
        <v>0</v>
      </c>
      <c r="U5" s="215">
        <v>0</v>
      </c>
    </row>
    <row r="6" spans="1:22" x14ac:dyDescent="0.35">
      <c r="A6" s="24" t="s">
        <v>1114</v>
      </c>
      <c r="B6" s="215">
        <f>B8</f>
        <v>0</v>
      </c>
      <c r="C6" s="215">
        <f>C8</f>
        <v>0.43</v>
      </c>
      <c r="D6" s="215">
        <f t="shared" ref="D6:U6" si="0">D8</f>
        <v>0.56999999999999995</v>
      </c>
      <c r="E6" s="215">
        <f t="shared" si="0"/>
        <v>0.25</v>
      </c>
      <c r="F6" s="215">
        <f t="shared" si="0"/>
        <v>0.25</v>
      </c>
      <c r="G6" s="215">
        <f t="shared" si="0"/>
        <v>0.25</v>
      </c>
      <c r="H6" s="215">
        <f t="shared" si="0"/>
        <v>0.25</v>
      </c>
      <c r="I6" s="215">
        <f t="shared" si="0"/>
        <v>0.25</v>
      </c>
      <c r="J6" s="215">
        <f t="shared" si="0"/>
        <v>0.25</v>
      </c>
      <c r="K6" s="215">
        <f t="shared" si="0"/>
        <v>0.25</v>
      </c>
      <c r="L6" s="215">
        <f t="shared" si="0"/>
        <v>0.25</v>
      </c>
      <c r="M6" s="215">
        <f t="shared" si="0"/>
        <v>0.25</v>
      </c>
      <c r="N6" s="215">
        <f t="shared" si="0"/>
        <v>0.25</v>
      </c>
      <c r="O6" s="215">
        <f t="shared" si="0"/>
        <v>0.25</v>
      </c>
      <c r="P6" s="215">
        <f t="shared" si="0"/>
        <v>0.25</v>
      </c>
      <c r="Q6" s="215">
        <f t="shared" si="0"/>
        <v>0.25</v>
      </c>
      <c r="R6" s="215">
        <f t="shared" si="0"/>
        <v>0.25</v>
      </c>
      <c r="S6" s="215">
        <f t="shared" si="0"/>
        <v>0.25</v>
      </c>
      <c r="T6" s="215">
        <f t="shared" si="0"/>
        <v>0.25</v>
      </c>
      <c r="U6" s="215">
        <f t="shared" si="0"/>
        <v>0.25</v>
      </c>
    </row>
    <row r="7" spans="1:22" x14ac:dyDescent="0.35">
      <c r="A7" s="24" t="s">
        <v>1115</v>
      </c>
      <c r="B7" s="215">
        <v>0</v>
      </c>
      <c r="C7" s="215">
        <v>0</v>
      </c>
      <c r="D7" s="215">
        <v>1</v>
      </c>
      <c r="E7" s="215">
        <v>0.25</v>
      </c>
      <c r="F7" s="215">
        <v>0.25</v>
      </c>
      <c r="G7" s="215">
        <v>0.25</v>
      </c>
      <c r="H7" s="215">
        <v>0.25</v>
      </c>
      <c r="I7" s="215">
        <v>0.25</v>
      </c>
      <c r="J7" s="215">
        <v>0.25</v>
      </c>
      <c r="K7" s="215">
        <v>0.25</v>
      </c>
      <c r="L7" s="215">
        <v>0.25</v>
      </c>
      <c r="M7" s="215">
        <v>0.25</v>
      </c>
      <c r="N7" s="215">
        <v>0.25</v>
      </c>
      <c r="O7" s="215">
        <v>0.25</v>
      </c>
      <c r="P7" s="215">
        <v>0.25</v>
      </c>
      <c r="Q7" s="215">
        <v>0.25</v>
      </c>
      <c r="R7" s="215">
        <v>0.25</v>
      </c>
      <c r="S7" s="215">
        <v>0.25</v>
      </c>
      <c r="T7" s="215">
        <v>0.25</v>
      </c>
      <c r="U7" s="215">
        <v>0.25</v>
      </c>
    </row>
    <row r="8" spans="1:22" x14ac:dyDescent="0.35">
      <c r="A8" s="24" t="s">
        <v>1116</v>
      </c>
      <c r="B8" s="215">
        <v>0</v>
      </c>
      <c r="C8" s="215">
        <v>0.43</v>
      </c>
      <c r="D8" s="215">
        <v>0.56999999999999995</v>
      </c>
      <c r="E8" s="215">
        <v>0.25</v>
      </c>
      <c r="F8" s="215">
        <v>0.25</v>
      </c>
      <c r="G8" s="215">
        <v>0.25</v>
      </c>
      <c r="H8" s="215">
        <v>0.25</v>
      </c>
      <c r="I8" s="215">
        <v>0.25</v>
      </c>
      <c r="J8" s="215">
        <v>0.25</v>
      </c>
      <c r="K8" s="215">
        <v>0.25</v>
      </c>
      <c r="L8" s="215">
        <v>0.25</v>
      </c>
      <c r="M8" s="215">
        <v>0.25</v>
      </c>
      <c r="N8" s="215">
        <v>0.25</v>
      </c>
      <c r="O8" s="215">
        <v>0.25</v>
      </c>
      <c r="P8" s="215">
        <v>0.25</v>
      </c>
      <c r="Q8" s="215">
        <v>0.25</v>
      </c>
      <c r="R8" s="215">
        <v>0.25</v>
      </c>
      <c r="S8" s="215">
        <v>0.25</v>
      </c>
      <c r="T8" s="215">
        <v>0.25</v>
      </c>
      <c r="U8" s="215">
        <v>0.25</v>
      </c>
    </row>
    <row r="9" spans="1:22" ht="26" x14ac:dyDescent="0.35">
      <c r="A9" s="24" t="s">
        <v>1117</v>
      </c>
      <c r="B9" s="215">
        <v>0</v>
      </c>
      <c r="C9" s="215">
        <f>0.18</f>
        <v>0.18</v>
      </c>
      <c r="D9" s="215">
        <f>1-C9</f>
        <v>0.82000000000000006</v>
      </c>
      <c r="E9" s="215">
        <v>0.25</v>
      </c>
      <c r="F9" s="215">
        <v>0.25</v>
      </c>
      <c r="G9" s="215">
        <v>0.25</v>
      </c>
      <c r="H9" s="215">
        <v>0.25</v>
      </c>
      <c r="I9" s="215">
        <v>0.25</v>
      </c>
      <c r="J9" s="215">
        <v>0.25</v>
      </c>
      <c r="K9" s="215">
        <v>0.25</v>
      </c>
      <c r="L9" s="215">
        <v>0.25</v>
      </c>
      <c r="M9" s="215">
        <v>0.25</v>
      </c>
      <c r="N9" s="215">
        <v>0.25</v>
      </c>
      <c r="O9" s="215">
        <v>0.25</v>
      </c>
      <c r="P9" s="215">
        <v>0.25</v>
      </c>
      <c r="Q9" s="215">
        <v>0.25</v>
      </c>
      <c r="R9" s="215">
        <v>0.25</v>
      </c>
      <c r="S9" s="215">
        <v>0.25</v>
      </c>
      <c r="T9" s="215">
        <v>0.25</v>
      </c>
      <c r="U9" s="215">
        <v>0.25</v>
      </c>
    </row>
    <row r="10" spans="1:22" x14ac:dyDescent="0.35">
      <c r="A10" s="24" t="s">
        <v>1118</v>
      </c>
      <c r="B10" s="215">
        <v>0</v>
      </c>
      <c r="C10" s="215">
        <v>0.5</v>
      </c>
      <c r="D10" s="215">
        <v>0.5</v>
      </c>
      <c r="E10" s="215">
        <v>0.25</v>
      </c>
      <c r="F10" s="215">
        <v>0.25</v>
      </c>
      <c r="G10" s="215">
        <v>0.25</v>
      </c>
      <c r="H10" s="215">
        <v>0.25</v>
      </c>
      <c r="I10" s="215">
        <v>0.25</v>
      </c>
      <c r="J10" s="215">
        <v>0.25</v>
      </c>
      <c r="K10" s="215">
        <v>0.25</v>
      </c>
      <c r="L10" s="215">
        <v>0.25</v>
      </c>
      <c r="M10" s="215">
        <v>0.25</v>
      </c>
      <c r="N10" s="215">
        <v>0.25</v>
      </c>
      <c r="O10" s="215">
        <v>0.25</v>
      </c>
      <c r="P10" s="215">
        <v>0.25</v>
      </c>
      <c r="Q10" s="215">
        <v>0.25</v>
      </c>
      <c r="R10" s="215">
        <v>0.25</v>
      </c>
      <c r="S10" s="215">
        <v>0.25</v>
      </c>
      <c r="T10" s="215">
        <v>0.25</v>
      </c>
      <c r="U10" s="215">
        <v>0.25</v>
      </c>
    </row>
    <row r="11" spans="1:22" x14ac:dyDescent="0.35">
      <c r="A11" s="24" t="s">
        <v>1119</v>
      </c>
      <c r="B11" s="215">
        <v>0</v>
      </c>
      <c r="C11" s="215">
        <v>0.5</v>
      </c>
      <c r="D11" s="215">
        <v>0.5</v>
      </c>
      <c r="E11" s="215">
        <v>0.25</v>
      </c>
      <c r="F11" s="215">
        <v>0.25</v>
      </c>
      <c r="G11" s="215">
        <v>0.25</v>
      </c>
      <c r="H11" s="215">
        <v>0.25</v>
      </c>
      <c r="I11" s="215">
        <v>0.25</v>
      </c>
      <c r="J11" s="215">
        <v>0.25</v>
      </c>
      <c r="K11" s="215">
        <v>0.25</v>
      </c>
      <c r="L11" s="215">
        <v>0.25</v>
      </c>
      <c r="M11" s="215">
        <v>0.25</v>
      </c>
      <c r="N11" s="215">
        <v>0.25</v>
      </c>
      <c r="O11" s="215">
        <v>0.25</v>
      </c>
      <c r="P11" s="215">
        <v>0.25</v>
      </c>
      <c r="Q11" s="215">
        <v>0.25</v>
      </c>
      <c r="R11" s="215">
        <v>0.25</v>
      </c>
      <c r="S11" s="215">
        <v>0.25</v>
      </c>
      <c r="T11" s="215">
        <v>0.25</v>
      </c>
      <c r="U11" s="215">
        <v>0.25</v>
      </c>
    </row>
    <row r="12" spans="1:22" ht="14.25" customHeight="1" x14ac:dyDescent="0.35">
      <c r="A12" s="24" t="s">
        <v>1120</v>
      </c>
      <c r="B12" s="215">
        <v>1</v>
      </c>
      <c r="C12" s="215"/>
      <c r="D12" s="215"/>
      <c r="E12" s="215"/>
      <c r="F12" s="215"/>
      <c r="G12" s="215"/>
      <c r="H12" s="215"/>
      <c r="I12" s="215"/>
      <c r="J12" s="215"/>
      <c r="K12" s="215"/>
      <c r="L12" s="215"/>
      <c r="M12" s="215"/>
      <c r="N12" s="215"/>
      <c r="O12" s="215"/>
      <c r="P12" s="215"/>
      <c r="Q12" s="215"/>
      <c r="R12" s="215"/>
      <c r="S12" s="215"/>
      <c r="T12" s="215"/>
      <c r="U12" s="215"/>
    </row>
    <row r="13" spans="1:22" x14ac:dyDescent="0.35">
      <c r="A13" s="24" t="s">
        <v>1121</v>
      </c>
      <c r="B13" s="215">
        <v>0</v>
      </c>
      <c r="C13" s="215">
        <v>0.4</v>
      </c>
      <c r="D13" s="215">
        <v>0.6</v>
      </c>
      <c r="E13" s="215">
        <v>0.4</v>
      </c>
      <c r="F13" s="215">
        <v>0.3</v>
      </c>
      <c r="G13" s="215">
        <v>0.2</v>
      </c>
      <c r="H13" s="215">
        <v>0.1</v>
      </c>
      <c r="I13" s="215">
        <v>0.25</v>
      </c>
      <c r="J13" s="215">
        <v>0.25</v>
      </c>
      <c r="K13" s="215">
        <v>0.25</v>
      </c>
      <c r="L13" s="215">
        <v>0.25</v>
      </c>
      <c r="M13" s="215">
        <v>0.25</v>
      </c>
      <c r="N13" s="215">
        <v>0.25</v>
      </c>
      <c r="O13" s="215">
        <v>0.25</v>
      </c>
      <c r="P13" s="215">
        <v>0.25</v>
      </c>
      <c r="Q13" s="215">
        <v>0.25</v>
      </c>
      <c r="R13" s="215">
        <v>0.25</v>
      </c>
      <c r="S13" s="215">
        <v>0.25</v>
      </c>
      <c r="T13" s="215">
        <v>0.25</v>
      </c>
      <c r="U13" s="215">
        <v>0.25</v>
      </c>
    </row>
    <row r="14" spans="1:22" x14ac:dyDescent="0.35">
      <c r="A14" s="24"/>
      <c r="B14" s="215"/>
      <c r="C14" s="215"/>
      <c r="D14" s="215"/>
      <c r="E14" s="215"/>
      <c r="F14" s="215"/>
      <c r="G14" s="215"/>
      <c r="H14" s="215"/>
      <c r="I14" s="215"/>
      <c r="J14" s="215"/>
      <c r="K14" s="215"/>
      <c r="L14" s="215"/>
      <c r="M14" s="215"/>
      <c r="N14" s="215"/>
      <c r="O14" s="215"/>
      <c r="P14" s="215"/>
      <c r="Q14" s="215"/>
      <c r="R14" s="215"/>
      <c r="S14" s="215"/>
      <c r="T14" s="215"/>
      <c r="U14" s="215"/>
    </row>
    <row r="15" spans="1:22" ht="26" x14ac:dyDescent="0.35">
      <c r="A15" s="247" t="s">
        <v>1122</v>
      </c>
      <c r="B15" s="215">
        <v>1</v>
      </c>
      <c r="C15" s="215">
        <v>2</v>
      </c>
      <c r="D15" s="215">
        <v>3</v>
      </c>
      <c r="E15" s="215">
        <v>4</v>
      </c>
      <c r="F15" s="215">
        <v>5</v>
      </c>
      <c r="G15" s="215">
        <v>6</v>
      </c>
      <c r="H15" s="215">
        <v>7</v>
      </c>
      <c r="I15" s="215">
        <v>8</v>
      </c>
      <c r="J15" s="215">
        <v>9</v>
      </c>
      <c r="K15" s="215">
        <v>10</v>
      </c>
      <c r="L15" s="215">
        <v>11</v>
      </c>
      <c r="M15" s="215">
        <v>12</v>
      </c>
      <c r="N15" s="215">
        <v>13</v>
      </c>
      <c r="O15" s="215">
        <v>14</v>
      </c>
      <c r="P15" s="215">
        <v>15</v>
      </c>
      <c r="Q15" s="215">
        <v>16</v>
      </c>
      <c r="R15" s="215">
        <v>17</v>
      </c>
      <c r="S15" s="215">
        <v>18</v>
      </c>
      <c r="T15" s="215">
        <v>19</v>
      </c>
      <c r="U15" s="215">
        <v>20</v>
      </c>
    </row>
    <row r="16" spans="1:22" x14ac:dyDescent="0.35">
      <c r="A16" s="24" t="s">
        <v>1123</v>
      </c>
      <c r="B16" s="215">
        <v>7.0000000000000007E-2</v>
      </c>
      <c r="C16" s="215">
        <v>7.0000000000000007E-2</v>
      </c>
      <c r="D16" s="215">
        <v>4.9000000000000002E-2</v>
      </c>
      <c r="E16" s="215">
        <v>4.9000000000000002E-2</v>
      </c>
      <c r="F16" s="215">
        <v>4.9000000000000002E-2</v>
      </c>
      <c r="G16" s="215">
        <v>4.9000000000000002E-2</v>
      </c>
      <c r="H16" s="215">
        <v>4.9000000000000002E-2</v>
      </c>
      <c r="I16" s="215">
        <v>4.9000000000000002E-2</v>
      </c>
      <c r="J16" s="215">
        <v>4.9000000000000002E-2</v>
      </c>
      <c r="K16" s="215">
        <v>4.9000000000000002E-2</v>
      </c>
      <c r="L16" s="215">
        <v>4.9000000000000002E-2</v>
      </c>
      <c r="M16" s="215">
        <v>4.9000000000000002E-2</v>
      </c>
      <c r="N16" s="215">
        <f t="shared" ref="N16:T16" si="1">0.0475</f>
        <v>4.7500000000000001E-2</v>
      </c>
      <c r="O16" s="215">
        <f t="shared" si="1"/>
        <v>4.7500000000000001E-2</v>
      </c>
      <c r="P16" s="215">
        <f t="shared" si="1"/>
        <v>4.7500000000000001E-2</v>
      </c>
      <c r="Q16" s="215">
        <f t="shared" si="1"/>
        <v>4.7500000000000001E-2</v>
      </c>
      <c r="R16" s="215">
        <f t="shared" si="1"/>
        <v>4.7500000000000001E-2</v>
      </c>
      <c r="S16" s="215">
        <f t="shared" si="1"/>
        <v>4.7500000000000001E-2</v>
      </c>
      <c r="T16" s="215">
        <f t="shared" si="1"/>
        <v>4.7500000000000001E-2</v>
      </c>
      <c r="U16" s="215">
        <f>0.0375</f>
        <v>3.7499999999999999E-2</v>
      </c>
      <c r="V16" s="215">
        <f>SUM(B16:U16)</f>
        <v>0.99999999999999989</v>
      </c>
    </row>
    <row r="17" spans="1:23" ht="26" x14ac:dyDescent="0.35">
      <c r="A17" s="24" t="s">
        <v>1124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15">
        <f>SUM(B17:U17)</f>
        <v>0.94000000000000006</v>
      </c>
      <c r="W17" t="s">
        <v>1125</v>
      </c>
    </row>
    <row r="19" spans="1:23" x14ac:dyDescent="0.35">
      <c r="B19" s="551">
        <f>'Federal and State Purchases'!M37</f>
        <v>1.5312550207230657E-2</v>
      </c>
      <c r="C19" s="551">
        <f>'Federal and State Purchases'!J37</f>
        <v>-0.28300744302674896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topLeftCell="K1" zoomScale="159" zoomScaleNormal="80" workbookViewId="0">
      <selection activeCell="W13" sqref="W13:W15"/>
    </sheetView>
  </sheetViews>
  <sheetFormatPr defaultColWidth="10.7265625" defaultRowHeight="14.5" x14ac:dyDescent="0.35"/>
  <cols>
    <col min="1" max="1" width="15.453125" style="37" customWidth="1"/>
    <col min="2" max="2" width="32.453125" style="37" bestFit="1" customWidth="1"/>
    <col min="3" max="16384" width="10.7265625" style="37"/>
  </cols>
  <sheetData>
    <row r="1" spans="1:23" x14ac:dyDescent="0.35">
      <c r="A1" s="37" t="s">
        <v>1126</v>
      </c>
      <c r="B1" s="37" t="s">
        <v>1036</v>
      </c>
      <c r="C1" s="222">
        <v>2021</v>
      </c>
      <c r="D1" s="222">
        <f>C1</f>
        <v>2021</v>
      </c>
      <c r="E1" s="222">
        <f>D1</f>
        <v>2021</v>
      </c>
      <c r="F1" s="222">
        <v>2022</v>
      </c>
      <c r="G1" s="222">
        <v>2022</v>
      </c>
      <c r="H1" s="222">
        <v>2022</v>
      </c>
      <c r="I1" s="222">
        <v>2022</v>
      </c>
      <c r="J1" s="222">
        <v>2023</v>
      </c>
      <c r="K1" s="222">
        <v>2023</v>
      </c>
      <c r="L1" s="222">
        <v>2023</v>
      </c>
      <c r="M1" s="222">
        <v>2023</v>
      </c>
      <c r="N1" s="222">
        <v>2024</v>
      </c>
      <c r="O1" s="222">
        <v>2024</v>
      </c>
      <c r="P1" s="222">
        <v>2024</v>
      </c>
      <c r="Q1" s="222">
        <v>2024</v>
      </c>
      <c r="R1" s="222">
        <v>2025</v>
      </c>
      <c r="S1" s="222">
        <v>2025</v>
      </c>
      <c r="T1" s="222">
        <v>2025</v>
      </c>
      <c r="U1" s="222">
        <v>2025</v>
      </c>
      <c r="V1" s="222">
        <v>2026</v>
      </c>
    </row>
    <row r="2" spans="1:23" x14ac:dyDescent="0.35">
      <c r="B2" s="37" t="s">
        <v>1127</v>
      </c>
      <c r="C2" s="203" t="s">
        <v>320</v>
      </c>
      <c r="D2" s="203" t="s">
        <v>321</v>
      </c>
      <c r="E2" s="203" t="s">
        <v>194</v>
      </c>
      <c r="F2" s="203" t="s">
        <v>195</v>
      </c>
      <c r="G2" s="203" t="s">
        <v>196</v>
      </c>
      <c r="H2" s="203" t="s">
        <v>197</v>
      </c>
      <c r="I2" s="203" t="s">
        <v>198</v>
      </c>
      <c r="J2" s="203" t="s">
        <v>199</v>
      </c>
      <c r="K2" s="203" t="s">
        <v>200</v>
      </c>
      <c r="L2" s="203" t="s">
        <v>201</v>
      </c>
      <c r="M2" s="203" t="s">
        <v>202</v>
      </c>
      <c r="N2" s="203" t="s">
        <v>203</v>
      </c>
      <c r="O2" s="203" t="s">
        <v>204</v>
      </c>
      <c r="P2" s="203" t="s">
        <v>205</v>
      </c>
      <c r="Q2" s="203" t="s">
        <v>189</v>
      </c>
      <c r="R2" s="203" t="s">
        <v>190</v>
      </c>
      <c r="S2" s="203" t="s">
        <v>191</v>
      </c>
      <c r="T2" s="203" t="s">
        <v>1128</v>
      </c>
      <c r="U2" s="203" t="s">
        <v>1129</v>
      </c>
      <c r="V2" s="203" t="s">
        <v>1130</v>
      </c>
    </row>
    <row r="3" spans="1:23" x14ac:dyDescent="0.35">
      <c r="A3" s="37">
        <v>3</v>
      </c>
      <c r="B3" s="37" t="s">
        <v>891</v>
      </c>
      <c r="C3" s="223">
        <f>4*'ARP Timing'!B6*VLOOKUP(C$1,'ARP Score'!$A$5:$M14,$A3)</f>
        <v>0</v>
      </c>
      <c r="D3" s="223">
        <f>4*'ARP Timing'!C6*VLOOKUP(D$1,'ARP Score'!$A$5:$M14,$A3)</f>
        <v>336.60399999999998</v>
      </c>
      <c r="E3" s="223">
        <f>4*'ARP Timing'!D6*VLOOKUP(E$1,'ARP Score'!$A$5:$M14,$A3)</f>
        <v>446.19599999999991</v>
      </c>
      <c r="F3" s="223">
        <f>4*'ARP Timing'!E6*VLOOKUP(F$1,'ARP Score'!$A$5:$M14,$A3)</f>
        <v>10.1</v>
      </c>
      <c r="G3" s="223">
        <f>4*'ARP Timing'!F6*VLOOKUP(G$1,'ARP Score'!$A$5:$M14,$A3)</f>
        <v>10.1</v>
      </c>
      <c r="H3" s="223">
        <f>4*'ARP Timing'!G6*VLOOKUP(H$1,'ARP Score'!$A$5:$M14,$A3)</f>
        <v>10.1</v>
      </c>
      <c r="I3" s="223">
        <f>4*'ARP Timing'!H6*VLOOKUP(I$1,'ARP Score'!$A$5:$M14,$A3)</f>
        <v>10.1</v>
      </c>
      <c r="J3" s="223">
        <f>4*'ARP Timing'!I6*VLOOKUP(J$1,'ARP Score'!$A$5:$M14,$A3)</f>
        <v>0</v>
      </c>
      <c r="K3" s="223">
        <f>4*'ARP Timing'!J6*VLOOKUP(K$1,'ARP Score'!$A$5:$M14,$A3)</f>
        <v>0</v>
      </c>
      <c r="L3" s="223">
        <f>4*'ARP Timing'!K6*VLOOKUP(L$1,'ARP Score'!$A$5:$M14,$A3)</f>
        <v>0</v>
      </c>
      <c r="M3" s="223">
        <f>4*'ARP Timing'!L6*VLOOKUP(M$1,'ARP Score'!$A$5:$M14,$A3)</f>
        <v>0</v>
      </c>
      <c r="N3" s="223">
        <f>4*'ARP Timing'!M6*VLOOKUP(N$1,'ARP Score'!$A$5:$M14,$A3)</f>
        <v>0</v>
      </c>
      <c r="O3" s="223">
        <f>4*'ARP Timing'!N6*VLOOKUP(O$1,'ARP Score'!$A$5:$M14,$A3)</f>
        <v>0</v>
      </c>
      <c r="P3" s="223">
        <f>4*'ARP Timing'!O6*VLOOKUP(P$1,'ARP Score'!$A$5:$M14,$A3)</f>
        <v>0</v>
      </c>
      <c r="Q3" s="223">
        <f>4*'ARP Timing'!P6*VLOOKUP(Q$1,'ARP Score'!$A$5:$M14,$A3)</f>
        <v>0</v>
      </c>
      <c r="R3" s="223">
        <f>4*'ARP Timing'!Q6*VLOOKUP(R$1,'ARP Score'!$A$5:$M14,$A3)</f>
        <v>0</v>
      </c>
      <c r="S3" s="223">
        <f>4*'ARP Timing'!R6*VLOOKUP(S$1,'ARP Score'!$A$5:$M14,$A3)</f>
        <v>0</v>
      </c>
      <c r="T3" s="223">
        <f>4*'ARP Timing'!S6*VLOOKUP(T$1,'ARP Score'!$A$5:$M14,$A3)</f>
        <v>0</v>
      </c>
      <c r="U3" s="223">
        <f>4*'ARP Timing'!T6*VLOOKUP(U$1,'ARP Score'!$A$5:$M14,$A3)</f>
        <v>0</v>
      </c>
      <c r="V3" s="223">
        <f>4*'ARP Timing'!U6*VLOOKUP(V$1,'ARP Score'!$A$5:$M14,$A3)</f>
        <v>0</v>
      </c>
      <c r="W3" s="223">
        <f>SUM(C3:U3)/4</f>
        <v>205.8</v>
      </c>
    </row>
    <row r="4" spans="1:23" x14ac:dyDescent="0.35">
      <c r="A4" s="37">
        <v>5</v>
      </c>
      <c r="B4" s="224" t="s">
        <v>1038</v>
      </c>
      <c r="C4" s="223">
        <f>4*'ARP Timing'!B7*VLOOKUP(C$1,'ARP Score'!$A$5:$M15,$A4)</f>
        <v>0</v>
      </c>
      <c r="D4" s="223">
        <f>4*'ARP Timing'!C7*VLOOKUP(D$1,'ARP Score'!$A$5:$M15,$A4)</f>
        <v>0</v>
      </c>
      <c r="E4" s="223">
        <f>4*'ARP Timing'!D7*VLOOKUP(E$1,'ARP Score'!$A$5:$M15,$A4)</f>
        <v>3.1040000000000418</v>
      </c>
      <c r="F4" s="223">
        <f>4*'ARP Timing'!E7*VLOOKUP(F$1,'ARP Score'!$A$5:$M15,$A4)</f>
        <v>19.719000000000005</v>
      </c>
      <c r="G4" s="223">
        <f>4*'ARP Timing'!F7*VLOOKUP(G$1,'ARP Score'!$A$5:$M15,$A4)</f>
        <v>19.719000000000005</v>
      </c>
      <c r="H4" s="223">
        <f>4*'ARP Timing'!G7*VLOOKUP(H$1,'ARP Score'!$A$5:$M15,$A4)</f>
        <v>19.719000000000005</v>
      </c>
      <c r="I4" s="223">
        <f>4*'ARP Timing'!H7*VLOOKUP(I$1,'ARP Score'!$A$5:$M15,$A4)</f>
        <v>19.719000000000005</v>
      </c>
      <c r="J4" s="223">
        <f>4*'ARP Timing'!I7*VLOOKUP(J$1,'ARP Score'!$A$5:$M15,$A4)</f>
        <v>1.4159999999999999</v>
      </c>
      <c r="K4" s="223">
        <f>4*'ARP Timing'!J7*VLOOKUP(K$1,'ARP Score'!$A$5:$M15,$A4)</f>
        <v>1.4159999999999999</v>
      </c>
      <c r="L4" s="223">
        <f>4*'ARP Timing'!K7*VLOOKUP(L$1,'ARP Score'!$A$5:$M15,$A4)</f>
        <v>1.4159999999999999</v>
      </c>
      <c r="M4" s="223">
        <f>4*'ARP Timing'!L7*VLOOKUP(M$1,'ARP Score'!$A$5:$M15,$A4)</f>
        <v>1.4159999999999999</v>
      </c>
      <c r="N4" s="223">
        <f>4*'ARP Timing'!M7*VLOOKUP(N$1,'ARP Score'!$A$5:$M15,$A4)</f>
        <v>1.4790000000000001</v>
      </c>
      <c r="O4" s="223">
        <f>4*'ARP Timing'!N7*VLOOKUP(O$1,'ARP Score'!$A$5:$M15,$A4)</f>
        <v>1.4790000000000001</v>
      </c>
      <c r="P4" s="223">
        <f>4*'ARP Timing'!O7*VLOOKUP(P$1,'ARP Score'!$A$5:$M15,$A4)</f>
        <v>1.4790000000000001</v>
      </c>
      <c r="Q4" s="223">
        <f>4*'ARP Timing'!P7*VLOOKUP(Q$1,'ARP Score'!$A$5:$M15,$A4)</f>
        <v>1.4790000000000001</v>
      </c>
      <c r="R4" s="223">
        <f>4*'ARP Timing'!Q7*VLOOKUP(R$1,'ARP Score'!$A$5:$M15,$A4)</f>
        <v>1.63</v>
      </c>
      <c r="S4" s="223">
        <f>4*'ARP Timing'!R7*VLOOKUP(S$1,'ARP Score'!$A$5:$M15,$A4)</f>
        <v>1.63</v>
      </c>
      <c r="T4" s="223">
        <f>4*'ARP Timing'!S7*VLOOKUP(T$1,'ARP Score'!$A$5:$M15,$A4)</f>
        <v>1.63</v>
      </c>
      <c r="U4" s="223">
        <f>4*'ARP Timing'!T7*VLOOKUP(U$1,'ARP Score'!$A$5:$M15,$A4)</f>
        <v>1.63</v>
      </c>
      <c r="V4" s="223">
        <f>4*'ARP Timing'!U7*VLOOKUP(V$1,'ARP Score'!$A$5:$M15,$A4)</f>
        <v>1.671</v>
      </c>
      <c r="W4" s="223">
        <f>SUM(C4:U4)/4</f>
        <v>25.020000000000007</v>
      </c>
    </row>
    <row r="5" spans="1:23" x14ac:dyDescent="0.35">
      <c r="A5" s="37">
        <v>6</v>
      </c>
      <c r="B5" s="224" t="s">
        <v>1039</v>
      </c>
      <c r="C5" s="223">
        <f>4*'ARP Timing'!B8*VLOOKUP(C$1,'ARP Score'!$A$5:$M16,$A5)</f>
        <v>0</v>
      </c>
      <c r="D5" s="223">
        <f>4*'ARP Timing'!C8*VLOOKUP(D$1,'ARP Score'!$A$5:$M16,$A5)</f>
        <v>33.921840000000024</v>
      </c>
      <c r="E5" s="223">
        <f>4*'ARP Timing'!D8*VLOOKUP(E$1,'ARP Score'!$A$5:$M16,$A5)</f>
        <v>44.966160000000031</v>
      </c>
      <c r="F5" s="223">
        <f>4*'ARP Timing'!E8*VLOOKUP(F$1,'ARP Score'!$A$5:$M16,$A5)</f>
        <v>52.756999999999998</v>
      </c>
      <c r="G5" s="223">
        <f>4*'ARP Timing'!F8*VLOOKUP(G$1,'ARP Score'!$A$5:$M16,$A5)</f>
        <v>52.756999999999998</v>
      </c>
      <c r="H5" s="223">
        <f>4*'ARP Timing'!G8*VLOOKUP(H$1,'ARP Score'!$A$5:$M16,$A5)</f>
        <v>52.756999999999998</v>
      </c>
      <c r="I5" s="223">
        <f>4*'ARP Timing'!H8*VLOOKUP(I$1,'ARP Score'!$A$5:$M16,$A5)</f>
        <v>52.756999999999998</v>
      </c>
      <c r="J5" s="223">
        <f>4*'ARP Timing'!I8*VLOOKUP(J$1,'ARP Score'!$A$5:$M16,$A5)</f>
        <v>12</v>
      </c>
      <c r="K5" s="223">
        <f>4*'ARP Timing'!J8*VLOOKUP(K$1,'ARP Score'!$A$5:$M16,$A5)</f>
        <v>12</v>
      </c>
      <c r="L5" s="223">
        <f>4*'ARP Timing'!K8*VLOOKUP(L$1,'ARP Score'!$A$5:$M16,$A5)</f>
        <v>12</v>
      </c>
      <c r="M5" s="223">
        <f>4*'ARP Timing'!L8*VLOOKUP(M$1,'ARP Score'!$A$5:$M16,$A5)</f>
        <v>12</v>
      </c>
      <c r="N5" s="223">
        <f>4*'ARP Timing'!M8*VLOOKUP(N$1,'ARP Score'!$A$5:$M16,$A5)</f>
        <v>4.2219999999999995</v>
      </c>
      <c r="O5" s="223">
        <f>4*'ARP Timing'!N8*VLOOKUP(O$1,'ARP Score'!$A$5:$M16,$A5)</f>
        <v>4.2219999999999995</v>
      </c>
      <c r="P5" s="223">
        <f>4*'ARP Timing'!O8*VLOOKUP(P$1,'ARP Score'!$A$5:$M16,$A5)</f>
        <v>4.2219999999999995</v>
      </c>
      <c r="Q5" s="223">
        <f>4*'ARP Timing'!P8*VLOOKUP(Q$1,'ARP Score'!$A$5:$M16,$A5)</f>
        <v>4.2219999999999995</v>
      </c>
      <c r="R5" s="223">
        <f>4*'ARP Timing'!Q8*VLOOKUP(R$1,'ARP Score'!$A$5:$M16,$A5)</f>
        <v>2.3719999999999999</v>
      </c>
      <c r="S5" s="223">
        <f>4*'ARP Timing'!R8*VLOOKUP(S$1,'ARP Score'!$A$5:$M16,$A5)</f>
        <v>2.3719999999999999</v>
      </c>
      <c r="T5" s="223">
        <f>4*'ARP Timing'!S8*VLOOKUP(T$1,'ARP Score'!$A$5:$M16,$A5)</f>
        <v>2.3719999999999999</v>
      </c>
      <c r="U5" s="223">
        <f>4*'ARP Timing'!T8*VLOOKUP(U$1,'ARP Score'!$A$5:$M16,$A5)</f>
        <v>2.3719999999999999</v>
      </c>
      <c r="V5" s="223">
        <f>4*'ARP Timing'!U8*VLOOKUP(V$1,'ARP Score'!$A$5:$M16,$A5)</f>
        <v>0.49</v>
      </c>
      <c r="W5" s="223">
        <f t="shared" ref="W5:W15" si="0">SUM(C5:U5)/4</f>
        <v>91.073000000000008</v>
      </c>
    </row>
    <row r="6" spans="1:23" x14ac:dyDescent="0.35">
      <c r="A6" s="37">
        <v>7</v>
      </c>
      <c r="B6" s="224" t="s">
        <v>1131</v>
      </c>
      <c r="C6" s="223">
        <f>4*'ARP Timing'!B9*VLOOKUP(C$1,'ARP Score'!$A$5:$M17,$A6)</f>
        <v>0</v>
      </c>
      <c r="D6" s="223">
        <f>4*'ARP Timing'!C9*VLOOKUP(D$1,'ARP Score'!$A$5:$M17,$A6)</f>
        <v>58.782959999999989</v>
      </c>
      <c r="E6" s="223">
        <f>4*'ARP Timing'!D9*VLOOKUP(E$1,'ARP Score'!$A$5:$M17,$A6)</f>
        <v>267.78904</v>
      </c>
      <c r="F6" s="223">
        <f>4*'ARP Timing'!E9*VLOOKUP(F$1,'ARP Score'!$A$5:$M17,$A6)</f>
        <v>110.24799999999999</v>
      </c>
      <c r="G6" s="223">
        <f>4*'ARP Timing'!F9*VLOOKUP(G$1,'ARP Score'!$A$5:$M17,$A6)</f>
        <v>110.24799999999999</v>
      </c>
      <c r="H6" s="223">
        <f>4*'ARP Timing'!G9*VLOOKUP(H$1,'ARP Score'!$A$5:$M17,$A6)</f>
        <v>110.24799999999999</v>
      </c>
      <c r="I6" s="223">
        <f>4*'ARP Timing'!H9*VLOOKUP(I$1,'ARP Score'!$A$5:$M17,$A6)</f>
        <v>110.24799999999999</v>
      </c>
      <c r="J6" s="223">
        <f>4*'ARP Timing'!I9*VLOOKUP(J$1,'ARP Score'!$A$5:$M17,$A6)</f>
        <v>12.726000000000001</v>
      </c>
      <c r="K6" s="223">
        <f>4*'ARP Timing'!J9*VLOOKUP(K$1,'ARP Score'!$A$5:$M17,$A6)</f>
        <v>12.726000000000001</v>
      </c>
      <c r="L6" s="223">
        <f>4*'ARP Timing'!K9*VLOOKUP(L$1,'ARP Score'!$A$5:$M17,$A6)</f>
        <v>12.726000000000001</v>
      </c>
      <c r="M6" s="223">
        <f>4*'ARP Timing'!L9*VLOOKUP(M$1,'ARP Score'!$A$5:$M17,$A6)</f>
        <v>12.726000000000001</v>
      </c>
      <c r="N6" s="223">
        <f>4*'ARP Timing'!M9*VLOOKUP(N$1,'ARP Score'!$A$5:$M17,$A6)</f>
        <v>1.365</v>
      </c>
      <c r="O6" s="223">
        <f>4*'ARP Timing'!N9*VLOOKUP(O$1,'ARP Score'!$A$5:$M17,$A6)</f>
        <v>1.365</v>
      </c>
      <c r="P6" s="223">
        <f>4*'ARP Timing'!O9*VLOOKUP(P$1,'ARP Score'!$A$5:$M17,$A6)</f>
        <v>1.365</v>
      </c>
      <c r="Q6" s="223">
        <f>4*'ARP Timing'!P9*VLOOKUP(Q$1,'ARP Score'!$A$5:$M17,$A6)</f>
        <v>1.365</v>
      </c>
      <c r="R6" s="223">
        <f>4*'ARP Timing'!Q9*VLOOKUP(R$1,'ARP Score'!$A$5:$M17,$A6)</f>
        <v>-0.90100000000000025</v>
      </c>
      <c r="S6" s="223">
        <f>4*'ARP Timing'!R9*VLOOKUP(S$1,'ARP Score'!$A$5:$M17,$A6)</f>
        <v>-0.90100000000000025</v>
      </c>
      <c r="T6" s="223">
        <f>4*'ARP Timing'!S9*VLOOKUP(T$1,'ARP Score'!$A$5:$M17,$A6)</f>
        <v>-0.90100000000000025</v>
      </c>
      <c r="U6" s="223">
        <f>4*'ARP Timing'!T9*VLOOKUP(U$1,'ARP Score'!$A$5:$M17,$A6)</f>
        <v>-0.90100000000000025</v>
      </c>
      <c r="V6" s="223">
        <f>4*'ARP Timing'!U9*VLOOKUP(V$1,'ARP Score'!$A$5:$M17,$A6)</f>
        <v>-2.1500000000000004</v>
      </c>
      <c r="W6" s="223">
        <f t="shared" si="0"/>
        <v>205.08100000000007</v>
      </c>
    </row>
    <row r="7" spans="1:23" x14ac:dyDescent="0.35">
      <c r="A7" s="37">
        <v>8</v>
      </c>
      <c r="B7" s="224" t="s">
        <v>145</v>
      </c>
      <c r="C7" s="223">
        <f>4*'ARP Timing'!B10*VLOOKUP(C$1,'ARP Score'!$A$5:$M18,$A7)</f>
        <v>0</v>
      </c>
      <c r="D7" s="223">
        <f>4*'ARP Timing'!C10*VLOOKUP(D$1,'ARP Score'!$A$5:$M18,$A7)</f>
        <v>15.596</v>
      </c>
      <c r="E7" s="223">
        <f>4*'ARP Timing'!D10*VLOOKUP(E$1,'ARP Score'!$A$5:$M18,$A7)</f>
        <v>15.596</v>
      </c>
      <c r="F7" s="223">
        <f>4*'ARP Timing'!E10*VLOOKUP(F$1,'ARP Score'!$A$5:$M18,$A7)</f>
        <v>7.9489999999999998</v>
      </c>
      <c r="G7" s="223">
        <f>4*'ARP Timing'!F10*VLOOKUP(G$1,'ARP Score'!$A$5:$M18,$A7)</f>
        <v>7.9489999999999998</v>
      </c>
      <c r="H7" s="223">
        <f>4*'ARP Timing'!G10*VLOOKUP(H$1,'ARP Score'!$A$5:$M18,$A7)</f>
        <v>7.9489999999999998</v>
      </c>
      <c r="I7" s="223">
        <f>4*'ARP Timing'!H10*VLOOKUP(I$1,'ARP Score'!$A$5:$M18,$A7)</f>
        <v>7.9489999999999998</v>
      </c>
      <c r="J7" s="223">
        <f>4*'ARP Timing'!I10*VLOOKUP(J$1,'ARP Score'!$A$5:$M18,$A7)</f>
        <v>4.7519999999999998</v>
      </c>
      <c r="K7" s="223">
        <f>4*'ARP Timing'!J10*VLOOKUP(K$1,'ARP Score'!$A$5:$M18,$A7)</f>
        <v>4.7519999999999998</v>
      </c>
      <c r="L7" s="223">
        <f>4*'ARP Timing'!K10*VLOOKUP(L$1,'ARP Score'!$A$5:$M18,$A7)</f>
        <v>4.7519999999999998</v>
      </c>
      <c r="M7" s="223">
        <f>4*'ARP Timing'!L10*VLOOKUP(M$1,'ARP Score'!$A$5:$M18,$A7)</f>
        <v>4.7519999999999998</v>
      </c>
      <c r="N7" s="223">
        <f>4*'ARP Timing'!M10*VLOOKUP(N$1,'ARP Score'!$A$5:$M18,$A7)</f>
        <v>4.637999999999999</v>
      </c>
      <c r="O7" s="223">
        <f>4*'ARP Timing'!N10*VLOOKUP(O$1,'ARP Score'!$A$5:$M18,$A7)</f>
        <v>4.637999999999999</v>
      </c>
      <c r="P7" s="223">
        <f>4*'ARP Timing'!O10*VLOOKUP(P$1,'ARP Score'!$A$5:$M18,$A7)</f>
        <v>4.637999999999999</v>
      </c>
      <c r="Q7" s="223">
        <f>4*'ARP Timing'!P10*VLOOKUP(Q$1,'ARP Score'!$A$5:$M18,$A7)</f>
        <v>4.637999999999999</v>
      </c>
      <c r="R7" s="223">
        <f>4*'ARP Timing'!Q10*VLOOKUP(R$1,'ARP Score'!$A$5:$M18,$A7)</f>
        <v>1.8800000000000001</v>
      </c>
      <c r="S7" s="223">
        <f>4*'ARP Timing'!R10*VLOOKUP(S$1,'ARP Score'!$A$5:$M18,$A7)</f>
        <v>1.8800000000000001</v>
      </c>
      <c r="T7" s="223">
        <f>4*'ARP Timing'!S10*VLOOKUP(T$1,'ARP Score'!$A$5:$M18,$A7)</f>
        <v>1.8800000000000001</v>
      </c>
      <c r="U7" s="223">
        <f>4*'ARP Timing'!T10*VLOOKUP(U$1,'ARP Score'!$A$5:$M18,$A7)</f>
        <v>1.8800000000000001</v>
      </c>
      <c r="V7" s="223">
        <f>4*'ARP Timing'!U10*VLOOKUP(V$1,'ARP Score'!$A$5:$M18,$A7)</f>
        <v>1.446</v>
      </c>
      <c r="W7" s="223">
        <f t="shared" si="0"/>
        <v>27.016999999999996</v>
      </c>
    </row>
    <row r="8" spans="1:23" x14ac:dyDescent="0.35">
      <c r="A8" s="37">
        <v>9</v>
      </c>
      <c r="B8" s="227" t="s">
        <v>421</v>
      </c>
      <c r="C8" s="223">
        <f>4*'ARP Timing'!B$11*VLOOKUP(C$1,'ARP Score'!$A$5:$M19,$A8)</f>
        <v>0</v>
      </c>
      <c r="D8" s="223">
        <f>0.6*SUM('ARP Score'!B5:B7)*4</f>
        <v>989.16719999999987</v>
      </c>
      <c r="E8" s="222">
        <v>0</v>
      </c>
      <c r="F8" s="223">
        <v>0</v>
      </c>
      <c r="G8" s="223">
        <v>0</v>
      </c>
      <c r="H8" s="223">
        <f>D8*0.4/0.6</f>
        <v>659.44479999999999</v>
      </c>
      <c r="I8" s="223">
        <v>0</v>
      </c>
      <c r="J8" s="37">
        <v>0</v>
      </c>
      <c r="K8" s="223">
        <v>0</v>
      </c>
      <c r="L8" s="223">
        <v>0</v>
      </c>
      <c r="M8" s="223">
        <v>0</v>
      </c>
      <c r="N8" s="223">
        <v>0</v>
      </c>
      <c r="O8" s="223">
        <v>0</v>
      </c>
      <c r="P8" s="223">
        <v>0</v>
      </c>
      <c r="Q8" s="223">
        <v>0</v>
      </c>
      <c r="R8" s="223">
        <v>0</v>
      </c>
      <c r="S8" s="223">
        <v>0</v>
      </c>
      <c r="T8" s="223">
        <v>0</v>
      </c>
      <c r="U8" s="223">
        <v>0</v>
      </c>
      <c r="V8" s="223">
        <v>0</v>
      </c>
      <c r="W8" s="223">
        <f t="shared" si="0"/>
        <v>412.15299999999996</v>
      </c>
    </row>
    <row r="9" spans="1:23" x14ac:dyDescent="0.35">
      <c r="A9" s="37">
        <v>10</v>
      </c>
      <c r="B9" s="227" t="s">
        <v>164</v>
      </c>
      <c r="C9" s="223">
        <f>4*'ARP Timing'!B$11*VLOOKUP(C$1,'ARP Score'!$A$5:$M20,$A9)</f>
        <v>0</v>
      </c>
      <c r="D9" s="223">
        <f>4*'ARP Timing'!C$11*VLOOKUP(D$1,'ARP Score'!$A$5:$M20,$A9)</f>
        <v>24.693999999999999</v>
      </c>
      <c r="E9" s="223">
        <f>4*'ARP Timing'!D$11*VLOOKUP(E$1,'ARP Score'!$A$5:$M20,$A9)</f>
        <v>24.693999999999999</v>
      </c>
      <c r="F9" s="223">
        <f>4*'ARP Timing'!E$11*VLOOKUP(F$1,'ARP Score'!$A$5:$M20,$A9)</f>
        <v>46.79</v>
      </c>
      <c r="G9" s="223">
        <f>4*'ARP Timing'!F$11*VLOOKUP(G$1,'ARP Score'!$A$5:$M20,$A9)</f>
        <v>46.79</v>
      </c>
      <c r="H9" s="223">
        <f>4*'ARP Timing'!G$11*VLOOKUP(H$1,'ARP Score'!$A$5:$M20,$A9)</f>
        <v>46.79</v>
      </c>
      <c r="I9" s="223">
        <f>4*'ARP Timing'!H$11*VLOOKUP(I$1,'ARP Score'!$A$5:$M20,$A9)</f>
        <v>46.79</v>
      </c>
      <c r="J9" s="223">
        <f>4*'ARP Timing'!I$11*VLOOKUP(J$1,'ARP Score'!$A$5:$M20,$A9)</f>
        <v>38.595999999999997</v>
      </c>
      <c r="K9" s="223">
        <f>4*'ARP Timing'!J$11*VLOOKUP(K$1,'ARP Score'!$A$5:$M20,$A9)</f>
        <v>38.595999999999997</v>
      </c>
      <c r="L9" s="223">
        <f>4*'ARP Timing'!K$11*VLOOKUP(L$1,'ARP Score'!$A$5:$M20,$A9)</f>
        <v>38.595999999999997</v>
      </c>
      <c r="M9" s="223">
        <f>4*'ARP Timing'!L$11*VLOOKUP(M$1,'ARP Score'!$A$5:$M20,$A9)</f>
        <v>38.595999999999997</v>
      </c>
      <c r="N9" s="223">
        <f>4*'ARP Timing'!M$11*VLOOKUP(N$1,'ARP Score'!$A$5:$M20,$A9)</f>
        <v>31.911000000000001</v>
      </c>
      <c r="O9" s="223">
        <f>4*'ARP Timing'!N$11*VLOOKUP(O$1,'ARP Score'!$A$5:$M20,$A9)</f>
        <v>31.911000000000001</v>
      </c>
      <c r="P9" s="223">
        <f>4*'ARP Timing'!O$11*VLOOKUP(P$1,'ARP Score'!$A$5:$M20,$A9)</f>
        <v>31.911000000000001</v>
      </c>
      <c r="Q9" s="223">
        <f>4*'ARP Timing'!P$11*VLOOKUP(Q$1,'ARP Score'!$A$5:$M20,$A9)</f>
        <v>31.911000000000001</v>
      </c>
      <c r="R9" s="223">
        <f>4*'ARP Timing'!Q$11*VLOOKUP(R$1,'ARP Score'!$A$5:$M20,$A9)</f>
        <v>23.099</v>
      </c>
      <c r="S9" s="223">
        <f>4*'ARP Timing'!R$11*VLOOKUP(S$1,'ARP Score'!$A$5:$M20,$A9)</f>
        <v>23.099</v>
      </c>
      <c r="T9" s="223">
        <f>4*'ARP Timing'!S$11*VLOOKUP(T$1,'ARP Score'!$A$5:$M20,$A9)</f>
        <v>23.099</v>
      </c>
      <c r="U9" s="223">
        <f>4*'ARP Timing'!T$11*VLOOKUP(U$1,'ARP Score'!$A$5:$M20,$A9)</f>
        <v>23.099</v>
      </c>
      <c r="V9" s="223">
        <f>4*'ARP Timing'!U$11*VLOOKUP(V$1,'ARP Score'!$A$5:$M20,$A9)</f>
        <v>10.766999999999999</v>
      </c>
      <c r="W9" s="223">
        <f t="shared" si="0"/>
        <v>152.74300000000005</v>
      </c>
    </row>
    <row r="10" spans="1:23" x14ac:dyDescent="0.35">
      <c r="A10" s="366">
        <v>11</v>
      </c>
      <c r="B10" s="227" t="s">
        <v>437</v>
      </c>
      <c r="C10" s="223">
        <f>4*'ARP Timing'!B$11*VLOOKUP(C$1,'ARP Score'!$A$5:$M22,$A10)</f>
        <v>0</v>
      </c>
      <c r="D10" s="223">
        <f>4*'ARP Timing'!C$11*VLOOKUP(D$1,'ARP Score'!$A$5:$M22,$A10)</f>
        <v>59.256</v>
      </c>
      <c r="E10" s="223">
        <f>4*'ARP Timing'!D$11*VLOOKUP(E$1,'ARP Score'!$A$5:$M22,$A10)</f>
        <v>59.256</v>
      </c>
      <c r="F10" s="223">
        <f>4*'ARP Timing'!E$11*VLOOKUP(F$1,'ARP Score'!$A$5:$M22,$A10)</f>
        <v>35.671000000000006</v>
      </c>
      <c r="G10" s="223">
        <f>4*'ARP Timing'!F$11*VLOOKUP(G$1,'ARP Score'!$A$5:$M22,$A10)</f>
        <v>35.671000000000006</v>
      </c>
      <c r="H10" s="223">
        <f>4*'ARP Timing'!G$11*VLOOKUP(H$1,'ARP Score'!$A$5:$M22,$A10)</f>
        <v>35.671000000000006</v>
      </c>
      <c r="I10" s="223">
        <f>4*'ARP Timing'!H$11*VLOOKUP(I$1,'ARP Score'!$A$5:$M22,$A10)</f>
        <v>35.671000000000006</v>
      </c>
      <c r="J10" s="223">
        <f>4*'ARP Timing'!I$11*VLOOKUP(J$1,'ARP Score'!$A$5:$M22,$A10)</f>
        <v>24.216000000000001</v>
      </c>
      <c r="K10" s="223">
        <f>4*'ARP Timing'!J$11*VLOOKUP(K$1,'ARP Score'!$A$5:$M22,$A10)</f>
        <v>24.216000000000001</v>
      </c>
      <c r="L10" s="223">
        <f>4*'ARP Timing'!K$11*VLOOKUP(L$1,'ARP Score'!$A$5:$M22,$A10)</f>
        <v>24.216000000000001</v>
      </c>
      <c r="M10" s="223">
        <f>4*'ARP Timing'!L$11*VLOOKUP(M$1,'ARP Score'!$A$5:$M22,$A10)</f>
        <v>24.216000000000001</v>
      </c>
      <c r="N10" s="223">
        <f>4*'ARP Timing'!M$11*VLOOKUP(N$1,'ARP Score'!$A$5:$M22,$A10)</f>
        <v>9.6430000000000007</v>
      </c>
      <c r="O10" s="223">
        <f>4*'ARP Timing'!N$11*VLOOKUP(O$1,'ARP Score'!$A$5:$M22,$A10)</f>
        <v>9.6430000000000007</v>
      </c>
      <c r="P10" s="223">
        <f>4*'ARP Timing'!O$11*VLOOKUP(P$1,'ARP Score'!$A$5:$M22,$A10)</f>
        <v>9.6430000000000007</v>
      </c>
      <c r="Q10" s="223">
        <f>4*'ARP Timing'!P$11*VLOOKUP(Q$1,'ARP Score'!$A$5:$M22,$A10)</f>
        <v>9.6430000000000007</v>
      </c>
      <c r="R10" s="223">
        <f>4*'ARP Timing'!Q$11*VLOOKUP(R$1,'ARP Score'!$A$5:$M22,$A10)</f>
        <v>4.5789999999999997</v>
      </c>
      <c r="S10" s="223">
        <f>4*'ARP Timing'!R$11*VLOOKUP(S$1,'ARP Score'!$A$5:$M22,$A10)</f>
        <v>4.5789999999999997</v>
      </c>
      <c r="T10" s="223">
        <f>4*'ARP Timing'!S$11*VLOOKUP(T$1,'ARP Score'!$A$5:$M22,$A10)</f>
        <v>4.5789999999999997</v>
      </c>
      <c r="U10" s="223">
        <f>4*'ARP Timing'!T$11*VLOOKUP(U$1,'ARP Score'!$A$5:$M22,$A10)</f>
        <v>4.5789999999999997</v>
      </c>
      <c r="V10" s="223">
        <f>4*'ARP Timing'!U$11*VLOOKUP(V$1,'ARP Score'!$A$5:$M22,$A10)</f>
        <v>2.9130000000000003</v>
      </c>
      <c r="W10" s="223">
        <f t="shared" si="0"/>
        <v>103.73700000000002</v>
      </c>
    </row>
    <row r="11" spans="1:23" x14ac:dyDescent="0.35">
      <c r="A11" s="37">
        <v>12</v>
      </c>
      <c r="B11" s="1" t="s">
        <v>173</v>
      </c>
      <c r="C11" s="223">
        <f>4*'ARP Timing'!B12*VLOOKUP(C$1,'ARP Score'!$A$5:$M20,$A11)</f>
        <v>103</v>
      </c>
      <c r="D11" s="223">
        <f>4*'ARP Timing'!C12*VLOOKUP(D$1,'ARP Score'!$A$5:$M20,$A11)</f>
        <v>0</v>
      </c>
      <c r="E11" s="223">
        <f>4*'ARP Timing'!D12*VLOOKUP(E$1,'ARP Score'!$A$5:$M20,$A11)</f>
        <v>0</v>
      </c>
      <c r="F11" s="223">
        <f>4*'ARP Timing'!E12*VLOOKUP(F$1,'ARP Score'!$A$5:$M20,$A11)</f>
        <v>0</v>
      </c>
      <c r="G11" s="223">
        <f>4*'ARP Timing'!F12*VLOOKUP(G$1,'ARP Score'!$A$5:$M20,$A11)</f>
        <v>0</v>
      </c>
      <c r="H11" s="223">
        <f>4*'ARP Timing'!G12*VLOOKUP(H$1,'ARP Score'!$A$5:$M20,$A11)</f>
        <v>0</v>
      </c>
      <c r="I11" s="223">
        <f>4*'ARP Timing'!H12*VLOOKUP(I$1,'ARP Score'!$A$5:$M20,$A11)</f>
        <v>0</v>
      </c>
      <c r="J11" s="223">
        <f>4*'ARP Timing'!I12*VLOOKUP(J$1,'ARP Score'!$A$5:$M20,$A11)</f>
        <v>0</v>
      </c>
      <c r="K11" s="223">
        <f>4*'ARP Timing'!J12*VLOOKUP(K$1,'ARP Score'!$A$5:$M20,$A11)</f>
        <v>0</v>
      </c>
      <c r="L11" s="223">
        <f>4*'ARP Timing'!K12*VLOOKUP(L$1,'ARP Score'!$A$5:$M20,$A11)</f>
        <v>0</v>
      </c>
      <c r="M11" s="223">
        <f>4*'ARP Timing'!L12*VLOOKUP(M$1,'ARP Score'!$A$5:$M20,$A11)</f>
        <v>0</v>
      </c>
      <c r="N11" s="223">
        <f>4*'ARP Timing'!M12*VLOOKUP(N$1,'ARP Score'!$A$5:$M20,$A11)</f>
        <v>0</v>
      </c>
      <c r="O11" s="223">
        <f>4*'ARP Timing'!N12*VLOOKUP(O$1,'ARP Score'!$A$5:$M20,$A11)</f>
        <v>0</v>
      </c>
      <c r="P11" s="223">
        <f>4*'ARP Timing'!O12*VLOOKUP(P$1,'ARP Score'!$A$5:$M20,$A11)</f>
        <v>0</v>
      </c>
      <c r="Q11" s="223">
        <f>4*'ARP Timing'!P12*VLOOKUP(Q$1,'ARP Score'!$A$5:$M20,$A11)</f>
        <v>0</v>
      </c>
      <c r="R11" s="223">
        <f>4*'ARP Timing'!Q12*VLOOKUP(R$1,'ARP Score'!$A$5:$M20,$A11)</f>
        <v>0</v>
      </c>
      <c r="S11" s="223">
        <f>4*'ARP Timing'!R12*VLOOKUP(S$1,'ARP Score'!$A$5:$M20,$A11)</f>
        <v>0</v>
      </c>
      <c r="T11" s="223">
        <f>4*'ARP Timing'!S12*VLOOKUP(T$1,'ARP Score'!$A$5:$M20,$A11)</f>
        <v>0</v>
      </c>
      <c r="U11" s="223">
        <f>4*'ARP Timing'!T12*VLOOKUP(U$1,'ARP Score'!$A$5:$M20,$A11)</f>
        <v>0</v>
      </c>
      <c r="V11" s="223">
        <f>4*'ARP Timing'!U12*VLOOKUP(V$1,'ARP Score'!$A$5:$M20,$A11)</f>
        <v>0</v>
      </c>
      <c r="W11" s="223">
        <f t="shared" si="0"/>
        <v>25.75</v>
      </c>
    </row>
    <row r="12" spans="1:23" x14ac:dyDescent="0.35">
      <c r="A12" s="37">
        <v>13</v>
      </c>
      <c r="B12" s="224" t="s">
        <v>123</v>
      </c>
      <c r="C12" s="223">
        <f>4*'ARP Timing'!B13*VLOOKUP(C$1,'ARP Score'!$A$5:$M21,$A12)</f>
        <v>0</v>
      </c>
      <c r="D12" s="223">
        <f>4*'ARP Timing'!C13*VLOOKUP(D$1,'ARP Score'!$A$5:$M21,$A12)</f>
        <v>51.102400000000003</v>
      </c>
      <c r="E12" s="223">
        <f>4*'ARP Timing'!D13*VLOOKUP(E$1,'ARP Score'!$A$5:$M21,$A12)</f>
        <v>76.653599999999997</v>
      </c>
      <c r="F12" s="223">
        <f>4*'ARP Timing'!E13*VLOOKUP(F$1,'ARP Score'!$A$5:$M21,$A12)</f>
        <v>90.260800000000003</v>
      </c>
      <c r="G12" s="223">
        <f>4*'ARP Timing'!F13*VLOOKUP(G$1,'ARP Score'!$A$5:$M21,$A12)</f>
        <v>67.695599999999999</v>
      </c>
      <c r="H12" s="223">
        <f>4*'ARP Timing'!G13*VLOOKUP(H$1,'ARP Score'!$A$5:$M21,$A12)</f>
        <v>45.130400000000002</v>
      </c>
      <c r="I12" s="223">
        <f>4*'ARP Timing'!H13*VLOOKUP(I$1,'ARP Score'!$A$5:$M21,$A12)</f>
        <v>22.565200000000001</v>
      </c>
      <c r="J12" s="223">
        <f>4*'ARP Timing'!I13*VLOOKUP(J$1,'ARP Score'!$A$5:$M21,$A12)</f>
        <v>15.652999999999999</v>
      </c>
      <c r="K12" s="223">
        <f>4*'ARP Timing'!J13*VLOOKUP(K$1,'ARP Score'!$A$5:$M21,$A12)</f>
        <v>15.652999999999999</v>
      </c>
      <c r="L12" s="223">
        <f>4*'ARP Timing'!K13*VLOOKUP(L$1,'ARP Score'!$A$5:$M21,$A12)</f>
        <v>15.652999999999999</v>
      </c>
      <c r="M12" s="223">
        <f>4*'ARP Timing'!L13*VLOOKUP(M$1,'ARP Score'!$A$5:$M21,$A12)</f>
        <v>15.652999999999999</v>
      </c>
      <c r="N12" s="223">
        <f>4*'ARP Timing'!M13*VLOOKUP(N$1,'ARP Score'!$A$5:$M21,$A12)</f>
        <v>3.9320000000000004</v>
      </c>
      <c r="O12" s="223">
        <f>4*'ARP Timing'!N13*VLOOKUP(O$1,'ARP Score'!$A$5:$M21,$A12)</f>
        <v>3.9320000000000004</v>
      </c>
      <c r="P12" s="223">
        <f>4*'ARP Timing'!O13*VLOOKUP(P$1,'ARP Score'!$A$5:$M21,$A12)</f>
        <v>3.9320000000000004</v>
      </c>
      <c r="Q12" s="223">
        <f>4*'ARP Timing'!P13*VLOOKUP(Q$1,'ARP Score'!$A$5:$M21,$A12)</f>
        <v>3.9320000000000004</v>
      </c>
      <c r="R12" s="223">
        <f>4*'ARP Timing'!Q13*VLOOKUP(R$1,'ARP Score'!$A$5:$M21,$A12)</f>
        <v>-0.74299999999999988</v>
      </c>
      <c r="S12" s="223">
        <f>4*'ARP Timing'!R13*VLOOKUP(S$1,'ARP Score'!$A$5:$M21,$A12)</f>
        <v>-0.74299999999999988</v>
      </c>
      <c r="T12" s="223">
        <f>4*'ARP Timing'!S13*VLOOKUP(T$1,'ARP Score'!$A$5:$M21,$A12)</f>
        <v>-0.74299999999999988</v>
      </c>
      <c r="U12" s="223">
        <f>4*'ARP Timing'!T13*VLOOKUP(U$1,'ARP Score'!$A$5:$M21,$A12)</f>
        <v>-0.74299999999999988</v>
      </c>
      <c r="V12" s="223">
        <f>4*'ARP Timing'!U13*VLOOKUP(V$1,'ARP Score'!$A$5:$M21,$A12)</f>
        <v>-21.606000000000002</v>
      </c>
      <c r="W12" s="223">
        <f t="shared" si="0"/>
        <v>107.19400000000005</v>
      </c>
    </row>
    <row r="13" spans="1:23" x14ac:dyDescent="0.35">
      <c r="A13" s="37">
        <v>15</v>
      </c>
      <c r="B13" s="37" t="s">
        <v>1132</v>
      </c>
      <c r="C13" s="223">
        <f>0.3*'ARP Score'!$N5*4*'ARP Timing'!B6</f>
        <v>0</v>
      </c>
      <c r="D13" s="223">
        <f>0.3*'ARP Score'!$N5*4*'ARP Timing'!C6</f>
        <v>1.7544</v>
      </c>
      <c r="E13" s="223">
        <f>0.3*'ARP Score'!$N5*4*'ARP Timing'!D6</f>
        <v>2.3255999999999997</v>
      </c>
      <c r="F13" s="223">
        <f>0.3*'ARP Score'!$N6*4*'ARP Timing'!E6</f>
        <v>1.5299999999999998</v>
      </c>
      <c r="G13" s="223">
        <f>0.3*'ARP Score'!$N6*4*'ARP Timing'!F6</f>
        <v>1.5299999999999998</v>
      </c>
      <c r="H13" s="223">
        <f>0.3*'ARP Score'!$N6*4*'ARP Timing'!G6</f>
        <v>1.5299999999999998</v>
      </c>
      <c r="I13" s="223">
        <f>0.3*'ARP Score'!$N6*4*'ARP Timing'!H6</f>
        <v>1.5299999999999998</v>
      </c>
      <c r="J13" s="223">
        <f>0.3*'ARP Score'!$N7*4*'ARP Timing'!I6</f>
        <v>0</v>
      </c>
      <c r="K13" s="223">
        <f>0.3*'ARP Score'!$N7*4*'ARP Timing'!J6</f>
        <v>0</v>
      </c>
      <c r="L13" s="223">
        <f>0.3*'ARP Score'!$N7*4*'ARP Timing'!K6</f>
        <v>0</v>
      </c>
      <c r="M13" s="223">
        <f>0.3*'ARP Score'!$N7*4*'ARP Timing'!L6</f>
        <v>0</v>
      </c>
      <c r="N13" s="223">
        <f>0.3*'ARP Score'!$N7*4*'ARP Timing'!M6</f>
        <v>0</v>
      </c>
      <c r="O13" s="223">
        <f>0.3*'ARP Score'!$N7*4*'ARP Timing'!N6</f>
        <v>0</v>
      </c>
      <c r="P13" s="223">
        <f>0.3*'ARP Score'!$N7*4*'ARP Timing'!O6</f>
        <v>0</v>
      </c>
      <c r="Q13" s="223">
        <f>0.3*'ARP Score'!$N7*4*'ARP Timing'!P6</f>
        <v>0</v>
      </c>
      <c r="R13" s="223">
        <f>0.3*'ARP Score'!$N7*4*'ARP Timing'!Q6</f>
        <v>0</v>
      </c>
      <c r="S13" s="223">
        <f>0.3*'ARP Score'!$N7*4*'ARP Timing'!R6</f>
        <v>0</v>
      </c>
      <c r="T13" s="223">
        <f>0.3*'ARP Score'!$N7*4*'ARP Timing'!S6</f>
        <v>0</v>
      </c>
      <c r="U13" s="223">
        <f>0.3*'ARP Score'!$N7*4*'ARP Timing'!T6</f>
        <v>0</v>
      </c>
      <c r="V13" s="223">
        <f>0.3*'ARP Score'!$N7*4*'ARP Timing'!U6</f>
        <v>0</v>
      </c>
      <c r="W13" s="223">
        <f t="shared" si="0"/>
        <v>2.5499999999999994</v>
      </c>
    </row>
    <row r="14" spans="1:23" x14ac:dyDescent="0.35">
      <c r="A14" s="37">
        <v>14</v>
      </c>
      <c r="B14" s="37" t="s">
        <v>1133</v>
      </c>
      <c r="C14" s="223">
        <f>C13/0.3*0.2</f>
        <v>0</v>
      </c>
      <c r="D14" s="223">
        <f t="shared" ref="D14:F14" si="1">D13/0.3*0.2</f>
        <v>1.1696</v>
      </c>
      <c r="E14" s="223">
        <f t="shared" si="1"/>
        <v>1.5503999999999998</v>
      </c>
      <c r="F14" s="223">
        <f t="shared" si="1"/>
        <v>1.02</v>
      </c>
      <c r="G14" s="223">
        <f t="shared" ref="G14" si="2">G13/0.3*0.2</f>
        <v>1.02</v>
      </c>
      <c r="H14" s="223">
        <f t="shared" ref="H14" si="3">H13/0.3*0.2</f>
        <v>1.02</v>
      </c>
      <c r="I14" s="223">
        <f t="shared" ref="I14" si="4">I13/0.3*0.2</f>
        <v>1.02</v>
      </c>
      <c r="J14" s="223">
        <f t="shared" ref="J14" si="5">J13/0.3*0.2</f>
        <v>0</v>
      </c>
      <c r="K14" s="223">
        <f t="shared" ref="K14" si="6">K13/0.3*0.2</f>
        <v>0</v>
      </c>
      <c r="L14" s="223">
        <f t="shared" ref="L14" si="7">L13/0.3*0.2</f>
        <v>0</v>
      </c>
      <c r="M14" s="223">
        <f t="shared" ref="M14" si="8">M13/0.3*0.2</f>
        <v>0</v>
      </c>
      <c r="N14" s="223">
        <f t="shared" ref="N14" si="9">N13/0.3*0.2</f>
        <v>0</v>
      </c>
      <c r="O14" s="223">
        <f t="shared" ref="O14" si="10">O13/0.3*0.2</f>
        <v>0</v>
      </c>
      <c r="P14" s="223">
        <f t="shared" ref="P14" si="11">P13/0.3*0.2</f>
        <v>0</v>
      </c>
      <c r="Q14" s="223">
        <f t="shared" ref="Q14" si="12">Q13/0.3*0.2</f>
        <v>0</v>
      </c>
      <c r="R14" s="223">
        <f t="shared" ref="R14" si="13">R13/0.3*0.2</f>
        <v>0</v>
      </c>
      <c r="S14" s="223">
        <f t="shared" ref="S14" si="14">S13/0.3*0.2</f>
        <v>0</v>
      </c>
      <c r="T14" s="223">
        <f t="shared" ref="T14" si="15">T13/0.3*0.2</f>
        <v>0</v>
      </c>
      <c r="U14" s="223">
        <f t="shared" ref="U14" si="16">U13/0.3*0.2</f>
        <v>0</v>
      </c>
      <c r="V14" s="223">
        <f t="shared" ref="V14" si="17">V13/0.3*0.2</f>
        <v>0</v>
      </c>
      <c r="W14" s="223">
        <f t="shared" si="0"/>
        <v>1.6999999999999997</v>
      </c>
    </row>
    <row r="15" spans="1:23" x14ac:dyDescent="0.35">
      <c r="A15" s="37">
        <v>14</v>
      </c>
      <c r="B15" s="37" t="s">
        <v>580</v>
      </c>
      <c r="C15" s="223">
        <f>C14/0.2*0.5</f>
        <v>0</v>
      </c>
      <c r="D15" s="223">
        <f t="shared" ref="D15:F15" si="18">D14/0.2*0.5</f>
        <v>2.9239999999999999</v>
      </c>
      <c r="E15" s="223">
        <f t="shared" si="18"/>
        <v>3.8759999999999994</v>
      </c>
      <c r="F15" s="223">
        <f t="shared" si="18"/>
        <v>2.5499999999999998</v>
      </c>
      <c r="G15" s="223">
        <f t="shared" ref="G15" si="19">G14/0.2*0.5</f>
        <v>2.5499999999999998</v>
      </c>
      <c r="H15" s="223">
        <f t="shared" ref="H15" si="20">H14/0.2*0.5</f>
        <v>2.5499999999999998</v>
      </c>
      <c r="I15" s="223">
        <f t="shared" ref="I15" si="21">I14/0.2*0.5</f>
        <v>2.5499999999999998</v>
      </c>
      <c r="J15" s="223">
        <f t="shared" ref="J15" si="22">J14/0.2*0.5</f>
        <v>0</v>
      </c>
      <c r="K15" s="223">
        <f t="shared" ref="K15" si="23">K14/0.2*0.5</f>
        <v>0</v>
      </c>
      <c r="L15" s="223">
        <f t="shared" ref="L15" si="24">L14/0.2*0.5</f>
        <v>0</v>
      </c>
      <c r="M15" s="223">
        <f t="shared" ref="M15" si="25">M14/0.2*0.5</f>
        <v>0</v>
      </c>
      <c r="N15" s="223">
        <f t="shared" ref="N15" si="26">N14/0.2*0.5</f>
        <v>0</v>
      </c>
      <c r="O15" s="223">
        <f t="shared" ref="O15" si="27">O14/0.2*0.5</f>
        <v>0</v>
      </c>
      <c r="P15" s="223">
        <f t="shared" ref="P15" si="28">P14/0.2*0.5</f>
        <v>0</v>
      </c>
      <c r="Q15" s="223">
        <f t="shared" ref="Q15" si="29">Q14/0.2*0.5</f>
        <v>0</v>
      </c>
      <c r="R15" s="223">
        <f t="shared" ref="R15" si="30">R14/0.2*0.5</f>
        <v>0</v>
      </c>
      <c r="S15" s="223">
        <f t="shared" ref="S15" si="31">S14/0.2*0.5</f>
        <v>0</v>
      </c>
      <c r="T15" s="223">
        <f t="shared" ref="T15" si="32">T14/0.2*0.5</f>
        <v>0</v>
      </c>
      <c r="U15" s="223">
        <f t="shared" ref="U15" si="33">U14/0.2*0.5</f>
        <v>0</v>
      </c>
      <c r="V15" s="223">
        <f t="shared" ref="V15" si="34">V14/0.2*0.5</f>
        <v>0</v>
      </c>
      <c r="W15" s="223">
        <f t="shared" si="0"/>
        <v>4.25</v>
      </c>
    </row>
    <row r="16" spans="1:23" x14ac:dyDescent="0.35">
      <c r="C16" s="223"/>
      <c r="D16" s="223"/>
      <c r="E16" s="223"/>
      <c r="F16" s="223"/>
      <c r="G16" s="223"/>
      <c r="H16" s="223"/>
      <c r="I16" s="223"/>
      <c r="J16" s="223"/>
      <c r="K16" s="223"/>
      <c r="L16" s="223"/>
      <c r="M16" s="223"/>
      <c r="N16" s="223"/>
      <c r="O16" s="223"/>
      <c r="P16" s="223"/>
      <c r="Q16" s="223"/>
      <c r="R16" s="223"/>
      <c r="S16" s="223"/>
      <c r="T16" s="223"/>
      <c r="U16" s="223"/>
      <c r="V16" s="223"/>
      <c r="W16" s="223"/>
    </row>
    <row r="17" spans="1:23" x14ac:dyDescent="0.35">
      <c r="A17" s="37" t="s">
        <v>1134</v>
      </c>
      <c r="C17" s="223"/>
      <c r="D17" s="223"/>
      <c r="E17" s="223"/>
      <c r="F17" s="223"/>
      <c r="G17" s="223"/>
      <c r="H17" s="223"/>
      <c r="I17" s="223"/>
      <c r="J17" s="223"/>
      <c r="K17" s="223"/>
      <c r="L17" s="223"/>
      <c r="M17" s="223"/>
      <c r="N17" s="223"/>
      <c r="O17" s="223"/>
      <c r="P17" s="223"/>
      <c r="Q17" s="223"/>
      <c r="R17" s="223"/>
      <c r="S17" s="223"/>
      <c r="T17" s="223"/>
      <c r="U17" s="223"/>
      <c r="V17" s="223"/>
      <c r="W17" s="223"/>
    </row>
    <row r="18" spans="1:23" x14ac:dyDescent="0.35">
      <c r="B18" s="135" t="s">
        <v>157</v>
      </c>
      <c r="C18" s="223">
        <f>'ARP Score'!$BG5/'ARP Score'!$G5*C6</f>
        <v>0</v>
      </c>
      <c r="D18" s="223">
        <f>'ARP Score'!$BG5/'ARP Score'!$G5*D6</f>
        <v>2.2132800000000001</v>
      </c>
      <c r="E18" s="223">
        <f>'ARP Score'!$BG5/'ARP Score'!$G5*E6</f>
        <v>10.082720000000002</v>
      </c>
      <c r="F18" s="223">
        <f>'ARP Score'!$BG6/'ARP Score'!$G6*F6</f>
        <v>7.1439999999999992</v>
      </c>
      <c r="G18" s="223">
        <f>'ARP Score'!$BG6/'ARP Score'!$G6*G6</f>
        <v>7.1439999999999992</v>
      </c>
      <c r="H18" s="223">
        <f>'ARP Score'!$BG6/'ARP Score'!$G6*H6</f>
        <v>7.1439999999999992</v>
      </c>
      <c r="I18" s="223">
        <f>'ARP Score'!$BG6/'ARP Score'!$G6*I6</f>
        <v>7.1439999999999992</v>
      </c>
      <c r="J18" s="223">
        <f>'ARP Score'!$BG7/'ARP Score'!$G7*J6</f>
        <v>0</v>
      </c>
      <c r="K18" s="223">
        <f>'ARP Score'!$BG7/'ARP Score'!$G7*K6</f>
        <v>0</v>
      </c>
      <c r="L18" s="223">
        <f>'ARP Score'!$BG7/'ARP Score'!$G7*L6</f>
        <v>0</v>
      </c>
      <c r="M18" s="223">
        <f>'ARP Score'!$BG7/'ARP Score'!$G7*M6</f>
        <v>0</v>
      </c>
      <c r="N18" s="223"/>
      <c r="O18" s="223"/>
      <c r="P18" s="223"/>
      <c r="Q18" s="223"/>
      <c r="R18" s="223"/>
      <c r="S18" s="223"/>
      <c r="T18" s="223"/>
      <c r="U18" s="223"/>
      <c r="V18" s="223"/>
      <c r="W18" s="223"/>
    </row>
    <row r="19" spans="1:23" x14ac:dyDescent="0.35">
      <c r="B19" s="135" t="s">
        <v>1135</v>
      </c>
      <c r="C19" s="223">
        <f>'ARP Score'!$BI5/'ARP Score'!$G5*C6</f>
        <v>0</v>
      </c>
      <c r="D19" s="223">
        <f>'ARP Score'!$BI5/'ARP Score'!$G5*D6</f>
        <v>15.128640000000001</v>
      </c>
      <c r="E19" s="223">
        <f>'ARP Score'!$BI5/'ARP Score'!$G5*E6</f>
        <v>68.919360000000012</v>
      </c>
      <c r="F19" s="223">
        <f>'ARP Score'!$BI6/'ARP Score'!$G6*F6</f>
        <v>5.6120000000000001</v>
      </c>
      <c r="G19" s="223">
        <f>'ARP Score'!$BI6/'ARP Score'!$G6*G6</f>
        <v>5.6120000000000001</v>
      </c>
      <c r="H19" s="223">
        <f>'ARP Score'!$BI6/'ARP Score'!$G6*H6</f>
        <v>5.6120000000000001</v>
      </c>
      <c r="I19" s="223">
        <f>'ARP Score'!$BI6/'ARP Score'!$G6*I6</f>
        <v>5.6120000000000001</v>
      </c>
      <c r="J19" s="223">
        <f>'ARP Score'!$B7/'ARP Score'!$G7*J6</f>
        <v>0.48599999999999993</v>
      </c>
      <c r="K19" s="223">
        <f>'ARP Score'!$B7/'ARP Score'!$G7*K6</f>
        <v>0.48599999999999993</v>
      </c>
      <c r="L19" s="223">
        <f>'ARP Score'!$B7/'ARP Score'!$G7*L6</f>
        <v>0.48599999999999993</v>
      </c>
      <c r="M19" s="223">
        <f>'ARP Score'!$B7/'ARP Score'!$G7*M6</f>
        <v>0.48599999999999993</v>
      </c>
      <c r="N19" s="223">
        <f>'ARP Score'!$B8/'ARP Score'!$G8*N6</f>
        <v>0</v>
      </c>
      <c r="O19" s="223"/>
      <c r="P19" s="223"/>
      <c r="Q19" s="223"/>
      <c r="R19" s="223"/>
      <c r="S19" s="223"/>
      <c r="T19" s="223"/>
      <c r="U19" s="223"/>
      <c r="V19" s="223"/>
      <c r="W19" s="223"/>
    </row>
    <row r="20" spans="1:23" x14ac:dyDescent="0.35">
      <c r="B20" s="135" t="s">
        <v>162</v>
      </c>
      <c r="C20" s="223">
        <f>'ARP Score'!$BF5/'ARP Score'!$G5*C6</f>
        <v>0</v>
      </c>
      <c r="D20" s="223">
        <f>'ARP Score'!$BF5/'ARP Score'!$G5*D6</f>
        <v>3.2479199999999997</v>
      </c>
      <c r="E20" s="223">
        <f>'ARP Score'!$BF5/'ARP Score'!$G5*E6</f>
        <v>14.796080000000002</v>
      </c>
      <c r="F20" s="223">
        <f>'ARP Score'!$BF6/'ARP Score'!$G6*F6</f>
        <v>1.7329999999999999</v>
      </c>
      <c r="G20" s="223">
        <f>'ARP Score'!$BF6/'ARP Score'!$G6*G6</f>
        <v>1.7329999999999999</v>
      </c>
      <c r="H20" s="223">
        <f>'ARP Score'!$BF6/'ARP Score'!$G6*H6</f>
        <v>1.7329999999999999</v>
      </c>
      <c r="I20" s="223">
        <f>'ARP Score'!$BF6/'ARP Score'!$G6*I6</f>
        <v>1.7329999999999999</v>
      </c>
      <c r="J20" s="223">
        <f>'ARP Score'!$BF7/'ARP Score'!$G7*J6</f>
        <v>0</v>
      </c>
      <c r="K20" s="223">
        <f>'ARP Score'!$BF7/'ARP Score'!$G7*K6</f>
        <v>0</v>
      </c>
      <c r="L20" s="223">
        <f>'ARP Score'!$BF7/'ARP Score'!$G7*L6</f>
        <v>0</v>
      </c>
      <c r="M20" s="223">
        <f>'ARP Score'!$BF7/'ARP Score'!$G7*M6</f>
        <v>0</v>
      </c>
      <c r="N20" s="223"/>
      <c r="O20" s="223"/>
      <c r="P20" s="223"/>
      <c r="Q20" s="223"/>
      <c r="R20" s="223"/>
      <c r="S20" s="223"/>
      <c r="T20" s="223"/>
      <c r="U20" s="223"/>
      <c r="V20" s="223"/>
      <c r="W20" s="223"/>
    </row>
    <row r="21" spans="1:23" x14ac:dyDescent="0.35">
      <c r="B21" s="526" t="s">
        <v>509</v>
      </c>
      <c r="C21" s="223">
        <f>15/40*(C6*'ARP Score'!$BD5/'ARP Score'!$G5)</f>
        <v>0</v>
      </c>
      <c r="D21" s="223">
        <f>15/40*(D6*('ARP Score'!$BD5+'ARP Score'!$BE5)/'ARP Score'!$G5)</f>
        <v>13.2921</v>
      </c>
      <c r="E21" s="223">
        <f>15/40*(E6*('ARP Score'!$BD5+'ARP Score'!$BE5)/'ARP Score'!$G5)</f>
        <v>60.552900000000008</v>
      </c>
      <c r="F21" s="223">
        <f>15/40*(F6*('ARP Score'!$BD6+'ARP Score'!$BE6)/'ARP Score'!$G6)</f>
        <v>1.0687500000000001</v>
      </c>
      <c r="G21" s="223">
        <f>15/40*(G6*('ARP Score'!$BD6+'ARP Score'!$BE6)/'ARP Score'!$G6)</f>
        <v>1.0687500000000001</v>
      </c>
      <c r="H21" s="223">
        <f>15/40*(H6*('ARP Score'!$BD6+'ARP Score'!$BE6)/'ARP Score'!$G6)</f>
        <v>1.0687500000000001</v>
      </c>
      <c r="I21" s="223">
        <f>15/40*(I6*('ARP Score'!$BD6+'ARP Score'!$BE6)/'ARP Score'!$G6)</f>
        <v>1.0687500000000001</v>
      </c>
      <c r="J21" s="223">
        <f>15/40*(J6*('ARP Score'!$BD7+'ARP Score'!$BE7)/'ARP Score'!$G7)</f>
        <v>0.78750000000000009</v>
      </c>
      <c r="K21" s="223">
        <f>15/40*(K6*('ARP Score'!$BD7+'ARP Score'!$BE7)/'ARP Score'!$G7)</f>
        <v>0.78750000000000009</v>
      </c>
      <c r="L21" s="223">
        <f>15/40*(L6*('ARP Score'!$BD7+'ARP Score'!$BE7)/'ARP Score'!$G7)</f>
        <v>0.78750000000000009</v>
      </c>
      <c r="M21" s="223">
        <f>15/40*(M6*('ARP Score'!$BD7+'ARP Score'!$BE7)/'ARP Score'!$G7)</f>
        <v>0.78750000000000009</v>
      </c>
      <c r="N21" s="223"/>
      <c r="O21" s="223"/>
      <c r="P21" s="223"/>
      <c r="Q21" s="223"/>
      <c r="R21" s="223"/>
      <c r="S21" s="223"/>
      <c r="T21" s="223"/>
      <c r="U21" s="223"/>
      <c r="V21" s="223"/>
      <c r="W21" s="223"/>
    </row>
    <row r="22" spans="1:23" x14ac:dyDescent="0.35">
      <c r="B22" s="526" t="s">
        <v>1136</v>
      </c>
      <c r="C22" s="223"/>
      <c r="D22" s="223">
        <f>D21/15*25</f>
        <v>22.153499999999998</v>
      </c>
      <c r="E22" s="223">
        <f>E21/15*25</f>
        <v>100.92150000000002</v>
      </c>
      <c r="F22" s="223">
        <f>F21/15*25</f>
        <v>1.7812500000000002</v>
      </c>
      <c r="G22" s="223">
        <f>G21/15*25</f>
        <v>1.7812500000000002</v>
      </c>
      <c r="H22" s="223">
        <f t="shared" ref="H22:J22" si="35">H21/15*25</f>
        <v>1.7812500000000002</v>
      </c>
      <c r="I22" s="223">
        <f t="shared" si="35"/>
        <v>1.7812500000000002</v>
      </c>
      <c r="J22" s="223">
        <f t="shared" si="35"/>
        <v>1.3125000000000002</v>
      </c>
      <c r="K22" s="223">
        <f t="shared" ref="K22" si="36">K21/15*25</f>
        <v>1.3125000000000002</v>
      </c>
      <c r="L22" s="223">
        <f t="shared" ref="L22" si="37">L21/15*25</f>
        <v>1.3125000000000002</v>
      </c>
      <c r="M22" s="223">
        <f t="shared" ref="M22" si="38">M21/15*25</f>
        <v>1.3125000000000002</v>
      </c>
      <c r="N22" s="223"/>
      <c r="O22" s="223"/>
      <c r="P22" s="223"/>
      <c r="Q22" s="223"/>
      <c r="R22" s="223"/>
      <c r="S22" s="223"/>
      <c r="T22" s="223"/>
      <c r="U22" s="223"/>
      <c r="V22" s="223"/>
      <c r="W22" s="223"/>
    </row>
    <row r="23" spans="1:23" x14ac:dyDescent="0.35">
      <c r="B23" s="135" t="s">
        <v>521</v>
      </c>
      <c r="C23" s="223">
        <f>'ARP Score'!$BB5/'ARP Score'!$G5*C6</f>
        <v>0</v>
      </c>
      <c r="D23" s="223">
        <f>'ARP Score'!$BB5/'ARP Score'!$G5*D6</f>
        <v>2.9519999999999995</v>
      </c>
      <c r="E23" s="223">
        <f>'ARP Score'!$BB5/'ARP Score'!$G5*E6</f>
        <v>13.448</v>
      </c>
      <c r="F23" s="223">
        <f>'ARP Score'!$BB6/'ARP Score'!$G6*F6</f>
        <v>11.3</v>
      </c>
      <c r="G23" s="223">
        <f>'ARP Score'!$BB6/'ARP Score'!$G6*G6</f>
        <v>11.3</v>
      </c>
      <c r="H23" s="223">
        <f>'ARP Score'!$BB6/'ARP Score'!$G6*H6</f>
        <v>11.3</v>
      </c>
      <c r="I23" s="223">
        <f>'ARP Score'!$BB6/'ARP Score'!$G6*I6</f>
        <v>11.3</v>
      </c>
      <c r="J23" s="223">
        <f>'ARP Score'!$BB7/'ARP Score'!$G7*J6</f>
        <v>8.4</v>
      </c>
      <c r="K23" s="223">
        <f>'ARP Score'!$BB7/'ARP Score'!$G7*K6</f>
        <v>8.4</v>
      </c>
      <c r="L23" s="223">
        <f>'ARP Score'!$BB7/'ARP Score'!$G7*L6</f>
        <v>8.4</v>
      </c>
      <c r="M23" s="223">
        <f>'ARP Score'!$BB7/'ARP Score'!$G7*M6</f>
        <v>8.4</v>
      </c>
      <c r="N23" s="223">
        <f>'ARP Score'!$BB8/'ARP Score'!$G8*N6</f>
        <v>0.2</v>
      </c>
      <c r="O23" s="223">
        <f>'ARP Score'!$BB8/'ARP Score'!$G8*O6</f>
        <v>0.2</v>
      </c>
      <c r="P23" s="223">
        <f>'ARP Score'!$BB8/'ARP Score'!$G8*P6</f>
        <v>0.2</v>
      </c>
      <c r="Q23" s="223">
        <f>'ARP Score'!$BB8/'ARP Score'!$G8*Q6</f>
        <v>0.2</v>
      </c>
      <c r="R23" s="223"/>
      <c r="S23" s="223"/>
      <c r="T23" s="223"/>
      <c r="U23" s="223"/>
      <c r="V23" s="223"/>
      <c r="W23" s="223"/>
    </row>
    <row r="24" spans="1:23" x14ac:dyDescent="0.35">
      <c r="B24" s="135" t="s">
        <v>522</v>
      </c>
      <c r="C24" s="223">
        <f>'ARP Score'!$BH5/'ARP Score'!$G5*C6</f>
        <v>0</v>
      </c>
      <c r="D24" s="223">
        <f>'ARP Score'!$BH5/'ARP Score'!$G5*D6</f>
        <v>-0.20447999999999997</v>
      </c>
      <c r="E24" s="223">
        <f>'ARP Score'!$BH5/'ARP Score'!$G5*E6</f>
        <v>-0.93152000000000001</v>
      </c>
      <c r="F24" s="223">
        <f>'ARP Score'!$BH6/'ARP Score'!$G6*F6</f>
        <v>81.608999999999995</v>
      </c>
      <c r="G24" s="223">
        <f>'ARP Score'!$BH6/'ARP Score'!$G6*G6</f>
        <v>81.608999999999995</v>
      </c>
      <c r="H24" s="223">
        <f>'ARP Score'!$BH6/'ARP Score'!$G6*H6</f>
        <v>81.608999999999995</v>
      </c>
      <c r="I24" s="223">
        <f>'ARP Score'!$BH6/'ARP Score'!$G6*I6</f>
        <v>81.608999999999995</v>
      </c>
      <c r="J24" s="223">
        <f>'ARP Score'!$BH7/'ARP Score'!$G7*J6</f>
        <v>1.3759999999999999</v>
      </c>
      <c r="K24" s="223">
        <f>'ARP Score'!$BH7/'ARP Score'!$G7*K6</f>
        <v>1.3759999999999999</v>
      </c>
      <c r="L24" s="223">
        <f>'ARP Score'!$BH7/'ARP Score'!$G7*L6</f>
        <v>1.3759999999999999</v>
      </c>
      <c r="M24" s="223">
        <f>'ARP Score'!$BH7/'ARP Score'!$G7*M6</f>
        <v>1.3759999999999999</v>
      </c>
      <c r="N24" s="223">
        <f>'ARP Score'!$BH8/'ARP Score'!$G8*N6</f>
        <v>-0.87500000000000011</v>
      </c>
      <c r="O24" s="223">
        <f>'ARP Score'!$BH8/'ARP Score'!$G8*O6</f>
        <v>-0.87500000000000011</v>
      </c>
      <c r="P24" s="223">
        <f>'ARP Score'!$BH8/'ARP Score'!$G8*P6</f>
        <v>-0.87500000000000011</v>
      </c>
      <c r="Q24" s="223">
        <f>'ARP Score'!$BH8/'ARP Score'!$G8*Q6</f>
        <v>-0.87500000000000011</v>
      </c>
      <c r="R24" s="223"/>
      <c r="S24" s="223"/>
      <c r="T24" s="223"/>
      <c r="U24" s="223"/>
      <c r="V24" s="223"/>
      <c r="W24" s="223"/>
    </row>
    <row r="25" spans="1:23" x14ac:dyDescent="0.35">
      <c r="B25" s="135" t="s">
        <v>385</v>
      </c>
      <c r="C25" s="223">
        <f>SUM(C18:C24)</f>
        <v>0</v>
      </c>
      <c r="D25" s="223">
        <f t="shared" ref="D25:Q25" si="39">SUM(D18:D24)</f>
        <v>58.782959999999996</v>
      </c>
      <c r="E25" s="223">
        <f t="shared" si="39"/>
        <v>267.78904000000006</v>
      </c>
      <c r="F25" s="223">
        <f t="shared" si="39"/>
        <v>110.24799999999999</v>
      </c>
      <c r="G25" s="223">
        <f t="shared" si="39"/>
        <v>110.24799999999999</v>
      </c>
      <c r="H25" s="223">
        <f t="shared" si="39"/>
        <v>110.24799999999999</v>
      </c>
      <c r="I25" s="223">
        <f t="shared" si="39"/>
        <v>110.24799999999999</v>
      </c>
      <c r="J25" s="223">
        <f t="shared" si="39"/>
        <v>12.362</v>
      </c>
      <c r="K25" s="223">
        <f t="shared" si="39"/>
        <v>12.362</v>
      </c>
      <c r="L25" s="223">
        <f t="shared" si="39"/>
        <v>12.362</v>
      </c>
      <c r="M25" s="223">
        <f t="shared" si="39"/>
        <v>12.362</v>
      </c>
      <c r="N25" s="223">
        <f t="shared" si="39"/>
        <v>-0.67500000000000004</v>
      </c>
      <c r="O25" s="223">
        <f t="shared" si="39"/>
        <v>-0.67500000000000004</v>
      </c>
      <c r="P25" s="223">
        <f t="shared" si="39"/>
        <v>-0.67500000000000004</v>
      </c>
      <c r="Q25" s="223">
        <f t="shared" si="39"/>
        <v>-0.67500000000000004</v>
      </c>
      <c r="R25" s="223"/>
      <c r="S25" s="223"/>
      <c r="T25" s="223"/>
      <c r="U25" s="223"/>
      <c r="V25" s="223"/>
      <c r="W25" s="223"/>
    </row>
    <row r="26" spans="1:23" x14ac:dyDescent="0.35">
      <c r="D26" s="225">
        <f>D6-D25</f>
        <v>0</v>
      </c>
      <c r="E26" s="225">
        <f t="shared" ref="E26:M26" si="40">E6-E25</f>
        <v>0</v>
      </c>
      <c r="F26" s="225">
        <f t="shared" si="40"/>
        <v>0</v>
      </c>
      <c r="G26" s="225">
        <f t="shared" si="40"/>
        <v>0</v>
      </c>
      <c r="H26" s="225">
        <f t="shared" si="40"/>
        <v>0</v>
      </c>
      <c r="I26" s="225">
        <f t="shared" si="40"/>
        <v>0</v>
      </c>
      <c r="J26" s="225">
        <f t="shared" si="40"/>
        <v>0.36400000000000077</v>
      </c>
      <c r="K26" s="225">
        <f t="shared" si="40"/>
        <v>0.36400000000000077</v>
      </c>
      <c r="L26" s="225">
        <f t="shared" si="40"/>
        <v>0.36400000000000077</v>
      </c>
      <c r="M26" s="225">
        <f t="shared" si="40"/>
        <v>0.36400000000000077</v>
      </c>
    </row>
    <row r="27" spans="1:23" x14ac:dyDescent="0.35">
      <c r="B27" s="37" t="s">
        <v>1137</v>
      </c>
      <c r="D27" s="203" t="s">
        <v>321</v>
      </c>
      <c r="E27" s="203" t="s">
        <v>194</v>
      </c>
      <c r="F27" s="203" t="s">
        <v>195</v>
      </c>
      <c r="G27" s="203" t="s">
        <v>196</v>
      </c>
      <c r="H27" s="203" t="s">
        <v>197</v>
      </c>
      <c r="I27" s="203" t="s">
        <v>198</v>
      </c>
      <c r="J27" s="203" t="s">
        <v>199</v>
      </c>
      <c r="K27" s="203" t="s">
        <v>200</v>
      </c>
      <c r="L27" s="203" t="s">
        <v>201</v>
      </c>
      <c r="M27" s="203" t="s">
        <v>202</v>
      </c>
      <c r="N27" s="203" t="s">
        <v>203</v>
      </c>
      <c r="O27" s="203" t="s">
        <v>204</v>
      </c>
      <c r="P27" s="203" t="s">
        <v>205</v>
      </c>
      <c r="Q27" s="203" t="s">
        <v>189</v>
      </c>
      <c r="R27" s="203" t="s">
        <v>190</v>
      </c>
      <c r="S27" s="203" t="s">
        <v>191</v>
      </c>
      <c r="T27" s="203" t="s">
        <v>1128</v>
      </c>
      <c r="U27" s="203" t="s">
        <v>1129</v>
      </c>
      <c r="V27" s="203" t="s">
        <v>1130</v>
      </c>
    </row>
    <row r="28" spans="1:23" x14ac:dyDescent="0.35">
      <c r="B28" s="224"/>
      <c r="C28" s="225" t="s">
        <v>385</v>
      </c>
      <c r="D28" s="229">
        <f>SUM(D29:D43)</f>
        <v>5.8765000000000009</v>
      </c>
      <c r="E28" s="229">
        <f t="shared" ref="E28:V28" si="41">SUM(E29:E43)</f>
        <v>11.753000000000002</v>
      </c>
      <c r="F28" s="229">
        <f t="shared" si="41"/>
        <v>15.762320000000003</v>
      </c>
      <c r="G28" s="229">
        <f t="shared" si="41"/>
        <v>19.771640000000005</v>
      </c>
      <c r="H28" s="229">
        <f t="shared" si="41"/>
        <v>23.812229000000006</v>
      </c>
      <c r="I28" s="229">
        <f t="shared" si="41"/>
        <v>27.852818000000006</v>
      </c>
      <c r="J28" s="229">
        <f t="shared" si="41"/>
        <v>30.517977000000005</v>
      </c>
      <c r="K28" s="229">
        <f t="shared" si="41"/>
        <v>33.183136000000005</v>
      </c>
      <c r="L28" s="229">
        <f t="shared" si="41"/>
        <v>36.260924000000003</v>
      </c>
      <c r="M28" s="229">
        <f t="shared" si="41"/>
        <v>39.338711999999994</v>
      </c>
      <c r="N28" s="229">
        <f t="shared" si="41"/>
        <v>40.928439999999995</v>
      </c>
      <c r="O28" s="229">
        <f t="shared" si="41"/>
        <v>42.518167999999996</v>
      </c>
      <c r="P28" s="229">
        <f t="shared" si="41"/>
        <v>44.428388999999996</v>
      </c>
      <c r="Q28" s="229">
        <f t="shared" si="41"/>
        <v>46.338610000000003</v>
      </c>
      <c r="R28" s="229">
        <f t="shared" si="41"/>
        <v>47.279744500000007</v>
      </c>
      <c r="S28" s="229">
        <f t="shared" si="41"/>
        <v>46.283419000000009</v>
      </c>
      <c r="T28" s="229">
        <f t="shared" si="41"/>
        <v>45.578489500000011</v>
      </c>
      <c r="U28" s="229">
        <f t="shared" si="41"/>
        <v>45.454798000000011</v>
      </c>
      <c r="V28" s="229">
        <f t="shared" si="41"/>
        <v>45.360580000000013</v>
      </c>
    </row>
    <row r="29" spans="1:23" x14ac:dyDescent="0.35">
      <c r="A29" s="37">
        <v>2021</v>
      </c>
      <c r="B29" s="224" t="s">
        <v>1138</v>
      </c>
      <c r="C29" s="225"/>
      <c r="D29" s="37">
        <f>($D$9+$D$10)*'ARP Timing'!B$16</f>
        <v>5.8765000000000009</v>
      </c>
      <c r="E29" s="37">
        <f>($D$9+$D$10)*'ARP Timing'!C$16</f>
        <v>5.8765000000000009</v>
      </c>
      <c r="F29" s="37">
        <f>($D$9+$D$10)*'ARP Timing'!D$16</f>
        <v>4.11355</v>
      </c>
      <c r="G29" s="37">
        <f>($D$9+$D$10)*'ARP Timing'!E$16</f>
        <v>4.11355</v>
      </c>
      <c r="H29" s="37">
        <f>($D$9+$D$10)*'ARP Timing'!F$16</f>
        <v>4.11355</v>
      </c>
      <c r="I29" s="37">
        <f>($D$9+$D$10)*'ARP Timing'!G$16</f>
        <v>4.11355</v>
      </c>
      <c r="J29" s="37">
        <f>($D$9+$D$10)*'ARP Timing'!H$16</f>
        <v>4.11355</v>
      </c>
      <c r="K29" s="37">
        <f>($D$9+$D$10)*'ARP Timing'!I$16</f>
        <v>4.11355</v>
      </c>
      <c r="L29" s="37">
        <f>($D$9+$D$10)*'ARP Timing'!J$16</f>
        <v>4.11355</v>
      </c>
      <c r="M29" s="37">
        <f>($D$9+$D$10)*'ARP Timing'!K$16</f>
        <v>4.11355</v>
      </c>
      <c r="N29" s="37">
        <f>($D$9+$D$10)*'ARP Timing'!L$16</f>
        <v>4.11355</v>
      </c>
      <c r="O29" s="37">
        <f>($D$9+$D$10)*'ARP Timing'!M$16</f>
        <v>4.11355</v>
      </c>
      <c r="P29" s="37">
        <f>($D$9+$D$10)*'ARP Timing'!N$16</f>
        <v>3.987625</v>
      </c>
      <c r="Q29" s="37">
        <f>($D$9+$D$10)*'ARP Timing'!O$16</f>
        <v>3.987625</v>
      </c>
      <c r="R29" s="37">
        <f>($D$9+$D$10)*'ARP Timing'!P$16</f>
        <v>3.987625</v>
      </c>
      <c r="S29" s="37">
        <f>($D$9+$D$10)*'ARP Timing'!Q$16</f>
        <v>3.987625</v>
      </c>
      <c r="T29" s="37">
        <f>($D$9+$D$10)*'ARP Timing'!R$16</f>
        <v>3.987625</v>
      </c>
      <c r="U29" s="37">
        <f>($D$9+$D$10)*'ARP Timing'!S$16</f>
        <v>3.987625</v>
      </c>
      <c r="V29" s="37">
        <f>($D$9+$D$10)*'ARP Timing'!T$16</f>
        <v>3.987625</v>
      </c>
    </row>
    <row r="30" spans="1:23" x14ac:dyDescent="0.35">
      <c r="B30" s="224" t="s">
        <v>404</v>
      </c>
      <c r="C30" s="225"/>
      <c r="E30" s="37">
        <f>($E$9+$E$10)*'ARP Timing'!B$16</f>
        <v>5.8765000000000009</v>
      </c>
      <c r="F30" s="37">
        <f>($E$9+$E$10)*'ARP Timing'!C$16</f>
        <v>5.8765000000000009</v>
      </c>
      <c r="G30" s="37">
        <f>($E$9+$E$10)*'ARP Timing'!D$16</f>
        <v>4.11355</v>
      </c>
      <c r="H30" s="37">
        <f>($E$9+$E$10)*'ARP Timing'!E$16</f>
        <v>4.11355</v>
      </c>
      <c r="I30" s="37">
        <f>($E$9+$E$10)*'ARP Timing'!F$16</f>
        <v>4.11355</v>
      </c>
      <c r="J30" s="37">
        <f>($E$9+$E$10)*'ARP Timing'!G$16</f>
        <v>4.11355</v>
      </c>
      <c r="K30" s="37">
        <f>($E$9+$E$10)*'ARP Timing'!H$16</f>
        <v>4.11355</v>
      </c>
      <c r="L30" s="37">
        <f>($E$9+$E$10)*'ARP Timing'!I$16</f>
        <v>4.11355</v>
      </c>
      <c r="M30" s="37">
        <f>($E$9+$E$10)*'ARP Timing'!J$16</f>
        <v>4.11355</v>
      </c>
      <c r="N30" s="37">
        <f>($E$9+$E$10)*'ARP Timing'!K$16</f>
        <v>4.11355</v>
      </c>
      <c r="O30" s="37">
        <f>($E$9+$E$10)*'ARP Timing'!L$16</f>
        <v>4.11355</v>
      </c>
      <c r="P30" s="37">
        <f>($E$9+$E$10)*'ARP Timing'!M$16</f>
        <v>4.11355</v>
      </c>
      <c r="Q30" s="37">
        <f>($E$9+$E$10)*'ARP Timing'!N$16</f>
        <v>3.987625</v>
      </c>
      <c r="R30" s="37">
        <f>($E$9+$E$10)*'ARP Timing'!O$16</f>
        <v>3.987625</v>
      </c>
      <c r="S30" s="37">
        <f>($E$9+$E$10)*'ARP Timing'!P$16</f>
        <v>3.987625</v>
      </c>
      <c r="T30" s="37">
        <f>($E$9+$E$10)*'ARP Timing'!Q$16</f>
        <v>3.987625</v>
      </c>
      <c r="U30" s="37">
        <f>($E$9+$E$10)*'ARP Timing'!R$16</f>
        <v>3.987625</v>
      </c>
      <c r="V30" s="37">
        <f>($E$9+$E$10)*'ARP Timing'!S$16</f>
        <v>3.987625</v>
      </c>
    </row>
    <row r="31" spans="1:23" x14ac:dyDescent="0.35">
      <c r="B31" s="224" t="s">
        <v>1139</v>
      </c>
      <c r="C31" s="225"/>
      <c r="F31" s="37">
        <f>($F$9+$F$10)*'ARP Timing'!B$16</f>
        <v>5.7722700000000016</v>
      </c>
      <c r="G31" s="37">
        <f>($F$9+$F$10)*'ARP Timing'!C$16</f>
        <v>5.7722700000000016</v>
      </c>
      <c r="H31" s="37">
        <f>($F$9+$F$10)*'ARP Timing'!D$16</f>
        <v>4.0405890000000007</v>
      </c>
      <c r="I31" s="37">
        <f>($F$9+$F$10)*'ARP Timing'!E$16</f>
        <v>4.0405890000000007</v>
      </c>
      <c r="J31" s="37">
        <f>($F$9+$F$10)*'ARP Timing'!F$16</f>
        <v>4.0405890000000007</v>
      </c>
      <c r="K31" s="37">
        <f>($F$9+$F$10)*'ARP Timing'!G$16</f>
        <v>4.0405890000000007</v>
      </c>
      <c r="L31" s="37">
        <f>($F$9+$F$10)*'ARP Timing'!H$16</f>
        <v>4.0405890000000007</v>
      </c>
      <c r="M31" s="37">
        <f>($F$9+$F$10)*'ARP Timing'!I$16</f>
        <v>4.0405890000000007</v>
      </c>
      <c r="N31" s="37">
        <f>($F$9+$F$10)*'ARP Timing'!J$16</f>
        <v>4.0405890000000007</v>
      </c>
      <c r="O31" s="37">
        <f>($F$9+$F$10)*'ARP Timing'!K$16</f>
        <v>4.0405890000000007</v>
      </c>
      <c r="P31" s="37">
        <f>($F$9+$F$10)*'ARP Timing'!L$16</f>
        <v>4.0405890000000007</v>
      </c>
      <c r="Q31" s="37">
        <f>($F$9+$F$10)*'ARP Timing'!M$16</f>
        <v>4.0405890000000007</v>
      </c>
      <c r="R31" s="37">
        <f>($F$9+$F$10)*'ARP Timing'!N$16</f>
        <v>3.9168975000000006</v>
      </c>
      <c r="S31" s="37">
        <f>($F$9+$F$10)*'ARP Timing'!O$16</f>
        <v>3.9168975000000006</v>
      </c>
      <c r="T31" s="37">
        <f>($F$9+$F$10)*'ARP Timing'!P$16</f>
        <v>3.9168975000000006</v>
      </c>
      <c r="U31" s="37">
        <f>($F$9+$F$10)*'ARP Timing'!Q$16</f>
        <v>3.9168975000000006</v>
      </c>
      <c r="V31" s="37">
        <f>($F$9+$F$10)*'ARP Timing'!R$16</f>
        <v>3.9168975000000006</v>
      </c>
    </row>
    <row r="32" spans="1:23" x14ac:dyDescent="0.35">
      <c r="A32" s="37">
        <v>2022</v>
      </c>
      <c r="B32" s="224" t="s">
        <v>262</v>
      </c>
      <c r="C32" s="225"/>
      <c r="G32" s="37">
        <f>($G$9+$G$10)*'ARP Timing'!B$16</f>
        <v>5.7722700000000016</v>
      </c>
      <c r="H32" s="37">
        <f>($G$9+$G$10)*'ARP Timing'!C$16</f>
        <v>5.7722700000000016</v>
      </c>
      <c r="I32" s="37">
        <f>($G$9+$G$10)*'ARP Timing'!D$16</f>
        <v>4.0405890000000007</v>
      </c>
      <c r="J32" s="37">
        <f>($G$9+$G$10)*'ARP Timing'!E$16</f>
        <v>4.0405890000000007</v>
      </c>
      <c r="K32" s="37">
        <f>($G$9+$G$10)*'ARP Timing'!F$16</f>
        <v>4.0405890000000007</v>
      </c>
      <c r="L32" s="37">
        <f>($G$9+$G$10)*'ARP Timing'!G$16</f>
        <v>4.0405890000000007</v>
      </c>
      <c r="M32" s="37">
        <f>($G$9+$G$10)*'ARP Timing'!H$16</f>
        <v>4.0405890000000007</v>
      </c>
      <c r="N32" s="37">
        <f>($G$9+$G$10)*'ARP Timing'!I$16</f>
        <v>4.0405890000000007</v>
      </c>
      <c r="O32" s="37">
        <f>($G$9+$G$10)*'ARP Timing'!J$16</f>
        <v>4.0405890000000007</v>
      </c>
      <c r="P32" s="37">
        <f>($G$9+$G$10)*'ARP Timing'!K$16</f>
        <v>4.0405890000000007</v>
      </c>
      <c r="Q32" s="37">
        <f>($G$9+$G$10)*'ARP Timing'!L$16</f>
        <v>4.0405890000000007</v>
      </c>
      <c r="R32" s="37">
        <f>($G$9+$G$10)*'ARP Timing'!M$16</f>
        <v>4.0405890000000007</v>
      </c>
      <c r="S32" s="37">
        <f>($G$9+$G$10)*'ARP Timing'!N$16</f>
        <v>3.9168975000000006</v>
      </c>
      <c r="T32" s="37">
        <f>($G$9+$G$10)*'ARP Timing'!O$16</f>
        <v>3.9168975000000006</v>
      </c>
      <c r="U32" s="37">
        <f>($G$9+$G$10)*'ARP Timing'!P$16</f>
        <v>3.9168975000000006</v>
      </c>
      <c r="V32" s="37">
        <f>($G$9+$G$10)*'ARP Timing'!Q$16</f>
        <v>3.9168975000000006</v>
      </c>
    </row>
    <row r="33" spans="1:23" x14ac:dyDescent="0.35">
      <c r="B33" s="224" t="s">
        <v>263</v>
      </c>
      <c r="C33" s="225"/>
      <c r="H33" s="37">
        <f>($H$9+$H$10)*'ARP Timing'!B$16</f>
        <v>5.7722700000000016</v>
      </c>
      <c r="I33" s="37">
        <f>($H$9+$H$10)*'ARP Timing'!C$16</f>
        <v>5.7722700000000016</v>
      </c>
      <c r="J33" s="37">
        <f>($H$9+$H$10)*'ARP Timing'!D$16</f>
        <v>4.0405890000000007</v>
      </c>
      <c r="K33" s="37">
        <f>($H$9+$H$10)*'ARP Timing'!E$16</f>
        <v>4.0405890000000007</v>
      </c>
      <c r="L33" s="37">
        <f>($H$9+$H$10)*'ARP Timing'!F$16</f>
        <v>4.0405890000000007</v>
      </c>
      <c r="M33" s="37">
        <f>($H$9+$H$10)*'ARP Timing'!G$16</f>
        <v>4.0405890000000007</v>
      </c>
      <c r="N33" s="37">
        <f>($H$9+$H$10)*'ARP Timing'!H$16</f>
        <v>4.0405890000000007</v>
      </c>
      <c r="O33" s="37">
        <f>($H$9+$H$10)*'ARP Timing'!I$16</f>
        <v>4.0405890000000007</v>
      </c>
      <c r="P33" s="37">
        <f>($H$9+$H$10)*'ARP Timing'!J$16</f>
        <v>4.0405890000000007</v>
      </c>
      <c r="Q33" s="37">
        <f>($H$9+$H$10)*'ARP Timing'!K$16</f>
        <v>4.0405890000000007</v>
      </c>
      <c r="R33" s="37">
        <f>($H$9+$H$10)*'ARP Timing'!L$16</f>
        <v>4.0405890000000007</v>
      </c>
      <c r="S33" s="37">
        <f>($H$9+$H$10)*'ARP Timing'!M$16</f>
        <v>4.0405890000000007</v>
      </c>
      <c r="T33" s="37">
        <f>($H$9+$H$10)*'ARP Timing'!N$16</f>
        <v>3.9168975000000006</v>
      </c>
      <c r="U33" s="37">
        <f>($H$9+$H$10)*'ARP Timing'!O$16</f>
        <v>3.9168975000000006</v>
      </c>
      <c r="V33" s="37">
        <f>($H$9+$H$10)*'ARP Timing'!P$16</f>
        <v>3.9168975000000006</v>
      </c>
    </row>
    <row r="34" spans="1:23" x14ac:dyDescent="0.35">
      <c r="B34" s="224" t="s">
        <v>404</v>
      </c>
      <c r="C34" s="225"/>
      <c r="H34" s="225"/>
      <c r="I34" s="37">
        <f>($I$9+$I10)*'ARP Timing'!B$16</f>
        <v>5.7722700000000016</v>
      </c>
      <c r="J34" s="37">
        <f>($I$9+$I10)*'ARP Timing'!C$16</f>
        <v>5.7722700000000016</v>
      </c>
      <c r="K34" s="37">
        <f>($I$9+$I10)*'ARP Timing'!D$16</f>
        <v>4.0405890000000007</v>
      </c>
      <c r="L34" s="37">
        <f>($I$9+$I10)*'ARP Timing'!E$16</f>
        <v>4.0405890000000007</v>
      </c>
      <c r="M34" s="37">
        <f>($I$9+$I10)*'ARP Timing'!F$16</f>
        <v>4.0405890000000007</v>
      </c>
      <c r="N34" s="37">
        <f>($I$9+$I10)*'ARP Timing'!G$16</f>
        <v>4.0405890000000007</v>
      </c>
      <c r="O34" s="37">
        <f>($I$9+$I10)*'ARP Timing'!H$16</f>
        <v>4.0405890000000007</v>
      </c>
      <c r="P34" s="37">
        <f>($I$9+$I10)*'ARP Timing'!I$16</f>
        <v>4.0405890000000007</v>
      </c>
      <c r="Q34" s="37">
        <f>($I$9+$I10)*'ARP Timing'!J$16</f>
        <v>4.0405890000000007</v>
      </c>
      <c r="R34" s="37">
        <f>($I$9+$I10)*'ARP Timing'!K$16</f>
        <v>4.0405890000000007</v>
      </c>
      <c r="S34" s="37">
        <f>($I$9+$I10)*'ARP Timing'!L$16</f>
        <v>4.0405890000000007</v>
      </c>
      <c r="T34" s="37">
        <f>($I$9+$I10)*'ARP Timing'!M$16</f>
        <v>4.0405890000000007</v>
      </c>
      <c r="U34" s="37">
        <f>($I$9+$I10)*'ARP Timing'!N$16</f>
        <v>3.9168975000000006</v>
      </c>
      <c r="V34" s="37">
        <f>($I$9+$I10)*'ARP Timing'!O$16</f>
        <v>3.9168975000000006</v>
      </c>
    </row>
    <row r="35" spans="1:23" x14ac:dyDescent="0.35">
      <c r="B35" s="224" t="s">
        <v>1139</v>
      </c>
      <c r="C35" s="225"/>
      <c r="H35" s="225"/>
      <c r="J35" s="37">
        <f>($J$9+$J$10)*'ARP Timing'!B$16</f>
        <v>4.3968400000000001</v>
      </c>
      <c r="K35" s="37">
        <f>($J$9+$J$10)*'ARP Timing'!C$16</f>
        <v>4.3968400000000001</v>
      </c>
      <c r="L35" s="37">
        <f>($J$9+$J$10)*'ARP Timing'!D$16</f>
        <v>3.077788</v>
      </c>
      <c r="M35" s="37">
        <f>($J$9+$J$10)*'ARP Timing'!E$16</f>
        <v>3.077788</v>
      </c>
      <c r="N35" s="37">
        <f>($J$9+$J$10)*'ARP Timing'!F$16</f>
        <v>3.077788</v>
      </c>
      <c r="O35" s="37">
        <f>($J$9+$J$10)*'ARP Timing'!G$16</f>
        <v>3.077788</v>
      </c>
      <c r="P35" s="37">
        <f>($J$9+$J$10)*'ARP Timing'!H$16</f>
        <v>3.077788</v>
      </c>
      <c r="Q35" s="37">
        <f>($J$9+$J$10)*'ARP Timing'!I$16</f>
        <v>3.077788</v>
      </c>
      <c r="R35" s="37">
        <f>($J$9+$J$10)*'ARP Timing'!J$16</f>
        <v>3.077788</v>
      </c>
      <c r="S35" s="37">
        <f>($J$9+$J$10)*'ARP Timing'!K$16</f>
        <v>3.077788</v>
      </c>
      <c r="T35" s="37">
        <f>($J$9+$J$10)*'ARP Timing'!L$16</f>
        <v>3.077788</v>
      </c>
      <c r="U35" s="37">
        <f>($J$9+$J$10)*'ARP Timing'!M$16</f>
        <v>3.077788</v>
      </c>
      <c r="V35" s="37">
        <f>($J$9+$J$10)*'ARP Timing'!N$16</f>
        <v>2.9835699999999998</v>
      </c>
    </row>
    <row r="36" spans="1:23" x14ac:dyDescent="0.35">
      <c r="A36" s="37">
        <v>2023</v>
      </c>
      <c r="B36" s="224" t="s">
        <v>262</v>
      </c>
      <c r="C36" s="225"/>
      <c r="H36" s="225"/>
      <c r="K36" s="37">
        <f>($K$9+$K$10)*'ARP Timing'!B$16</f>
        <v>4.3968400000000001</v>
      </c>
      <c r="L36" s="37">
        <f>($K$9+$K$10)*'ARP Timing'!C$16</f>
        <v>4.3968400000000001</v>
      </c>
      <c r="M36" s="37">
        <f>($K$9+$K$10)*'ARP Timing'!D$16</f>
        <v>3.077788</v>
      </c>
      <c r="N36" s="37">
        <f>($K$9+$K$10)*'ARP Timing'!E$16</f>
        <v>3.077788</v>
      </c>
      <c r="O36" s="37">
        <f>($K$9+$K$10)*'ARP Timing'!F$16</f>
        <v>3.077788</v>
      </c>
      <c r="P36" s="37">
        <f>($K$9+$K$10)*'ARP Timing'!G$16</f>
        <v>3.077788</v>
      </c>
      <c r="Q36" s="37">
        <f>($K$9+$K$10)*'ARP Timing'!H$16</f>
        <v>3.077788</v>
      </c>
      <c r="R36" s="37">
        <f>($K$9+$K$10)*'ARP Timing'!I$16</f>
        <v>3.077788</v>
      </c>
      <c r="S36" s="37">
        <f>($K$9+$K$10)*'ARP Timing'!J$16</f>
        <v>3.077788</v>
      </c>
      <c r="T36" s="37">
        <f>($K$9+$K$10)*'ARP Timing'!K$16</f>
        <v>3.077788</v>
      </c>
      <c r="U36" s="37">
        <f>($K$9+$K$10)*'ARP Timing'!L$16</f>
        <v>3.077788</v>
      </c>
      <c r="V36" s="37">
        <f>($K$9+$K$10)*'ARP Timing'!M$16</f>
        <v>3.077788</v>
      </c>
    </row>
    <row r="37" spans="1:23" x14ac:dyDescent="0.35">
      <c r="B37" s="224" t="s">
        <v>263</v>
      </c>
      <c r="C37" s="225"/>
      <c r="H37" s="225"/>
      <c r="L37" s="37">
        <f>($L$9+$L$10)*'ARP Timing'!B$16</f>
        <v>4.3968400000000001</v>
      </c>
      <c r="M37" s="37">
        <f>($L$9+$L$10)*'ARP Timing'!C$16</f>
        <v>4.3968400000000001</v>
      </c>
      <c r="N37" s="37">
        <f>($L$9+$L$10)*'ARP Timing'!D$16</f>
        <v>3.077788</v>
      </c>
      <c r="O37" s="37">
        <f>($L$9+$L$10)*'ARP Timing'!E$16</f>
        <v>3.077788</v>
      </c>
      <c r="P37" s="37">
        <f>($L$9+$L$10)*'ARP Timing'!F$16</f>
        <v>3.077788</v>
      </c>
      <c r="Q37" s="37">
        <f>($L$9+$L$10)*'ARP Timing'!G$16</f>
        <v>3.077788</v>
      </c>
      <c r="R37" s="37">
        <f>($L$9+$L$10)*'ARP Timing'!H$16</f>
        <v>3.077788</v>
      </c>
      <c r="S37" s="37">
        <f>($L$9+$L$10)*'ARP Timing'!I$16</f>
        <v>3.077788</v>
      </c>
      <c r="T37" s="37">
        <f>($L$9+$L$10)*'ARP Timing'!J$16</f>
        <v>3.077788</v>
      </c>
      <c r="U37" s="37">
        <f>($L$9+$L$10)*'ARP Timing'!K$16</f>
        <v>3.077788</v>
      </c>
      <c r="V37" s="37">
        <f>($L$9+$L$10)*'ARP Timing'!L$16</f>
        <v>3.077788</v>
      </c>
    </row>
    <row r="38" spans="1:23" x14ac:dyDescent="0.35">
      <c r="B38" s="224" t="s">
        <v>404</v>
      </c>
      <c r="C38" s="225"/>
      <c r="H38" s="225"/>
      <c r="M38" s="37">
        <f>($M$9+$M$10)*'ARP Timing'!B$16</f>
        <v>4.3968400000000001</v>
      </c>
      <c r="N38" s="37">
        <f>($M$9+$M$10)*'ARP Timing'!C$16</f>
        <v>4.3968400000000001</v>
      </c>
      <c r="O38" s="37">
        <f>($M$9+$M$10)*'ARP Timing'!D$16</f>
        <v>3.077788</v>
      </c>
      <c r="P38" s="37">
        <f>($M$9+$M$10)*'ARP Timing'!E$16</f>
        <v>3.077788</v>
      </c>
      <c r="Q38" s="37">
        <f>($M$9+$M$10)*'ARP Timing'!F$16</f>
        <v>3.077788</v>
      </c>
      <c r="R38" s="37">
        <f>($M$9+$M$10)*'ARP Timing'!G$16</f>
        <v>3.077788</v>
      </c>
      <c r="S38" s="37">
        <f>($M$9+$M$10)*'ARP Timing'!H$16</f>
        <v>3.077788</v>
      </c>
      <c r="T38" s="37">
        <f>($M$9+$M$10)*'ARP Timing'!I$16</f>
        <v>3.077788</v>
      </c>
      <c r="U38" s="37">
        <f>($M$9+$M$10)*'ARP Timing'!J$16</f>
        <v>3.077788</v>
      </c>
      <c r="V38" s="37">
        <f>($M$9+$M$10)*'ARP Timing'!K$16</f>
        <v>3.077788</v>
      </c>
    </row>
    <row r="39" spans="1:23" x14ac:dyDescent="0.35">
      <c r="B39" s="224" t="s">
        <v>1139</v>
      </c>
      <c r="C39" s="225"/>
      <c r="H39" s="225"/>
      <c r="N39" s="37">
        <f>($N$9+$N$10)*'ARP Timing'!B$16</f>
        <v>2.9087800000000006</v>
      </c>
      <c r="O39" s="37">
        <f>($N$9+$N$10)*'ARP Timing'!C$16</f>
        <v>2.9087800000000006</v>
      </c>
      <c r="P39" s="37">
        <f>($N$9+$N$10)*'ARP Timing'!D$16</f>
        <v>2.036146</v>
      </c>
      <c r="Q39" s="37">
        <f>($N$9+$N$10)*'ARP Timing'!E$16</f>
        <v>2.036146</v>
      </c>
      <c r="R39" s="37">
        <f>($N$9+$N$10)*'ARP Timing'!F$16</f>
        <v>2.036146</v>
      </c>
      <c r="S39" s="37">
        <f>($N$9+$N$10)*'ARP Timing'!G$16</f>
        <v>2.036146</v>
      </c>
      <c r="T39" s="37">
        <f>($N$9+$N$10)*'ARP Timing'!H$16</f>
        <v>2.036146</v>
      </c>
      <c r="U39" s="37">
        <f>($N$9+$N$10)*'ARP Timing'!I$16</f>
        <v>2.036146</v>
      </c>
      <c r="V39" s="37">
        <f>($N$9+$N$10)*'ARP Timing'!J$16</f>
        <v>2.036146</v>
      </c>
    </row>
    <row r="40" spans="1:23" x14ac:dyDescent="0.35">
      <c r="A40" s="37">
        <v>2024</v>
      </c>
      <c r="B40" s="224" t="s">
        <v>262</v>
      </c>
      <c r="C40" s="225"/>
      <c r="H40" s="225"/>
      <c r="O40" s="37">
        <f>($O$9+$O$10)*'ARP Timing'!B$16</f>
        <v>2.9087800000000006</v>
      </c>
      <c r="P40" s="37">
        <f>($O$9+$O$10)*'ARP Timing'!C$16</f>
        <v>2.9087800000000006</v>
      </c>
      <c r="Q40" s="37">
        <f>($O$9+$O$10)*'ARP Timing'!D$16</f>
        <v>2.036146</v>
      </c>
      <c r="R40" s="37">
        <f>($O$9+$O$10)*'ARP Timing'!E$16</f>
        <v>2.036146</v>
      </c>
      <c r="S40" s="37">
        <f>($O$9+$O$10)*'ARP Timing'!F$16</f>
        <v>2.036146</v>
      </c>
      <c r="T40" s="37">
        <f>($O$9+$O$10)*'ARP Timing'!G$16</f>
        <v>2.036146</v>
      </c>
      <c r="U40" s="37">
        <f>($O$9+$O$10)*'ARP Timing'!H$16</f>
        <v>2.036146</v>
      </c>
      <c r="V40" s="37">
        <f>($O$9+$O$10)*'ARP Timing'!I$16</f>
        <v>2.036146</v>
      </c>
    </row>
    <row r="41" spans="1:23" x14ac:dyDescent="0.35">
      <c r="B41" s="224" t="s">
        <v>263</v>
      </c>
      <c r="C41" s="225"/>
      <c r="H41" s="225"/>
      <c r="P41" s="37">
        <f>($P$9+$P$10)*'ARP Timing'!B$16</f>
        <v>2.9087800000000006</v>
      </c>
      <c r="Q41" s="37">
        <f>($P$9+$P$10)*'ARP Timing'!C$16</f>
        <v>2.9087800000000006</v>
      </c>
      <c r="R41" s="37">
        <f>($P$9+$P$10)*'ARP Timing'!D$16</f>
        <v>2.036146</v>
      </c>
      <c r="S41" s="37">
        <f>($P$9+$P$10)*'ARP Timing'!E$16</f>
        <v>2.036146</v>
      </c>
      <c r="T41" s="37">
        <f>($P$9+$P$10)*'ARP Timing'!F$16</f>
        <v>2.036146</v>
      </c>
      <c r="U41" s="37">
        <f>($P$9+$P$10)*'ARP Timing'!G$16</f>
        <v>2.036146</v>
      </c>
      <c r="V41" s="37">
        <f>($P$9+$P$10)*'ARP Timing'!H$16</f>
        <v>2.036146</v>
      </c>
    </row>
    <row r="42" spans="1:23" x14ac:dyDescent="0.35">
      <c r="B42" s="224" t="s">
        <v>404</v>
      </c>
      <c r="C42" s="225"/>
      <c r="H42" s="225"/>
      <c r="Q42" s="37">
        <f>($Q$9+$Q$10)*'ARP Timing'!B$16</f>
        <v>2.9087800000000006</v>
      </c>
      <c r="R42" s="37">
        <f>($Q$9+$Q$10)*'ARP Timing'!C$16</f>
        <v>2.9087800000000006</v>
      </c>
      <c r="S42" s="37">
        <f>($Q$9+$Q$10)*'ARP Timing'!D$16</f>
        <v>2.036146</v>
      </c>
      <c r="T42" s="37">
        <f>($Q$9+$Q$10)*'ARP Timing'!E$16</f>
        <v>2.036146</v>
      </c>
      <c r="U42" s="37">
        <f>($Q$9+$Q$10)*'ARP Timing'!F$16</f>
        <v>2.036146</v>
      </c>
      <c r="V42" s="37">
        <f>($Q$9+$Q$10)*'ARP Timing'!G$16</f>
        <v>2.036146</v>
      </c>
    </row>
    <row r="43" spans="1:23" x14ac:dyDescent="0.35">
      <c r="B43" s="224" t="s">
        <v>1139</v>
      </c>
      <c r="C43" s="225"/>
      <c r="H43" s="225"/>
      <c r="R43" s="37">
        <f>($R$9+$R$10)*'ARP Timing'!B$16</f>
        <v>1.9374600000000002</v>
      </c>
      <c r="S43" s="37">
        <f>($R$9+$R$10)*'ARP Timing'!C$16</f>
        <v>1.9374600000000002</v>
      </c>
      <c r="T43" s="37">
        <f>($R$9+$R$10)*'ARP Timing'!D$16</f>
        <v>1.356222</v>
      </c>
      <c r="U43" s="37">
        <f>($R$9+$R$10)*'ARP Timing'!E$16</f>
        <v>1.356222</v>
      </c>
      <c r="V43" s="37">
        <f>($R$9+$R$10)*'ARP Timing'!F$16</f>
        <v>1.356222</v>
      </c>
    </row>
    <row r="44" spans="1:23" x14ac:dyDescent="0.35">
      <c r="S44" s="37">
        <f>($S$9+$S$10)*'ARP Timing'!B$16</f>
        <v>1.9374600000000002</v>
      </c>
      <c r="T44" s="37">
        <f>($S$9+$S$10)*'ARP Timing'!C$16</f>
        <v>1.9374600000000002</v>
      </c>
      <c r="U44" s="37">
        <f>($S$9+$S$10)*'ARP Timing'!D$16</f>
        <v>1.356222</v>
      </c>
      <c r="V44" s="37">
        <f>($S$9+$S$10)*'ARP Timing'!E$16</f>
        <v>1.356222</v>
      </c>
    </row>
    <row r="46" spans="1:23" x14ac:dyDescent="0.35">
      <c r="B46" s="37" t="s">
        <v>1140</v>
      </c>
      <c r="D46" s="203" t="s">
        <v>321</v>
      </c>
      <c r="E46" s="203" t="s">
        <v>194</v>
      </c>
      <c r="F46" s="203" t="s">
        <v>195</v>
      </c>
      <c r="G46" s="203" t="s">
        <v>196</v>
      </c>
      <c r="H46" s="203" t="s">
        <v>197</v>
      </c>
      <c r="I46" s="203" t="s">
        <v>198</v>
      </c>
      <c r="J46" s="203" t="s">
        <v>199</v>
      </c>
      <c r="K46" s="203" t="s">
        <v>200</v>
      </c>
      <c r="L46" s="203" t="s">
        <v>201</v>
      </c>
      <c r="M46" s="203" t="s">
        <v>202</v>
      </c>
      <c r="N46" s="203" t="s">
        <v>203</v>
      </c>
      <c r="O46" s="203" t="s">
        <v>204</v>
      </c>
      <c r="P46" s="203" t="s">
        <v>205</v>
      </c>
      <c r="Q46" s="203" t="s">
        <v>189</v>
      </c>
      <c r="R46" s="203" t="s">
        <v>190</v>
      </c>
      <c r="S46" s="203" t="s">
        <v>191</v>
      </c>
      <c r="T46" s="203" t="s">
        <v>1128</v>
      </c>
      <c r="U46" s="203" t="s">
        <v>1129</v>
      </c>
      <c r="V46" s="203" t="s">
        <v>1130</v>
      </c>
    </row>
    <row r="47" spans="1:23" x14ac:dyDescent="0.35">
      <c r="B47" s="224"/>
      <c r="C47" s="225" t="s">
        <v>385</v>
      </c>
      <c r="D47" s="229">
        <f t="shared" ref="D47:U47" si="42">SUM(D48:D66)</f>
        <v>0</v>
      </c>
      <c r="E47" s="229">
        <f t="shared" si="42"/>
        <v>0</v>
      </c>
      <c r="F47" s="229">
        <f t="shared" si="42"/>
        <v>34.620851999999999</v>
      </c>
      <c r="G47" s="229">
        <f t="shared" si="42"/>
        <v>45.996274799999995</v>
      </c>
      <c r="H47" s="229">
        <f t="shared" si="42"/>
        <v>59.350031999999992</v>
      </c>
      <c r="I47" s="229">
        <f t="shared" si="42"/>
        <v>64.295867999999999</v>
      </c>
      <c r="J47" s="229">
        <f t="shared" si="42"/>
        <v>72.538927999999999</v>
      </c>
      <c r="K47" s="229">
        <f t="shared" si="42"/>
        <v>80.122543199999996</v>
      </c>
      <c r="L47" s="229">
        <f t="shared" si="42"/>
        <v>98.916719999999998</v>
      </c>
      <c r="M47" s="229">
        <f t="shared" si="42"/>
        <v>102.213944</v>
      </c>
      <c r="N47" s="229">
        <f t="shared" si="42"/>
        <v>102.213944</v>
      </c>
      <c r="O47" s="229">
        <f t="shared" si="42"/>
        <v>102.213944</v>
      </c>
      <c r="P47" s="229">
        <f t="shared" si="42"/>
        <v>98.916719999999998</v>
      </c>
      <c r="Q47" s="229">
        <f t="shared" si="42"/>
        <v>98.916719999999998</v>
      </c>
      <c r="R47" s="229">
        <f t="shared" si="42"/>
        <v>99.081581199999988</v>
      </c>
      <c r="S47" s="229">
        <f t="shared" si="42"/>
        <v>93.146578000000005</v>
      </c>
      <c r="T47" s="229">
        <f t="shared" si="42"/>
        <v>86.552129999999991</v>
      </c>
      <c r="U47" s="229">
        <f t="shared" si="42"/>
        <v>86.552129999999991</v>
      </c>
      <c r="V47" s="229">
        <f>SUM(V48:V66)</f>
        <v>82.265738799999994</v>
      </c>
      <c r="W47" s="37">
        <f>SUM(G47:V47)/4</f>
        <v>343.32344900000004</v>
      </c>
    </row>
    <row r="48" spans="1:23" x14ac:dyDescent="0.35">
      <c r="A48" s="37">
        <v>2021</v>
      </c>
      <c r="B48" s="224" t="s">
        <v>1138</v>
      </c>
      <c r="C48" s="225"/>
      <c r="D48" s="37">
        <f>($D$8)*'ARP Timing'!B17</f>
        <v>0</v>
      </c>
      <c r="E48" s="37">
        <f>($D$8)*'ARP Timing'!C17</f>
        <v>0</v>
      </c>
      <c r="F48" s="37">
        <f>($D$8)*'ARP Timing'!D17</f>
        <v>34.620851999999999</v>
      </c>
      <c r="G48" s="37">
        <f>($D$8)*'ARP Timing'!E17</f>
        <v>45.996274799999995</v>
      </c>
      <c r="H48" s="37">
        <f>($D$8)*'ARP Timing'!F17</f>
        <v>59.350031999999992</v>
      </c>
      <c r="I48" s="37">
        <f>($D$8)*'ARP Timing'!G17</f>
        <v>64.295867999999999</v>
      </c>
      <c r="J48" s="37">
        <f>($D$8)*'ARP Timing'!H17</f>
        <v>49.458359999999999</v>
      </c>
      <c r="K48" s="37">
        <f>($D$8)*'ARP Timing'!I17</f>
        <v>49.458359999999999</v>
      </c>
      <c r="L48" s="37">
        <f>($D$8)*'ARP Timing'!J17</f>
        <v>59.350031999999992</v>
      </c>
      <c r="M48" s="37">
        <f>($D$8)*'ARP Timing'!K17</f>
        <v>59.350031999999992</v>
      </c>
      <c r="N48" s="37">
        <f>($D$8)*'ARP Timing'!L17</f>
        <v>69.241703999999999</v>
      </c>
      <c r="O48" s="37">
        <f>($D$8)*'ARP Timing'!M17</f>
        <v>69.241703999999999</v>
      </c>
      <c r="P48" s="37">
        <f>($D$8)*'ARP Timing'!N17</f>
        <v>59.350031999999992</v>
      </c>
      <c r="Q48" s="37">
        <f>($D$8)*'ARP Timing'!O17</f>
        <v>59.350031999999992</v>
      </c>
      <c r="R48" s="37">
        <f>($D$8)*'ARP Timing'!P17</f>
        <v>52.920445199999989</v>
      </c>
      <c r="S48" s="37">
        <f>($D$8)*'ARP Timing'!Q17</f>
        <v>46.985441999999992</v>
      </c>
      <c r="T48" s="37">
        <f>($D$8)*'ARP Timing'!R17</f>
        <v>46.985441999999992</v>
      </c>
      <c r="U48" s="37">
        <f>($D$8)*'ARP Timing'!S17</f>
        <v>46.985441999999992</v>
      </c>
      <c r="V48" s="37">
        <f>($D$8)*'ARP Timing'!T17</f>
        <v>46.985441999999992</v>
      </c>
    </row>
    <row r="49" spans="1:22" x14ac:dyDescent="0.35">
      <c r="B49" s="224" t="s">
        <v>404</v>
      </c>
      <c r="C49" s="225"/>
      <c r="E49" s="37">
        <f>($E$8)*'ARP Timing'!B$17</f>
        <v>0</v>
      </c>
      <c r="F49" s="37">
        <f>($E$8)*'ARP Timing'!C$16</f>
        <v>0</v>
      </c>
      <c r="G49" s="37">
        <f>($E$8)*'ARP Timing'!D$16</f>
        <v>0</v>
      </c>
      <c r="H49" s="37">
        <f>($E$8)*'ARP Timing'!E$16</f>
        <v>0</v>
      </c>
      <c r="I49" s="37">
        <f>($E$8)*'ARP Timing'!F$16</f>
        <v>0</v>
      </c>
      <c r="J49" s="37">
        <f>($E$8)*'ARP Timing'!G$16</f>
        <v>0</v>
      </c>
      <c r="K49" s="37">
        <f>($E$8)*'ARP Timing'!H$16</f>
        <v>0</v>
      </c>
      <c r="L49" s="37">
        <f>($E$8)*'ARP Timing'!I$16</f>
        <v>0</v>
      </c>
      <c r="M49" s="37">
        <f>($E$8)*'ARP Timing'!J$16</f>
        <v>0</v>
      </c>
      <c r="N49" s="37">
        <f>($E$8)*'ARP Timing'!K$16</f>
        <v>0</v>
      </c>
      <c r="O49" s="37">
        <f>($E$8)*'ARP Timing'!L$16</f>
        <v>0</v>
      </c>
      <c r="P49" s="37">
        <f>($E$8)*'ARP Timing'!M$16</f>
        <v>0</v>
      </c>
      <c r="Q49" s="37">
        <f>($E$8)*'ARP Timing'!N$16</f>
        <v>0</v>
      </c>
      <c r="R49" s="37">
        <f>($E$8)*'ARP Timing'!O$16</f>
        <v>0</v>
      </c>
      <c r="S49" s="37">
        <f>($E$8)*'ARP Timing'!P$16</f>
        <v>0</v>
      </c>
      <c r="T49" s="37">
        <f>($E$8)*'ARP Timing'!Q$16</f>
        <v>0</v>
      </c>
      <c r="U49" s="37">
        <f>($E$8)*'ARP Timing'!R$16</f>
        <v>0</v>
      </c>
      <c r="V49" s="37">
        <f>($E$8)*'ARP Timing'!S$16</f>
        <v>0</v>
      </c>
    </row>
    <row r="50" spans="1:22" x14ac:dyDescent="0.35">
      <c r="B50" s="224" t="s">
        <v>1139</v>
      </c>
      <c r="C50" s="225"/>
      <c r="F50" s="37">
        <f>($F$8)*'ARP Timing'!C$17</f>
        <v>0</v>
      </c>
      <c r="G50" s="37">
        <f>($F$8)*'ARP Timing'!D$17</f>
        <v>0</v>
      </c>
      <c r="H50" s="37">
        <f>($F$8)*'ARP Timing'!E$17</f>
        <v>0</v>
      </c>
      <c r="I50" s="37">
        <f>($F$8)*'ARP Timing'!F$17</f>
        <v>0</v>
      </c>
      <c r="J50" s="37">
        <f>($F$8)*'ARP Timing'!G$17</f>
        <v>0</v>
      </c>
      <c r="K50" s="37">
        <f>($F$8)*'ARP Timing'!H$17</f>
        <v>0</v>
      </c>
      <c r="L50" s="37">
        <f>($F$8)*'ARP Timing'!I$17</f>
        <v>0</v>
      </c>
      <c r="M50" s="37">
        <f>($F$8)*'ARP Timing'!J$17</f>
        <v>0</v>
      </c>
      <c r="N50" s="37">
        <f>($F$8)*'ARP Timing'!K$17</f>
        <v>0</v>
      </c>
      <c r="O50" s="37">
        <f>($F$8)*'ARP Timing'!L$17</f>
        <v>0</v>
      </c>
      <c r="P50" s="37">
        <f>($F$8)*'ARP Timing'!M$17</f>
        <v>0</v>
      </c>
      <c r="Q50" s="37">
        <f>($F$8)*'ARP Timing'!N$17</f>
        <v>0</v>
      </c>
      <c r="R50" s="37">
        <f>($F$8)*'ARP Timing'!O$17</f>
        <v>0</v>
      </c>
      <c r="S50" s="37">
        <f>($F$8)*'ARP Timing'!P$17</f>
        <v>0</v>
      </c>
      <c r="T50" s="37">
        <f>($F$8)*'ARP Timing'!Q$17</f>
        <v>0</v>
      </c>
      <c r="U50" s="37">
        <f>($F$8)*'ARP Timing'!R$17</f>
        <v>0</v>
      </c>
      <c r="V50" s="37">
        <f>($F$8)*'ARP Timing'!S$17</f>
        <v>0</v>
      </c>
    </row>
    <row r="51" spans="1:22" x14ac:dyDescent="0.35">
      <c r="A51" s="37">
        <v>2022</v>
      </c>
      <c r="B51" s="224" t="s">
        <v>262</v>
      </c>
      <c r="C51" s="225"/>
      <c r="G51" s="37">
        <f>($G$8)*'ARP Timing'!D$17</f>
        <v>0</v>
      </c>
      <c r="H51" s="37">
        <f>($G$8)*'ARP Timing'!E$17</f>
        <v>0</v>
      </c>
      <c r="I51" s="37">
        <f>($G$8)*'ARP Timing'!F$17</f>
        <v>0</v>
      </c>
      <c r="J51" s="37">
        <f>($G$8)*'ARP Timing'!G$17</f>
        <v>0</v>
      </c>
      <c r="K51" s="37">
        <f>($G$8)*'ARP Timing'!H$17</f>
        <v>0</v>
      </c>
      <c r="L51" s="37">
        <f>($G$8)*'ARP Timing'!I$17</f>
        <v>0</v>
      </c>
      <c r="M51" s="37">
        <f>($G$8)*'ARP Timing'!J$17</f>
        <v>0</v>
      </c>
      <c r="N51" s="37">
        <f>($G$8)*'ARP Timing'!K$17</f>
        <v>0</v>
      </c>
      <c r="O51" s="37">
        <f>($G$8)*'ARP Timing'!L$17</f>
        <v>0</v>
      </c>
      <c r="P51" s="37">
        <f>($G$8)*'ARP Timing'!M$17</f>
        <v>0</v>
      </c>
      <c r="Q51" s="37">
        <f>($G$8)*'ARP Timing'!N$17</f>
        <v>0</v>
      </c>
      <c r="R51" s="37">
        <f>($G$8)*'ARP Timing'!O$17</f>
        <v>0</v>
      </c>
      <c r="S51" s="37">
        <f>($G$8)*'ARP Timing'!P$17</f>
        <v>0</v>
      </c>
      <c r="T51" s="37">
        <f>($G$8)*'ARP Timing'!Q$17</f>
        <v>0</v>
      </c>
      <c r="U51" s="37">
        <f>($G$8)*'ARP Timing'!R$17</f>
        <v>0</v>
      </c>
      <c r="V51" s="37">
        <f>($G$8)*'ARP Timing'!S$17</f>
        <v>0</v>
      </c>
    </row>
    <row r="52" spans="1:22" x14ac:dyDescent="0.35">
      <c r="B52" s="224" t="s">
        <v>263</v>
      </c>
      <c r="C52" s="225"/>
      <c r="H52" s="37">
        <f>($H$8)*'ARP Timing'!B$17</f>
        <v>0</v>
      </c>
      <c r="I52" s="37">
        <f>($H$8)*'ARP Timing'!C$17</f>
        <v>0</v>
      </c>
      <c r="J52" s="37">
        <f>($H$8)*'ARP Timing'!D$17</f>
        <v>23.080568000000003</v>
      </c>
      <c r="K52" s="37">
        <f>($H$8)*'ARP Timing'!E$17</f>
        <v>30.6641832</v>
      </c>
      <c r="L52" s="37">
        <f>($H$8)*'ARP Timing'!F$17</f>
        <v>39.566687999999999</v>
      </c>
      <c r="M52" s="37">
        <f>($H$8)*'ARP Timing'!G$17</f>
        <v>42.863911999999999</v>
      </c>
      <c r="N52" s="37">
        <f>($H$8)*'ARP Timing'!H$17</f>
        <v>32.972239999999999</v>
      </c>
      <c r="O52" s="37">
        <f>($H$8)*'ARP Timing'!I$17</f>
        <v>32.972239999999999</v>
      </c>
      <c r="P52" s="37">
        <f>($H$8)*'ARP Timing'!J$17</f>
        <v>39.566687999999999</v>
      </c>
      <c r="Q52" s="37">
        <f>($H$8)*'ARP Timing'!K$17</f>
        <v>39.566687999999999</v>
      </c>
      <c r="R52" s="37">
        <f>($H$8)*'ARP Timing'!L$17</f>
        <v>46.161136000000006</v>
      </c>
      <c r="S52" s="37">
        <f>($H$8)*'ARP Timing'!M$17</f>
        <v>46.161136000000006</v>
      </c>
      <c r="T52" s="37">
        <f>($H$8)*'ARP Timing'!N$17</f>
        <v>39.566687999999999</v>
      </c>
      <c r="U52" s="37">
        <f>($H$8)*'ARP Timing'!O$17</f>
        <v>39.566687999999999</v>
      </c>
      <c r="V52" s="37">
        <f>($H$8)*'ARP Timing'!P$17</f>
        <v>35.280296800000002</v>
      </c>
    </row>
    <row r="53" spans="1:22" x14ac:dyDescent="0.35">
      <c r="B53" s="224" t="s">
        <v>404</v>
      </c>
      <c r="C53" s="225"/>
      <c r="H53" s="225"/>
      <c r="I53" s="37">
        <f>($I$8)*'ARP Timing'!B$17</f>
        <v>0</v>
      </c>
      <c r="J53" s="37">
        <f>($I$8)*'ARP Timing'!C$17</f>
        <v>0</v>
      </c>
      <c r="K53" s="37">
        <f>($I$8)*'ARP Timing'!D$17</f>
        <v>0</v>
      </c>
      <c r="L53" s="37">
        <f>($I$8)*'ARP Timing'!E$17</f>
        <v>0</v>
      </c>
      <c r="M53" s="37">
        <f>($I$8)*'ARP Timing'!F$17</f>
        <v>0</v>
      </c>
      <c r="N53" s="37">
        <f>($I$8)*'ARP Timing'!G$17</f>
        <v>0</v>
      </c>
      <c r="O53" s="37">
        <f>($I$8)*'ARP Timing'!H$17</f>
        <v>0</v>
      </c>
      <c r="P53" s="37">
        <f>($I$8)*'ARP Timing'!I$17</f>
        <v>0</v>
      </c>
      <c r="Q53" s="37">
        <f>($I$8)*'ARP Timing'!J$17</f>
        <v>0</v>
      </c>
      <c r="R53" s="37">
        <f>($I$8)*'ARP Timing'!K$17</f>
        <v>0</v>
      </c>
      <c r="S53" s="37">
        <f>($I$8)*'ARP Timing'!L$17</f>
        <v>0</v>
      </c>
      <c r="T53" s="37">
        <f>($I$8)*'ARP Timing'!M$17</f>
        <v>0</v>
      </c>
      <c r="U53" s="37">
        <f>($I$8)*'ARP Timing'!N$17</f>
        <v>0</v>
      </c>
      <c r="V53" s="37">
        <f>($I$8)*'ARP Timing'!O$17</f>
        <v>0</v>
      </c>
    </row>
    <row r="54" spans="1:22" x14ac:dyDescent="0.35">
      <c r="B54" s="224" t="s">
        <v>1139</v>
      </c>
      <c r="C54" s="225"/>
      <c r="H54" s="225"/>
    </row>
    <row r="55" spans="1:22" x14ac:dyDescent="0.35">
      <c r="A55" s="37">
        <v>2023</v>
      </c>
      <c r="B55" s="224" t="s">
        <v>262</v>
      </c>
      <c r="C55" s="225"/>
      <c r="H55" s="225"/>
    </row>
    <row r="56" spans="1:22" x14ac:dyDescent="0.35">
      <c r="B56" s="224" t="s">
        <v>263</v>
      </c>
      <c r="C56" s="225"/>
      <c r="H56" s="225"/>
    </row>
    <row r="57" spans="1:22" x14ac:dyDescent="0.35">
      <c r="B57" s="224" t="s">
        <v>404</v>
      </c>
      <c r="C57" s="225"/>
      <c r="H57" s="225"/>
    </row>
    <row r="58" spans="1:22" x14ac:dyDescent="0.35">
      <c r="B58" s="224" t="s">
        <v>1139</v>
      </c>
      <c r="C58" s="225"/>
      <c r="H58" s="225"/>
    </row>
    <row r="59" spans="1:22" x14ac:dyDescent="0.35">
      <c r="A59" s="37">
        <v>2024</v>
      </c>
      <c r="B59" s="224" t="s">
        <v>262</v>
      </c>
      <c r="C59" s="225"/>
      <c r="H59" s="225"/>
    </row>
    <row r="60" spans="1:22" x14ac:dyDescent="0.35">
      <c r="B60" s="224" t="s">
        <v>263</v>
      </c>
      <c r="C60" s="225"/>
      <c r="H60" s="225"/>
    </row>
    <row r="61" spans="1:22" x14ac:dyDescent="0.35">
      <c r="B61" s="224" t="s">
        <v>404</v>
      </c>
      <c r="C61" s="225"/>
      <c r="H61" s="225"/>
    </row>
    <row r="62" spans="1:22" x14ac:dyDescent="0.35">
      <c r="B62" s="224" t="s">
        <v>1139</v>
      </c>
      <c r="C62" s="225"/>
      <c r="H62" s="225"/>
    </row>
    <row r="63" spans="1:22" x14ac:dyDescent="0.35">
      <c r="B63" s="224"/>
      <c r="C63" s="225"/>
      <c r="H63" s="225"/>
    </row>
    <row r="64" spans="1:22" x14ac:dyDescent="0.35">
      <c r="B64" s="224"/>
      <c r="C64" s="225"/>
      <c r="H64" s="225"/>
    </row>
    <row r="65" spans="2:24" x14ac:dyDescent="0.35">
      <c r="B65" s="224"/>
      <c r="C65" s="225"/>
      <c r="H65" s="225"/>
    </row>
    <row r="66" spans="2:24" x14ac:dyDescent="0.35">
      <c r="B66" s="224"/>
      <c r="C66" s="225"/>
      <c r="H66" s="225"/>
    </row>
    <row r="67" spans="2:24" x14ac:dyDescent="0.35">
      <c r="B67" s="224"/>
      <c r="C67" s="225"/>
      <c r="H67" s="225"/>
    </row>
    <row r="68" spans="2:24" x14ac:dyDescent="0.35">
      <c r="B68" s="224"/>
      <c r="C68" s="225"/>
      <c r="H68" s="225"/>
    </row>
    <row r="69" spans="2:24" x14ac:dyDescent="0.35">
      <c r="B69" s="224"/>
      <c r="C69" s="225"/>
      <c r="H69" s="225"/>
    </row>
    <row r="70" spans="2:24" x14ac:dyDescent="0.35">
      <c r="B70" s="224"/>
      <c r="C70" s="225"/>
      <c r="H70" s="225"/>
    </row>
    <row r="71" spans="2:24" x14ac:dyDescent="0.35">
      <c r="B71" s="224"/>
      <c r="C71" s="225"/>
      <c r="H71" s="225"/>
    </row>
    <row r="72" spans="2:24" x14ac:dyDescent="0.35">
      <c r="B72" s="224"/>
      <c r="C72" s="225"/>
      <c r="H72" s="225"/>
    </row>
    <row r="73" spans="2:24" x14ac:dyDescent="0.35">
      <c r="B73" s="224" t="s">
        <v>1141</v>
      </c>
      <c r="C73" s="222">
        <v>2021</v>
      </c>
      <c r="D73" s="222">
        <v>2022</v>
      </c>
      <c r="E73" s="222">
        <v>2023</v>
      </c>
      <c r="F73" s="222">
        <v>2024</v>
      </c>
      <c r="G73" s="222">
        <v>2025</v>
      </c>
      <c r="H73" s="225"/>
    </row>
    <row r="74" spans="2:24" x14ac:dyDescent="0.35">
      <c r="B74" s="224" t="s">
        <v>1038</v>
      </c>
      <c r="C74" s="230">
        <f t="shared" ref="C74:C85" si="43">SUM(C4:E4)/4</f>
        <v>0.77600000000001046</v>
      </c>
      <c r="D74" s="230">
        <f t="shared" ref="D74:D85" si="44">SUM(F4:I4)/4</f>
        <v>19.719000000000005</v>
      </c>
      <c r="E74" s="230">
        <f t="shared" ref="E74:E85" si="45">SUM(J4:M4)/4</f>
        <v>1.4159999999999999</v>
      </c>
      <c r="F74" s="230">
        <f t="shared" ref="F74:F85" si="46">SUM(N4:Q4)/4</f>
        <v>1.4790000000000001</v>
      </c>
      <c r="G74" s="230">
        <f t="shared" ref="G74:G85" si="47">SUM(R4:U4)/4</f>
        <v>1.63</v>
      </c>
    </row>
    <row r="75" spans="2:24" x14ac:dyDescent="0.35">
      <c r="B75" s="224" t="s">
        <v>1039</v>
      </c>
      <c r="C75" s="230">
        <f t="shared" si="43"/>
        <v>19.722000000000016</v>
      </c>
      <c r="D75" s="230">
        <f t="shared" si="44"/>
        <v>52.756999999999998</v>
      </c>
      <c r="E75" s="230">
        <f t="shared" si="45"/>
        <v>12</v>
      </c>
      <c r="F75" s="230">
        <f t="shared" si="46"/>
        <v>4.2219999999999995</v>
      </c>
      <c r="G75" s="230">
        <f t="shared" si="47"/>
        <v>2.3719999999999999</v>
      </c>
      <c r="H75" s="225"/>
    </row>
    <row r="76" spans="2:24" x14ac:dyDescent="0.35">
      <c r="B76" s="224" t="s">
        <v>52</v>
      </c>
      <c r="C76" s="230">
        <f t="shared" si="43"/>
        <v>81.643000000000001</v>
      </c>
      <c r="D76" s="230">
        <f t="shared" si="44"/>
        <v>110.24799999999999</v>
      </c>
      <c r="E76" s="230">
        <f t="shared" si="45"/>
        <v>12.726000000000001</v>
      </c>
      <c r="F76" s="230">
        <f t="shared" si="46"/>
        <v>1.365</v>
      </c>
      <c r="G76" s="230">
        <f t="shared" si="47"/>
        <v>-0.90100000000000025</v>
      </c>
      <c r="H76" s="225"/>
      <c r="O76" s="224"/>
      <c r="P76" s="224"/>
      <c r="Q76" s="224"/>
      <c r="R76" s="224"/>
      <c r="S76" s="231"/>
      <c r="T76" s="231"/>
      <c r="U76" s="231"/>
      <c r="V76" s="1"/>
      <c r="W76" s="224"/>
      <c r="X76" s="224"/>
    </row>
    <row r="77" spans="2:24" x14ac:dyDescent="0.35">
      <c r="B77" s="224" t="s">
        <v>145</v>
      </c>
      <c r="C77" s="230">
        <f t="shared" si="43"/>
        <v>7.798</v>
      </c>
      <c r="D77" s="230">
        <f t="shared" si="44"/>
        <v>7.9489999999999998</v>
      </c>
      <c r="E77" s="230">
        <f t="shared" si="45"/>
        <v>4.7519999999999998</v>
      </c>
      <c r="F77" s="230">
        <f t="shared" si="46"/>
        <v>4.637999999999999</v>
      </c>
      <c r="G77" s="230">
        <f t="shared" si="47"/>
        <v>1.8800000000000001</v>
      </c>
      <c r="H77" s="225"/>
    </row>
    <row r="78" spans="2:24" x14ac:dyDescent="0.35">
      <c r="B78" s="227" t="s">
        <v>421</v>
      </c>
      <c r="C78" s="230">
        <f t="shared" si="43"/>
        <v>247.29179999999997</v>
      </c>
      <c r="D78" s="230">
        <f t="shared" si="44"/>
        <v>164.8612</v>
      </c>
      <c r="E78" s="230">
        <f t="shared" si="45"/>
        <v>0</v>
      </c>
      <c r="F78" s="230">
        <f t="shared" si="46"/>
        <v>0</v>
      </c>
      <c r="G78" s="230">
        <f t="shared" si="47"/>
        <v>0</v>
      </c>
      <c r="H78" s="225"/>
      <c r="R78" s="3"/>
      <c r="S78" s="3"/>
    </row>
    <row r="79" spans="2:24" x14ac:dyDescent="0.35">
      <c r="B79" s="227" t="s">
        <v>164</v>
      </c>
      <c r="C79" s="230">
        <f t="shared" si="43"/>
        <v>12.347</v>
      </c>
      <c r="D79" s="230">
        <f t="shared" si="44"/>
        <v>46.79</v>
      </c>
      <c r="E79" s="230">
        <f t="shared" si="45"/>
        <v>38.595999999999997</v>
      </c>
      <c r="F79" s="230">
        <f t="shared" si="46"/>
        <v>31.911000000000001</v>
      </c>
      <c r="G79" s="230">
        <f t="shared" si="47"/>
        <v>23.099</v>
      </c>
      <c r="H79" s="225"/>
      <c r="R79" s="3"/>
      <c r="S79" s="3"/>
    </row>
    <row r="80" spans="2:24" x14ac:dyDescent="0.35">
      <c r="B80" s="227" t="s">
        <v>437</v>
      </c>
      <c r="C80" s="230">
        <f t="shared" si="43"/>
        <v>29.628</v>
      </c>
      <c r="D80" s="230">
        <f t="shared" si="44"/>
        <v>35.671000000000006</v>
      </c>
      <c r="E80" s="230">
        <f t="shared" si="45"/>
        <v>24.216000000000001</v>
      </c>
      <c r="F80" s="230">
        <f t="shared" si="46"/>
        <v>9.6430000000000007</v>
      </c>
      <c r="G80" s="230">
        <f t="shared" si="47"/>
        <v>4.5789999999999997</v>
      </c>
      <c r="H80" s="225"/>
      <c r="R80" s="3"/>
      <c r="S80" s="3"/>
    </row>
    <row r="81" spans="2:19" x14ac:dyDescent="0.35">
      <c r="B81" s="1" t="s">
        <v>173</v>
      </c>
      <c r="C81" s="230">
        <f t="shared" si="43"/>
        <v>25.75</v>
      </c>
      <c r="D81" s="230">
        <f t="shared" si="44"/>
        <v>0</v>
      </c>
      <c r="E81" s="230">
        <f t="shared" si="45"/>
        <v>0</v>
      </c>
      <c r="F81" s="230">
        <f t="shared" si="46"/>
        <v>0</v>
      </c>
      <c r="G81" s="230">
        <f t="shared" si="47"/>
        <v>0</v>
      </c>
      <c r="H81" s="225"/>
      <c r="R81" s="3"/>
      <c r="S81" s="3"/>
    </row>
    <row r="82" spans="2:19" x14ac:dyDescent="0.35">
      <c r="B82" s="224" t="s">
        <v>123</v>
      </c>
      <c r="C82" s="230">
        <f t="shared" si="43"/>
        <v>31.939</v>
      </c>
      <c r="D82" s="230">
        <f t="shared" si="44"/>
        <v>56.413000000000004</v>
      </c>
      <c r="E82" s="230">
        <f t="shared" si="45"/>
        <v>15.652999999999999</v>
      </c>
      <c r="F82" s="230">
        <f t="shared" si="46"/>
        <v>3.9320000000000004</v>
      </c>
      <c r="G82" s="230">
        <f t="shared" si="47"/>
        <v>-0.74299999999999988</v>
      </c>
      <c r="R82" s="3"/>
      <c r="S82" s="3"/>
    </row>
    <row r="83" spans="2:19" x14ac:dyDescent="0.35">
      <c r="B83" s="37" t="s">
        <v>1132</v>
      </c>
      <c r="C83" s="230">
        <f t="shared" si="43"/>
        <v>1.02</v>
      </c>
      <c r="D83" s="230">
        <f t="shared" si="44"/>
        <v>1.5299999999999998</v>
      </c>
      <c r="E83" s="230">
        <f t="shared" si="45"/>
        <v>0</v>
      </c>
      <c r="F83" s="230">
        <f t="shared" si="46"/>
        <v>0</v>
      </c>
      <c r="G83" s="230">
        <f t="shared" si="47"/>
        <v>0</v>
      </c>
      <c r="R83" s="3"/>
      <c r="S83" s="3"/>
    </row>
    <row r="84" spans="2:19" x14ac:dyDescent="0.35">
      <c r="B84" s="37" t="s">
        <v>1133</v>
      </c>
      <c r="C84" s="230">
        <f t="shared" si="43"/>
        <v>0.67999999999999994</v>
      </c>
      <c r="D84" s="230">
        <f t="shared" si="44"/>
        <v>1.02</v>
      </c>
      <c r="E84" s="230">
        <f t="shared" si="45"/>
        <v>0</v>
      </c>
      <c r="F84" s="230">
        <f t="shared" si="46"/>
        <v>0</v>
      </c>
      <c r="G84" s="230">
        <f t="shared" si="47"/>
        <v>0</v>
      </c>
      <c r="R84" s="3"/>
      <c r="S84" s="3"/>
    </row>
    <row r="85" spans="2:19" x14ac:dyDescent="0.35">
      <c r="B85" s="37" t="s">
        <v>580</v>
      </c>
      <c r="C85" s="230">
        <f t="shared" si="43"/>
        <v>1.6999999999999997</v>
      </c>
      <c r="D85" s="230">
        <f t="shared" si="44"/>
        <v>2.5499999999999998</v>
      </c>
      <c r="E85" s="230">
        <f t="shared" si="45"/>
        <v>0</v>
      </c>
      <c r="F85" s="230">
        <f t="shared" si="46"/>
        <v>0</v>
      </c>
      <c r="G85" s="230">
        <f t="shared" si="47"/>
        <v>0</v>
      </c>
      <c r="R85" s="3"/>
      <c r="S85" s="3"/>
    </row>
    <row r="86" spans="2:19" x14ac:dyDescent="0.35">
      <c r="C86" s="222">
        <v>2021</v>
      </c>
      <c r="D86" s="222">
        <v>2022</v>
      </c>
      <c r="E86" s="222">
        <v>2023</v>
      </c>
      <c r="F86" s="222">
        <v>2024</v>
      </c>
      <c r="G86" s="222">
        <v>2025</v>
      </c>
      <c r="R86" s="3"/>
      <c r="S86" s="3"/>
    </row>
    <row r="87" spans="2:19" x14ac:dyDescent="0.35">
      <c r="B87" s="37" t="s">
        <v>1142</v>
      </c>
      <c r="C87" s="229">
        <f>SUM(C83:C85)</f>
        <v>3.3999999999999995</v>
      </c>
      <c r="D87" s="229">
        <f t="shared" ref="D87:G87" si="48">SUM(D83:D85)</f>
        <v>5.0999999999999996</v>
      </c>
      <c r="E87" s="229">
        <f t="shared" si="48"/>
        <v>0</v>
      </c>
      <c r="F87" s="229">
        <f t="shared" si="48"/>
        <v>0</v>
      </c>
      <c r="G87" s="229">
        <f t="shared" si="48"/>
        <v>0</v>
      </c>
      <c r="R87" s="3"/>
      <c r="S87" s="3"/>
    </row>
    <row r="90" spans="2:19" x14ac:dyDescent="0.35">
      <c r="B90" s="37" t="s">
        <v>1038</v>
      </c>
      <c r="C90" s="230">
        <v>26.636000000000024</v>
      </c>
      <c r="D90" s="230">
        <v>98.978999999999999</v>
      </c>
      <c r="E90" s="230">
        <v>2.1159999999999997</v>
      </c>
      <c r="F90" s="230">
        <v>2.1789999999999998</v>
      </c>
      <c r="G90" s="230">
        <v>2.33</v>
      </c>
      <c r="H90" s="230"/>
      <c r="I90" s="230"/>
      <c r="J90" s="230"/>
      <c r="K90" s="230"/>
      <c r="L90" s="230"/>
      <c r="M90" s="230"/>
    </row>
    <row r="91" spans="2:19" x14ac:dyDescent="0.35">
      <c r="B91" s="37" t="s">
        <v>1039</v>
      </c>
      <c r="C91" s="230">
        <v>47.722000000000016</v>
      </c>
      <c r="D91" s="230">
        <v>52.756999999999998</v>
      </c>
      <c r="E91" s="230">
        <v>12</v>
      </c>
      <c r="F91" s="230">
        <v>4.2219999999999995</v>
      </c>
      <c r="G91" s="230">
        <v>2.3719999999999999</v>
      </c>
      <c r="H91" s="230"/>
      <c r="I91" s="230"/>
      <c r="J91" s="230"/>
      <c r="K91" s="230"/>
      <c r="L91" s="230"/>
      <c r="M91" s="230"/>
    </row>
    <row r="92" spans="2:19" x14ac:dyDescent="0.35">
      <c r="B92" s="37" t="s">
        <v>52</v>
      </c>
      <c r="C92" s="230">
        <v>81.842999999999989</v>
      </c>
      <c r="D92" s="230">
        <v>110.24799999999999</v>
      </c>
      <c r="E92" s="230">
        <v>12.726000000000001</v>
      </c>
      <c r="F92" s="230">
        <v>1.365</v>
      </c>
      <c r="G92" s="230">
        <v>-0.90100000000000025</v>
      </c>
      <c r="H92" s="230"/>
      <c r="I92" s="230"/>
      <c r="J92" s="230"/>
      <c r="K92" s="230"/>
      <c r="L92" s="230"/>
      <c r="M92" s="230"/>
    </row>
    <row r="93" spans="2:19" x14ac:dyDescent="0.35">
      <c r="B93" s="37" t="s">
        <v>145</v>
      </c>
      <c r="C93" s="230">
        <v>7.798</v>
      </c>
      <c r="D93" s="230">
        <v>7.9489999999999998</v>
      </c>
      <c r="E93" s="230">
        <v>4.7519999999999998</v>
      </c>
      <c r="F93" s="230">
        <v>4.637999999999999</v>
      </c>
      <c r="G93" s="230">
        <v>1.8800000000000001</v>
      </c>
      <c r="H93" s="230"/>
      <c r="I93" s="230"/>
      <c r="J93" s="230"/>
      <c r="K93" s="230"/>
      <c r="L93" s="230"/>
      <c r="M93" s="230"/>
    </row>
    <row r="94" spans="2:19" x14ac:dyDescent="0.35">
      <c r="B94" s="37" t="s">
        <v>421</v>
      </c>
      <c r="C94" s="230">
        <v>283.95749999999998</v>
      </c>
      <c r="D94" s="230">
        <v>77.092500000000001</v>
      </c>
      <c r="E94" s="230">
        <v>1</v>
      </c>
      <c r="F94" s="230">
        <v>0</v>
      </c>
      <c r="G94" s="230">
        <v>0</v>
      </c>
      <c r="H94" s="230"/>
      <c r="I94" s="230"/>
      <c r="J94" s="230"/>
      <c r="K94" s="230"/>
      <c r="L94" s="230"/>
      <c r="M94" s="230"/>
    </row>
    <row r="95" spans="2:19" x14ac:dyDescent="0.35">
      <c r="B95" s="37" t="s">
        <v>164</v>
      </c>
      <c r="C95" s="230">
        <v>12.347</v>
      </c>
      <c r="D95" s="230">
        <v>46.79</v>
      </c>
      <c r="E95" s="230">
        <v>38.595999999999997</v>
      </c>
      <c r="F95" s="230">
        <v>31.911000000000001</v>
      </c>
      <c r="G95" s="230">
        <v>23.099</v>
      </c>
      <c r="H95" s="230"/>
      <c r="I95" s="230"/>
      <c r="J95" s="230"/>
      <c r="K95" s="230"/>
      <c r="L95" s="230"/>
      <c r="M95" s="230"/>
    </row>
    <row r="96" spans="2:19" x14ac:dyDescent="0.35">
      <c r="B96" s="37" t="s">
        <v>437</v>
      </c>
      <c r="C96" s="230">
        <v>2.286</v>
      </c>
      <c r="D96" s="230">
        <v>4.6049999999999995</v>
      </c>
      <c r="E96" s="230">
        <v>1.349</v>
      </c>
      <c r="F96" s="230">
        <v>0.441</v>
      </c>
      <c r="G96" s="230">
        <v>0.313</v>
      </c>
      <c r="H96" s="230"/>
      <c r="I96" s="230"/>
      <c r="J96" s="230"/>
      <c r="K96" s="230"/>
      <c r="L96" s="230"/>
      <c r="M96" s="230"/>
    </row>
    <row r="97" spans="2:13" x14ac:dyDescent="0.35">
      <c r="B97" s="37" t="s">
        <v>173</v>
      </c>
      <c r="C97" s="230">
        <v>25.75</v>
      </c>
      <c r="D97" s="230">
        <v>0</v>
      </c>
      <c r="E97" s="230">
        <v>0</v>
      </c>
      <c r="F97" s="230">
        <v>0</v>
      </c>
      <c r="G97" s="230">
        <v>0</v>
      </c>
      <c r="H97" s="230"/>
      <c r="I97" s="230"/>
      <c r="J97" s="230"/>
      <c r="K97" s="230"/>
      <c r="L97" s="230"/>
      <c r="M97" s="230"/>
    </row>
    <row r="98" spans="2:13" x14ac:dyDescent="0.35">
      <c r="B98" s="37" t="s">
        <v>123</v>
      </c>
      <c r="C98" s="230">
        <v>60.441000000000003</v>
      </c>
      <c r="D98" s="230">
        <v>91.678999999999988</v>
      </c>
      <c r="E98" s="230">
        <v>41.220000000000006</v>
      </c>
      <c r="F98" s="230">
        <v>14.004000000000003</v>
      </c>
      <c r="G98" s="230">
        <v>3.8530000000000006</v>
      </c>
      <c r="H98" s="230"/>
      <c r="I98" s="230"/>
      <c r="J98" s="230"/>
      <c r="K98" s="230"/>
      <c r="L98" s="230"/>
      <c r="M98" s="230"/>
    </row>
    <row r="99" spans="2:13" x14ac:dyDescent="0.35">
      <c r="C99" s="222">
        <v>3.4</v>
      </c>
      <c r="D99" s="222">
        <v>5.0999999999999996</v>
      </c>
      <c r="E99" s="222">
        <v>0</v>
      </c>
      <c r="F99" s="222">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7265625" defaultRowHeight="14.5" x14ac:dyDescent="0.35"/>
  <cols>
    <col min="1" max="1" width="30" style="37" bestFit="1" customWidth="1"/>
    <col min="2" max="16384" width="10.7265625" style="37"/>
  </cols>
  <sheetData>
    <row r="1" spans="1:23" x14ac:dyDescent="0.35">
      <c r="B1" s="37" t="s">
        <v>843</v>
      </c>
      <c r="C1" s="37" t="s">
        <v>844</v>
      </c>
      <c r="D1" s="37" t="s">
        <v>317</v>
      </c>
      <c r="E1" s="37" t="s">
        <v>318</v>
      </c>
      <c r="F1" s="37" t="s">
        <v>319</v>
      </c>
      <c r="G1" s="37" t="s">
        <v>320</v>
      </c>
      <c r="H1" s="37" t="s">
        <v>321</v>
      </c>
      <c r="I1" s="37" t="s">
        <v>194</v>
      </c>
      <c r="J1" s="37" t="s">
        <v>195</v>
      </c>
      <c r="K1" s="37" t="s">
        <v>196</v>
      </c>
      <c r="L1" s="37" t="s">
        <v>197</v>
      </c>
      <c r="M1" s="37" t="s">
        <v>198</v>
      </c>
      <c r="N1" s="37" t="s">
        <v>199</v>
      </c>
      <c r="O1" s="37" t="s">
        <v>200</v>
      </c>
      <c r="P1" s="37" t="s">
        <v>201</v>
      </c>
      <c r="Q1" s="37" t="s">
        <v>202</v>
      </c>
      <c r="R1" s="37" t="s">
        <v>203</v>
      </c>
      <c r="S1" s="37" t="s">
        <v>204</v>
      </c>
      <c r="T1" s="37" t="s">
        <v>205</v>
      </c>
      <c r="U1" s="37" t="s">
        <v>189</v>
      </c>
      <c r="V1" s="37" t="s">
        <v>190</v>
      </c>
      <c r="W1" s="37" t="s">
        <v>191</v>
      </c>
    </row>
    <row r="2" spans="1:23" x14ac:dyDescent="0.35">
      <c r="A2" s="37" t="s">
        <v>107</v>
      </c>
      <c r="B2" s="173">
        <v>112.989</v>
      </c>
      <c r="C2" s="173">
        <v>113.38</v>
      </c>
      <c r="D2" s="173">
        <v>112.86</v>
      </c>
      <c r="E2" s="173">
        <v>113.83799999999999</v>
      </c>
      <c r="F2" s="173">
        <v>114.41500000000001</v>
      </c>
      <c r="G2" s="173">
        <v>115.613</v>
      </c>
      <c r="H2" s="173">
        <v>116.079929684229</v>
      </c>
      <c r="I2" s="173">
        <v>116.665860886253</v>
      </c>
      <c r="J2" s="173">
        <v>117.173130068039</v>
      </c>
      <c r="K2" s="173">
        <v>117.776205556525</v>
      </c>
      <c r="L2" s="173">
        <v>118.328856673063</v>
      </c>
      <c r="M2" s="173">
        <v>118.891592663992</v>
      </c>
      <c r="N2" s="173">
        <v>119.478532353454</v>
      </c>
      <c r="O2" s="173">
        <v>120.061438093161</v>
      </c>
      <c r="P2" s="173">
        <v>120.658462657013</v>
      </c>
      <c r="Q2" s="173">
        <v>121.265572095255</v>
      </c>
      <c r="R2" s="173">
        <v>121.88982581995801</v>
      </c>
      <c r="S2" s="173">
        <v>122.528198368807</v>
      </c>
      <c r="T2" s="173">
        <v>123.170604867411</v>
      </c>
      <c r="U2" s="173">
        <v>123.820070778088</v>
      </c>
      <c r="V2" s="173">
        <v>124.47558761339801</v>
      </c>
      <c r="W2" s="173">
        <v>125.131104448709</v>
      </c>
    </row>
    <row r="3" spans="1:23" x14ac:dyDescent="0.35">
      <c r="A3" s="37" t="s">
        <v>183</v>
      </c>
      <c r="B3" s="174">
        <v>3.4368838919380802E-3</v>
      </c>
      <c r="C3" s="174">
        <v>3.4605138553309698E-3</v>
      </c>
      <c r="D3" s="174">
        <v>-4.5863467983771099E-3</v>
      </c>
      <c r="E3" s="174">
        <v>8.6656034024454893E-3</v>
      </c>
      <c r="F3" s="174">
        <v>5.0686062650433499E-3</v>
      </c>
      <c r="G3" s="174">
        <v>1.04706550714504E-2</v>
      </c>
      <c r="H3" s="174">
        <v>4.0387299371946704E-3</v>
      </c>
      <c r="I3" s="174">
        <v>5.0476529716862997E-3</v>
      </c>
      <c r="J3" s="174">
        <v>4.3480515888107999E-3</v>
      </c>
      <c r="K3" s="174">
        <v>5.1468752958592203E-3</v>
      </c>
      <c r="L3" s="174">
        <v>4.6923834396541703E-3</v>
      </c>
      <c r="M3" s="174">
        <v>4.7556953286800301E-3</v>
      </c>
      <c r="N3" s="174">
        <v>4.9367636206325604E-3</v>
      </c>
      <c r="O3" s="174">
        <v>4.8787487444397204E-3</v>
      </c>
      <c r="P3" s="174">
        <v>4.97265877649067E-3</v>
      </c>
      <c r="Q3" s="174">
        <v>5.03163578312149E-3</v>
      </c>
      <c r="R3" s="174">
        <v>5.1478231943116199E-3</v>
      </c>
      <c r="S3" s="174">
        <v>5.23729150119134E-3</v>
      </c>
      <c r="T3" s="174">
        <v>5.2429278089169999E-3</v>
      </c>
      <c r="U3" s="174">
        <v>5.2728969820035098E-3</v>
      </c>
      <c r="V3" s="174">
        <v>5.2941080649626703E-3</v>
      </c>
      <c r="W3" s="174">
        <v>5.26622808438937E-3</v>
      </c>
    </row>
    <row r="4" spans="1:23" x14ac:dyDescent="0.35">
      <c r="A4" s="37" t="s">
        <v>110</v>
      </c>
      <c r="B4" s="173">
        <v>110.529</v>
      </c>
      <c r="C4" s="173">
        <v>110.88200000000001</v>
      </c>
      <c r="D4" s="173">
        <v>110.435</v>
      </c>
      <c r="E4" s="173">
        <v>111.431</v>
      </c>
      <c r="F4" s="173">
        <v>111.83499999999999</v>
      </c>
      <c r="G4" s="173">
        <v>112.864</v>
      </c>
      <c r="H4" s="173">
        <v>113.331748734778</v>
      </c>
      <c r="I4" s="173">
        <v>113.915555194576</v>
      </c>
      <c r="J4" s="173">
        <v>114.364746923467</v>
      </c>
      <c r="K4" s="173">
        <v>114.924235646865</v>
      </c>
      <c r="L4" s="173">
        <v>115.440791354819</v>
      </c>
      <c r="M4" s="173">
        <v>115.96851279450701</v>
      </c>
      <c r="N4" s="173">
        <v>116.52210368492899</v>
      </c>
      <c r="O4" s="173">
        <v>117.071115307263</v>
      </c>
      <c r="P4" s="173">
        <v>117.63129076657199</v>
      </c>
      <c r="Q4" s="173">
        <v>118.20059915499699</v>
      </c>
      <c r="R4" s="173">
        <v>118.776332952822</v>
      </c>
      <c r="S4" s="173">
        <v>119.374397493133</v>
      </c>
      <c r="T4" s="173">
        <v>119.981640842685</v>
      </c>
      <c r="U4" s="173">
        <v>120.594864779056</v>
      </c>
      <c r="V4" s="173">
        <v>121.219127553946</v>
      </c>
      <c r="W4" s="173">
        <v>121.837226137653</v>
      </c>
    </row>
    <row r="5" spans="1:23" x14ac:dyDescent="0.35">
      <c r="A5" s="37" t="s">
        <v>184</v>
      </c>
      <c r="B5" s="174">
        <v>3.82351872706788E-3</v>
      </c>
      <c r="C5" s="174">
        <v>3.1937319617476598E-3</v>
      </c>
      <c r="D5" s="174">
        <v>-4.0313125665121198E-3</v>
      </c>
      <c r="E5" s="174">
        <v>9.0188798840946695E-3</v>
      </c>
      <c r="F5" s="174">
        <v>3.6255620069818302E-3</v>
      </c>
      <c r="G5" s="174">
        <v>9.2010551258552304E-3</v>
      </c>
      <c r="H5" s="174">
        <v>4.1443572332882104E-3</v>
      </c>
      <c r="I5" s="174">
        <v>5.1513054930816303E-3</v>
      </c>
      <c r="J5" s="174">
        <v>3.9431992244038901E-3</v>
      </c>
      <c r="K5" s="174">
        <v>4.8921432386195302E-3</v>
      </c>
      <c r="L5" s="174">
        <v>4.49474999808697E-3</v>
      </c>
      <c r="M5" s="174">
        <v>4.5713602054786601E-3</v>
      </c>
      <c r="N5" s="174">
        <v>4.7736310234707301E-3</v>
      </c>
      <c r="O5" s="174">
        <v>4.7116521670327299E-3</v>
      </c>
      <c r="P5" s="174">
        <v>4.7849160558435201E-3</v>
      </c>
      <c r="Q5" s="174">
        <v>4.8397699686470999E-3</v>
      </c>
      <c r="R5" s="174">
        <v>4.87081962308911E-3</v>
      </c>
      <c r="S5" s="174">
        <v>5.0352164058453698E-3</v>
      </c>
      <c r="T5" s="174">
        <v>5.0868809585997701E-3</v>
      </c>
      <c r="U5" s="174">
        <v>5.11098141402422E-3</v>
      </c>
      <c r="V5" s="174">
        <v>5.1765286692269097E-3</v>
      </c>
      <c r="W5" s="174">
        <v>5.0990185804744596E-3</v>
      </c>
    </row>
    <row r="6" spans="1:23" x14ac:dyDescent="0.35">
      <c r="A6" s="37" t="s">
        <v>111</v>
      </c>
      <c r="B6" s="173">
        <v>111.28100000000001</v>
      </c>
      <c r="C6" s="173">
        <v>111.205</v>
      </c>
      <c r="D6" s="173">
        <v>110.901</v>
      </c>
      <c r="E6" s="173">
        <v>111.373</v>
      </c>
      <c r="F6" s="173">
        <v>112.102</v>
      </c>
      <c r="G6" s="173">
        <v>113.15</v>
      </c>
      <c r="H6" s="173">
        <v>113.740871678471</v>
      </c>
      <c r="I6" s="173">
        <v>114.281152336175</v>
      </c>
      <c r="J6" s="173">
        <v>114.807363360671</v>
      </c>
      <c r="K6" s="173">
        <v>115.391332330529</v>
      </c>
      <c r="L6" s="173">
        <v>115.906636484177</v>
      </c>
      <c r="M6" s="173">
        <v>116.47813120061301</v>
      </c>
      <c r="N6" s="173">
        <v>117.06948406540501</v>
      </c>
      <c r="O6" s="173">
        <v>117.660979705042</v>
      </c>
      <c r="P6" s="173">
        <v>118.263437866774</v>
      </c>
      <c r="Q6" s="173">
        <v>118.87469011020799</v>
      </c>
      <c r="R6" s="173">
        <v>119.499263080446</v>
      </c>
      <c r="S6" s="173">
        <v>120.12606865428199</v>
      </c>
      <c r="T6" s="173">
        <v>120.750798876066</v>
      </c>
      <c r="U6" s="173">
        <v>121.383984751452</v>
      </c>
      <c r="V6" s="173">
        <v>122.03331038248599</v>
      </c>
      <c r="W6" s="173">
        <v>122.676475823877</v>
      </c>
    </row>
    <row r="7" spans="1:23" x14ac:dyDescent="0.35">
      <c r="A7" s="37" t="s">
        <v>185</v>
      </c>
      <c r="B7" s="174">
        <v>3.24555314142505E-3</v>
      </c>
      <c r="C7" s="174">
        <v>-6.8295576064203401E-4</v>
      </c>
      <c r="D7" s="174">
        <v>-2.7336900319230302E-3</v>
      </c>
      <c r="E7" s="174">
        <v>4.2560481871218902E-3</v>
      </c>
      <c r="F7" s="174">
        <v>6.5455720865918998E-3</v>
      </c>
      <c r="G7" s="174">
        <v>9.3486289272271001E-3</v>
      </c>
      <c r="H7" s="174">
        <v>5.2220210205149399E-3</v>
      </c>
      <c r="I7" s="174">
        <v>4.7501012585042801E-3</v>
      </c>
      <c r="J7" s="174">
        <v>4.6045302636466001E-3</v>
      </c>
      <c r="K7" s="174">
        <v>5.08651146376282E-3</v>
      </c>
      <c r="L7" s="174">
        <v>4.4657093669009402E-3</v>
      </c>
      <c r="M7" s="174">
        <v>4.93064706017576E-3</v>
      </c>
      <c r="N7" s="174">
        <v>5.07694327421948E-3</v>
      </c>
      <c r="O7" s="174">
        <v>5.0525176937379302E-3</v>
      </c>
      <c r="P7" s="174">
        <v>5.1202885038195102E-3</v>
      </c>
      <c r="Q7" s="174">
        <v>5.1685648114068198E-3</v>
      </c>
      <c r="R7" s="174">
        <v>5.2540449919040704E-3</v>
      </c>
      <c r="S7" s="174">
        <v>5.2452672734406604E-3</v>
      </c>
      <c r="T7" s="174">
        <v>5.2006215535225202E-3</v>
      </c>
      <c r="U7" s="174">
        <v>5.2437406731884496E-3</v>
      </c>
      <c r="V7" s="174">
        <v>5.3493517482039498E-3</v>
      </c>
      <c r="W7" s="174">
        <v>5.2704088693051902E-3</v>
      </c>
    </row>
    <row r="8" spans="1:23" x14ac:dyDescent="0.35">
      <c r="A8" s="37" t="s">
        <v>112</v>
      </c>
      <c r="B8" s="173">
        <v>115.81100000000001</v>
      </c>
      <c r="C8" s="173">
        <v>116.688</v>
      </c>
      <c r="D8" s="173">
        <v>115.96899999999999</v>
      </c>
      <c r="E8" s="173">
        <v>116.889</v>
      </c>
      <c r="F8" s="173">
        <v>117.727</v>
      </c>
      <c r="G8" s="173">
        <v>119.875</v>
      </c>
      <c r="H8" s="173">
        <v>120.76873975873001</v>
      </c>
      <c r="I8" s="173">
        <v>121.552279732736</v>
      </c>
      <c r="J8" s="173">
        <v>122.340256590244</v>
      </c>
      <c r="K8" s="173">
        <v>123.25721026709</v>
      </c>
      <c r="L8" s="173">
        <v>124.206114070071</v>
      </c>
      <c r="M8" s="173">
        <v>125.17969366017699</v>
      </c>
      <c r="N8" s="173">
        <v>126.18181722618</v>
      </c>
      <c r="O8" s="173">
        <v>127.184679442917</v>
      </c>
      <c r="P8" s="173">
        <v>128.20678945908199</v>
      </c>
      <c r="Q8" s="173">
        <v>129.23804458913099</v>
      </c>
      <c r="R8" s="173">
        <v>130.283856199566</v>
      </c>
      <c r="S8" s="173">
        <v>131.336805862246</v>
      </c>
      <c r="T8" s="173">
        <v>132.40388083176001</v>
      </c>
      <c r="U8" s="173">
        <v>133.47650409411</v>
      </c>
      <c r="V8" s="173">
        <v>134.564804617167</v>
      </c>
      <c r="W8" s="173">
        <v>135.654176919939</v>
      </c>
    </row>
    <row r="9" spans="1:23" x14ac:dyDescent="0.35">
      <c r="A9" s="37" t="s">
        <v>186</v>
      </c>
      <c r="B9" s="174">
        <v>4.7630615467371103E-3</v>
      </c>
      <c r="C9" s="174">
        <v>7.57268307846393E-3</v>
      </c>
      <c r="D9" s="174">
        <v>-6.1617304264364198E-3</v>
      </c>
      <c r="E9" s="174">
        <v>7.9331545499228308E-3</v>
      </c>
      <c r="F9" s="174">
        <v>7.1691947060887901E-3</v>
      </c>
      <c r="G9" s="174">
        <v>1.8245602113363901E-2</v>
      </c>
      <c r="H9" s="174">
        <v>7.4555975702150796E-3</v>
      </c>
      <c r="I9" s="174">
        <v>6.4879369907486798E-3</v>
      </c>
      <c r="J9" s="174">
        <v>6.4826168562215304E-3</v>
      </c>
      <c r="K9" s="174">
        <v>7.4951099695452798E-3</v>
      </c>
      <c r="L9" s="174">
        <v>7.6985662820430196E-3</v>
      </c>
      <c r="M9" s="174">
        <v>7.8384192066154306E-3</v>
      </c>
      <c r="N9" s="174">
        <v>8.0054802556355203E-3</v>
      </c>
      <c r="O9" s="174">
        <v>7.9477553801552397E-3</v>
      </c>
      <c r="P9" s="174">
        <v>8.0364240460568705E-3</v>
      </c>
      <c r="Q9" s="174">
        <v>8.0436857860606299E-3</v>
      </c>
      <c r="R9" s="174">
        <v>8.0921342764015396E-3</v>
      </c>
      <c r="S9" s="174">
        <v>8.0819657430741803E-3</v>
      </c>
      <c r="T9" s="174">
        <v>8.1247214937825198E-3</v>
      </c>
      <c r="U9" s="174">
        <v>8.1011467006266696E-3</v>
      </c>
      <c r="V9" s="174">
        <v>8.1534988531763997E-3</v>
      </c>
      <c r="W9" s="174">
        <v>8.0955217515532602E-3</v>
      </c>
    </row>
    <row r="10" spans="1:23" x14ac:dyDescent="0.35">
      <c r="A10" s="37" t="s">
        <v>113</v>
      </c>
      <c r="B10" s="173">
        <v>115.65</v>
      </c>
      <c r="C10" s="173">
        <v>116.628</v>
      </c>
      <c r="D10" s="173">
        <v>115.81100000000001</v>
      </c>
      <c r="E10" s="173">
        <v>116.685</v>
      </c>
      <c r="F10" s="173">
        <v>117.64700000000001</v>
      </c>
      <c r="G10" s="173">
        <v>119.90600000000001</v>
      </c>
      <c r="H10" s="173">
        <v>120.799970882254</v>
      </c>
      <c r="I10" s="173">
        <v>121.583713481823</v>
      </c>
      <c r="J10" s="173">
        <v>122.37189411228201</v>
      </c>
      <c r="K10" s="173">
        <v>123.28908491583501</v>
      </c>
      <c r="L10" s="173">
        <v>124.23823410791201</v>
      </c>
      <c r="M10" s="173">
        <v>125.21206546833901</v>
      </c>
      <c r="N10" s="173">
        <v>126.214448186213</v>
      </c>
      <c r="O10" s="173">
        <v>127.217569745839</v>
      </c>
      <c r="P10" s="173">
        <v>128.23994408242501</v>
      </c>
      <c r="Q10" s="173">
        <v>129.27146589784601</v>
      </c>
      <c r="R10" s="173">
        <v>130.31754795799901</v>
      </c>
      <c r="S10" s="173">
        <v>131.37076991631699</v>
      </c>
      <c r="T10" s="173">
        <v>132.43812083431101</v>
      </c>
      <c r="U10" s="173">
        <v>133.51102147994499</v>
      </c>
      <c r="V10" s="173">
        <v>134.599603440468</v>
      </c>
      <c r="W10" s="173">
        <v>135.68925745787101</v>
      </c>
    </row>
    <row r="11" spans="1:23" x14ac:dyDescent="0.35">
      <c r="A11" s="37" t="s">
        <v>187</v>
      </c>
      <c r="B11" s="174">
        <v>5.5909640282765204E-3</v>
      </c>
      <c r="C11" s="174">
        <v>8.4565499351492192E-3</v>
      </c>
      <c r="D11" s="174">
        <v>-7.0051788592789804E-3</v>
      </c>
      <c r="E11" s="174">
        <v>7.5467788033951599E-3</v>
      </c>
      <c r="F11" s="174">
        <v>8.2444187341990105E-3</v>
      </c>
      <c r="G11" s="174">
        <v>1.9201509600754701E-2</v>
      </c>
      <c r="H11" s="174">
        <v>7.4555975702150796E-3</v>
      </c>
      <c r="I11" s="174">
        <v>6.4879369907486798E-3</v>
      </c>
      <c r="J11" s="174">
        <v>6.4826168562215304E-3</v>
      </c>
      <c r="K11" s="174">
        <v>7.4951099695452798E-3</v>
      </c>
      <c r="L11" s="174">
        <v>7.6985662820430196E-3</v>
      </c>
      <c r="M11" s="174">
        <v>7.8384192066154306E-3</v>
      </c>
      <c r="N11" s="174">
        <v>8.0054802556355203E-3</v>
      </c>
      <c r="O11" s="174">
        <v>7.9477553801552397E-3</v>
      </c>
      <c r="P11" s="174">
        <v>8.0364240460568705E-3</v>
      </c>
      <c r="Q11" s="174">
        <v>8.0436857860606299E-3</v>
      </c>
      <c r="R11" s="174">
        <v>8.0921342764015396E-3</v>
      </c>
      <c r="S11" s="174">
        <v>8.0819657430741803E-3</v>
      </c>
      <c r="T11" s="174">
        <v>8.1247214937825198E-3</v>
      </c>
      <c r="U11" s="174">
        <v>8.1011467006266696E-3</v>
      </c>
      <c r="V11" s="174">
        <v>8.1534988531763997E-3</v>
      </c>
      <c r="W11" s="174">
        <v>8.0955217515532602E-3</v>
      </c>
    </row>
    <row r="12" spans="1:23" x14ac:dyDescent="0.35">
      <c r="A12" s="37" t="s">
        <v>114</v>
      </c>
      <c r="B12" s="173">
        <v>116.521</v>
      </c>
      <c r="C12" s="173">
        <v>116.961</v>
      </c>
      <c r="D12" s="173">
        <v>116.655</v>
      </c>
      <c r="E12" s="173">
        <v>117.77500000000001</v>
      </c>
      <c r="F12" s="173">
        <v>118.093</v>
      </c>
      <c r="G12" s="173">
        <v>119.773</v>
      </c>
      <c r="H12" s="173">
        <v>120.66597928777701</v>
      </c>
      <c r="I12" s="173">
        <v>121.448852558323</v>
      </c>
      <c r="J12" s="173">
        <v>122.236158937087</v>
      </c>
      <c r="K12" s="173">
        <v>123.152332390575</v>
      </c>
      <c r="L12" s="173">
        <v>124.100428784272</v>
      </c>
      <c r="M12" s="173">
        <v>125.073179968804</v>
      </c>
      <c r="N12" s="173">
        <v>126.074450841554</v>
      </c>
      <c r="O12" s="173">
        <v>127.07645973653</v>
      </c>
      <c r="P12" s="173">
        <v>128.09770005324401</v>
      </c>
      <c r="Q12" s="173">
        <v>129.12807770238999</v>
      </c>
      <c r="R12" s="173">
        <v>130.172999446011</v>
      </c>
      <c r="S12" s="173">
        <v>131.22505316820701</v>
      </c>
      <c r="T12" s="173">
        <v>132.29122017820501</v>
      </c>
      <c r="U12" s="173">
        <v>133.36293076007399</v>
      </c>
      <c r="V12" s="173">
        <v>134.45030526308199</v>
      </c>
      <c r="W12" s="173">
        <v>135.53875063384299</v>
      </c>
    </row>
    <row r="13" spans="1:23" x14ac:dyDescent="0.35">
      <c r="A13" s="37" t="s">
        <v>188</v>
      </c>
      <c r="B13" s="174">
        <v>1.11692484814108E-3</v>
      </c>
      <c r="C13" s="174">
        <v>3.7761433561331898E-3</v>
      </c>
      <c r="D13" s="174">
        <v>-2.6162567009515602E-3</v>
      </c>
      <c r="E13" s="174">
        <v>9.6009600960096399E-3</v>
      </c>
      <c r="F13" s="174">
        <v>2.7000636807472701E-3</v>
      </c>
      <c r="G13" s="174">
        <v>1.42260760586994E-2</v>
      </c>
      <c r="H13" s="174">
        <v>7.4555975702150796E-3</v>
      </c>
      <c r="I13" s="174">
        <v>6.4879369907486798E-3</v>
      </c>
      <c r="J13" s="174">
        <v>6.4826168562215304E-3</v>
      </c>
      <c r="K13" s="174">
        <v>7.4951099695452798E-3</v>
      </c>
      <c r="L13" s="174">
        <v>7.6985662820430196E-3</v>
      </c>
      <c r="M13" s="174">
        <v>7.8384192066154306E-3</v>
      </c>
      <c r="N13" s="174">
        <v>8.0054802556355203E-3</v>
      </c>
      <c r="O13" s="174">
        <v>7.9477553801552397E-3</v>
      </c>
      <c r="P13" s="174">
        <v>8.0364240460568705E-3</v>
      </c>
      <c r="Q13" s="174">
        <v>8.0436857860606299E-3</v>
      </c>
      <c r="R13" s="174">
        <v>8.0921342764015396E-3</v>
      </c>
      <c r="S13" s="174">
        <v>8.0819657430741803E-3</v>
      </c>
      <c r="T13" s="174">
        <v>8.1247214937825198E-3</v>
      </c>
      <c r="U13" s="174">
        <v>8.1011467006266696E-3</v>
      </c>
      <c r="V13" s="174">
        <v>8.1534988531763997E-3</v>
      </c>
      <c r="W13" s="174">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25"/>
  <sheetViews>
    <sheetView zoomScale="54" zoomScaleNormal="54" workbookViewId="0">
      <pane ySplit="1" topLeftCell="A4" activePane="bottomLeft" state="frozen"/>
      <selection pane="bottomLeft" activeCell="B23" sqref="B23"/>
    </sheetView>
  </sheetViews>
  <sheetFormatPr defaultColWidth="8.453125" defaultRowHeight="14.5" x14ac:dyDescent="0.35"/>
  <cols>
    <col min="1" max="1" width="30.7265625" style="1" customWidth="1"/>
    <col min="2" max="2" width="109.453125" style="25" customWidth="1"/>
    <col min="3" max="3" width="47" style="1" customWidth="1"/>
    <col min="4" max="4" width="18.7265625" style="1" customWidth="1"/>
    <col min="5" max="5" width="58.7265625" style="902" customWidth="1"/>
    <col min="6" max="6" width="33.1796875" style="902" customWidth="1"/>
    <col min="7" max="16384" width="8.453125" style="1"/>
  </cols>
  <sheetData>
    <row r="1" spans="1:6" s="26" customFormat="1" ht="47.65" customHeight="1" x14ac:dyDescent="0.35">
      <c r="A1" s="1245" t="s">
        <v>33</v>
      </c>
      <c r="B1" s="1246" t="s">
        <v>34</v>
      </c>
      <c r="C1" s="1246" t="s">
        <v>35</v>
      </c>
      <c r="D1" s="1247" t="s">
        <v>36</v>
      </c>
      <c r="E1" s="1233"/>
      <c r="F1" s="1233"/>
    </row>
    <row r="2" spans="1:6" s="26" customFormat="1" ht="16.5" customHeight="1" x14ac:dyDescent="0.35">
      <c r="A2" s="1264" t="s">
        <v>37</v>
      </c>
      <c r="B2" s="1265"/>
      <c r="C2" s="1265"/>
      <c r="D2" s="1266"/>
      <c r="E2" s="1233"/>
      <c r="F2" s="1233"/>
    </row>
    <row r="3" spans="1:6" ht="124.5" customHeight="1" x14ac:dyDescent="0.35">
      <c r="A3" s="1242" t="s">
        <v>1229</v>
      </c>
      <c r="B3" s="1243" t="s">
        <v>1230</v>
      </c>
      <c r="C3" s="1243" t="s">
        <v>1231</v>
      </c>
      <c r="D3" s="1223"/>
    </row>
    <row r="4" spans="1:6" ht="148.15" customHeight="1" x14ac:dyDescent="0.35">
      <c r="A4" s="1216" t="s">
        <v>1249</v>
      </c>
      <c r="B4" s="1220" t="s">
        <v>1248</v>
      </c>
      <c r="C4" s="1220" t="s">
        <v>1247</v>
      </c>
      <c r="D4" s="1225"/>
    </row>
    <row r="5" spans="1:6" s="888" customFormat="1" ht="148.15" customHeight="1" x14ac:dyDescent="0.35">
      <c r="A5" s="1216" t="s">
        <v>90</v>
      </c>
      <c r="B5" s="1218" t="s">
        <v>40</v>
      </c>
      <c r="C5" s="1218" t="s">
        <v>41</v>
      </c>
      <c r="D5" s="1225"/>
      <c r="E5" s="902"/>
      <c r="F5" s="902"/>
    </row>
    <row r="6" spans="1:6" ht="61.5" customHeight="1" x14ac:dyDescent="0.35">
      <c r="A6" s="1216" t="s">
        <v>78</v>
      </c>
      <c r="B6" s="1220" t="s">
        <v>79</v>
      </c>
      <c r="C6" s="1244" t="s">
        <v>44</v>
      </c>
      <c r="D6" s="1225"/>
    </row>
    <row r="7" spans="1:6" ht="54" customHeight="1" x14ac:dyDescent="0.35">
      <c r="A7" s="1216" t="s">
        <v>45</v>
      </c>
      <c r="B7" s="1220" t="s">
        <v>46</v>
      </c>
      <c r="C7" s="1220" t="s">
        <v>1250</v>
      </c>
      <c r="D7" s="1225"/>
    </row>
    <row r="8" spans="1:6" s="458" customFormat="1" ht="50.5" customHeight="1" x14ac:dyDescent="0.35">
      <c r="A8" s="1216" t="s">
        <v>1192</v>
      </c>
      <c r="B8" s="1220" t="s">
        <v>1205</v>
      </c>
      <c r="C8" s="1220" t="s">
        <v>1204</v>
      </c>
      <c r="D8" s="1225"/>
      <c r="E8" s="1209"/>
      <c r="F8" s="1210"/>
    </row>
    <row r="9" spans="1:6" s="1100" customFormat="1" ht="29.5" customHeight="1" x14ac:dyDescent="0.35">
      <c r="A9" s="1216" t="s">
        <v>80</v>
      </c>
      <c r="B9" s="1220" t="s">
        <v>81</v>
      </c>
      <c r="C9" s="1220" t="s">
        <v>82</v>
      </c>
      <c r="D9" s="1225"/>
      <c r="E9" s="1209"/>
      <c r="F9" s="1210"/>
    </row>
    <row r="10" spans="1:6" s="1100" customFormat="1" ht="48.5" customHeight="1" x14ac:dyDescent="0.35">
      <c r="A10" s="1215" t="s">
        <v>47</v>
      </c>
      <c r="B10" s="1218" t="s">
        <v>48</v>
      </c>
      <c r="C10" s="1218" t="s">
        <v>1240</v>
      </c>
      <c r="D10" s="1225"/>
      <c r="E10" s="1209"/>
      <c r="F10" s="1210"/>
    </row>
    <row r="11" spans="1:6" s="1100" customFormat="1" ht="22.5" customHeight="1" x14ac:dyDescent="0.35">
      <c r="A11" s="1264" t="s">
        <v>1241</v>
      </c>
      <c r="B11" s="1265"/>
      <c r="C11" s="1265"/>
      <c r="D11" s="1266"/>
      <c r="E11" s="1209"/>
      <c r="F11" s="1210"/>
    </row>
    <row r="12" spans="1:6" s="1100" customFormat="1" ht="22.5" customHeight="1" x14ac:dyDescent="0.35">
      <c r="A12" s="1219" t="s">
        <v>80</v>
      </c>
      <c r="B12" s="1277" t="s">
        <v>1252</v>
      </c>
      <c r="C12" s="1278"/>
      <c r="D12" s="1234"/>
      <c r="E12" s="1209"/>
      <c r="F12" s="1210"/>
    </row>
    <row r="13" spans="1:6" s="1197" customFormat="1" ht="33" customHeight="1" x14ac:dyDescent="0.35">
      <c r="A13" s="1219" t="s">
        <v>1251</v>
      </c>
      <c r="B13" s="1270" t="s">
        <v>1253</v>
      </c>
      <c r="C13" s="1270"/>
      <c r="D13" s="1224"/>
      <c r="E13" s="1119"/>
      <c r="F13" s="1119"/>
    </row>
    <row r="14" spans="1:6" s="902" customFormat="1" ht="39.5" customHeight="1" x14ac:dyDescent="0.35">
      <c r="A14" s="1212" t="s">
        <v>1242</v>
      </c>
      <c r="B14" s="1270" t="s">
        <v>1254</v>
      </c>
      <c r="C14" s="1270"/>
      <c r="D14" s="1224"/>
    </row>
    <row r="15" spans="1:6" ht="38.5" customHeight="1" x14ac:dyDescent="0.35">
      <c r="A15" s="1212" t="s">
        <v>1244</v>
      </c>
      <c r="B15" s="1270" t="s">
        <v>1245</v>
      </c>
      <c r="C15" s="1270"/>
      <c r="D15" s="1224"/>
    </row>
    <row r="16" spans="1:6" ht="20" customHeight="1" x14ac:dyDescent="0.35">
      <c r="A16" s="1267" t="s">
        <v>59</v>
      </c>
      <c r="B16" s="1268"/>
      <c r="C16" s="1268"/>
      <c r="D16" s="1269"/>
    </row>
    <row r="17" spans="1:4" ht="24.5" customHeight="1" x14ac:dyDescent="0.35">
      <c r="A17" s="1271" t="s">
        <v>1200</v>
      </c>
      <c r="B17" s="1272"/>
      <c r="C17" s="1273"/>
      <c r="D17" s="1225"/>
    </row>
    <row r="18" spans="1:4" ht="101.5" customHeight="1" x14ac:dyDescent="0.35">
      <c r="A18" s="1216" t="s">
        <v>60</v>
      </c>
      <c r="B18" s="1220" t="s">
        <v>61</v>
      </c>
      <c r="C18" s="1220" t="s">
        <v>62</v>
      </c>
      <c r="D18" s="1225"/>
    </row>
    <row r="19" spans="1:4" ht="43.5" x14ac:dyDescent="0.35">
      <c r="A19" s="1216" t="s">
        <v>63</v>
      </c>
      <c r="B19" s="1220" t="s">
        <v>64</v>
      </c>
      <c r="C19" s="1220" t="s">
        <v>65</v>
      </c>
      <c r="D19" s="1225"/>
    </row>
    <row r="20" spans="1:4" ht="37.5" customHeight="1" x14ac:dyDescent="0.35">
      <c r="A20" s="1274" t="s">
        <v>1199</v>
      </c>
      <c r="B20" s="1275"/>
      <c r="C20" s="1276"/>
      <c r="D20" s="1225"/>
    </row>
    <row r="21" spans="1:4" x14ac:dyDescent="0.35">
      <c r="A21" s="1267" t="s">
        <v>66</v>
      </c>
      <c r="B21" s="1268"/>
      <c r="C21" s="1268"/>
      <c r="D21" s="1269"/>
    </row>
    <row r="22" spans="1:4" ht="29" x14ac:dyDescent="0.35">
      <c r="A22" s="1216" t="s">
        <v>67</v>
      </c>
      <c r="B22" s="1220" t="s">
        <v>83</v>
      </c>
      <c r="C22" s="1220" t="s">
        <v>68</v>
      </c>
      <c r="D22" s="1225"/>
    </row>
    <row r="23" spans="1:4" ht="72.5" x14ac:dyDescent="0.35">
      <c r="A23" s="1216" t="s">
        <v>69</v>
      </c>
      <c r="B23" s="1220" t="s">
        <v>70</v>
      </c>
      <c r="C23" s="1220" t="s">
        <v>71</v>
      </c>
      <c r="D23" s="1225"/>
    </row>
    <row r="24" spans="1:4" ht="29" x14ac:dyDescent="0.35">
      <c r="A24" s="1216" t="s">
        <v>72</v>
      </c>
      <c r="B24" s="1220" t="s">
        <v>73</v>
      </c>
      <c r="C24" s="1220" t="s">
        <v>74</v>
      </c>
      <c r="D24" s="1230"/>
    </row>
    <row r="25" spans="1:4" ht="101.5" x14ac:dyDescent="0.35">
      <c r="A25" s="1221" t="s">
        <v>75</v>
      </c>
      <c r="B25" s="1222" t="s">
        <v>76</v>
      </c>
      <c r="C25" s="1222" t="s">
        <v>77</v>
      </c>
      <c r="D25" s="1231"/>
    </row>
  </sheetData>
  <mergeCells count="10">
    <mergeCell ref="A21:D21"/>
    <mergeCell ref="A17:C17"/>
    <mergeCell ref="A20:C20"/>
    <mergeCell ref="A2:D2"/>
    <mergeCell ref="A11:D11"/>
    <mergeCell ref="B12:C12"/>
    <mergeCell ref="A16:D16"/>
    <mergeCell ref="B13:C13"/>
    <mergeCell ref="B14:C14"/>
    <mergeCell ref="B15:C15"/>
  </mergeCells>
  <conditionalFormatting sqref="D17:D20 D22:D137">
    <cfRule type="containsText" dxfId="6" priority="6" operator="containsText" text="Yes">
      <formula>NOT(ISERROR(SEARCH("Yes",D17)))</formula>
    </cfRule>
  </conditionalFormatting>
  <conditionalFormatting sqref="D4:D10">
    <cfRule type="containsText" dxfId="5" priority="5" operator="containsText" text="Yes">
      <formula>NOT(ISERROR(SEARCH("Yes",D4)))</formula>
    </cfRule>
  </conditionalFormatting>
  <conditionalFormatting sqref="D13:D15">
    <cfRule type="containsText" dxfId="4" priority="2" operator="containsText" text="Yes">
      <formula>NOT(ISERROR(SEARCH("Yes",D13)))</formula>
    </cfRule>
  </conditionalFormatting>
  <hyperlinks>
    <hyperlink ref="C6"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D10"/>
  <sheetViews>
    <sheetView zoomScale="58" workbookViewId="0">
      <selection activeCell="F5" sqref="F5"/>
    </sheetView>
  </sheetViews>
  <sheetFormatPr defaultColWidth="8.453125" defaultRowHeight="14.5" x14ac:dyDescent="0.35"/>
  <cols>
    <col min="1" max="1" width="23.7265625" customWidth="1"/>
    <col min="2" max="2" width="79.453125" customWidth="1"/>
    <col min="3" max="3" width="33.453125" customWidth="1"/>
  </cols>
  <sheetData>
    <row r="1" spans="1:4" s="26" customFormat="1" ht="47.65" customHeight="1" x14ac:dyDescent="0.35">
      <c r="A1" s="1248" t="s">
        <v>33</v>
      </c>
      <c r="B1" s="1249" t="s">
        <v>34</v>
      </c>
      <c r="C1" s="1249" t="s">
        <v>35</v>
      </c>
      <c r="D1" s="1250" t="s">
        <v>36</v>
      </c>
    </row>
    <row r="2" spans="1:4" ht="79.5" customHeight="1" x14ac:dyDescent="0.35">
      <c r="A2" s="1238" t="s">
        <v>84</v>
      </c>
      <c r="B2" s="1239" t="s">
        <v>85</v>
      </c>
      <c r="C2" s="1239" t="s">
        <v>86</v>
      </c>
      <c r="D2" s="1235"/>
    </row>
    <row r="3" spans="1:4" ht="63.75" customHeight="1" x14ac:dyDescent="0.35">
      <c r="A3" s="1216" t="s">
        <v>87</v>
      </c>
      <c r="B3" s="1220" t="s">
        <v>88</v>
      </c>
      <c r="C3" s="1220" t="s">
        <v>89</v>
      </c>
      <c r="D3" s="1236"/>
    </row>
    <row r="4" spans="1:4" ht="63.75" customHeight="1" x14ac:dyDescent="0.35">
      <c r="A4" s="1216" t="s">
        <v>90</v>
      </c>
      <c r="B4" s="1214" t="s">
        <v>40</v>
      </c>
      <c r="C4" s="1214" t="s">
        <v>41</v>
      </c>
      <c r="D4" s="1236"/>
    </row>
    <row r="5" spans="1:4" ht="137.25" customHeight="1" x14ac:dyDescent="0.35">
      <c r="A5" s="385" t="s">
        <v>91</v>
      </c>
      <c r="B5" s="1217" t="s">
        <v>92</v>
      </c>
      <c r="C5" s="1041"/>
      <c r="D5" s="1236"/>
    </row>
    <row r="6" spans="1:4" ht="29.25" customHeight="1" x14ac:dyDescent="0.35">
      <c r="A6" s="385" t="s">
        <v>93</v>
      </c>
      <c r="B6" s="1240" t="s">
        <v>94</v>
      </c>
      <c r="C6" s="1041" t="s">
        <v>95</v>
      </c>
      <c r="D6" s="1236"/>
    </row>
    <row r="7" spans="1:4" ht="43.5" x14ac:dyDescent="0.35">
      <c r="A7" s="1221" t="s">
        <v>96</v>
      </c>
      <c r="B7" s="1241" t="s">
        <v>97</v>
      </c>
      <c r="C7" s="1066" t="s">
        <v>98</v>
      </c>
      <c r="D7" s="1237"/>
    </row>
    <row r="9" spans="1:4" x14ac:dyDescent="0.35">
      <c r="B9" s="510"/>
    </row>
    <row r="10" spans="1:4" x14ac:dyDescent="0.35">
      <c r="B10" s="5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zoomScale="109" workbookViewId="0">
      <selection activeCell="I7" sqref="I7"/>
    </sheetView>
  </sheetViews>
  <sheetFormatPr defaultColWidth="8.453125" defaultRowHeight="14.5" x14ac:dyDescent="0.35"/>
  <cols>
    <col min="1" max="1" width="15.1796875" style="432" customWidth="1"/>
    <col min="2" max="2" width="28.453125" style="432" customWidth="1"/>
    <col min="3" max="3" width="25.1796875" style="432" customWidth="1"/>
    <col min="4" max="4" width="11.1796875" style="432" customWidth="1"/>
    <col min="5" max="5" width="15.1796875" style="432" customWidth="1"/>
    <col min="6" max="6" width="12.453125" style="432" customWidth="1"/>
    <col min="7" max="7" width="11.7265625" style="432" bestFit="1" customWidth="1"/>
    <col min="8" max="16384" width="8.453125" style="432"/>
  </cols>
  <sheetData>
    <row r="1" spans="1:11" s="437" customFormat="1" x14ac:dyDescent="0.35">
      <c r="A1" s="437" t="s">
        <v>99</v>
      </c>
      <c r="B1" s="437" t="s">
        <v>100</v>
      </c>
      <c r="C1" s="437" t="s">
        <v>101</v>
      </c>
      <c r="D1" s="437" t="s">
        <v>102</v>
      </c>
      <c r="E1" s="437" t="s">
        <v>103</v>
      </c>
      <c r="F1" s="437" t="s">
        <v>104</v>
      </c>
    </row>
    <row r="2" spans="1:11" x14ac:dyDescent="0.35">
      <c r="C2" s="432" t="str">
        <f>'Haver Pivoted'!A1</f>
        <v>name</v>
      </c>
      <c r="D2" s="438" t="s">
        <v>1209</v>
      </c>
      <c r="E2" s="438" t="s">
        <v>1212</v>
      </c>
      <c r="F2" s="438"/>
      <c r="H2" s="439"/>
    </row>
    <row r="3" spans="1:11" x14ac:dyDescent="0.35">
      <c r="B3" s="432" t="s">
        <v>105</v>
      </c>
      <c r="C3" s="432" t="str">
        <f>'Haver Pivoted'!A2</f>
        <v>gdp</v>
      </c>
      <c r="D3" s="432">
        <v>24008.5</v>
      </c>
      <c r="E3" s="432">
        <f>'Haver Pivoted'!HA2</f>
        <v>24002.799999999999</v>
      </c>
      <c r="F3" s="432">
        <f>E3-D3</f>
        <v>-5.7000000000007276</v>
      </c>
      <c r="G3" s="440">
        <f>F3/D3</f>
        <v>-2.3741591519673149E-4</v>
      </c>
      <c r="H3" s="441"/>
    </row>
    <row r="4" spans="1:11" x14ac:dyDescent="0.35">
      <c r="B4" s="432" t="s">
        <v>106</v>
      </c>
      <c r="C4" s="432" t="str">
        <f>'Haver Pivoted'!A3</f>
        <v>gdph</v>
      </c>
      <c r="D4" s="432">
        <v>19810.599999999999</v>
      </c>
      <c r="E4" s="432">
        <f>'Haver Pivoted'!HA3</f>
        <v>19806.3</v>
      </c>
      <c r="F4" s="432">
        <f t="shared" ref="F4:F67" si="0">E4-D4</f>
        <v>-4.2999999999992724</v>
      </c>
      <c r="G4" s="440">
        <f t="shared" ref="G4:G67" si="1">F4/D4</f>
        <v>-2.1705551573396428E-4</v>
      </c>
      <c r="H4" s="441"/>
    </row>
    <row r="5" spans="1:11" x14ac:dyDescent="0.35">
      <c r="B5" s="432" t="s">
        <v>107</v>
      </c>
      <c r="C5" s="432" t="str">
        <f>'Haver Pivoted'!A4</f>
        <v>jgdp</v>
      </c>
      <c r="D5" s="432">
        <v>121.32899999999999</v>
      </c>
      <c r="E5" s="432">
        <f>'Haver Pivoted'!HA4</f>
        <v>121.331</v>
      </c>
      <c r="F5" s="432">
        <f t="shared" si="0"/>
        <v>2.0000000000095497E-3</v>
      </c>
      <c r="G5" s="440">
        <f t="shared" si="1"/>
        <v>1.6484105201638105E-5</v>
      </c>
      <c r="H5" s="442"/>
    </row>
    <row r="6" spans="1:11" x14ac:dyDescent="0.35">
      <c r="B6" s="432" t="s">
        <v>108</v>
      </c>
      <c r="C6" s="432" t="str">
        <f>'Haver Pivoted'!A5</f>
        <v>c</v>
      </c>
      <c r="D6" s="432">
        <v>16335.5</v>
      </c>
      <c r="E6" s="432">
        <f>'Haver Pivoted'!HA5</f>
        <v>16314.2</v>
      </c>
      <c r="F6" s="432">
        <f t="shared" si="0"/>
        <v>-21.299999999999272</v>
      </c>
      <c r="G6" s="440">
        <f t="shared" si="1"/>
        <v>-1.3039086651770238E-3</v>
      </c>
    </row>
    <row r="7" spans="1:11" x14ac:dyDescent="0.35">
      <c r="B7" s="432" t="s">
        <v>109</v>
      </c>
      <c r="C7" s="432" t="str">
        <f>'Haver Pivoted'!A6</f>
        <v>ch</v>
      </c>
      <c r="D7" s="432">
        <v>13836.7</v>
      </c>
      <c r="E7" s="432">
        <f>'Haver Pivoted'!HA6</f>
        <v>13818.4</v>
      </c>
      <c r="F7" s="432">
        <f t="shared" si="0"/>
        <v>-18.300000000001091</v>
      </c>
      <c r="G7" s="440">
        <f t="shared" si="1"/>
        <v>-1.3225696878591783E-3</v>
      </c>
      <c r="K7" s="442"/>
    </row>
    <row r="8" spans="1:11" x14ac:dyDescent="0.35">
      <c r="B8" s="432" t="s">
        <v>110</v>
      </c>
      <c r="C8" s="432" t="str">
        <f>'Haver Pivoted'!A7</f>
        <v>jc</v>
      </c>
      <c r="D8" s="432">
        <v>118.078</v>
      </c>
      <c r="E8" s="432">
        <f>'Haver Pivoted'!HA7</f>
        <v>118.081</v>
      </c>
      <c r="F8" s="432">
        <f t="shared" si="0"/>
        <v>3.0000000000001137E-3</v>
      </c>
      <c r="G8" s="440">
        <f t="shared" si="1"/>
        <v>2.5406934399296344E-5</v>
      </c>
    </row>
    <row r="9" spans="1:11" x14ac:dyDescent="0.35">
      <c r="B9" s="432" t="s">
        <v>111</v>
      </c>
      <c r="C9" s="432" t="str">
        <f>'Haver Pivoted'!A8</f>
        <v>jgf</v>
      </c>
      <c r="D9" s="432">
        <v>118.294</v>
      </c>
      <c r="E9" s="432">
        <f>'Haver Pivoted'!HA8</f>
        <v>118.261</v>
      </c>
      <c r="F9" s="432">
        <f t="shared" si="0"/>
        <v>-3.3000000000001251E-2</v>
      </c>
      <c r="G9" s="440">
        <f t="shared" si="1"/>
        <v>-2.7896596615214E-4</v>
      </c>
    </row>
    <row r="10" spans="1:11" x14ac:dyDescent="0.35">
      <c r="B10" s="432" t="s">
        <v>112</v>
      </c>
      <c r="C10" s="432" t="str">
        <f>'Haver Pivoted'!A9</f>
        <v>jgs</v>
      </c>
      <c r="D10" s="432">
        <v>126.182</v>
      </c>
      <c r="E10" s="432">
        <f>'Haver Pivoted'!HA9</f>
        <v>126.18899999999999</v>
      </c>
      <c r="F10" s="432">
        <f t="shared" si="0"/>
        <v>6.9999999999907914E-3</v>
      </c>
      <c r="G10" s="440">
        <f t="shared" si="1"/>
        <v>5.5475424386923579E-5</v>
      </c>
    </row>
    <row r="11" spans="1:11" x14ac:dyDescent="0.35">
      <c r="B11" s="432" t="s">
        <v>113</v>
      </c>
      <c r="C11" s="432" t="str">
        <f>'Haver Pivoted'!A10</f>
        <v>jgse</v>
      </c>
      <c r="D11" s="432">
        <v>125.69199999999999</v>
      </c>
      <c r="E11" s="432">
        <f>'Haver Pivoted'!HA10</f>
        <v>125.712</v>
      </c>
      <c r="F11" s="432">
        <f t="shared" si="0"/>
        <v>2.0000000000010232E-2</v>
      </c>
      <c r="G11" s="440">
        <f t="shared" si="1"/>
        <v>1.5911911657074621E-4</v>
      </c>
    </row>
    <row r="12" spans="1:11" x14ac:dyDescent="0.35">
      <c r="B12" s="432" t="s">
        <v>114</v>
      </c>
      <c r="C12" s="432" t="str">
        <f>'Haver Pivoted'!A11</f>
        <v>jgsi</v>
      </c>
      <c r="D12" s="432">
        <v>128.50299999999999</v>
      </c>
      <c r="E12" s="432">
        <f>'Haver Pivoted'!HA11</f>
        <v>128.44900000000001</v>
      </c>
      <c r="F12" s="432">
        <f t="shared" si="0"/>
        <v>-5.3999999999973625E-2</v>
      </c>
      <c r="G12" s="440">
        <f t="shared" si="1"/>
        <v>-4.2022365236588739E-4</v>
      </c>
    </row>
    <row r="13" spans="1:11" x14ac:dyDescent="0.35">
      <c r="A13" s="432" t="s">
        <v>55</v>
      </c>
      <c r="B13" s="432" t="s">
        <v>55</v>
      </c>
      <c r="C13" s="432" t="str">
        <f>'Haver Pivoted'!A12</f>
        <v>yptmr</v>
      </c>
      <c r="D13" s="432">
        <v>847.9</v>
      </c>
      <c r="E13" s="432">
        <f>'Haver Pivoted'!HA12</f>
        <v>847.9</v>
      </c>
      <c r="F13" s="432">
        <f t="shared" si="0"/>
        <v>0</v>
      </c>
      <c r="G13" s="440">
        <f t="shared" si="1"/>
        <v>0</v>
      </c>
      <c r="I13" s="443"/>
    </row>
    <row r="14" spans="1:11" x14ac:dyDescent="0.35">
      <c r="A14" s="432" t="s">
        <v>54</v>
      </c>
      <c r="B14" s="432" t="s">
        <v>115</v>
      </c>
      <c r="C14" s="432" t="str">
        <f>'Haver Pivoted'!A13</f>
        <v>yptmd</v>
      </c>
      <c r="D14" s="432">
        <v>781.6</v>
      </c>
      <c r="E14" s="432">
        <f>'Haver Pivoted'!HA13</f>
        <v>782.9</v>
      </c>
      <c r="F14" s="432">
        <f t="shared" si="0"/>
        <v>1.2999999999999545</v>
      </c>
      <c r="G14" s="440">
        <f t="shared" si="1"/>
        <v>1.6632548618218455E-3</v>
      </c>
    </row>
    <row r="15" spans="1:11" x14ac:dyDescent="0.35">
      <c r="A15" s="432" t="s">
        <v>53</v>
      </c>
      <c r="B15" s="432" t="s">
        <v>116</v>
      </c>
      <c r="C15" s="432" t="str">
        <f>'Haver Pivoted'!A14</f>
        <v>yptu</v>
      </c>
      <c r="D15" s="432">
        <v>37.6</v>
      </c>
      <c r="E15" s="432">
        <f>'Haver Pivoted'!HA14</f>
        <v>37.700000000000003</v>
      </c>
      <c r="F15" s="432">
        <f t="shared" si="0"/>
        <v>0.10000000000000142</v>
      </c>
      <c r="G15" s="440">
        <f t="shared" si="1"/>
        <v>2.659574468085144E-3</v>
      </c>
    </row>
    <row r="16" spans="1:11" x14ac:dyDescent="0.35">
      <c r="B16" s="432" t="s">
        <v>57</v>
      </c>
      <c r="C16" s="432" t="str">
        <f>'Haver Pivoted'!A15</f>
        <v>gtfp</v>
      </c>
      <c r="D16" s="432">
        <v>3877</v>
      </c>
      <c r="E16" s="432">
        <f>'Haver Pivoted'!HA15</f>
        <v>3875.5</v>
      </c>
      <c r="F16" s="432">
        <f t="shared" si="0"/>
        <v>-1.5</v>
      </c>
      <c r="G16" s="440">
        <f t="shared" si="1"/>
        <v>-3.8689708537529015E-4</v>
      </c>
    </row>
    <row r="17" spans="1:7" x14ac:dyDescent="0.35">
      <c r="B17" s="432" t="s">
        <v>117</v>
      </c>
      <c r="C17" s="432" t="str">
        <f>'Haver Pivoted'!A16</f>
        <v>ypog</v>
      </c>
      <c r="D17" s="432">
        <v>117.5</v>
      </c>
      <c r="E17" s="432">
        <f>'Haver Pivoted'!HA16</f>
        <v>117.5</v>
      </c>
      <c r="F17" s="432">
        <f t="shared" si="0"/>
        <v>0</v>
      </c>
      <c r="G17" s="440">
        <f t="shared" si="1"/>
        <v>0</v>
      </c>
    </row>
    <row r="18" spans="1:7" x14ac:dyDescent="0.35">
      <c r="B18" s="432" t="s">
        <v>118</v>
      </c>
      <c r="C18" s="432" t="str">
        <f>'Haver Pivoted'!A17</f>
        <v>yptx</v>
      </c>
      <c r="D18" s="432">
        <v>2744.4</v>
      </c>
      <c r="E18" s="432">
        <f>'Haver Pivoted'!HA17</f>
        <v>2744.9</v>
      </c>
      <c r="F18" s="432">
        <f t="shared" si="0"/>
        <v>0.5</v>
      </c>
      <c r="G18" s="440">
        <f t="shared" si="1"/>
        <v>1.8218918524996356E-4</v>
      </c>
    </row>
    <row r="19" spans="1:7" x14ac:dyDescent="0.35">
      <c r="B19" s="432" t="s">
        <v>119</v>
      </c>
      <c r="C19" s="432" t="str">
        <f>'Haver Pivoted'!A18</f>
        <v>ytpi</v>
      </c>
      <c r="D19" s="432">
        <v>1694.7</v>
      </c>
      <c r="E19" s="432">
        <f>'Haver Pivoted'!HA18</f>
        <v>1693.4</v>
      </c>
      <c r="F19" s="432">
        <f t="shared" si="0"/>
        <v>-1.2999999999999545</v>
      </c>
      <c r="G19" s="440">
        <f t="shared" si="1"/>
        <v>-7.6709742137248747E-4</v>
      </c>
    </row>
    <row r="20" spans="1:7" x14ac:dyDescent="0.35">
      <c r="B20" s="432" t="s">
        <v>120</v>
      </c>
      <c r="C20" s="432" t="str">
        <f>'Haver Pivoted'!A19</f>
        <v>yctlg</v>
      </c>
      <c r="D20" s="432">
        <v>360</v>
      </c>
      <c r="E20" s="432">
        <f>'Haver Pivoted'!HA19</f>
        <v>396.6</v>
      </c>
      <c r="F20" s="432">
        <f t="shared" si="0"/>
        <v>36.600000000000023</v>
      </c>
      <c r="G20" s="440">
        <f t="shared" si="1"/>
        <v>0.10166666666666672</v>
      </c>
    </row>
    <row r="21" spans="1:7" x14ac:dyDescent="0.35">
      <c r="B21" s="432" t="s">
        <v>121</v>
      </c>
      <c r="C21" s="432" t="str">
        <f>'Haver Pivoted'!A20</f>
        <v>g</v>
      </c>
      <c r="D21" s="432">
        <v>4134</v>
      </c>
      <c r="E21" s="432">
        <f>'Haver Pivoted'!HA20</f>
        <v>4132.8999999999996</v>
      </c>
      <c r="F21" s="432">
        <f t="shared" si="0"/>
        <v>-1.1000000000003638</v>
      </c>
      <c r="G21" s="440">
        <f t="shared" si="1"/>
        <v>-2.6608611514280692E-4</v>
      </c>
    </row>
    <row r="22" spans="1:7" x14ac:dyDescent="0.35">
      <c r="B22" s="432" t="s">
        <v>122</v>
      </c>
      <c r="C22" s="432" t="str">
        <f>'Haver Pivoted'!A21</f>
        <v>grcsi</v>
      </c>
      <c r="D22" s="432">
        <v>1652.8</v>
      </c>
      <c r="E22" s="432">
        <f>'Haver Pivoted'!HA21</f>
        <v>1652.9</v>
      </c>
      <c r="F22" s="432">
        <f t="shared" si="0"/>
        <v>0.10000000000013642</v>
      </c>
      <c r="G22" s="440">
        <f t="shared" si="1"/>
        <v>6.0503388189821169E-5</v>
      </c>
    </row>
    <row r="23" spans="1:7" x14ac:dyDescent="0.35">
      <c r="B23" s="432" t="s">
        <v>110</v>
      </c>
      <c r="C23" s="432" t="str">
        <f>'Haver Pivoted'!A22</f>
        <v>dc</v>
      </c>
      <c r="D23" s="432">
        <v>118.059</v>
      </c>
      <c r="E23" s="432">
        <f>'Haver Pivoted'!HA22</f>
        <v>118.062</v>
      </c>
      <c r="F23" s="432">
        <f t="shared" si="0"/>
        <v>3.0000000000001137E-3</v>
      </c>
      <c r="G23" s="440">
        <f t="shared" si="1"/>
        <v>2.541102330190933E-5</v>
      </c>
    </row>
    <row r="24" spans="1:7" x14ac:dyDescent="0.35">
      <c r="A24" s="432" t="s">
        <v>123</v>
      </c>
      <c r="B24" s="432" t="s">
        <v>124</v>
      </c>
      <c r="C24" s="432" t="str">
        <f>'Haver Pivoted'!A23</f>
        <v>gf</v>
      </c>
      <c r="D24" s="432">
        <v>1566.1</v>
      </c>
      <c r="E24" s="432">
        <f>'Haver Pivoted'!HA23</f>
        <v>1566.2</v>
      </c>
      <c r="F24" s="432">
        <f t="shared" si="0"/>
        <v>0.10000000000013642</v>
      </c>
      <c r="G24" s="440">
        <f t="shared" si="1"/>
        <v>6.385288295775266E-5</v>
      </c>
    </row>
    <row r="25" spans="1:7" x14ac:dyDescent="0.35">
      <c r="A25" s="432" t="s">
        <v>123</v>
      </c>
      <c r="B25" s="432" t="s">
        <v>125</v>
      </c>
      <c r="C25" s="432" t="str">
        <f>'Haver Pivoted'!A24</f>
        <v>gs</v>
      </c>
      <c r="D25" s="432">
        <v>2567.9</v>
      </c>
      <c r="E25" s="432">
        <f>'Haver Pivoted'!HA24</f>
        <v>2566.6999999999998</v>
      </c>
      <c r="F25" s="432">
        <f t="shared" si="0"/>
        <v>-1.2000000000002728</v>
      </c>
      <c r="G25" s="440">
        <f t="shared" si="1"/>
        <v>-4.6730791697506633E-4</v>
      </c>
    </row>
    <row r="26" spans="1:7" x14ac:dyDescent="0.35">
      <c r="B26" s="432" t="s">
        <v>126</v>
      </c>
      <c r="C26" s="432" t="str">
        <f>'Haver Pivoted'!A25</f>
        <v>gfh</v>
      </c>
      <c r="D26" s="432">
        <v>1323.9</v>
      </c>
      <c r="E26" s="432">
        <f>'Haver Pivoted'!HA25</f>
        <v>1324.3</v>
      </c>
      <c r="F26" s="432">
        <f t="shared" si="0"/>
        <v>0.39999999999986358</v>
      </c>
      <c r="G26" s="440">
        <f t="shared" si="1"/>
        <v>3.0213762368748665E-4</v>
      </c>
    </row>
    <row r="27" spans="1:7" x14ac:dyDescent="0.35">
      <c r="B27" s="432" t="s">
        <v>127</v>
      </c>
      <c r="C27" s="432" t="str">
        <f>'Haver Pivoted'!A26</f>
        <v>gsh</v>
      </c>
      <c r="D27" s="432">
        <v>2035.1</v>
      </c>
      <c r="E27" s="432">
        <f>'Haver Pivoted'!HA26</f>
        <v>2034</v>
      </c>
      <c r="F27" s="432">
        <f t="shared" si="0"/>
        <v>-1.0999999999999091</v>
      </c>
      <c r="G27" s="440">
        <f t="shared" si="1"/>
        <v>-5.4051397965697464E-4</v>
      </c>
    </row>
    <row r="28" spans="1:7" x14ac:dyDescent="0.35">
      <c r="A28" s="432" t="s">
        <v>58</v>
      </c>
      <c r="B28" s="432" t="s">
        <v>128</v>
      </c>
      <c r="C28" s="432" t="s">
        <v>129</v>
      </c>
      <c r="D28" s="432">
        <v>2115.4</v>
      </c>
      <c r="E28" s="432">
        <f>'Haver Pivoted'!HA27</f>
        <v>2115.8000000000002</v>
      </c>
      <c r="F28" s="432">
        <f t="shared" si="0"/>
        <v>0.40000000000009095</v>
      </c>
      <c r="G28" s="440">
        <f t="shared" si="1"/>
        <v>1.8908953389434194E-4</v>
      </c>
    </row>
    <row r="29" spans="1:7" x14ac:dyDescent="0.35">
      <c r="A29" s="432" t="s">
        <v>58</v>
      </c>
      <c r="B29" s="432" t="s">
        <v>130</v>
      </c>
      <c r="C29" s="432" t="s">
        <v>131</v>
      </c>
      <c r="D29" s="432">
        <v>178.4</v>
      </c>
      <c r="E29" s="432">
        <f>'Haver Pivoted'!HA28</f>
        <v>178.3</v>
      </c>
      <c r="F29" s="432">
        <f t="shared" si="0"/>
        <v>-9.9999999999994316E-2</v>
      </c>
      <c r="G29" s="440">
        <f t="shared" si="1"/>
        <v>-5.6053811659189637E-4</v>
      </c>
    </row>
    <row r="30" spans="1:7" x14ac:dyDescent="0.35">
      <c r="A30" s="432" t="s">
        <v>58</v>
      </c>
      <c r="B30" s="432" t="s">
        <v>132</v>
      </c>
      <c r="C30" s="432" t="s">
        <v>133</v>
      </c>
      <c r="D30" s="432">
        <v>269.13333333333298</v>
      </c>
      <c r="E30" s="432">
        <f>'Haver Pivoted'!HA29</f>
        <v>281.2</v>
      </c>
      <c r="F30" s="432">
        <f t="shared" si="0"/>
        <v>12.066666666667004</v>
      </c>
      <c r="G30" s="440">
        <f t="shared" si="1"/>
        <v>4.4835273718108817E-2</v>
      </c>
    </row>
    <row r="31" spans="1:7" x14ac:dyDescent="0.35">
      <c r="A31" s="432" t="s">
        <v>58</v>
      </c>
      <c r="B31" s="432" t="s">
        <v>134</v>
      </c>
      <c r="C31" s="432" t="s">
        <v>135</v>
      </c>
      <c r="D31" s="432">
        <v>1630</v>
      </c>
      <c r="E31" s="432">
        <f>'Haver Pivoted'!HA30</f>
        <v>1630.1</v>
      </c>
      <c r="F31" s="432">
        <f t="shared" si="0"/>
        <v>9.9999999999909051E-2</v>
      </c>
      <c r="G31" s="440">
        <f t="shared" si="1"/>
        <v>6.134969325147795E-5</v>
      </c>
    </row>
    <row r="32" spans="1:7" x14ac:dyDescent="0.35">
      <c r="A32" s="432" t="s">
        <v>136</v>
      </c>
      <c r="B32" s="432" t="s">
        <v>137</v>
      </c>
      <c r="C32" s="432" t="str">
        <f>'Haver Pivoted'!A31</f>
        <v>gftfp</v>
      </c>
      <c r="D32" s="432">
        <v>2939.1</v>
      </c>
      <c r="E32" s="432">
        <f>'Haver Pivoted'!HA31</f>
        <v>2936.3</v>
      </c>
      <c r="F32" s="432">
        <f t="shared" si="0"/>
        <v>-2.7999999999997272</v>
      </c>
      <c r="G32" s="440">
        <f t="shared" si="1"/>
        <v>-9.5267258684622071E-4</v>
      </c>
    </row>
    <row r="33" spans="1:10" x14ac:dyDescent="0.35">
      <c r="A33" s="432" t="s">
        <v>51</v>
      </c>
      <c r="B33" s="431" t="s">
        <v>138</v>
      </c>
      <c r="C33" s="432" t="str">
        <f>'Haver Pivoted'!A32</f>
        <v>gfeg</v>
      </c>
      <c r="D33" s="432">
        <v>897.9</v>
      </c>
      <c r="E33" s="432">
        <f>'Haver Pivoted'!HA32</f>
        <v>904.2</v>
      </c>
      <c r="F33" s="432">
        <f t="shared" si="0"/>
        <v>6.3000000000000682</v>
      </c>
      <c r="G33" s="440">
        <f t="shared" si="1"/>
        <v>7.0163715335784258E-3</v>
      </c>
    </row>
    <row r="34" spans="1:10" x14ac:dyDescent="0.35">
      <c r="A34" s="432" t="s">
        <v>58</v>
      </c>
      <c r="B34" s="432" t="s">
        <v>139</v>
      </c>
      <c r="C34" s="432" t="str">
        <f>'Haver Pivoted'!A33</f>
        <v>gsrpt</v>
      </c>
      <c r="D34" s="432">
        <v>629</v>
      </c>
      <c r="E34" s="432">
        <f>'Haver Pivoted'!HA33</f>
        <v>629.1</v>
      </c>
      <c r="F34" s="432">
        <f t="shared" si="0"/>
        <v>0.10000000000002274</v>
      </c>
      <c r="G34" s="440">
        <f t="shared" si="1"/>
        <v>1.5898251192372455E-4</v>
      </c>
    </row>
    <row r="35" spans="1:10" x14ac:dyDescent="0.35">
      <c r="A35" s="432" t="s">
        <v>58</v>
      </c>
      <c r="B35" s="432" t="s">
        <v>140</v>
      </c>
      <c r="C35" s="432" t="str">
        <f>'Haver Pivoted'!A34</f>
        <v>gsrpri</v>
      </c>
      <c r="D35" s="432">
        <v>1516.3</v>
      </c>
      <c r="E35" s="432">
        <f>'Haver Pivoted'!HA34</f>
        <v>1515.2</v>
      </c>
      <c r="F35" s="432">
        <f t="shared" si="0"/>
        <v>-1.0999999999999091</v>
      </c>
      <c r="G35" s="440">
        <f t="shared" si="1"/>
        <v>-7.2545010881745634E-4</v>
      </c>
    </row>
    <row r="36" spans="1:10" x14ac:dyDescent="0.35">
      <c r="A36" s="432" t="s">
        <v>58</v>
      </c>
      <c r="B36" s="432" t="s">
        <v>141</v>
      </c>
      <c r="C36" s="432" t="str">
        <f>'Haver Pivoted'!A35</f>
        <v>gsrcp</v>
      </c>
      <c r="D36" s="432">
        <v>90.9</v>
      </c>
      <c r="E36" s="432">
        <f>'Haver Pivoted'!HA35</f>
        <v>115.4</v>
      </c>
      <c r="F36" s="432">
        <f t="shared" si="0"/>
        <v>24.5</v>
      </c>
      <c r="G36" s="440">
        <f t="shared" si="1"/>
        <v>0.26952695269526949</v>
      </c>
    </row>
    <row r="37" spans="1:10" x14ac:dyDescent="0.35">
      <c r="A37" s="432" t="s">
        <v>58</v>
      </c>
      <c r="B37" s="432" t="s">
        <v>142</v>
      </c>
      <c r="C37" s="432" t="str">
        <f>'Haver Pivoted'!A36</f>
        <v>gsrs</v>
      </c>
      <c r="D37" s="432">
        <v>22.8</v>
      </c>
      <c r="E37" s="432">
        <f>'Haver Pivoted'!HA36</f>
        <v>22.8</v>
      </c>
      <c r="F37" s="432">
        <f t="shared" si="0"/>
        <v>0</v>
      </c>
      <c r="G37" s="440">
        <f t="shared" si="1"/>
        <v>0</v>
      </c>
    </row>
    <row r="38" spans="1:10" x14ac:dyDescent="0.35">
      <c r="A38" s="432" t="s">
        <v>57</v>
      </c>
      <c r="B38" s="432" t="s">
        <v>143</v>
      </c>
      <c r="C38" s="432" t="str">
        <f>'Haver Pivoted'!A37</f>
        <v>gstfp</v>
      </c>
      <c r="D38" s="432">
        <v>937.9</v>
      </c>
      <c r="E38" s="432">
        <f>'Haver Pivoted'!HA37</f>
        <v>939.2</v>
      </c>
      <c r="F38" s="432">
        <f t="shared" si="0"/>
        <v>1.3000000000000682</v>
      </c>
      <c r="G38" s="440">
        <f t="shared" si="1"/>
        <v>1.3860752745495984E-3</v>
      </c>
    </row>
    <row r="39" spans="1:10" x14ac:dyDescent="0.35">
      <c r="B39" s="432" t="s">
        <v>144</v>
      </c>
      <c r="C39" s="432" t="str">
        <f>'Haver Pivoted'!A38</f>
        <v>gset</v>
      </c>
      <c r="D39" s="432">
        <v>3474.5</v>
      </c>
      <c r="E39" s="432">
        <f>'Haver Pivoted'!HA38</f>
        <v>3474.7</v>
      </c>
      <c r="F39" s="432">
        <f t="shared" si="0"/>
        <v>0.1999999999998181</v>
      </c>
      <c r="G39" s="440">
        <f t="shared" si="1"/>
        <v>5.7562239171051401E-5</v>
      </c>
    </row>
    <row r="40" spans="1:10" x14ac:dyDescent="0.35">
      <c r="B40" s="432" t="s">
        <v>145</v>
      </c>
      <c r="C40" s="432" t="str">
        <f>'Haver Pivoted'!A39</f>
        <v>gfeghhx</v>
      </c>
      <c r="D40" s="432">
        <v>592.49800000000005</v>
      </c>
      <c r="E40" s="432">
        <f>'Haver Pivoted'!HA39</f>
        <v>592.41999999999996</v>
      </c>
      <c r="F40" s="432">
        <f t="shared" si="0"/>
        <v>-7.8000000000088221E-2</v>
      </c>
      <c r="G40" s="440">
        <f t="shared" si="1"/>
        <v>-1.3164601399513284E-4</v>
      </c>
    </row>
    <row r="41" spans="1:10" x14ac:dyDescent="0.35">
      <c r="A41" s="432" t="s">
        <v>146</v>
      </c>
      <c r="B41" s="432" t="s">
        <v>147</v>
      </c>
      <c r="C41" s="432" t="str">
        <f>'Haver Pivoted'!A40</f>
        <v>gfeghdx</v>
      </c>
      <c r="D41" s="432">
        <v>541.89200000000005</v>
      </c>
      <c r="E41" s="432">
        <f>'Haver Pivoted'!HA40</f>
        <v>541.83299999999997</v>
      </c>
      <c r="F41" s="432">
        <f t="shared" si="0"/>
        <v>-5.9000000000082764E-2</v>
      </c>
      <c r="G41" s="440">
        <f t="shared" si="1"/>
        <v>-1.0887778376518339E-4</v>
      </c>
    </row>
    <row r="42" spans="1:10" x14ac:dyDescent="0.35">
      <c r="A42" s="432" t="s">
        <v>51</v>
      </c>
      <c r="B42" s="432" t="s">
        <v>148</v>
      </c>
      <c r="C42" s="432" t="str">
        <f>'Haver Pivoted'!A41</f>
        <v>gfeigx</v>
      </c>
      <c r="D42" s="432">
        <v>73.727000000000004</v>
      </c>
      <c r="E42" s="432">
        <f>'Haver Pivoted'!HA41</f>
        <v>74.768000000000001</v>
      </c>
      <c r="F42" s="432">
        <f t="shared" si="0"/>
        <v>1.0409999999999968</v>
      </c>
      <c r="G42" s="440">
        <f t="shared" si="1"/>
        <v>1.4119657655946895E-2</v>
      </c>
    </row>
    <row r="43" spans="1:10" x14ac:dyDescent="0.35">
      <c r="B43" s="432" t="s">
        <v>149</v>
      </c>
      <c r="C43" s="432" t="str">
        <f>'Haver Pivoted'!A42</f>
        <v>gfsub</v>
      </c>
      <c r="D43" s="432">
        <v>304.5</v>
      </c>
      <c r="E43" s="432">
        <f>'Haver Pivoted'!HA42</f>
        <v>304.7</v>
      </c>
      <c r="F43" s="432">
        <f t="shared" si="0"/>
        <v>0.19999999999998863</v>
      </c>
      <c r="G43" s="440">
        <f t="shared" si="1"/>
        <v>6.5681444991786081E-4</v>
      </c>
      <c r="I43" s="444"/>
      <c r="J43" s="441"/>
    </row>
    <row r="44" spans="1:10" x14ac:dyDescent="0.35">
      <c r="B44" s="432" t="s">
        <v>150</v>
      </c>
      <c r="C44" s="432" t="str">
        <f>'Haver Pivoted'!A43</f>
        <v>gssub</v>
      </c>
      <c r="D44" s="432">
        <v>0.6</v>
      </c>
      <c r="E44" s="432">
        <f>'Haver Pivoted'!HA43</f>
        <v>0.6</v>
      </c>
      <c r="F44" s="432">
        <f t="shared" si="0"/>
        <v>0</v>
      </c>
      <c r="G44" s="440">
        <f t="shared" si="1"/>
        <v>0</v>
      </c>
      <c r="I44" s="433"/>
      <c r="J44" s="441"/>
    </row>
    <row r="45" spans="1:10" x14ac:dyDescent="0.35">
      <c r="B45" s="432" t="s">
        <v>52</v>
      </c>
      <c r="C45" s="432" t="str">
        <f>'Haver Pivoted'!A44</f>
        <v>gsub</v>
      </c>
      <c r="D45" s="432">
        <v>305.2</v>
      </c>
      <c r="E45" s="432">
        <f>'Haver Pivoted'!HA44</f>
        <v>305.3</v>
      </c>
      <c r="F45" s="432">
        <f t="shared" si="0"/>
        <v>0.10000000000002274</v>
      </c>
      <c r="G45" s="440">
        <f t="shared" si="1"/>
        <v>3.2765399737884251E-4</v>
      </c>
      <c r="I45" s="433"/>
      <c r="J45" s="442"/>
    </row>
    <row r="46" spans="1:10" x14ac:dyDescent="0.35">
      <c r="A46" s="432" t="s">
        <v>56</v>
      </c>
      <c r="B46" s="432" t="s">
        <v>56</v>
      </c>
      <c r="C46" s="432" t="str">
        <f>'Haver Pivoted'!A45</f>
        <v>gftfpe</v>
      </c>
      <c r="D46" s="432">
        <v>14.2</v>
      </c>
      <c r="E46" s="432">
        <f>'Haver Pivoted'!HA45</f>
        <v>14.2</v>
      </c>
      <c r="F46" s="432">
        <f t="shared" si="0"/>
        <v>0</v>
      </c>
      <c r="G46" s="440">
        <f t="shared" si="1"/>
        <v>0</v>
      </c>
      <c r="I46" s="433"/>
      <c r="J46" s="442"/>
    </row>
    <row r="47" spans="1:10" x14ac:dyDescent="0.35">
      <c r="B47" s="432" t="s">
        <v>151</v>
      </c>
      <c r="C47" s="432" t="str">
        <f>'Haver Pivoted'!A46</f>
        <v>gftfpr</v>
      </c>
      <c r="D47" s="432">
        <v>14.6</v>
      </c>
      <c r="E47" s="432">
        <f>'Haver Pivoted'!HA46</f>
        <v>14.6</v>
      </c>
      <c r="F47" s="432">
        <f t="shared" si="0"/>
        <v>0</v>
      </c>
      <c r="G47" s="440">
        <f t="shared" si="1"/>
        <v>0</v>
      </c>
      <c r="I47" s="433"/>
      <c r="J47" s="442"/>
    </row>
    <row r="48" spans="1:10" x14ac:dyDescent="0.35">
      <c r="A48" s="432" t="s">
        <v>50</v>
      </c>
      <c r="B48" s="432" t="s">
        <v>152</v>
      </c>
      <c r="C48" s="432" t="str">
        <f>'Haver Pivoted'!A47</f>
        <v>gftfpp</v>
      </c>
      <c r="D48" s="432">
        <v>2</v>
      </c>
      <c r="E48" s="432">
        <f>'Haver Pivoted'!HA47</f>
        <v>2</v>
      </c>
      <c r="F48" s="432">
        <f t="shared" si="0"/>
        <v>0</v>
      </c>
      <c r="G48" s="440">
        <f t="shared" si="1"/>
        <v>0</v>
      </c>
      <c r="J48" s="442"/>
    </row>
    <row r="49" spans="1:9" x14ac:dyDescent="0.35">
      <c r="A49" s="432" t="s">
        <v>49</v>
      </c>
      <c r="B49" s="432" t="s">
        <v>153</v>
      </c>
      <c r="C49" s="432" t="str">
        <f>'Haver Pivoted'!A48</f>
        <v>gftfpv</v>
      </c>
      <c r="D49" s="432">
        <v>64.400000000000006</v>
      </c>
      <c r="E49" s="432">
        <f>'Haver Pivoted'!HA48</f>
        <v>64.400000000000006</v>
      </c>
      <c r="F49" s="432">
        <f t="shared" si="0"/>
        <v>0</v>
      </c>
      <c r="G49" s="440">
        <f t="shared" si="1"/>
        <v>0</v>
      </c>
      <c r="H49" s="434"/>
      <c r="I49" s="434"/>
    </row>
    <row r="50" spans="1:9" x14ac:dyDescent="0.35">
      <c r="A50" s="432" t="s">
        <v>154</v>
      </c>
      <c r="B50" s="257" t="s">
        <v>155</v>
      </c>
      <c r="C50" s="432" t="str">
        <f>'Haver Pivoted'!A49</f>
        <v>gfsubp</v>
      </c>
      <c r="D50" s="432">
        <v>28.6</v>
      </c>
      <c r="E50" s="432">
        <f>'Haver Pivoted'!HA49</f>
        <v>28.6</v>
      </c>
      <c r="F50" s="432">
        <f t="shared" si="0"/>
        <v>0</v>
      </c>
      <c r="G50" s="440">
        <f t="shared" si="1"/>
        <v>0</v>
      </c>
      <c r="H50" s="88"/>
      <c r="I50" s="99"/>
    </row>
    <row r="51" spans="1:9" x14ac:dyDescent="0.35">
      <c r="A51" s="432" t="s">
        <v>52</v>
      </c>
      <c r="B51" s="257" t="s">
        <v>156</v>
      </c>
      <c r="C51" s="432" t="str">
        <f>'Haver Pivoted'!A50</f>
        <v>gfsubg</v>
      </c>
      <c r="D51" s="432">
        <v>0</v>
      </c>
      <c r="E51" s="432">
        <f>'Haver Pivoted'!HA50</f>
        <v>0</v>
      </c>
      <c r="F51" s="432">
        <f t="shared" si="0"/>
        <v>0</v>
      </c>
      <c r="G51" s="440" t="e">
        <f t="shared" si="1"/>
        <v>#DIV/0!</v>
      </c>
      <c r="H51" s="87"/>
      <c r="I51" s="471"/>
    </row>
    <row r="52" spans="1:9" x14ac:dyDescent="0.35">
      <c r="A52" s="432" t="s">
        <v>52</v>
      </c>
      <c r="B52" s="257" t="s">
        <v>157</v>
      </c>
      <c r="C52" s="432" t="str">
        <f>'Haver Pivoted'!A51</f>
        <v>gfsube</v>
      </c>
      <c r="D52" s="432">
        <v>62.9</v>
      </c>
      <c r="E52" s="432">
        <f>'Haver Pivoted'!HA51</f>
        <v>62.9</v>
      </c>
      <c r="F52" s="432">
        <f t="shared" si="0"/>
        <v>0</v>
      </c>
      <c r="G52" s="440">
        <f t="shared" si="1"/>
        <v>0</v>
      </c>
      <c r="H52" s="240"/>
      <c r="I52" s="99"/>
    </row>
    <row r="53" spans="1:9" x14ac:dyDescent="0.35">
      <c r="A53" s="432" t="s">
        <v>52</v>
      </c>
      <c r="B53" s="257" t="s">
        <v>158</v>
      </c>
      <c r="C53" s="432" t="str">
        <f>'Haver Pivoted'!A52</f>
        <v>gfsubs</v>
      </c>
      <c r="D53" s="432">
        <v>15.7</v>
      </c>
      <c r="E53" s="432">
        <f>'Haver Pivoted'!HA52</f>
        <v>15.7</v>
      </c>
      <c r="F53" s="432">
        <f t="shared" si="0"/>
        <v>0</v>
      </c>
      <c r="G53" s="440">
        <f t="shared" si="1"/>
        <v>0</v>
      </c>
      <c r="H53" s="240"/>
      <c r="I53" s="99"/>
    </row>
    <row r="54" spans="1:9" x14ac:dyDescent="0.35">
      <c r="A54" s="432" t="s">
        <v>52</v>
      </c>
      <c r="B54" s="257" t="s">
        <v>159</v>
      </c>
      <c r="C54" s="432" t="str">
        <f>'Haver Pivoted'!A53</f>
        <v>gfsubf</v>
      </c>
      <c r="D54" s="432">
        <v>1.2</v>
      </c>
      <c r="E54" s="432">
        <f>'Haver Pivoted'!HA53</f>
        <v>1.2</v>
      </c>
      <c r="F54" s="432">
        <f t="shared" si="0"/>
        <v>0</v>
      </c>
      <c r="G54" s="440">
        <f t="shared" si="1"/>
        <v>0</v>
      </c>
      <c r="H54" s="88"/>
      <c r="I54" s="99"/>
    </row>
    <row r="55" spans="1:9" x14ac:dyDescent="0.35">
      <c r="A55" s="432" t="s">
        <v>160</v>
      </c>
      <c r="B55" s="257" t="s">
        <v>161</v>
      </c>
      <c r="C55" s="432" t="str">
        <f>'Haver Pivoted'!A54</f>
        <v>gfsubv</v>
      </c>
      <c r="D55" s="432">
        <v>38.700000000000003</v>
      </c>
      <c r="E55" s="432">
        <f>'Haver Pivoted'!HA54</f>
        <v>38.700000000000003</v>
      </c>
      <c r="F55" s="432">
        <f t="shared" si="0"/>
        <v>0</v>
      </c>
      <c r="G55" s="440">
        <f t="shared" si="1"/>
        <v>0</v>
      </c>
      <c r="H55"/>
      <c r="I55"/>
    </row>
    <row r="56" spans="1:9" x14ac:dyDescent="0.35">
      <c r="A56" s="432" t="s">
        <v>52</v>
      </c>
      <c r="B56" s="257" t="s">
        <v>162</v>
      </c>
      <c r="C56" s="432" t="str">
        <f>'Haver Pivoted'!A55</f>
        <v>gfsubk</v>
      </c>
      <c r="D56" s="432">
        <v>8</v>
      </c>
      <c r="E56" s="432">
        <f>'Haver Pivoted'!HA55</f>
        <v>8</v>
      </c>
      <c r="F56" s="432">
        <f t="shared" si="0"/>
        <v>0</v>
      </c>
      <c r="G56" s="440">
        <f t="shared" si="1"/>
        <v>0</v>
      </c>
      <c r="H56" s="88"/>
      <c r="I56" s="99"/>
    </row>
    <row r="57" spans="1:9" x14ac:dyDescent="0.35">
      <c r="A57" s="432" t="s">
        <v>51</v>
      </c>
      <c r="B57" s="431" t="s">
        <v>163</v>
      </c>
      <c r="C57" s="432" t="str">
        <f>'Haver Pivoted'!A56</f>
        <v>gfegc</v>
      </c>
      <c r="D57" s="432">
        <v>9.1999999999999993</v>
      </c>
      <c r="E57" s="432">
        <f>'Haver Pivoted'!HA56</f>
        <v>9.1999999999999993</v>
      </c>
      <c r="F57" s="432">
        <f t="shared" si="0"/>
        <v>0</v>
      </c>
      <c r="G57" s="440"/>
      <c r="H57" s="88"/>
      <c r="I57" s="99"/>
    </row>
    <row r="58" spans="1:9" x14ac:dyDescent="0.35">
      <c r="A58" s="432" t="s">
        <v>51</v>
      </c>
      <c r="B58" s="431" t="s">
        <v>164</v>
      </c>
      <c r="C58" s="432" t="str">
        <f>'Haver Pivoted'!A57</f>
        <v>gfege</v>
      </c>
      <c r="D58" s="432">
        <v>87.2</v>
      </c>
      <c r="E58" s="432">
        <f>'Haver Pivoted'!HA57</f>
        <v>87.2</v>
      </c>
      <c r="F58" s="432">
        <f t="shared" si="0"/>
        <v>0</v>
      </c>
      <c r="G58" s="440">
        <f t="shared" si="1"/>
        <v>0</v>
      </c>
      <c r="H58" s="88"/>
      <c r="I58" s="99"/>
    </row>
    <row r="59" spans="1:9" x14ac:dyDescent="0.35">
      <c r="A59" s="432" t="s">
        <v>165</v>
      </c>
      <c r="B59" s="431" t="s">
        <v>166</v>
      </c>
      <c r="C59" s="432" t="str">
        <f>'Haver Pivoted'!A58</f>
        <v>gfegv</v>
      </c>
      <c r="D59" s="432">
        <v>25.8</v>
      </c>
      <c r="E59" s="432">
        <f>'Haver Pivoted'!HA58</f>
        <v>25.8</v>
      </c>
      <c r="F59" s="432">
        <f t="shared" si="0"/>
        <v>0</v>
      </c>
      <c r="G59" s="440">
        <f t="shared" si="1"/>
        <v>0</v>
      </c>
    </row>
    <row r="60" spans="1:9" x14ac:dyDescent="0.35">
      <c r="A60" s="432" t="s">
        <v>53</v>
      </c>
      <c r="B60" s="432" t="s">
        <v>167</v>
      </c>
      <c r="C60" s="432" t="str">
        <f>'Haver Pivoted'!A59</f>
        <v>yptue</v>
      </c>
      <c r="D60" s="432">
        <v>3.5</v>
      </c>
      <c r="E60" s="432">
        <f>'Haver Pivoted'!HA59</f>
        <v>3.3</v>
      </c>
      <c r="F60" s="432">
        <f t="shared" si="0"/>
        <v>-0.20000000000000018</v>
      </c>
      <c r="G60" s="440">
        <f t="shared" si="1"/>
        <v>-5.7142857142857197E-2</v>
      </c>
    </row>
    <row r="61" spans="1:9" x14ac:dyDescent="0.35">
      <c r="A61" s="432" t="s">
        <v>53</v>
      </c>
      <c r="B61" s="432" t="s">
        <v>168</v>
      </c>
      <c r="C61" s="432" t="str">
        <f>'Haver Pivoted'!A60</f>
        <v>yptup</v>
      </c>
      <c r="D61" s="432">
        <v>2.4</v>
      </c>
      <c r="E61" s="432">
        <f>'Haver Pivoted'!HA60</f>
        <v>2.4</v>
      </c>
      <c r="F61" s="432">
        <f t="shared" si="0"/>
        <v>0</v>
      </c>
      <c r="G61" s="440">
        <f t="shared" si="1"/>
        <v>0</v>
      </c>
    </row>
    <row r="62" spans="1:9" x14ac:dyDescent="0.35">
      <c r="A62" s="432" t="s">
        <v>53</v>
      </c>
      <c r="B62" s="432" t="s">
        <v>169</v>
      </c>
      <c r="C62" s="432" t="str">
        <f>'Haver Pivoted'!A61</f>
        <v>yptuc</v>
      </c>
      <c r="D62" s="432">
        <v>0</v>
      </c>
      <c r="E62" s="432">
        <f>'Haver Pivoted'!HA61</f>
        <v>0</v>
      </c>
      <c r="F62" s="432">
        <f t="shared" si="0"/>
        <v>0</v>
      </c>
      <c r="G62" s="440" t="e">
        <f t="shared" si="1"/>
        <v>#DIV/0!</v>
      </c>
    </row>
    <row r="63" spans="1:9" x14ac:dyDescent="0.35">
      <c r="B63" s="432" t="s">
        <v>170</v>
      </c>
      <c r="C63" s="432" t="str">
        <f>'Haver Pivoted'!A62</f>
        <v>gftfpu</v>
      </c>
      <c r="D63" s="432">
        <v>8.1999999999999993</v>
      </c>
      <c r="E63" s="432">
        <f>'Haver Pivoted'!HA62</f>
        <v>8.1999999999999993</v>
      </c>
      <c r="F63" s="432">
        <f t="shared" si="0"/>
        <v>0</v>
      </c>
      <c r="G63" s="440">
        <f t="shared" si="1"/>
        <v>0</v>
      </c>
      <c r="H63" s="431"/>
      <c r="I63" s="431"/>
    </row>
    <row r="64" spans="1:9" x14ac:dyDescent="0.35">
      <c r="A64" s="432" t="s">
        <v>53</v>
      </c>
      <c r="B64" s="435" t="s">
        <v>171</v>
      </c>
      <c r="C64" s="432" t="str">
        <f>'Haver Pivoted'!A63</f>
        <v>yptub</v>
      </c>
      <c r="D64" s="432">
        <v>2.4</v>
      </c>
      <c r="E64" s="432">
        <f>'Haver Pivoted'!HA63</f>
        <v>2.4</v>
      </c>
      <c r="F64" s="432">
        <f t="shared" si="0"/>
        <v>0</v>
      </c>
      <c r="G64" s="440">
        <f t="shared" si="1"/>
        <v>0</v>
      </c>
      <c r="H64" s="431"/>
      <c r="I64" s="431"/>
    </row>
    <row r="65" spans="1:9" x14ac:dyDescent="0.35">
      <c r="A65" s="432" t="s">
        <v>53</v>
      </c>
      <c r="B65" s="432" t="s">
        <v>172</v>
      </c>
      <c r="C65" s="432" t="str">
        <f>'Haver Pivoted'!A64</f>
        <v>yptol</v>
      </c>
      <c r="D65" s="432">
        <v>0</v>
      </c>
      <c r="E65" s="432">
        <f>'Haver Pivoted'!HA64</f>
        <v>0</v>
      </c>
      <c r="F65" s="432">
        <f t="shared" si="0"/>
        <v>0</v>
      </c>
      <c r="G65" s="440" t="e">
        <f t="shared" si="1"/>
        <v>#DIV/0!</v>
      </c>
      <c r="H65" s="431"/>
      <c r="I65" s="431"/>
    </row>
    <row r="66" spans="1:9" x14ac:dyDescent="0.35">
      <c r="B66" s="432" t="s">
        <v>173</v>
      </c>
      <c r="C66" s="432" t="str">
        <f>'Haver Pivoted'!A65</f>
        <v>gfctp</v>
      </c>
      <c r="D66" s="432">
        <v>90.5</v>
      </c>
      <c r="E66" s="432">
        <f>'Haver Pivoted'!HA65</f>
        <v>91.4</v>
      </c>
      <c r="F66" s="432">
        <f t="shared" si="0"/>
        <v>0.90000000000000568</v>
      </c>
      <c r="G66" s="440">
        <f t="shared" si="1"/>
        <v>9.944751381215533E-3</v>
      </c>
      <c r="H66" s="436"/>
      <c r="I66" s="436"/>
    </row>
    <row r="67" spans="1:9" x14ac:dyDescent="0.35">
      <c r="A67" s="432" t="s">
        <v>57</v>
      </c>
      <c r="B67" s="406" t="s">
        <v>174</v>
      </c>
      <c r="C67" s="432" t="str">
        <f>'Haver Pivoted'!A66</f>
        <v>gftffx</v>
      </c>
      <c r="D67" s="432">
        <v>142.57300000000001</v>
      </c>
      <c r="E67" s="432">
        <f>'Haver Pivoted'!HA66</f>
        <v>139.85</v>
      </c>
      <c r="F67" s="432">
        <f t="shared" si="0"/>
        <v>-2.7230000000000132</v>
      </c>
      <c r="G67" s="440">
        <f t="shared" si="1"/>
        <v>-1.909898788690715E-2</v>
      </c>
      <c r="H67" s="436"/>
      <c r="I67" s="436"/>
    </row>
    <row r="68" spans="1:9" x14ac:dyDescent="0.35">
      <c r="B68" s="432" t="s">
        <v>175</v>
      </c>
      <c r="C68" s="432" t="str">
        <f>'Haver Pivoted'!A67</f>
        <v>cpiu</v>
      </c>
      <c r="D68" s="432">
        <v>278.41333333333301</v>
      </c>
      <c r="E68" s="432">
        <f>'Haver Pivoted'!HA67</f>
        <v>278.41333333333301</v>
      </c>
      <c r="F68" s="432">
        <f t="shared" ref="F68:F81" si="2">E68-D68</f>
        <v>0</v>
      </c>
      <c r="G68" s="440">
        <f t="shared" ref="G68:G81" si="3">F68/D68</f>
        <v>0</v>
      </c>
      <c r="H68" s="436"/>
      <c r="I68" s="436"/>
    </row>
    <row r="69" spans="1:9" x14ac:dyDescent="0.35">
      <c r="C69" s="432" t="str">
        <f>'Haver Pivoted'!A68</f>
        <v>pcw</v>
      </c>
      <c r="D69" s="432">
        <v>273.53666666666697</v>
      </c>
      <c r="E69" s="432">
        <f>'Haver Pivoted'!HA68</f>
        <v>273.53666666666697</v>
      </c>
      <c r="F69" s="432">
        <f t="shared" si="2"/>
        <v>0</v>
      </c>
      <c r="G69" s="440">
        <f t="shared" si="3"/>
        <v>0</v>
      </c>
    </row>
    <row r="70" spans="1:9" x14ac:dyDescent="0.35">
      <c r="B70" s="432" t="s">
        <v>176</v>
      </c>
      <c r="C70" s="432" t="str">
        <f>'Haver Pivoted'!A69</f>
        <v>gdppothq</v>
      </c>
      <c r="D70" s="432">
        <v>19898.3</v>
      </c>
      <c r="E70" s="432">
        <f>'Haver Pivoted'!HA69</f>
        <v>19898.3</v>
      </c>
      <c r="F70" s="432">
        <f t="shared" si="2"/>
        <v>0</v>
      </c>
      <c r="G70" s="440">
        <f t="shared" si="3"/>
        <v>0</v>
      </c>
    </row>
    <row r="71" spans="1:9" x14ac:dyDescent="0.35">
      <c r="B71" s="432" t="s">
        <v>177</v>
      </c>
      <c r="C71" s="432" t="str">
        <f>'Haver Pivoted'!A70</f>
        <v>gdppotq</v>
      </c>
      <c r="D71" s="432">
        <v>23461.3</v>
      </c>
      <c r="E71" s="432">
        <f>'Haver Pivoted'!HA70</f>
        <v>23461.3</v>
      </c>
      <c r="F71" s="432">
        <f t="shared" si="2"/>
        <v>0</v>
      </c>
      <c r="G71" s="440">
        <f t="shared" si="3"/>
        <v>0</v>
      </c>
    </row>
    <row r="72" spans="1:9" x14ac:dyDescent="0.35">
      <c r="B72" s="432" t="s">
        <v>178</v>
      </c>
      <c r="C72" s="432" t="str">
        <f>'Haver Pivoted'!A71</f>
        <v>recessq</v>
      </c>
      <c r="D72" s="432">
        <v>-1</v>
      </c>
      <c r="E72" s="432">
        <f>'Haver Pivoted'!HA71</f>
        <v>-1</v>
      </c>
      <c r="F72" s="432">
        <f t="shared" si="2"/>
        <v>0</v>
      </c>
      <c r="G72" s="440">
        <f t="shared" si="3"/>
        <v>0</v>
      </c>
    </row>
    <row r="73" spans="1:9" x14ac:dyDescent="0.35">
      <c r="A73" s="432" t="s">
        <v>179</v>
      </c>
      <c r="B73" s="432" t="s">
        <v>180</v>
      </c>
      <c r="C73" s="432" t="str">
        <f>'Haver Pivoted'!A72</f>
        <v>lasgova</v>
      </c>
      <c r="D73" s="432">
        <v>5220.6666666666697</v>
      </c>
      <c r="E73" s="432">
        <f>'Haver Pivoted'!HA72</f>
        <v>5227</v>
      </c>
      <c r="F73" s="432">
        <f t="shared" si="2"/>
        <v>6.3333333333303017</v>
      </c>
      <c r="G73" s="440">
        <f t="shared" si="3"/>
        <v>1.2131273145186371E-3</v>
      </c>
    </row>
    <row r="74" spans="1:9" x14ac:dyDescent="0.35">
      <c r="A74" s="432" t="s">
        <v>179</v>
      </c>
      <c r="B74" s="432" t="s">
        <v>181</v>
      </c>
      <c r="C74" s="432" t="str">
        <f>'Haver Pivoted'!A73</f>
        <v>lalgova</v>
      </c>
      <c r="D74" s="432">
        <v>14009.333333333299</v>
      </c>
      <c r="E74" s="432">
        <f>'Haver Pivoted'!HA73</f>
        <v>14009.333333333299</v>
      </c>
      <c r="F74" s="432">
        <f t="shared" si="2"/>
        <v>0</v>
      </c>
      <c r="G74" s="440">
        <f t="shared" si="3"/>
        <v>0</v>
      </c>
    </row>
    <row r="75" spans="1:9" x14ac:dyDescent="0.35">
      <c r="A75" s="432" t="s">
        <v>179</v>
      </c>
      <c r="B75" s="432" t="s">
        <v>182</v>
      </c>
      <c r="C75" s="432" t="str">
        <f>'Haver Pivoted'!A74</f>
        <v>cpgs</v>
      </c>
      <c r="D75" s="432">
        <v>324549.66666666698</v>
      </c>
      <c r="E75" s="432">
        <f>'Haver Pivoted'!HA74</f>
        <v>325065.66666666698</v>
      </c>
      <c r="F75" s="432">
        <f t="shared" si="2"/>
        <v>516</v>
      </c>
      <c r="G75" s="440">
        <f t="shared" si="3"/>
        <v>1.5898953318906491E-3</v>
      </c>
    </row>
    <row r="76" spans="1:9" x14ac:dyDescent="0.35">
      <c r="B76" s="432" t="s">
        <v>183</v>
      </c>
      <c r="C76" s="432" t="str">
        <f>'Haver Pivoted'!A75</f>
        <v>jgdp_growth</v>
      </c>
      <c r="D76" s="432">
        <v>1.7357180590143999E-2</v>
      </c>
      <c r="E76" s="432">
        <f>'Haver Pivoted'!HA75</f>
        <v>1.7373950812936498E-2</v>
      </c>
      <c r="F76" s="432">
        <f t="shared" si="2"/>
        <v>1.6770222792499012E-5</v>
      </c>
      <c r="G76" s="440">
        <f t="shared" si="3"/>
        <v>9.6618357488437482E-4</v>
      </c>
    </row>
    <row r="77" spans="1:9" x14ac:dyDescent="0.35">
      <c r="B77" s="432" t="s">
        <v>184</v>
      </c>
      <c r="C77" s="432" t="str">
        <f>'Haver Pivoted'!A76</f>
        <v>jc_growth</v>
      </c>
      <c r="D77" s="432">
        <v>1.54888757019875E-2</v>
      </c>
      <c r="E77" s="432">
        <f>'Haver Pivoted'!HA76</f>
        <v>1.55146761612357E-2</v>
      </c>
      <c r="F77" s="432">
        <f t="shared" si="2"/>
        <v>2.5800459248199667E-5</v>
      </c>
      <c r="G77" s="440">
        <f t="shared" si="3"/>
        <v>1.6657412548600288E-3</v>
      </c>
    </row>
    <row r="78" spans="1:9" x14ac:dyDescent="0.35">
      <c r="B78" s="432" t="s">
        <v>185</v>
      </c>
      <c r="C78" s="432" t="str">
        <f>'Haver Pivoted'!A77</f>
        <v>jgf_growth</v>
      </c>
      <c r="D78" s="432">
        <v>1.4154299872259701E-2</v>
      </c>
      <c r="E78" s="432">
        <f>'Haver Pivoted'!HA77</f>
        <v>1.38713853381685E-2</v>
      </c>
      <c r="F78" s="432">
        <f t="shared" si="2"/>
        <v>-2.8291453409120051E-4</v>
      </c>
      <c r="G78" s="440">
        <f t="shared" si="3"/>
        <v>-1.9987886129618496E-2</v>
      </c>
    </row>
    <row r="79" spans="1:9" x14ac:dyDescent="0.35">
      <c r="B79" s="432" t="s">
        <v>186</v>
      </c>
      <c r="C79" s="432" t="str">
        <f>'Haver Pivoted'!A78</f>
        <v>jgs_growth</v>
      </c>
      <c r="D79" s="432">
        <v>2.13775183947029E-2</v>
      </c>
      <c r="E79" s="432">
        <f>'Haver Pivoted'!HA78</f>
        <v>2.1434179745995201E-2</v>
      </c>
      <c r="F79" s="432">
        <f t="shared" si="2"/>
        <v>5.6661351292300322E-5</v>
      </c>
      <c r="G79" s="440">
        <f t="shared" si="3"/>
        <v>2.6505111700121536E-3</v>
      </c>
    </row>
    <row r="80" spans="1:9" x14ac:dyDescent="0.35">
      <c r="B80" s="432" t="s">
        <v>187</v>
      </c>
      <c r="C80" s="432" t="str">
        <f>'Haver Pivoted'!A79</f>
        <v>jgse_growth</v>
      </c>
      <c r="D80" s="432">
        <v>1.9474251972974501E-2</v>
      </c>
      <c r="E80" s="432">
        <f>'Haver Pivoted'!HA79</f>
        <v>1.96364698153151E-2</v>
      </c>
      <c r="F80" s="432">
        <f t="shared" si="2"/>
        <v>1.6221784234059927E-4</v>
      </c>
      <c r="G80" s="440">
        <f t="shared" si="3"/>
        <v>8.3298625572739825E-3</v>
      </c>
    </row>
    <row r="81" spans="2:7" x14ac:dyDescent="0.35">
      <c r="B81" s="432" t="s">
        <v>188</v>
      </c>
      <c r="C81" s="432" t="str">
        <f>'Haver Pivoted'!A80</f>
        <v>jgsi_growth</v>
      </c>
      <c r="D81" s="432">
        <v>3.0414561783337301E-2</v>
      </c>
      <c r="E81" s="432">
        <f>'Haver Pivoted'!HA80</f>
        <v>2.9981557212733798E-2</v>
      </c>
      <c r="F81" s="432">
        <f t="shared" si="2"/>
        <v>-4.3300457060350267E-4</v>
      </c>
      <c r="G81" s="440">
        <f t="shared" si="3"/>
        <v>-1.4236751911405983E-2</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Q99"/>
  <sheetViews>
    <sheetView topLeftCell="A64" zoomScale="84" zoomScaleNormal="133" workbookViewId="0">
      <selection activeCell="D78" sqref="D78"/>
    </sheetView>
  </sheetViews>
  <sheetFormatPr defaultColWidth="8.7265625" defaultRowHeight="14.5" x14ac:dyDescent="0.35"/>
  <cols>
    <col min="2" max="2" width="26.453125" customWidth="1"/>
    <col min="3" max="3" width="20.1796875" customWidth="1"/>
    <col min="4" max="14" width="9.453125" bestFit="1" customWidth="1"/>
  </cols>
  <sheetData>
    <row r="2" spans="2:17" x14ac:dyDescent="0.35">
      <c r="B2" s="1279" t="s">
        <v>1210</v>
      </c>
      <c r="C2" s="1279"/>
      <c r="D2" s="1279"/>
      <c r="E2" s="1279"/>
      <c r="F2" s="1279"/>
      <c r="G2" s="1279"/>
      <c r="H2" s="1279"/>
      <c r="I2" s="1279"/>
      <c r="J2" s="1279"/>
      <c r="K2" s="1279"/>
      <c r="L2" s="1279"/>
      <c r="M2" s="1279"/>
      <c r="N2" s="1279"/>
      <c r="O2" s="1279"/>
      <c r="P2" s="1279"/>
      <c r="Q2" s="1279"/>
    </row>
    <row r="3" spans="2:17" x14ac:dyDescent="0.35">
      <c r="B3" t="str">
        <f>forecast!A1</f>
        <v>name</v>
      </c>
      <c r="C3" t="str">
        <f>forecast!B1</f>
        <v>variable</v>
      </c>
      <c r="D3" t="str">
        <f>forecast!C1</f>
        <v>2021 Q4</v>
      </c>
      <c r="E3" t="str">
        <f>forecast!D1</f>
        <v>2022 Q1</v>
      </c>
      <c r="F3" t="str">
        <f>forecast!E1</f>
        <v>2022 Q2</v>
      </c>
      <c r="G3" t="str">
        <f>forecast!F1</f>
        <v>2022 Q3</v>
      </c>
      <c r="H3" t="str">
        <f>forecast!G1</f>
        <v>2022 Q4</v>
      </c>
      <c r="I3" t="str">
        <f>forecast!H1</f>
        <v>2023 Q1</v>
      </c>
      <c r="J3" t="str">
        <f>forecast!I1</f>
        <v>2023 Q2</v>
      </c>
      <c r="K3" t="str">
        <f>forecast!J1</f>
        <v>2023 Q3</v>
      </c>
      <c r="L3" t="str">
        <f>forecast!K1</f>
        <v>2023 Q4</v>
      </c>
      <c r="M3" t="str">
        <f>forecast!L1</f>
        <v>2024 Q1</v>
      </c>
      <c r="N3" t="str">
        <f>forecast!M1</f>
        <v>2024 Q2</v>
      </c>
      <c r="O3" t="s">
        <v>189</v>
      </c>
      <c r="P3" t="s">
        <v>190</v>
      </c>
      <c r="Q3" t="s">
        <v>191</v>
      </c>
    </row>
    <row r="4" spans="2:17" x14ac:dyDescent="0.35">
      <c r="B4" t="str">
        <f>forecast!A2</f>
        <v>Consumption Grants</v>
      </c>
      <c r="C4" t="str">
        <f>forecast!B2</f>
        <v>consumption_grants</v>
      </c>
      <c r="D4" s="198">
        <f>forecast!C2</f>
        <v>418.11685200000005</v>
      </c>
      <c r="E4" s="198">
        <f>forecast!D2</f>
        <v>423.31864142999859</v>
      </c>
      <c r="F4" s="198">
        <f>forecast!E2</f>
        <v>423.6285340649323</v>
      </c>
      <c r="G4" s="198">
        <f>forecast!F2</f>
        <v>426.95839668633465</v>
      </c>
      <c r="H4" s="198">
        <f>forecast!G2</f>
        <v>440.23941166666668</v>
      </c>
      <c r="I4" s="198">
        <f>forecast!H2</f>
        <v>452.8843619704507</v>
      </c>
      <c r="J4" s="198">
        <f>forecast!I2</f>
        <v>437.17611337154818</v>
      </c>
      <c r="K4" s="198">
        <f>forecast!J2</f>
        <v>435.99475511378807</v>
      </c>
      <c r="L4" s="198">
        <f>forecast!K2</f>
        <v>440.05219093333335</v>
      </c>
      <c r="M4" s="198">
        <f>forecast!L2</f>
        <v>431.63394208126874</v>
      </c>
      <c r="N4" s="198">
        <f>forecast!M2</f>
        <v>413.76351714641009</v>
      </c>
      <c r="O4" s="198">
        <f>forecast!N2</f>
        <v>418.21511307833958</v>
      </c>
      <c r="P4" s="198">
        <f>forecast!O2</f>
        <v>421.88752491066668</v>
      </c>
      <c r="Q4" s="198">
        <f>forecast!P2</f>
        <v>405.04790028451941</v>
      </c>
    </row>
    <row r="5" spans="2:17" x14ac:dyDescent="0.35">
      <c r="B5" t="str">
        <f>forecast!A3</f>
        <v>Investment Grants</v>
      </c>
      <c r="C5" t="str">
        <f>forecast!B3</f>
        <v>investment_grants</v>
      </c>
      <c r="D5" s="198">
        <f>forecast!C3</f>
        <v>74.768000000000001</v>
      </c>
      <c r="E5" s="198">
        <f>forecast!D3</f>
        <v>75.34842857142857</v>
      </c>
      <c r="F5" s="198">
        <f>forecast!E3</f>
        <v>75.34842857142857</v>
      </c>
      <c r="G5" s="198">
        <f>forecast!F3</f>
        <v>75.34842857142857</v>
      </c>
      <c r="H5" s="198">
        <f>forecast!G3</f>
        <v>75.34842857142857</v>
      </c>
      <c r="I5" s="198">
        <f>forecast!H3</f>
        <v>75.34842857142857</v>
      </c>
      <c r="J5" s="198">
        <f>forecast!I3</f>
        <v>75.34842857142857</v>
      </c>
      <c r="K5" s="198">
        <f>forecast!J3</f>
        <v>75.34842857142857</v>
      </c>
      <c r="L5" s="198">
        <f>forecast!K3</f>
        <v>75.34842857142857</v>
      </c>
      <c r="M5" s="198">
        <f>forecast!L3</f>
        <v>75.34842857142857</v>
      </c>
      <c r="N5" s="198">
        <f>forecast!M3</f>
        <v>75.34842857142857</v>
      </c>
      <c r="O5" s="198">
        <f>forecast!N3</f>
        <v>75.34842857142857</v>
      </c>
      <c r="P5" s="198">
        <f>forecast!O3</f>
        <v>75.34842857142857</v>
      </c>
      <c r="Q5" s="198">
        <f>forecast!P3</f>
        <v>75.34842857142857</v>
      </c>
    </row>
    <row r="6" spans="2:17" x14ac:dyDescent="0.35">
      <c r="B6" t="str">
        <f>forecast!A4</f>
        <v>Federal Purchases (NIPA Consistent)</v>
      </c>
      <c r="C6" t="str">
        <f>forecast!B4</f>
        <v>federal_purchases</v>
      </c>
      <c r="D6" s="198">
        <f>forecast!C4</f>
        <v>1566.2</v>
      </c>
      <c r="E6" s="198">
        <f>forecast!D4</f>
        <v>1581.6606920590798</v>
      </c>
      <c r="F6" s="198">
        <f>forecast!E4</f>
        <v>1583.6257604788229</v>
      </c>
      <c r="G6" s="198">
        <f>forecast!F4</f>
        <v>1582.9735594519052</v>
      </c>
      <c r="H6" s="198">
        <f>forecast!G4</f>
        <v>1588.1283769066833</v>
      </c>
      <c r="I6" s="198">
        <f>forecast!H4</f>
        <v>1592.3527034879748</v>
      </c>
      <c r="J6" s="198">
        <f>forecast!I4</f>
        <v>1598.2551154070156</v>
      </c>
      <c r="K6" s="198">
        <f>forecast!J4</f>
        <v>1605.8120144987333</v>
      </c>
      <c r="L6" s="198">
        <f>forecast!K4</f>
        <v>1618.4945734646228</v>
      </c>
      <c r="M6" s="198">
        <f>forecast!L4</f>
        <v>1627.256683929988</v>
      </c>
      <c r="N6" s="198">
        <f>forecast!M4</f>
        <v>1636.0665934485162</v>
      </c>
      <c r="O6" s="198">
        <f>forecast!N4</f>
        <v>1645.3237863179284</v>
      </c>
      <c r="P6" s="198">
        <f>forecast!O4</f>
        <v>1657.232255468974</v>
      </c>
      <c r="Q6" s="198">
        <f>forecast!P4</f>
        <v>1667.3995044448452</v>
      </c>
    </row>
    <row r="7" spans="2:17" x14ac:dyDescent="0.35">
      <c r="B7" t="str">
        <f>forecast!A5</f>
        <v>State Purchases (NIPA Consistent)</v>
      </c>
      <c r="C7" t="str">
        <f>forecast!B5</f>
        <v>state_purchases</v>
      </c>
      <c r="D7" s="198">
        <f>forecast!C5</f>
        <v>2566.6999999999998</v>
      </c>
      <c r="E7" s="198">
        <f>forecast!D5</f>
        <v>2604.3633609610974</v>
      </c>
      <c r="F7" s="198">
        <f>forecast!E5</f>
        <v>2654.9571479589972</v>
      </c>
      <c r="G7" s="198">
        <f>forecast!F5</f>
        <v>2700.2468008461938</v>
      </c>
      <c r="H7" s="198">
        <f>forecast!G5</f>
        <v>2736.633097522003</v>
      </c>
      <c r="I7" s="198">
        <f>forecast!H5</f>
        <v>2770.217700441061</v>
      </c>
      <c r="J7" s="198">
        <f>forecast!I5</f>
        <v>2804.2144614803478</v>
      </c>
      <c r="K7" s="198">
        <f>forecast!J5</f>
        <v>2838.6284387409369</v>
      </c>
      <c r="L7" s="198">
        <f>forecast!K5</f>
        <v>2873.4647523981034</v>
      </c>
      <c r="M7" s="198">
        <f>forecast!L5</f>
        <v>2908.7285854631145</v>
      </c>
      <c r="N7" s="198">
        <f>forecast!M5</f>
        <v>2908.7285854631145</v>
      </c>
      <c r="O7" s="198">
        <f>forecast!N5</f>
        <v>2908.7285854631145</v>
      </c>
      <c r="P7" s="198">
        <f>forecast!O5</f>
        <v>2908.7285854631145</v>
      </c>
      <c r="Q7" s="198">
        <f>forecast!P5</f>
        <v>2908.7285854631145</v>
      </c>
    </row>
    <row r="8" spans="2:17" x14ac:dyDescent="0.35">
      <c r="B8" t="str">
        <f>forecast!A6</f>
        <v>Non-ARP Subsidies + ARP Provider Relief and PPP</v>
      </c>
      <c r="C8" t="str">
        <f>forecast!B6</f>
        <v>federal_subsidies</v>
      </c>
      <c r="D8" s="198">
        <f>forecast!C6</f>
        <v>194.452</v>
      </c>
      <c r="E8" s="198">
        <f>forecast!D6</f>
        <v>70.26706671838636</v>
      </c>
      <c r="F8" s="198">
        <f>forecast!E6</f>
        <v>43.650309542280866</v>
      </c>
      <c r="G8" s="198">
        <f>forecast!F6</f>
        <v>31.64100000000002</v>
      </c>
      <c r="H8" s="198">
        <f>forecast!G6</f>
        <v>85.260000000000019</v>
      </c>
      <c r="I8" s="198">
        <f>forecast!H6</f>
        <v>82.260000000000019</v>
      </c>
      <c r="J8" s="198">
        <f>forecast!I6</f>
        <v>82.260000000000019</v>
      </c>
      <c r="K8" s="198">
        <f>forecast!J6</f>
        <v>82.260000000000019</v>
      </c>
      <c r="L8" s="198">
        <f>forecast!K6</f>
        <v>84.935000000000016</v>
      </c>
      <c r="M8" s="198">
        <f>forecast!L6</f>
        <v>84.935000000000016</v>
      </c>
      <c r="N8" s="198">
        <f>forecast!M6</f>
        <v>84.935000000000016</v>
      </c>
      <c r="O8" s="198">
        <f>forecast!N6</f>
        <v>84.935000000000016</v>
      </c>
      <c r="P8" s="198">
        <f>forecast!O6</f>
        <v>77.001000000000005</v>
      </c>
      <c r="Q8" s="198">
        <f>forecast!P6</f>
        <v>77.001000000000005</v>
      </c>
    </row>
    <row r="9" spans="2:17" x14ac:dyDescent="0.35">
      <c r="B9" t="str">
        <f>forecast!A7</f>
        <v>ARP Subsidies less Provider Relief and PPP</v>
      </c>
      <c r="C9" t="str">
        <f>forecast!B7</f>
        <v>federal_aid_to_small_businesses_arp</v>
      </c>
      <c r="D9" s="198">
        <f>forecast!C7</f>
        <v>110.24799999999999</v>
      </c>
      <c r="E9" s="198">
        <f>forecast!D7</f>
        <v>110.24799999999999</v>
      </c>
      <c r="F9" s="198">
        <f>forecast!E7</f>
        <v>110.24799999999999</v>
      </c>
      <c r="G9" s="198">
        <f>forecast!F7</f>
        <v>110.24799999999999</v>
      </c>
      <c r="H9" s="198">
        <f>forecast!G7</f>
        <v>12.726000000000001</v>
      </c>
      <c r="I9" s="198">
        <f>forecast!H7</f>
        <v>12.726000000000001</v>
      </c>
      <c r="J9" s="198">
        <f>forecast!I7</f>
        <v>12.726000000000001</v>
      </c>
      <c r="K9" s="198">
        <f>forecast!J7</f>
        <v>12.726000000000001</v>
      </c>
      <c r="L9" s="198">
        <f>forecast!K7</f>
        <v>1.365</v>
      </c>
      <c r="M9" s="198">
        <f>forecast!L7</f>
        <v>1.365</v>
      </c>
      <c r="N9" s="198">
        <f>forecast!M7</f>
        <v>1.365</v>
      </c>
      <c r="O9" s="198">
        <f>forecast!N7</f>
        <v>1.365</v>
      </c>
      <c r="P9" s="198">
        <f>forecast!O7</f>
        <v>-0.90100000000000025</v>
      </c>
      <c r="Q9" s="198">
        <f>forecast!P7</f>
        <v>-0.90100000000000025</v>
      </c>
    </row>
    <row r="10" spans="2:17" x14ac:dyDescent="0.35">
      <c r="B10" t="str">
        <f>forecast!A8</f>
        <v>Federal UI</v>
      </c>
      <c r="C10" t="str">
        <f>forecast!B8</f>
        <v>federal_ui</v>
      </c>
      <c r="D10" s="198">
        <f>forecast!C8</f>
        <v>10.5</v>
      </c>
      <c r="E10" s="198">
        <f>forecast!D8</f>
        <v>0</v>
      </c>
      <c r="F10" s="198">
        <f>forecast!E8</f>
        <v>0</v>
      </c>
      <c r="G10" s="198">
        <f>forecast!F8</f>
        <v>0</v>
      </c>
      <c r="H10" s="198">
        <f>forecast!G8</f>
        <v>0</v>
      </c>
      <c r="I10" s="198">
        <f>forecast!H8</f>
        <v>0</v>
      </c>
      <c r="J10" s="198">
        <f>forecast!I8</f>
        <v>0</v>
      </c>
      <c r="K10" s="198">
        <f>forecast!J8</f>
        <v>0</v>
      </c>
      <c r="L10" s="198">
        <f>forecast!K8</f>
        <v>0</v>
      </c>
      <c r="M10" s="198">
        <f>forecast!L8</f>
        <v>0</v>
      </c>
      <c r="N10" s="198">
        <f>forecast!M8</f>
        <v>0</v>
      </c>
      <c r="O10" s="198">
        <f>forecast!N8</f>
        <v>0</v>
      </c>
      <c r="P10" s="198">
        <f>forecast!O8</f>
        <v>0</v>
      </c>
      <c r="Q10" s="198">
        <f>forecast!P8</f>
        <v>0</v>
      </c>
    </row>
    <row r="11" spans="2:17" x14ac:dyDescent="0.35">
      <c r="B11" t="str">
        <f>forecast!A9</f>
        <v>State UI</v>
      </c>
      <c r="C11" t="str">
        <f>forecast!B9</f>
        <v>state_ui</v>
      </c>
      <c r="D11" s="198">
        <f>forecast!C9</f>
        <v>27.200000000000003</v>
      </c>
      <c r="E11" s="198">
        <f>forecast!D9</f>
        <v>26.36900787401575</v>
      </c>
      <c r="F11" s="198">
        <f>forecast!E9</f>
        <v>24.537826771653545</v>
      </c>
      <c r="G11" s="198">
        <f>forecast!F9</f>
        <v>23.657574803149608</v>
      </c>
      <c r="H11" s="198">
        <f>forecast!G9</f>
        <v>23.36844094488189</v>
      </c>
      <c r="I11" s="198">
        <f>forecast!H9</f>
        <v>23.529070866141733</v>
      </c>
      <c r="J11" s="198">
        <f>forecast!I9</f>
        <v>23.88888188976378</v>
      </c>
      <c r="K11" s="198">
        <f>forecast!J9</f>
        <v>24.255118110236221</v>
      </c>
      <c r="L11" s="198">
        <f>forecast!K9</f>
        <v>24.640629921259844</v>
      </c>
      <c r="M11" s="198">
        <f>forecast!L9</f>
        <v>25.122519685039375</v>
      </c>
      <c r="N11" s="198">
        <f>forecast!M9</f>
        <v>25.520881889763785</v>
      </c>
      <c r="O11" s="198">
        <f>forecast!N9</f>
        <v>25.835716535433075</v>
      </c>
      <c r="P11" s="198">
        <f>forecast!O9</f>
        <v>26.227653543307088</v>
      </c>
      <c r="Q11" s="198">
        <f>forecast!P9</f>
        <v>26.606740157480321</v>
      </c>
    </row>
    <row r="12" spans="2:17" x14ac:dyDescent="0.35">
      <c r="B12" t="str">
        <f>forecast!A10</f>
        <v>Federal Medicaid</v>
      </c>
      <c r="C12" t="str">
        <f>forecast!B10</f>
        <v>medicaid_grants</v>
      </c>
      <c r="D12" s="198">
        <f>forecast!C10</f>
        <v>541.83299999999997</v>
      </c>
      <c r="E12" s="198">
        <f>forecast!D10</f>
        <v>556.27590382878202</v>
      </c>
      <c r="F12" s="198">
        <f>forecast!E10</f>
        <v>563.99846733866354</v>
      </c>
      <c r="G12" s="198">
        <f>forecast!F10</f>
        <v>555.31215047777141</v>
      </c>
      <c r="H12" s="198">
        <f>forecast!G10</f>
        <v>545.77939561629398</v>
      </c>
      <c r="I12" s="198">
        <f>forecast!H10</f>
        <v>538.55794982060513</v>
      </c>
      <c r="J12" s="198">
        <f>forecast!I10</f>
        <v>531.43205413142277</v>
      </c>
      <c r="K12" s="198">
        <f>forecast!J10</f>
        <v>524.40044428351337</v>
      </c>
      <c r="L12" s="198">
        <f>forecast!K10</f>
        <v>531.61887902663864</v>
      </c>
      <c r="M12" s="198">
        <f>forecast!L10</f>
        <v>538.93667638607883</v>
      </c>
      <c r="N12" s="198">
        <f>forecast!M10</f>
        <v>546.35520410011429</v>
      </c>
      <c r="O12" s="198">
        <f>forecast!N10</f>
        <v>553.87584873410572</v>
      </c>
      <c r="P12" s="198">
        <f>forecast!O10</f>
        <v>561.50001593965203</v>
      </c>
      <c r="Q12" s="198">
        <f>forecast!P10</f>
        <v>569.22913071731398</v>
      </c>
    </row>
    <row r="13" spans="2:17" x14ac:dyDescent="0.35">
      <c r="B13" t="str">
        <f>forecast!A11</f>
        <v>Total Medicaid</v>
      </c>
      <c r="C13" t="str">
        <f>forecast!B11</f>
        <v>medicaid</v>
      </c>
      <c r="D13" s="198">
        <f>forecast!C11</f>
        <v>782.9</v>
      </c>
      <c r="E13" s="198">
        <f>forecast!D11</f>
        <v>803.76869830289672</v>
      </c>
      <c r="F13" s="198">
        <f>forecast!E11</f>
        <v>814.92710868374513</v>
      </c>
      <c r="G13" s="198">
        <f>forecast!F11</f>
        <v>816.24042696594665</v>
      </c>
      <c r="H13" s="198">
        <f>forecast!G11</f>
        <v>805.440393020128</v>
      </c>
      <c r="I13" s="198">
        <f>forecast!H11</f>
        <v>794.78325904517249</v>
      </c>
      <c r="J13" s="198">
        <f>forecast!I11</f>
        <v>784.26713426909055</v>
      </c>
      <c r="K13" s="198">
        <f>forecast!J11</f>
        <v>773.89015293752323</v>
      </c>
      <c r="L13" s="198">
        <f>forecast!K11</f>
        <v>784.54284331607403</v>
      </c>
      <c r="M13" s="198">
        <f>forecast!L11</f>
        <v>795.34216924990426</v>
      </c>
      <c r="N13" s="198">
        <f>forecast!M11</f>
        <v>806.29014919494455</v>
      </c>
      <c r="O13" s="198">
        <f>forecast!N11</f>
        <v>817.38882939141251</v>
      </c>
      <c r="P13" s="198">
        <f>forecast!O11</f>
        <v>828.64028424626679</v>
      </c>
      <c r="Q13" s="198">
        <f>forecast!P11</f>
        <v>840.04661672092539</v>
      </c>
    </row>
    <row r="14" spans="2:17" x14ac:dyDescent="0.35">
      <c r="B14" t="str">
        <f>forecast!A12</f>
        <v>Medicare</v>
      </c>
      <c r="C14" t="str">
        <f>forecast!B12</f>
        <v>medicare</v>
      </c>
      <c r="D14" s="198">
        <f>forecast!C12</f>
        <v>847.9</v>
      </c>
      <c r="E14" s="198">
        <f>forecast!D12</f>
        <v>871.88090535292895</v>
      </c>
      <c r="F14" s="198">
        <f>forecast!E12</f>
        <v>878.75313989296569</v>
      </c>
      <c r="G14" s="198">
        <f>forecast!F12</f>
        <v>880.92215084498832</v>
      </c>
      <c r="H14" s="198">
        <f>forecast!G12</f>
        <v>897.39348728518314</v>
      </c>
      <c r="I14" s="198">
        <f>forecast!H12</f>
        <v>898.14736293954718</v>
      </c>
      <c r="J14" s="198">
        <f>forecast!I12</f>
        <v>915.21402485035151</v>
      </c>
      <c r="K14" s="198">
        <f>forecast!J12</f>
        <v>932.59931257640858</v>
      </c>
      <c r="L14" s="198">
        <f>forecast!K12</f>
        <v>950.30917469809549</v>
      </c>
      <c r="M14" s="198">
        <f>forecast!L12</f>
        <v>968.09159552506367</v>
      </c>
      <c r="N14" s="198">
        <f>forecast!M12</f>
        <v>986.20125580990646</v>
      </c>
      <c r="O14" s="198">
        <f>forecast!N12</f>
        <v>1004.6441775483819</v>
      </c>
      <c r="P14" s="198">
        <f>forecast!O12</f>
        <v>1023.4264935555032</v>
      </c>
      <c r="Q14" s="198">
        <f>forecast!P12</f>
        <v>1042.55444950488</v>
      </c>
    </row>
    <row r="15" spans="2:17" x14ac:dyDescent="0.35">
      <c r="B15" t="str">
        <f>forecast!A13</f>
        <v>Non-ARP Rebate Checks</v>
      </c>
      <c r="C15" t="str">
        <f>forecast!B13</f>
        <v>rebate_checks</v>
      </c>
      <c r="D15" s="198">
        <f>forecast!C13</f>
        <v>0</v>
      </c>
      <c r="E15" s="198">
        <f>forecast!D13</f>
        <v>0</v>
      </c>
      <c r="F15" s="198">
        <f>forecast!E13</f>
        <v>0</v>
      </c>
      <c r="G15" s="198">
        <f>forecast!F13</f>
        <v>0</v>
      </c>
      <c r="H15" s="198">
        <f>forecast!G13</f>
        <v>0</v>
      </c>
      <c r="I15" s="198">
        <f>forecast!H13</f>
        <v>0</v>
      </c>
      <c r="J15" s="198">
        <f>forecast!I13</f>
        <v>0</v>
      </c>
      <c r="K15" s="198">
        <f>forecast!J13</f>
        <v>0</v>
      </c>
      <c r="L15" s="198">
        <f>forecast!K13</f>
        <v>0</v>
      </c>
      <c r="M15" s="198">
        <f>forecast!L13</f>
        <v>0</v>
      </c>
      <c r="N15" s="198">
        <f>forecast!M13</f>
        <v>0</v>
      </c>
      <c r="O15" s="198">
        <f>forecast!N13</f>
        <v>0</v>
      </c>
      <c r="P15" s="198">
        <f>forecast!O13</f>
        <v>0</v>
      </c>
      <c r="Q15" s="198">
        <f>forecast!P13</f>
        <v>0</v>
      </c>
    </row>
    <row r="16" spans="2:17" x14ac:dyDescent="0.35">
      <c r="B16" t="str">
        <f>forecast!A14</f>
        <v>ARP Rebate Checks</v>
      </c>
      <c r="C16" t="str">
        <f>forecast!B14</f>
        <v>rebate_checks_arp</v>
      </c>
      <c r="D16" s="198">
        <f>forecast!C14</f>
        <v>14.2</v>
      </c>
      <c r="E16" s="198">
        <f>forecast!D14</f>
        <v>0</v>
      </c>
      <c r="F16" s="198">
        <f>forecast!E14</f>
        <v>0</v>
      </c>
      <c r="G16" s="198">
        <f>forecast!F14</f>
        <v>0</v>
      </c>
      <c r="H16" s="198">
        <f>forecast!G14</f>
        <v>0</v>
      </c>
      <c r="I16" s="198">
        <f>forecast!H14</f>
        <v>0</v>
      </c>
      <c r="J16" s="198">
        <f>forecast!I14</f>
        <v>0</v>
      </c>
      <c r="K16" s="198">
        <f>forecast!J14</f>
        <v>0</v>
      </c>
      <c r="L16" s="198">
        <f>forecast!K14</f>
        <v>0</v>
      </c>
      <c r="M16" s="198">
        <f>forecast!L14</f>
        <v>0</v>
      </c>
      <c r="N16" s="198">
        <f>forecast!M14</f>
        <v>0</v>
      </c>
      <c r="O16" s="198">
        <f>forecast!N14</f>
        <v>0</v>
      </c>
      <c r="P16" s="198">
        <f>forecast!O14</f>
        <v>0</v>
      </c>
      <c r="Q16" s="198">
        <f>forecast!P14</f>
        <v>0</v>
      </c>
    </row>
    <row r="17" spans="2:17" x14ac:dyDescent="0.35">
      <c r="B17" t="str">
        <f>forecast!A15</f>
        <v>ARP Other Vulnerable</v>
      </c>
      <c r="C17" t="str">
        <f>forecast!B15</f>
        <v>federal_other_vulnerable_arp</v>
      </c>
      <c r="D17" s="198">
        <f>forecast!C15</f>
        <v>52.756999999999998</v>
      </c>
      <c r="E17" s="198">
        <f>forecast!D15</f>
        <v>52.756999999999998</v>
      </c>
      <c r="F17" s="198">
        <f>forecast!E15</f>
        <v>52.756999999999998</v>
      </c>
      <c r="G17" s="198">
        <f>forecast!F15</f>
        <v>52.756999999999998</v>
      </c>
      <c r="H17" s="198">
        <f>forecast!G15</f>
        <v>12</v>
      </c>
      <c r="I17" s="198">
        <f>forecast!H15</f>
        <v>12</v>
      </c>
      <c r="J17" s="198">
        <f>forecast!I15</f>
        <v>12</v>
      </c>
      <c r="K17" s="198">
        <f>forecast!J15</f>
        <v>12</v>
      </c>
      <c r="L17" s="198">
        <f>forecast!K15</f>
        <v>4.2219999999999995</v>
      </c>
      <c r="M17" s="198">
        <f>forecast!L15</f>
        <v>4.2219999999999995</v>
      </c>
      <c r="N17" s="198">
        <f>forecast!M15</f>
        <v>4.2219999999999995</v>
      </c>
      <c r="O17" s="198">
        <f>forecast!N15</f>
        <v>4.2219999999999995</v>
      </c>
      <c r="P17" s="198">
        <f>forecast!O15</f>
        <v>2.3719999999999999</v>
      </c>
      <c r="Q17" s="198">
        <f>forecast!P15</f>
        <v>2.3719999999999999</v>
      </c>
    </row>
    <row r="18" spans="2:17" x14ac:dyDescent="0.35">
      <c r="B18" t="str">
        <f>forecast!A16</f>
        <v xml:space="preserve">ARP Other Direct Aid plus Provider Relief </v>
      </c>
      <c r="C18" t="str">
        <f>forecast!B16</f>
        <v>federal_other_direct_aid_arp</v>
      </c>
      <c r="D18" s="198">
        <f>forecast!C16</f>
        <v>84.119000000000014</v>
      </c>
      <c r="E18" s="198">
        <f>forecast!D16</f>
        <v>75.675555469356098</v>
      </c>
      <c r="F18" s="198">
        <f>forecast!E16</f>
        <v>39.703484096198608</v>
      </c>
      <c r="G18" s="198">
        <f>forecast!F16</f>
        <v>19.719000000000005</v>
      </c>
      <c r="H18" s="198">
        <f>forecast!G16</f>
        <v>1.4159999999999999</v>
      </c>
      <c r="I18" s="198">
        <f>forecast!H16</f>
        <v>1.4159999999999999</v>
      </c>
      <c r="J18" s="198">
        <f>forecast!I16</f>
        <v>1.4159999999999999</v>
      </c>
      <c r="K18" s="198">
        <f>forecast!J16</f>
        <v>1.4159999999999999</v>
      </c>
      <c r="L18" s="198">
        <f>forecast!K16</f>
        <v>1.4790000000000001</v>
      </c>
      <c r="M18" s="198">
        <f>forecast!L16</f>
        <v>1.4790000000000001</v>
      </c>
      <c r="N18" s="198">
        <f>forecast!M16</f>
        <v>1.4790000000000001</v>
      </c>
      <c r="O18" s="198">
        <f>forecast!N16</f>
        <v>1.4790000000000001</v>
      </c>
      <c r="P18" s="198">
        <f>forecast!O16</f>
        <v>1.63</v>
      </c>
      <c r="Q18" s="198">
        <f>forecast!P16</f>
        <v>1.63</v>
      </c>
    </row>
    <row r="19" spans="2:17" x14ac:dyDescent="0.35">
      <c r="B19" t="str">
        <f>forecast!A17</f>
        <v>Other Federal Social Benefits (including all SNAP)</v>
      </c>
      <c r="C19" t="str">
        <f>forecast!B17</f>
        <v>federal_social_benefits</v>
      </c>
      <c r="D19" s="198">
        <f>forecast!C17</f>
        <v>1899.6240000000003</v>
      </c>
      <c r="E19" s="198">
        <f>forecast!D17</f>
        <v>1835.7930200000012</v>
      </c>
      <c r="F19" s="198">
        <f>forecast!E17</f>
        <v>1814.8930200000013</v>
      </c>
      <c r="G19" s="198">
        <f>forecast!F17</f>
        <v>1757.9930200000015</v>
      </c>
      <c r="H19" s="198">
        <f>forecast!G17</f>
        <v>1821.5930200000016</v>
      </c>
      <c r="I19" s="198">
        <f>forecast!H17</f>
        <v>1875.3677000000018</v>
      </c>
      <c r="J19" s="198">
        <f>forecast!I17</f>
        <v>1882.467700000002</v>
      </c>
      <c r="K19" s="198">
        <f>forecast!J17</f>
        <v>1889.5677000000021</v>
      </c>
      <c r="L19" s="198">
        <f>forecast!K17</f>
        <v>1918.3677000000023</v>
      </c>
      <c r="M19" s="198">
        <f>forecast!L17</f>
        <v>1949.4450400000023</v>
      </c>
      <c r="N19" s="198">
        <f>forecast!M17</f>
        <v>1956.5450400000025</v>
      </c>
      <c r="O19" s="198">
        <f>forecast!N17</f>
        <v>1963.6450400000026</v>
      </c>
      <c r="P19" s="198">
        <f>forecast!O17</f>
        <v>1990.2450400000027</v>
      </c>
      <c r="Q19" s="198">
        <f>forecast!P17</f>
        <v>2021.9623800000029</v>
      </c>
    </row>
    <row r="20" spans="2:17" x14ac:dyDescent="0.35">
      <c r="B20" t="str">
        <f>forecast!A18</f>
        <v>State Social Benefits ex Medicaid</v>
      </c>
      <c r="C20" t="str">
        <f>forecast!B18</f>
        <v>state_social_benefits</v>
      </c>
      <c r="D20" s="198">
        <f>forecast!C18</f>
        <v>156.30000000000007</v>
      </c>
      <c r="E20" s="198">
        <f>forecast!D18</f>
        <v>158.18464098060005</v>
      </c>
      <c r="F20" s="198">
        <f>forecast!E18</f>
        <v>160.0920066676988</v>
      </c>
      <c r="G20" s="198">
        <f>forecast!F18</f>
        <v>162.02237107225687</v>
      </c>
      <c r="H20" s="198">
        <f>forecast!G18</f>
        <v>163.97601150921625</v>
      </c>
      <c r="I20" s="198">
        <f>forecast!H18</f>
        <v>165.95320863733909</v>
      </c>
      <c r="J20" s="198">
        <f>forecast!I18</f>
        <v>167.9542464995271</v>
      </c>
      <c r="K20" s="198">
        <f>forecast!J18</f>
        <v>169.97941256362691</v>
      </c>
      <c r="L20" s="198">
        <f>forecast!K18</f>
        <v>172.02899776372749</v>
      </c>
      <c r="M20" s="198">
        <f>forecast!L18</f>
        <v>174.10329654195564</v>
      </c>
      <c r="N20" s="198">
        <f>forecast!M18</f>
        <v>176.20260689077534</v>
      </c>
      <c r="O20" s="198">
        <f>forecast!N18</f>
        <v>178.3272303957971</v>
      </c>
      <c r="P20" s="198">
        <f>forecast!O18</f>
        <v>180.47747227910364</v>
      </c>
      <c r="Q20" s="198">
        <f>forecast!P18</f>
        <v>182.65364144309783</v>
      </c>
    </row>
    <row r="21" spans="2:17" x14ac:dyDescent="0.35">
      <c r="B21" t="str">
        <f>forecast!A19</f>
        <v>Federal Non-Corporate Taxes</v>
      </c>
      <c r="C21" t="str">
        <f>forecast!B19</f>
        <v>federal_non_corporate_taxes</v>
      </c>
      <c r="D21" s="198">
        <f>forecast!C19</f>
        <v>3924.2000000000003</v>
      </c>
      <c r="E21" s="198">
        <f>forecast!D19</f>
        <v>4013.2230501561603</v>
      </c>
      <c r="F21" s="198">
        <f>forecast!E19</f>
        <v>4104.8002848042397</v>
      </c>
      <c r="G21" s="198">
        <f>forecast!F19</f>
        <v>4199.0128967738165</v>
      </c>
      <c r="H21" s="198">
        <f>forecast!G19</f>
        <v>4204.6187019956105</v>
      </c>
      <c r="I21" s="198">
        <f>forecast!H19</f>
        <v>4210.5239652534374</v>
      </c>
      <c r="J21" s="198">
        <f>forecast!I19</f>
        <v>4216.7307318736248</v>
      </c>
      <c r="K21" s="198">
        <f>forecast!J19</f>
        <v>4223.2410786421106</v>
      </c>
      <c r="L21" s="198">
        <f>forecast!K19</f>
        <v>4276.5976352926946</v>
      </c>
      <c r="M21" s="198">
        <f>forecast!L19</f>
        <v>4330.7431863837164</v>
      </c>
      <c r="N21" s="198">
        <f>forecast!M19</f>
        <v>4385.6904769072362</v>
      </c>
      <c r="O21" s="198">
        <f>forecast!N19</f>
        <v>4441.452466492774</v>
      </c>
      <c r="P21" s="198">
        <f>forecast!O19</f>
        <v>4464.2173069307519</v>
      </c>
      <c r="Q21" s="198">
        <f>forecast!P19</f>
        <v>4487.1390907689447</v>
      </c>
    </row>
    <row r="22" spans="2:17" x14ac:dyDescent="0.35">
      <c r="B22" t="str">
        <f>forecast!A20</f>
        <v>State Non-Corporate Taxes</v>
      </c>
      <c r="C22" t="str">
        <f>forecast!B20</f>
        <v>state_non_corporate_taxes</v>
      </c>
      <c r="D22" s="198">
        <f>forecast!C20</f>
        <v>2167.1</v>
      </c>
      <c r="E22" s="198">
        <f>forecast!D20</f>
        <v>2176.9374694843818</v>
      </c>
      <c r="F22" s="198">
        <f>forecast!E20</f>
        <v>2205.2200592516465</v>
      </c>
      <c r="G22" s="198">
        <f>forecast!F20</f>
        <v>2234.6290617271839</v>
      </c>
      <c r="H22" s="198">
        <f>forecast!G20</f>
        <v>2261.5966985023424</v>
      </c>
      <c r="I22" s="198">
        <f>forecast!H20</f>
        <v>2285.8025732437</v>
      </c>
      <c r="J22" s="198">
        <f>forecast!I20</f>
        <v>2308.6761217963044</v>
      </c>
      <c r="K22" s="198">
        <f>forecast!J20</f>
        <v>2331.446852121323</v>
      </c>
      <c r="L22" s="198">
        <f>forecast!K20</f>
        <v>2353.0668149947428</v>
      </c>
      <c r="M22" s="198">
        <f>forecast!L20</f>
        <v>2373.6922541058202</v>
      </c>
      <c r="N22" s="198">
        <f>forecast!M20</f>
        <v>2394.282661369396</v>
      </c>
      <c r="O22" s="198">
        <f>forecast!N20</f>
        <v>2415.7714093315994</v>
      </c>
      <c r="P22" s="198">
        <f>forecast!O20</f>
        <v>2436.3470544868342</v>
      </c>
      <c r="Q22" s="198">
        <f>forecast!P20</f>
        <v>2458.2777464261462</v>
      </c>
    </row>
    <row r="23" spans="2:17" x14ac:dyDescent="0.35">
      <c r="B23" t="str">
        <f>forecast!A21</f>
        <v>Federal Corporate Taxes</v>
      </c>
      <c r="C23" t="str">
        <f>forecast!B21</f>
        <v>federal_corporate_taxes</v>
      </c>
      <c r="D23" s="198">
        <f>forecast!C21</f>
        <v>281.2</v>
      </c>
      <c r="E23" s="198">
        <f>forecast!D21</f>
        <v>284.93290710306445</v>
      </c>
      <c r="F23" s="198">
        <f>forecast!E21</f>
        <v>288.71536824396719</v>
      </c>
      <c r="G23" s="198">
        <f>forecast!F21</f>
        <v>292.54804124852546</v>
      </c>
      <c r="H23" s="198">
        <f>forecast!G21</f>
        <v>304.85448798368532</v>
      </c>
      <c r="I23" s="198">
        <f>forecast!H21</f>
        <v>317.67862279017521</v>
      </c>
      <c r="J23" s="198">
        <f>forecast!I21</f>
        <v>331.04222294822597</v>
      </c>
      <c r="K23" s="198">
        <f>forecast!J21</f>
        <v>344.96798183013334</v>
      </c>
      <c r="L23" s="198">
        <f>forecast!K21</f>
        <v>337.12647105048472</v>
      </c>
      <c r="M23" s="198">
        <f>forecast!L21</f>
        <v>329.4632066430969</v>
      </c>
      <c r="N23" s="198">
        <f>forecast!M21</f>
        <v>321.97413686716163</v>
      </c>
      <c r="O23" s="198">
        <f>forecast!N21</f>
        <v>314.65530208250289</v>
      </c>
      <c r="P23" s="198">
        <f>forecast!O21</f>
        <v>315.46843320951899</v>
      </c>
      <c r="Q23" s="198">
        <f>forecast!P21</f>
        <v>316.28366562713899</v>
      </c>
    </row>
    <row r="24" spans="2:17" x14ac:dyDescent="0.35">
      <c r="B24" t="str">
        <f>forecast!A22</f>
        <v>State Corporate Taxes</v>
      </c>
      <c r="C24" t="str">
        <f>forecast!B22</f>
        <v>state_corporate_taxes</v>
      </c>
      <c r="D24" s="198">
        <f>forecast!C22</f>
        <v>115.4</v>
      </c>
      <c r="E24" s="198">
        <f>forecast!D22</f>
        <v>114.32194311812333</v>
      </c>
      <c r="F24" s="198">
        <f>forecast!E22</f>
        <v>115.99892048993151</v>
      </c>
      <c r="G24" s="198">
        <f>forecast!F22</f>
        <v>115.85517957234795</v>
      </c>
      <c r="H24" s="198">
        <f>forecast!G22</f>
        <v>115.13647498443015</v>
      </c>
      <c r="I24" s="198">
        <f>forecast!H22</f>
        <v>113.74697944778909</v>
      </c>
      <c r="J24" s="198">
        <f>forecast!I22</f>
        <v>111.92626115839735</v>
      </c>
      <c r="K24" s="198">
        <f>forecast!J22</f>
        <v>110.63259290014533</v>
      </c>
      <c r="L24" s="198">
        <f>forecast!K22</f>
        <v>110.10554286900562</v>
      </c>
      <c r="M24" s="198">
        <f>forecast!L22</f>
        <v>109.38683828108782</v>
      </c>
      <c r="N24" s="198">
        <f>forecast!M22</f>
        <v>109.67432011625495</v>
      </c>
      <c r="O24" s="198">
        <f>forecast!N22</f>
        <v>109.86597467303302</v>
      </c>
      <c r="P24" s="198">
        <f>forecast!O22</f>
        <v>110.29719742578369</v>
      </c>
      <c r="Q24" s="198">
        <f>forecast!P22</f>
        <v>110.29719742578369</v>
      </c>
    </row>
    <row r="27" spans="2:17" x14ac:dyDescent="0.35">
      <c r="B27" s="1279" t="s">
        <v>1213</v>
      </c>
      <c r="C27" s="1279"/>
      <c r="D27" s="1279"/>
      <c r="E27" s="1279"/>
      <c r="F27" s="1279"/>
      <c r="G27" s="1279"/>
      <c r="H27" s="1279"/>
      <c r="I27" s="1279"/>
      <c r="J27" s="1279"/>
      <c r="K27" s="1279"/>
      <c r="L27" s="1279"/>
      <c r="M27" s="1279"/>
      <c r="N27" s="1279"/>
      <c r="O27" s="1279"/>
      <c r="P27" s="1279"/>
      <c r="Q27" s="1279"/>
    </row>
    <row r="28" spans="2:17" x14ac:dyDescent="0.35">
      <c r="B28" t="s">
        <v>192</v>
      </c>
      <c r="C28" t="s">
        <v>193</v>
      </c>
      <c r="D28" t="s">
        <v>195</v>
      </c>
      <c r="E28" t="s">
        <v>196</v>
      </c>
      <c r="F28" t="s">
        <v>197</v>
      </c>
      <c r="G28" t="s">
        <v>198</v>
      </c>
      <c r="H28" t="s">
        <v>199</v>
      </c>
      <c r="I28" t="s">
        <v>200</v>
      </c>
      <c r="J28" t="s">
        <v>201</v>
      </c>
      <c r="K28" t="s">
        <v>202</v>
      </c>
      <c r="L28" t="s">
        <v>203</v>
      </c>
      <c r="M28" t="s">
        <v>204</v>
      </c>
      <c r="N28" t="s">
        <v>205</v>
      </c>
      <c r="O28" t="s">
        <v>189</v>
      </c>
      <c r="P28" t="s">
        <v>190</v>
      </c>
      <c r="Q28" t="s">
        <v>191</v>
      </c>
    </row>
    <row r="29" spans="2:17" x14ac:dyDescent="0.35">
      <c r="B29" t="s">
        <v>206</v>
      </c>
      <c r="C29" t="s">
        <v>207</v>
      </c>
      <c r="D29" s="872">
        <v>411.7578519999999</v>
      </c>
      <c r="E29" s="872">
        <v>405.68829471162479</v>
      </c>
      <c r="F29" s="872">
        <v>417.14360104754485</v>
      </c>
      <c r="G29" s="872">
        <v>420.40956498748409</v>
      </c>
      <c r="H29" s="872">
        <v>433.62605166666657</v>
      </c>
      <c r="I29" s="872">
        <v>446.20583784571585</v>
      </c>
      <c r="J29" s="872">
        <v>430.43178303346525</v>
      </c>
      <c r="K29" s="872">
        <v>429.18397014698337</v>
      </c>
      <c r="L29" s="872">
        <v>433.17429653333318</v>
      </c>
      <c r="M29" s="872">
        <v>424.68827699154451</v>
      </c>
      <c r="N29" s="872">
        <v>406.74941359480385</v>
      </c>
      <c r="O29" s="872">
        <v>411.13189671286278</v>
      </c>
      <c r="P29" s="872">
        <v>414.7345147346665</v>
      </c>
      <c r="Q29" s="872">
        <v>397.82440859120618</v>
      </c>
    </row>
    <row r="30" spans="2:17" x14ac:dyDescent="0.35">
      <c r="B30" t="s">
        <v>148</v>
      </c>
      <c r="C30" t="s">
        <v>208</v>
      </c>
      <c r="D30" s="872">
        <v>73.727000000000004</v>
      </c>
      <c r="E30" s="872">
        <v>75.34842857142857</v>
      </c>
      <c r="F30" s="872">
        <v>75.34842857142857</v>
      </c>
      <c r="G30" s="872">
        <v>75.34842857142857</v>
      </c>
      <c r="H30" s="872">
        <v>75.34842857142857</v>
      </c>
      <c r="I30" s="872">
        <v>75.34842857142857</v>
      </c>
      <c r="J30" s="872">
        <v>75.34842857142857</v>
      </c>
      <c r="K30" s="872">
        <v>75.34842857142857</v>
      </c>
      <c r="L30" s="872">
        <v>75.34842857142857</v>
      </c>
      <c r="M30" s="872">
        <v>75.34842857142857</v>
      </c>
      <c r="N30" s="872">
        <v>75.34842857142857</v>
      </c>
      <c r="O30" s="872">
        <v>75.34842857142857</v>
      </c>
      <c r="P30" s="872">
        <v>75.34842857142857</v>
      </c>
      <c r="Q30" s="872">
        <v>75.34842857142857</v>
      </c>
    </row>
    <row r="31" spans="2:17" x14ac:dyDescent="0.35">
      <c r="B31" t="s">
        <v>209</v>
      </c>
      <c r="C31" t="s">
        <v>210</v>
      </c>
      <c r="D31" s="872">
        <v>1566.1</v>
      </c>
      <c r="E31" s="872">
        <v>1581.5599290855093</v>
      </c>
      <c r="F31" s="872">
        <v>1583.5248720379802</v>
      </c>
      <c r="G31" s="872">
        <v>1582.8727126533195</v>
      </c>
      <c r="H31" s="872">
        <v>1588.027519520851</v>
      </c>
      <c r="I31" s="872">
        <v>1592.251576383934</v>
      </c>
      <c r="J31" s="872">
        <v>1598.153611441021</v>
      </c>
      <c r="K31" s="872">
        <v>1605.7100280337543</v>
      </c>
      <c r="L31" s="872">
        <v>1618.3920198588592</v>
      </c>
      <c r="M31" s="872">
        <v>1627.1535708739329</v>
      </c>
      <c r="N31" s="872">
        <v>1635.9629178902574</v>
      </c>
      <c r="O31" s="872">
        <v>1645.2195196989578</v>
      </c>
      <c r="P31" s="872">
        <v>1657.1274200548846</v>
      </c>
      <c r="Q31" s="872">
        <v>1667.2940198640481</v>
      </c>
    </row>
    <row r="32" spans="2:17" x14ac:dyDescent="0.35">
      <c r="B32" t="s">
        <v>211</v>
      </c>
      <c r="C32" t="s">
        <v>212</v>
      </c>
      <c r="D32" s="872">
        <v>2567.9</v>
      </c>
      <c r="E32" s="872">
        <v>2605.5809695765001</v>
      </c>
      <c r="F32" s="872">
        <v>2656.1984105052829</v>
      </c>
      <c r="G32" s="872">
        <v>2701.5092375006589</v>
      </c>
      <c r="H32" s="872">
        <v>2737.9125457306081</v>
      </c>
      <c r="I32" s="872">
        <v>2771.512850338022</v>
      </c>
      <c r="J32" s="872">
        <v>2805.5255057604654</v>
      </c>
      <c r="K32" s="872">
        <v>2839.9555724638071</v>
      </c>
      <c r="L32" s="872">
        <v>2874.8081730171398</v>
      </c>
      <c r="M32" s="872">
        <v>2910.0884928549244</v>
      </c>
      <c r="N32" s="872">
        <v>2910.0884928549244</v>
      </c>
      <c r="O32" s="872">
        <v>2910.0884928549244</v>
      </c>
      <c r="P32" s="872">
        <v>2910.0884928549244</v>
      </c>
      <c r="Q32" s="872">
        <v>2910.0884928549244</v>
      </c>
    </row>
    <row r="33" spans="2:17" x14ac:dyDescent="0.35">
      <c r="B33" t="s">
        <v>213</v>
      </c>
      <c r="C33" t="s">
        <v>214</v>
      </c>
      <c r="D33" s="872">
        <v>194.25200000000001</v>
      </c>
      <c r="E33" s="872">
        <v>53.454033359193204</v>
      </c>
      <c r="F33" s="872">
        <v>43.650309542280866</v>
      </c>
      <c r="G33" s="872">
        <v>31.64100000000002</v>
      </c>
      <c r="H33" s="872">
        <v>85.260000000000019</v>
      </c>
      <c r="I33" s="872">
        <v>82.260000000000019</v>
      </c>
      <c r="J33" s="872">
        <v>82.260000000000019</v>
      </c>
      <c r="K33" s="872">
        <v>82.260000000000019</v>
      </c>
      <c r="L33" s="872">
        <v>84.935000000000016</v>
      </c>
      <c r="M33" s="872">
        <v>84.935000000000016</v>
      </c>
      <c r="N33" s="872">
        <v>84.935000000000016</v>
      </c>
      <c r="O33" s="872">
        <v>84.935000000000016</v>
      </c>
      <c r="P33" s="872">
        <v>77.001000000000005</v>
      </c>
      <c r="Q33" s="872">
        <v>77.001000000000005</v>
      </c>
    </row>
    <row r="34" spans="2:17" x14ac:dyDescent="0.35">
      <c r="B34" t="s">
        <v>215</v>
      </c>
      <c r="C34" t="s">
        <v>216</v>
      </c>
      <c r="D34" s="872">
        <v>110.24799999999999</v>
      </c>
      <c r="E34" s="872">
        <v>110.24799999999999</v>
      </c>
      <c r="F34" s="872">
        <v>110.24799999999999</v>
      </c>
      <c r="G34" s="872">
        <v>110.24799999999999</v>
      </c>
      <c r="H34" s="872">
        <v>12.726000000000001</v>
      </c>
      <c r="I34" s="872">
        <v>12.726000000000001</v>
      </c>
      <c r="J34" s="872">
        <v>12.726000000000001</v>
      </c>
      <c r="K34" s="872">
        <v>12.726000000000001</v>
      </c>
      <c r="L34" s="872">
        <v>1.365</v>
      </c>
      <c r="M34" s="872">
        <v>1.365</v>
      </c>
      <c r="N34" s="872">
        <v>1.365</v>
      </c>
      <c r="O34" s="872">
        <v>1.365</v>
      </c>
      <c r="P34" s="872">
        <v>-0.90100000000000025</v>
      </c>
      <c r="Q34" s="872">
        <v>-0.90100000000000025</v>
      </c>
    </row>
    <row r="35" spans="2:17" x14ac:dyDescent="0.35">
      <c r="B35" t="s">
        <v>217</v>
      </c>
      <c r="C35" t="s">
        <v>218</v>
      </c>
      <c r="D35" s="872">
        <v>10.7</v>
      </c>
      <c r="E35" s="872">
        <v>0</v>
      </c>
      <c r="F35" s="872">
        <v>0</v>
      </c>
      <c r="G35" s="872">
        <v>0</v>
      </c>
      <c r="H35" s="872">
        <v>0</v>
      </c>
      <c r="I35" s="872">
        <v>0</v>
      </c>
      <c r="J35" s="872">
        <v>0</v>
      </c>
      <c r="K35" s="872">
        <v>0</v>
      </c>
      <c r="L35" s="872">
        <v>0</v>
      </c>
      <c r="M35" s="872">
        <v>0</v>
      </c>
      <c r="N35" s="872">
        <v>0</v>
      </c>
      <c r="O35" s="872">
        <v>0</v>
      </c>
      <c r="P35" s="872">
        <v>0</v>
      </c>
      <c r="Q35" s="872">
        <v>0</v>
      </c>
    </row>
    <row r="36" spans="2:17" x14ac:dyDescent="0.35">
      <c r="B36" t="s">
        <v>219</v>
      </c>
      <c r="C36" t="s">
        <v>220</v>
      </c>
      <c r="D36" s="872">
        <v>26.900000000000002</v>
      </c>
      <c r="E36" s="872">
        <v>26.078173228346458</v>
      </c>
      <c r="F36" s="872">
        <v>24.267188976377952</v>
      </c>
      <c r="G36" s="872">
        <v>23.396645669291338</v>
      </c>
      <c r="H36" s="872">
        <v>23.110700787401573</v>
      </c>
      <c r="I36" s="872">
        <v>23.269559055118108</v>
      </c>
      <c r="J36" s="872">
        <v>23.625401574803146</v>
      </c>
      <c r="K36" s="872">
        <v>23.987598425196847</v>
      </c>
      <c r="L36" s="872">
        <v>24.368858267716533</v>
      </c>
      <c r="M36" s="872">
        <v>24.845433070866143</v>
      </c>
      <c r="N36" s="872">
        <v>25.239401574803146</v>
      </c>
      <c r="O36" s="872">
        <v>25.550763779527557</v>
      </c>
      <c r="P36" s="872">
        <v>25.938377952755904</v>
      </c>
      <c r="Q36" s="872">
        <v>26.313283464566929</v>
      </c>
    </row>
    <row r="37" spans="2:17" x14ac:dyDescent="0.35">
      <c r="B37" t="s">
        <v>221</v>
      </c>
      <c r="C37" t="s">
        <v>222</v>
      </c>
      <c r="D37" s="872">
        <v>541.89200000000005</v>
      </c>
      <c r="E37" s="872">
        <v>549.41487732884582</v>
      </c>
      <c r="F37" s="872">
        <v>557.0421918579176</v>
      </c>
      <c r="G37" s="872">
        <v>554.28902647569362</v>
      </c>
      <c r="H37" s="872">
        <v>544.69444463634898</v>
      </c>
      <c r="I37" s="872">
        <v>537.48735430141164</v>
      </c>
      <c r="J37" s="872">
        <v>530.37562412960324</v>
      </c>
      <c r="K37" s="872">
        <v>523.35799236891432</v>
      </c>
      <c r="L37" s="872">
        <v>530.56207763693817</v>
      </c>
      <c r="M37" s="872">
        <v>537.86532799903864</v>
      </c>
      <c r="N37" s="872">
        <v>545.2691084745785</v>
      </c>
      <c r="O37" s="872">
        <v>552.77480287257538</v>
      </c>
      <c r="P37" s="872">
        <v>560.38381405034318</v>
      </c>
      <c r="Q37" s="872">
        <v>568.09756417569406</v>
      </c>
    </row>
    <row r="38" spans="2:17" x14ac:dyDescent="0.35">
      <c r="B38" t="s">
        <v>223</v>
      </c>
      <c r="C38" t="s">
        <v>224</v>
      </c>
      <c r="D38" s="872">
        <v>781.6</v>
      </c>
      <c r="E38" s="872">
        <v>792.4506509050251</v>
      </c>
      <c r="F38" s="872">
        <v>803.45193720547331</v>
      </c>
      <c r="G38" s="872">
        <v>814.60595011435601</v>
      </c>
      <c r="H38" s="872">
        <v>803.82754264634661</v>
      </c>
      <c r="I38" s="872">
        <v>793.19174899981761</v>
      </c>
      <c r="J38" s="872">
        <v>782.69668218894674</v>
      </c>
      <c r="K38" s="872">
        <v>772.34048019544639</v>
      </c>
      <c r="L38" s="872">
        <v>782.97183914362972</v>
      </c>
      <c r="M38" s="872">
        <v>793.74954001740593</v>
      </c>
      <c r="N38" s="872">
        <v>804.67559723085799</v>
      </c>
      <c r="O38" s="872">
        <v>815.75205292671922</v>
      </c>
      <c r="P38" s="872">
        <v>826.98097735806175</v>
      </c>
      <c r="Q38" s="872">
        <v>838.36446927523821</v>
      </c>
    </row>
    <row r="39" spans="2:17" x14ac:dyDescent="0.35">
      <c r="B39" t="s">
        <v>55</v>
      </c>
      <c r="C39" t="s">
        <v>225</v>
      </c>
      <c r="D39" s="872">
        <v>847.9</v>
      </c>
      <c r="E39" s="872">
        <v>846.88090535292895</v>
      </c>
      <c r="F39" s="872">
        <v>862.75313989296569</v>
      </c>
      <c r="G39" s="872">
        <v>864.92215084498832</v>
      </c>
      <c r="H39" s="872">
        <v>881.39348728518314</v>
      </c>
      <c r="I39" s="872">
        <v>898.14736293954718</v>
      </c>
      <c r="J39" s="872">
        <v>915.21402485035151</v>
      </c>
      <c r="K39" s="872">
        <v>932.59931257640858</v>
      </c>
      <c r="L39" s="872">
        <v>950.30917469809549</v>
      </c>
      <c r="M39" s="872">
        <v>968.09159552506367</v>
      </c>
      <c r="N39" s="872">
        <v>986.20125580990646</v>
      </c>
      <c r="O39" s="872">
        <v>1004.6441775483819</v>
      </c>
      <c r="P39" s="872">
        <v>1023.4264935555032</v>
      </c>
      <c r="Q39" s="872">
        <v>1042.55444950488</v>
      </c>
    </row>
    <row r="40" spans="2:17" x14ac:dyDescent="0.35">
      <c r="B40" t="s">
        <v>226</v>
      </c>
      <c r="C40" t="s">
        <v>227</v>
      </c>
      <c r="D40" s="872">
        <v>0</v>
      </c>
      <c r="E40" s="872">
        <v>0</v>
      </c>
      <c r="F40" s="872">
        <v>0</v>
      </c>
      <c r="G40" s="872">
        <v>0</v>
      </c>
      <c r="H40" s="872">
        <v>0</v>
      </c>
      <c r="I40" s="872">
        <v>0</v>
      </c>
      <c r="J40" s="872">
        <v>0</v>
      </c>
      <c r="K40" s="872">
        <v>0</v>
      </c>
      <c r="L40" s="872">
        <v>0</v>
      </c>
      <c r="M40" s="872">
        <v>0</v>
      </c>
      <c r="N40" s="872">
        <v>0</v>
      </c>
      <c r="O40" s="872">
        <v>0</v>
      </c>
      <c r="P40" s="872">
        <v>0</v>
      </c>
      <c r="Q40" s="872">
        <v>0</v>
      </c>
    </row>
    <row r="41" spans="2:17" x14ac:dyDescent="0.35">
      <c r="B41" t="s">
        <v>228</v>
      </c>
      <c r="C41" t="s">
        <v>229</v>
      </c>
      <c r="D41" s="872">
        <v>14.2</v>
      </c>
      <c r="E41" s="872">
        <v>14.93</v>
      </c>
      <c r="F41" s="872">
        <v>0</v>
      </c>
      <c r="G41" s="872">
        <v>0</v>
      </c>
      <c r="H41" s="872">
        <v>0</v>
      </c>
      <c r="I41" s="872">
        <v>0</v>
      </c>
      <c r="J41" s="872">
        <v>0</v>
      </c>
      <c r="K41" s="872">
        <v>0</v>
      </c>
      <c r="L41" s="872">
        <v>0</v>
      </c>
      <c r="M41" s="872">
        <v>0</v>
      </c>
      <c r="N41" s="872">
        <v>0</v>
      </c>
      <c r="O41" s="872">
        <v>0</v>
      </c>
      <c r="P41" s="872">
        <v>0</v>
      </c>
      <c r="Q41" s="872">
        <v>0</v>
      </c>
    </row>
    <row r="42" spans="2:17" x14ac:dyDescent="0.35">
      <c r="B42" t="s">
        <v>230</v>
      </c>
      <c r="C42" t="s">
        <v>231</v>
      </c>
      <c r="D42" s="872">
        <v>52.756999999999998</v>
      </c>
      <c r="E42" s="872">
        <v>52.756999999999998</v>
      </c>
      <c r="F42" s="872">
        <v>52.756999999999998</v>
      </c>
      <c r="G42" s="872">
        <v>52.756999999999998</v>
      </c>
      <c r="H42" s="872">
        <v>12</v>
      </c>
      <c r="I42" s="872">
        <v>12</v>
      </c>
      <c r="J42" s="872">
        <v>12</v>
      </c>
      <c r="K42" s="872">
        <v>12</v>
      </c>
      <c r="L42" s="872">
        <v>4.2219999999999995</v>
      </c>
      <c r="M42" s="872">
        <v>4.2219999999999995</v>
      </c>
      <c r="N42" s="872">
        <v>4.2219999999999995</v>
      </c>
      <c r="O42" s="872">
        <v>4.2219999999999995</v>
      </c>
      <c r="P42" s="872">
        <v>2.3719999999999999</v>
      </c>
      <c r="Q42" s="872">
        <v>2.3719999999999999</v>
      </c>
    </row>
    <row r="43" spans="2:17" x14ac:dyDescent="0.35">
      <c r="B43" t="s">
        <v>232</v>
      </c>
      <c r="C43" t="s">
        <v>233</v>
      </c>
      <c r="D43" s="872">
        <v>84.119000000000014</v>
      </c>
      <c r="E43" s="872">
        <v>47.697277734678053</v>
      </c>
      <c r="F43" s="872">
        <v>39.703484096198608</v>
      </c>
      <c r="G43" s="872">
        <v>19.719000000000005</v>
      </c>
      <c r="H43" s="872">
        <v>1.4159999999999999</v>
      </c>
      <c r="I43" s="872">
        <v>1.4159999999999999</v>
      </c>
      <c r="J43" s="872">
        <v>1.4159999999999999</v>
      </c>
      <c r="K43" s="872">
        <v>1.4159999999999999</v>
      </c>
      <c r="L43" s="872">
        <v>1.4790000000000001</v>
      </c>
      <c r="M43" s="872">
        <v>1.4790000000000001</v>
      </c>
      <c r="N43" s="872">
        <v>1.4790000000000001</v>
      </c>
      <c r="O43" s="872">
        <v>1.4790000000000001</v>
      </c>
      <c r="P43" s="872">
        <v>1.63</v>
      </c>
      <c r="Q43" s="872">
        <v>1.63</v>
      </c>
    </row>
    <row r="44" spans="2:17" x14ac:dyDescent="0.35">
      <c r="B44" t="s">
        <v>234</v>
      </c>
      <c r="C44" t="s">
        <v>235</v>
      </c>
      <c r="D44" s="872">
        <v>1902.5239999999999</v>
      </c>
      <c r="E44" s="872">
        <v>1812.7994400000011</v>
      </c>
      <c r="F44" s="872">
        <v>1814.8994400000013</v>
      </c>
      <c r="G44" s="872">
        <v>1757.9994400000014</v>
      </c>
      <c r="H44" s="872">
        <v>1821.5994400000016</v>
      </c>
      <c r="I44" s="872">
        <v>1875.3784000000016</v>
      </c>
      <c r="J44" s="872">
        <v>1882.4784000000018</v>
      </c>
      <c r="K44" s="872">
        <v>1889.5784000000019</v>
      </c>
      <c r="L44" s="872">
        <v>1918.3784000000021</v>
      </c>
      <c r="M44" s="872">
        <v>1949.4578800000022</v>
      </c>
      <c r="N44" s="872">
        <v>1956.5578800000023</v>
      </c>
      <c r="O44" s="872">
        <v>1963.6578800000025</v>
      </c>
      <c r="P44" s="872">
        <v>1990.2578800000026</v>
      </c>
      <c r="Q44" s="872">
        <v>2021.9773600000028</v>
      </c>
    </row>
    <row r="45" spans="2:17" x14ac:dyDescent="0.35">
      <c r="B45" t="s">
        <v>236</v>
      </c>
      <c r="C45" t="s">
        <v>237</v>
      </c>
      <c r="D45" s="872">
        <v>156.29999999999995</v>
      </c>
      <c r="E45" s="872">
        <v>158.18464098059994</v>
      </c>
      <c r="F45" s="872">
        <v>160.09200666769868</v>
      </c>
      <c r="G45" s="872">
        <v>162.02237107225676</v>
      </c>
      <c r="H45" s="872">
        <v>163.97601150921614</v>
      </c>
      <c r="I45" s="872">
        <v>165.95320863733897</v>
      </c>
      <c r="J45" s="872">
        <v>167.95424649952699</v>
      </c>
      <c r="K45" s="872">
        <v>169.97941256362679</v>
      </c>
      <c r="L45" s="872">
        <v>172.02899776372738</v>
      </c>
      <c r="M45" s="872">
        <v>174.10329654195553</v>
      </c>
      <c r="N45" s="872">
        <v>176.20260689077523</v>
      </c>
      <c r="O45" s="872">
        <v>178.32723039579699</v>
      </c>
      <c r="P45" s="872">
        <v>180.47747227910352</v>
      </c>
      <c r="Q45" s="872">
        <v>182.65364144309771</v>
      </c>
    </row>
    <row r="46" spans="2:17" x14ac:dyDescent="0.35">
      <c r="B46" t="s">
        <v>238</v>
      </c>
      <c r="C46" t="s">
        <v>239</v>
      </c>
      <c r="D46" s="872">
        <v>3923.8</v>
      </c>
      <c r="E46" s="872">
        <v>4012.8098876498461</v>
      </c>
      <c r="F46" s="872">
        <v>4104.3735166704901</v>
      </c>
      <c r="G46" s="872">
        <v>4198.5720649772393</v>
      </c>
      <c r="H46" s="872">
        <v>4204.1793060948057</v>
      </c>
      <c r="I46" s="872">
        <v>4210.0859766955145</v>
      </c>
      <c r="J46" s="872">
        <v>4216.2941220398188</v>
      </c>
      <c r="K46" s="872">
        <v>4222.8058188455034</v>
      </c>
      <c r="L46" s="872">
        <v>4276.1552362200655</v>
      </c>
      <c r="M46" s="872">
        <v>4330.2935240142588</v>
      </c>
      <c r="N46" s="872">
        <v>4385.2334250354806</v>
      </c>
      <c r="O46" s="872">
        <v>4440.9878966900988</v>
      </c>
      <c r="P46" s="872">
        <v>4463.7505076580401</v>
      </c>
      <c r="Q46" s="872">
        <v>4486.6700499017925</v>
      </c>
    </row>
    <row r="47" spans="2:17" x14ac:dyDescent="0.35">
      <c r="B47" t="s">
        <v>240</v>
      </c>
      <c r="C47" t="s">
        <v>241</v>
      </c>
      <c r="D47" s="872">
        <v>2168.1</v>
      </c>
      <c r="E47" s="872">
        <v>2176.0715403598851</v>
      </c>
      <c r="F47" s="872">
        <v>2204.3430708273008</v>
      </c>
      <c r="G47" s="872">
        <v>2233.7399283732711</v>
      </c>
      <c r="H47" s="872">
        <v>2260.6964876121165</v>
      </c>
      <c r="I47" s="872">
        <v>2284.8926226705953</v>
      </c>
      <c r="J47" s="872">
        <v>2307.7570737226092</v>
      </c>
      <c r="K47" s="872">
        <v>2330.5186506254895</v>
      </c>
      <c r="L47" s="872">
        <v>2352.1299403450034</v>
      </c>
      <c r="M47" s="872">
        <v>2372.747247882266</v>
      </c>
      <c r="N47" s="872">
        <v>2393.3293480101656</v>
      </c>
      <c r="O47" s="872">
        <v>2414.8094926401063</v>
      </c>
      <c r="P47" s="872">
        <v>2435.37712703121</v>
      </c>
      <c r="Q47" s="872">
        <v>2457.2991989127577</v>
      </c>
    </row>
    <row r="48" spans="2:17" x14ac:dyDescent="0.35">
      <c r="B48" t="s">
        <v>242</v>
      </c>
      <c r="C48" t="s">
        <v>243</v>
      </c>
      <c r="D48" s="872">
        <v>289.69529922036321</v>
      </c>
      <c r="E48" s="872">
        <v>293.54098072884148</v>
      </c>
      <c r="F48" s="872">
        <v>297.43771334620709</v>
      </c>
      <c r="G48" s="872">
        <v>301.38617477177365</v>
      </c>
      <c r="H48" s="872">
        <v>314.06441008216342</v>
      </c>
      <c r="I48" s="872">
        <v>327.27597327564979</v>
      </c>
      <c r="J48" s="872">
        <v>341.04329954324515</v>
      </c>
      <c r="K48" s="872">
        <v>355.3897678439734</v>
      </c>
      <c r="L48" s="872">
        <v>347.31135812971303</v>
      </c>
      <c r="M48" s="872">
        <v>339.41657976732688</v>
      </c>
      <c r="N48" s="872">
        <v>331.7012586093548</v>
      </c>
      <c r="O48" s="872">
        <v>324.16131539140986</v>
      </c>
      <c r="P48" s="872">
        <v>324.99901192464716</v>
      </c>
      <c r="Q48" s="872">
        <v>325.83887323032485</v>
      </c>
    </row>
    <row r="49" spans="2:17" x14ac:dyDescent="0.35">
      <c r="B49" t="s">
        <v>244</v>
      </c>
      <c r="C49" t="s">
        <v>245</v>
      </c>
      <c r="D49" s="872">
        <v>121.26270000000001</v>
      </c>
      <c r="E49" s="872">
        <v>119.04620000000001</v>
      </c>
      <c r="F49" s="872">
        <v>121.1015</v>
      </c>
      <c r="G49" s="872">
        <v>121.6657</v>
      </c>
      <c r="H49" s="872">
        <v>121.58510000000001</v>
      </c>
      <c r="I49" s="872">
        <v>120.98060000000001</v>
      </c>
      <c r="J49" s="872">
        <v>119.93280000000001</v>
      </c>
      <c r="K49" s="872">
        <v>119.28800000000001</v>
      </c>
      <c r="L49" s="872">
        <v>119.28800000000001</v>
      </c>
      <c r="M49" s="872">
        <v>119.11068</v>
      </c>
      <c r="N49" s="872">
        <v>119.69503</v>
      </c>
      <c r="O49" s="872">
        <v>120.19072000000001</v>
      </c>
      <c r="P49" s="872">
        <v>120.87179000000002</v>
      </c>
      <c r="Q49" s="872">
        <v>121.19822000000001</v>
      </c>
    </row>
    <row r="52" spans="2:17" x14ac:dyDescent="0.35">
      <c r="B52" s="1279" t="s">
        <v>246</v>
      </c>
      <c r="C52" s="1279"/>
      <c r="D52" s="1279"/>
      <c r="E52" s="1279"/>
      <c r="F52" s="1279"/>
      <c r="G52" s="1279"/>
      <c r="H52" s="1279"/>
      <c r="I52" s="1279"/>
      <c r="J52" s="1279"/>
      <c r="K52" s="1279"/>
      <c r="L52" s="1279"/>
      <c r="M52" s="1279"/>
      <c r="N52" s="1279"/>
      <c r="O52" s="1279"/>
      <c r="P52" s="1279"/>
      <c r="Q52" s="1279"/>
    </row>
    <row r="53" spans="2:17" x14ac:dyDescent="0.35">
      <c r="B53" t="s">
        <v>192</v>
      </c>
      <c r="C53" t="s">
        <v>193</v>
      </c>
      <c r="D53" t="s">
        <v>195</v>
      </c>
      <c r="E53" t="s">
        <v>196</v>
      </c>
      <c r="F53" t="s">
        <v>197</v>
      </c>
      <c r="G53" t="s">
        <v>198</v>
      </c>
      <c r="H53" t="s">
        <v>199</v>
      </c>
      <c r="I53" t="s">
        <v>200</v>
      </c>
      <c r="J53" t="s">
        <v>201</v>
      </c>
      <c r="K53" t="s">
        <v>202</v>
      </c>
      <c r="L53" t="s">
        <v>203</v>
      </c>
      <c r="M53" t="s">
        <v>204</v>
      </c>
      <c r="N53" t="s">
        <v>205</v>
      </c>
      <c r="O53" t="s">
        <v>189</v>
      </c>
      <c r="P53" t="s">
        <v>190</v>
      </c>
      <c r="Q53" t="s">
        <v>191</v>
      </c>
    </row>
    <row r="54" spans="2:17" x14ac:dyDescent="0.35">
      <c r="B54" t="s">
        <v>206</v>
      </c>
      <c r="C54" t="s">
        <v>207</v>
      </c>
      <c r="D54" s="198">
        <f t="shared" ref="D54:M54" si="0">D4-D29</f>
        <v>6.359000000000151</v>
      </c>
      <c r="E54" s="198">
        <f t="shared" si="0"/>
        <v>17.630346718373801</v>
      </c>
      <c r="F54" s="198">
        <f t="shared" si="0"/>
        <v>6.4849330173874478</v>
      </c>
      <c r="G54" s="198">
        <f t="shared" si="0"/>
        <v>6.548831698850563</v>
      </c>
      <c r="H54" s="198">
        <f t="shared" si="0"/>
        <v>6.6133600000001138</v>
      </c>
      <c r="I54" s="198">
        <f t="shared" si="0"/>
        <v>6.6785241247348495</v>
      </c>
      <c r="J54" s="198">
        <f t="shared" si="0"/>
        <v>6.744330338082932</v>
      </c>
      <c r="K54" s="198">
        <f t="shared" si="0"/>
        <v>6.8107849668047038</v>
      </c>
      <c r="L54" s="198">
        <f t="shared" si="0"/>
        <v>6.8778944000001729</v>
      </c>
      <c r="M54" s="198">
        <f t="shared" si="0"/>
        <v>6.9456650897242298</v>
      </c>
      <c r="N54" s="198">
        <f t="shared" ref="N54:Q54" si="1">N4-N29</f>
        <v>7.0141035516062402</v>
      </c>
      <c r="O54" s="198">
        <f t="shared" si="1"/>
        <v>7.083216365476801</v>
      </c>
      <c r="P54" s="198">
        <f t="shared" si="1"/>
        <v>7.1530101760001799</v>
      </c>
      <c r="Q54" s="198">
        <f t="shared" si="1"/>
        <v>7.2234916933132354</v>
      </c>
    </row>
    <row r="55" spans="2:17" x14ac:dyDescent="0.35">
      <c r="B55" t="s">
        <v>148</v>
      </c>
      <c r="C55" t="s">
        <v>208</v>
      </c>
      <c r="D55" s="198">
        <f t="shared" ref="D55:M55" si="2">D5-D30</f>
        <v>1.0409999999999968</v>
      </c>
      <c r="E55" s="198">
        <f t="shared" si="2"/>
        <v>0</v>
      </c>
      <c r="F55" s="198">
        <f t="shared" si="2"/>
        <v>0</v>
      </c>
      <c r="G55" s="198">
        <f t="shared" si="2"/>
        <v>0</v>
      </c>
      <c r="H55" s="198">
        <f t="shared" si="2"/>
        <v>0</v>
      </c>
      <c r="I55" s="198">
        <f t="shared" si="2"/>
        <v>0</v>
      </c>
      <c r="J55" s="198">
        <f t="shared" si="2"/>
        <v>0</v>
      </c>
      <c r="K55" s="198">
        <f t="shared" si="2"/>
        <v>0</v>
      </c>
      <c r="L55" s="198">
        <f t="shared" si="2"/>
        <v>0</v>
      </c>
      <c r="M55" s="198">
        <f t="shared" si="2"/>
        <v>0</v>
      </c>
      <c r="N55" s="198">
        <f t="shared" ref="N55:Q55" si="3">N5-N30</f>
        <v>0</v>
      </c>
      <c r="O55" s="198">
        <f t="shared" si="3"/>
        <v>0</v>
      </c>
      <c r="P55" s="198">
        <f t="shared" si="3"/>
        <v>0</v>
      </c>
      <c r="Q55" s="198">
        <f t="shared" si="3"/>
        <v>0</v>
      </c>
    </row>
    <row r="56" spans="2:17" x14ac:dyDescent="0.35">
      <c r="B56" t="s">
        <v>209</v>
      </c>
      <c r="C56" t="s">
        <v>210</v>
      </c>
      <c r="D56" s="198">
        <f t="shared" ref="D56:M74" si="4">D6-D31</f>
        <v>0.10000000000013642</v>
      </c>
      <c r="E56" s="198">
        <f t="shared" si="4"/>
        <v>0.10076297357045405</v>
      </c>
      <c r="F56" s="198">
        <f t="shared" si="4"/>
        <v>0.10088844084270931</v>
      </c>
      <c r="G56" s="198">
        <f t="shared" si="4"/>
        <v>0.10084679858573509</v>
      </c>
      <c r="H56" s="198">
        <f t="shared" si="4"/>
        <v>0.10085738583234161</v>
      </c>
      <c r="I56" s="198">
        <f t="shared" si="4"/>
        <v>0.10112710404087011</v>
      </c>
      <c r="J56" s="198">
        <f t="shared" si="4"/>
        <v>0.10150396599465239</v>
      </c>
      <c r="K56" s="198">
        <f t="shared" si="4"/>
        <v>0.10198646497906338</v>
      </c>
      <c r="L56" s="198">
        <f t="shared" si="4"/>
        <v>0.10255360576366002</v>
      </c>
      <c r="M56" s="198">
        <f t="shared" si="4"/>
        <v>0.1031130560550082</v>
      </c>
      <c r="N56" s="198">
        <f t="shared" ref="N56:Q56" si="5">N6-N31</f>
        <v>0.10367555825882846</v>
      </c>
      <c r="O56" s="198">
        <f t="shared" si="5"/>
        <v>0.10426661897054146</v>
      </c>
      <c r="P56" s="198">
        <f t="shared" si="5"/>
        <v>0.10483541408939345</v>
      </c>
      <c r="Q56" s="198">
        <f t="shared" si="5"/>
        <v>0.10548458079711054</v>
      </c>
    </row>
    <row r="57" spans="2:17" x14ac:dyDescent="0.35">
      <c r="B57" t="s">
        <v>211</v>
      </c>
      <c r="C57" t="s">
        <v>212</v>
      </c>
      <c r="D57" s="198">
        <f t="shared" si="4"/>
        <v>-1.2000000000002728</v>
      </c>
      <c r="E57" s="198">
        <f t="shared" si="4"/>
        <v>-1.2176086154026962</v>
      </c>
      <c r="F57" s="198">
        <f t="shared" si="4"/>
        <v>-1.241262546285725</v>
      </c>
      <c r="G57" s="198">
        <f t="shared" si="4"/>
        <v>-1.2624366544650911</v>
      </c>
      <c r="H57" s="198">
        <f t="shared" si="4"/>
        <v>-1.2794482086051175</v>
      </c>
      <c r="I57" s="198">
        <f t="shared" si="4"/>
        <v>-1.2951498969609929</v>
      </c>
      <c r="J57" s="198">
        <f t="shared" si="4"/>
        <v>-1.311044280117585</v>
      </c>
      <c r="K57" s="198">
        <f t="shared" si="4"/>
        <v>-1.3271337228702578</v>
      </c>
      <c r="L57" s="198">
        <f t="shared" si="4"/>
        <v>-1.3434206190363511</v>
      </c>
      <c r="M57" s="198">
        <f t="shared" si="4"/>
        <v>-1.3599073918098838</v>
      </c>
      <c r="N57" s="198">
        <f t="shared" ref="N57:Q57" si="6">N7-N32</f>
        <v>-1.3599073918098838</v>
      </c>
      <c r="O57" s="198">
        <f t="shared" si="6"/>
        <v>-1.3599073918098838</v>
      </c>
      <c r="P57" s="198">
        <f t="shared" si="6"/>
        <v>-1.3599073918098838</v>
      </c>
      <c r="Q57" s="198">
        <f t="shared" si="6"/>
        <v>-1.3599073918098838</v>
      </c>
    </row>
    <row r="58" spans="2:17" x14ac:dyDescent="0.35">
      <c r="B58" t="s">
        <v>213</v>
      </c>
      <c r="C58" t="s">
        <v>214</v>
      </c>
      <c r="D58" s="198">
        <f t="shared" si="4"/>
        <v>0.19999999999998863</v>
      </c>
      <c r="E58" s="198">
        <f t="shared" si="4"/>
        <v>16.813033359193156</v>
      </c>
      <c r="F58" s="198">
        <f t="shared" si="4"/>
        <v>0</v>
      </c>
      <c r="G58" s="198">
        <f t="shared" si="4"/>
        <v>0</v>
      </c>
      <c r="H58" s="198">
        <f t="shared" si="4"/>
        <v>0</v>
      </c>
      <c r="I58" s="198">
        <f t="shared" si="4"/>
        <v>0</v>
      </c>
      <c r="J58" s="198">
        <f t="shared" si="4"/>
        <v>0</v>
      </c>
      <c r="K58" s="198">
        <f t="shared" si="4"/>
        <v>0</v>
      </c>
      <c r="L58" s="198">
        <f t="shared" si="4"/>
        <v>0</v>
      </c>
      <c r="M58" s="198">
        <f t="shared" si="4"/>
        <v>0</v>
      </c>
      <c r="N58" s="198">
        <f t="shared" ref="N58:Q58" si="7">N8-N33</f>
        <v>0</v>
      </c>
      <c r="O58" s="198">
        <f t="shared" si="7"/>
        <v>0</v>
      </c>
      <c r="P58" s="198">
        <f t="shared" si="7"/>
        <v>0</v>
      </c>
      <c r="Q58" s="198">
        <f t="shared" si="7"/>
        <v>0</v>
      </c>
    </row>
    <row r="59" spans="2:17" x14ac:dyDescent="0.35">
      <c r="B59" t="s">
        <v>215</v>
      </c>
      <c r="C59" t="s">
        <v>216</v>
      </c>
      <c r="D59" s="198">
        <f t="shared" si="4"/>
        <v>0</v>
      </c>
      <c r="E59" s="198">
        <f t="shared" si="4"/>
        <v>0</v>
      </c>
      <c r="F59" s="198">
        <f t="shared" si="4"/>
        <v>0</v>
      </c>
      <c r="G59" s="198">
        <f t="shared" si="4"/>
        <v>0</v>
      </c>
      <c r="H59" s="198">
        <f t="shared" si="4"/>
        <v>0</v>
      </c>
      <c r="I59" s="198">
        <f t="shared" si="4"/>
        <v>0</v>
      </c>
      <c r="J59" s="198">
        <f t="shared" si="4"/>
        <v>0</v>
      </c>
      <c r="K59" s="198">
        <f t="shared" si="4"/>
        <v>0</v>
      </c>
      <c r="L59" s="198">
        <f t="shared" si="4"/>
        <v>0</v>
      </c>
      <c r="M59" s="198">
        <f t="shared" si="4"/>
        <v>0</v>
      </c>
      <c r="N59" s="198">
        <f t="shared" ref="N59:Q59" si="8">N9-N34</f>
        <v>0</v>
      </c>
      <c r="O59" s="198">
        <f t="shared" si="8"/>
        <v>0</v>
      </c>
      <c r="P59" s="198">
        <f t="shared" si="8"/>
        <v>0</v>
      </c>
      <c r="Q59" s="198">
        <f t="shared" si="8"/>
        <v>0</v>
      </c>
    </row>
    <row r="60" spans="2:17" x14ac:dyDescent="0.35">
      <c r="B60" t="s">
        <v>217</v>
      </c>
      <c r="C60" t="s">
        <v>218</v>
      </c>
      <c r="D60" s="198">
        <f t="shared" si="4"/>
        <v>-0.19999999999999929</v>
      </c>
      <c r="E60" s="198">
        <f t="shared" si="4"/>
        <v>0</v>
      </c>
      <c r="F60" s="198">
        <f t="shared" si="4"/>
        <v>0</v>
      </c>
      <c r="G60" s="198">
        <f t="shared" si="4"/>
        <v>0</v>
      </c>
      <c r="H60" s="198">
        <f t="shared" si="4"/>
        <v>0</v>
      </c>
      <c r="I60" s="198">
        <f t="shared" si="4"/>
        <v>0</v>
      </c>
      <c r="J60" s="198">
        <f t="shared" si="4"/>
        <v>0</v>
      </c>
      <c r="K60" s="198">
        <f t="shared" si="4"/>
        <v>0</v>
      </c>
      <c r="L60" s="198">
        <f t="shared" si="4"/>
        <v>0</v>
      </c>
      <c r="M60" s="198">
        <f t="shared" si="4"/>
        <v>0</v>
      </c>
      <c r="N60" s="198">
        <f t="shared" ref="N60:Q60" si="9">N10-N35</f>
        <v>0</v>
      </c>
      <c r="O60" s="198">
        <f t="shared" si="9"/>
        <v>0</v>
      </c>
      <c r="P60" s="198">
        <f t="shared" si="9"/>
        <v>0</v>
      </c>
      <c r="Q60" s="198">
        <f t="shared" si="9"/>
        <v>0</v>
      </c>
    </row>
    <row r="61" spans="2:17" x14ac:dyDescent="0.35">
      <c r="B61" t="s">
        <v>219</v>
      </c>
      <c r="C61" t="s">
        <v>220</v>
      </c>
      <c r="D61" s="872">
        <f t="shared" si="4"/>
        <v>0.30000000000000071</v>
      </c>
      <c r="E61" s="872">
        <f t="shared" si="4"/>
        <v>0.29083464566929251</v>
      </c>
      <c r="F61" s="872">
        <f t="shared" si="4"/>
        <v>0.27063779527559362</v>
      </c>
      <c r="G61" s="872">
        <f t="shared" si="4"/>
        <v>0.26092913385826932</v>
      </c>
      <c r="H61" s="872">
        <f t="shared" si="4"/>
        <v>0.25774015748031687</v>
      </c>
      <c r="I61" s="872">
        <f t="shared" si="4"/>
        <v>0.25951181102362497</v>
      </c>
      <c r="J61" s="872">
        <f t="shared" si="4"/>
        <v>0.26348031496063484</v>
      </c>
      <c r="K61" s="872">
        <f t="shared" si="4"/>
        <v>0.26751968503937462</v>
      </c>
      <c r="L61" s="872">
        <f t="shared" si="4"/>
        <v>0.27177165354331123</v>
      </c>
      <c r="M61" s="872">
        <f t="shared" si="4"/>
        <v>0.27708661417323199</v>
      </c>
      <c r="N61" s="872">
        <f t="shared" ref="N61:Q61" si="10">N11-N36</f>
        <v>0.28148031496063908</v>
      </c>
      <c r="O61" s="872">
        <f t="shared" si="10"/>
        <v>0.28495275590551827</v>
      </c>
      <c r="P61" s="872">
        <f t="shared" si="10"/>
        <v>0.28927559055118479</v>
      </c>
      <c r="Q61" s="872">
        <f t="shared" si="10"/>
        <v>0.29345669291339149</v>
      </c>
    </row>
    <row r="62" spans="2:17" x14ac:dyDescent="0.35">
      <c r="B62" t="s">
        <v>221</v>
      </c>
      <c r="C62" t="s">
        <v>222</v>
      </c>
      <c r="D62" s="198">
        <f t="shared" si="4"/>
        <v>-5.9000000000082764E-2</v>
      </c>
      <c r="E62" s="198">
        <f t="shared" si="4"/>
        <v>6.8610264999362016</v>
      </c>
      <c r="F62" s="198">
        <f t="shared" si="4"/>
        <v>6.9562754807459442</v>
      </c>
      <c r="G62" s="198">
        <f t="shared" si="4"/>
        <v>1.0231240020777932</v>
      </c>
      <c r="H62" s="198">
        <f t="shared" si="4"/>
        <v>1.0849509799450061</v>
      </c>
      <c r="I62" s="198">
        <f t="shared" si="4"/>
        <v>1.0705955191934891</v>
      </c>
      <c r="J62" s="198">
        <f t="shared" si="4"/>
        <v>1.0564300018195354</v>
      </c>
      <c r="K62" s="198">
        <f t="shared" si="4"/>
        <v>1.0424519145990416</v>
      </c>
      <c r="L62" s="198">
        <f t="shared" si="4"/>
        <v>1.0568013897004676</v>
      </c>
      <c r="M62" s="198">
        <f t="shared" si="4"/>
        <v>1.0713483870401888</v>
      </c>
      <c r="N62" s="198">
        <f t="shared" ref="N62:Q62" si="11">N12-N37</f>
        <v>1.0860956255357905</v>
      </c>
      <c r="O62" s="198">
        <f t="shared" si="11"/>
        <v>1.1010458615303378</v>
      </c>
      <c r="P62" s="198">
        <f t="shared" si="11"/>
        <v>1.1162018893088543</v>
      </c>
      <c r="Q62" s="198">
        <f t="shared" si="11"/>
        <v>1.1315665416199181</v>
      </c>
    </row>
    <row r="63" spans="2:17" x14ac:dyDescent="0.35">
      <c r="B63" t="s">
        <v>223</v>
      </c>
      <c r="C63" t="s">
        <v>224</v>
      </c>
      <c r="D63" s="198">
        <f t="shared" si="4"/>
        <v>1.2999999999999545</v>
      </c>
      <c r="E63" s="198">
        <f t="shared" si="4"/>
        <v>11.318047397871624</v>
      </c>
      <c r="F63" s="198">
        <f t="shared" si="4"/>
        <v>11.475171478271818</v>
      </c>
      <c r="G63" s="198">
        <f t="shared" si="4"/>
        <v>1.634476851590648</v>
      </c>
      <c r="H63" s="198">
        <f t="shared" si="4"/>
        <v>1.6128503737813844</v>
      </c>
      <c r="I63" s="198">
        <f t="shared" si="4"/>
        <v>1.5915100453548803</v>
      </c>
      <c r="J63" s="198">
        <f t="shared" si="4"/>
        <v>1.5704520801438093</v>
      </c>
      <c r="K63" s="198">
        <f t="shared" si="4"/>
        <v>1.5496727420768366</v>
      </c>
      <c r="L63" s="198">
        <f t="shared" si="4"/>
        <v>1.5710041724443045</v>
      </c>
      <c r="M63" s="198">
        <f t="shared" si="4"/>
        <v>1.5926292324983251</v>
      </c>
      <c r="N63" s="198">
        <f t="shared" ref="N63:Q63" si="12">N13-N38</f>
        <v>1.6145519640865587</v>
      </c>
      <c r="O63" s="198">
        <f t="shared" si="12"/>
        <v>1.6367764646932983</v>
      </c>
      <c r="P63" s="198">
        <f>P13-P38</f>
        <v>1.6593068882050375</v>
      </c>
      <c r="Q63" s="198">
        <f t="shared" si="12"/>
        <v>1.6821474456871783</v>
      </c>
    </row>
    <row r="64" spans="2:17" x14ac:dyDescent="0.35">
      <c r="B64" t="s">
        <v>55</v>
      </c>
      <c r="C64" t="s">
        <v>225</v>
      </c>
      <c r="D64" s="198">
        <f t="shared" si="4"/>
        <v>0</v>
      </c>
      <c r="E64" s="198">
        <f t="shared" si="4"/>
        <v>25</v>
      </c>
      <c r="F64" s="198">
        <f t="shared" si="4"/>
        <v>16</v>
      </c>
      <c r="G64" s="198">
        <f t="shared" si="4"/>
        <v>16</v>
      </c>
      <c r="H64" s="198">
        <f t="shared" si="4"/>
        <v>16</v>
      </c>
      <c r="I64" s="198">
        <f t="shared" si="4"/>
        <v>0</v>
      </c>
      <c r="J64" s="198">
        <f t="shared" si="4"/>
        <v>0</v>
      </c>
      <c r="K64" s="198">
        <f t="shared" si="4"/>
        <v>0</v>
      </c>
      <c r="L64" s="198">
        <f t="shared" si="4"/>
        <v>0</v>
      </c>
      <c r="M64" s="198">
        <f t="shared" si="4"/>
        <v>0</v>
      </c>
      <c r="N64" s="198">
        <f t="shared" ref="N64:Q64" si="13">N14-N39</f>
        <v>0</v>
      </c>
      <c r="O64" s="198">
        <f t="shared" si="13"/>
        <v>0</v>
      </c>
      <c r="P64" s="198">
        <f t="shared" si="13"/>
        <v>0</v>
      </c>
      <c r="Q64" s="198">
        <f t="shared" si="13"/>
        <v>0</v>
      </c>
    </row>
    <row r="65" spans="2:17" x14ac:dyDescent="0.35">
      <c r="B65" t="s">
        <v>226</v>
      </c>
      <c r="C65" t="s">
        <v>227</v>
      </c>
      <c r="D65" s="198">
        <f t="shared" si="4"/>
        <v>0</v>
      </c>
      <c r="E65" s="198">
        <f t="shared" si="4"/>
        <v>0</v>
      </c>
      <c r="F65" s="198">
        <f t="shared" si="4"/>
        <v>0</v>
      </c>
      <c r="G65" s="198">
        <f t="shared" si="4"/>
        <v>0</v>
      </c>
      <c r="H65" s="198">
        <f t="shared" si="4"/>
        <v>0</v>
      </c>
      <c r="I65" s="198">
        <f t="shared" si="4"/>
        <v>0</v>
      </c>
      <c r="J65" s="198">
        <f t="shared" si="4"/>
        <v>0</v>
      </c>
      <c r="K65" s="198">
        <f t="shared" si="4"/>
        <v>0</v>
      </c>
      <c r="L65" s="198">
        <f t="shared" si="4"/>
        <v>0</v>
      </c>
      <c r="M65" s="198">
        <f t="shared" si="4"/>
        <v>0</v>
      </c>
      <c r="N65" s="198">
        <f t="shared" ref="N65:Q65" si="14">N15-N40</f>
        <v>0</v>
      </c>
      <c r="O65" s="198">
        <f t="shared" si="14"/>
        <v>0</v>
      </c>
      <c r="P65" s="198">
        <f t="shared" si="14"/>
        <v>0</v>
      </c>
      <c r="Q65" s="198">
        <f t="shared" si="14"/>
        <v>0</v>
      </c>
    </row>
    <row r="66" spans="2:17" x14ac:dyDescent="0.35">
      <c r="B66" t="s">
        <v>228</v>
      </c>
      <c r="C66" t="s">
        <v>229</v>
      </c>
      <c r="D66" s="198">
        <f t="shared" si="4"/>
        <v>0</v>
      </c>
      <c r="E66" s="198">
        <f t="shared" si="4"/>
        <v>-14.93</v>
      </c>
      <c r="F66" s="198">
        <f t="shared" si="4"/>
        <v>0</v>
      </c>
      <c r="G66" s="198">
        <f t="shared" si="4"/>
        <v>0</v>
      </c>
      <c r="H66" s="198">
        <f t="shared" si="4"/>
        <v>0</v>
      </c>
      <c r="I66" s="198">
        <f t="shared" si="4"/>
        <v>0</v>
      </c>
      <c r="J66" s="198">
        <f t="shared" si="4"/>
        <v>0</v>
      </c>
      <c r="K66" s="198">
        <f t="shared" si="4"/>
        <v>0</v>
      </c>
      <c r="L66" s="198">
        <f t="shared" si="4"/>
        <v>0</v>
      </c>
      <c r="M66" s="198">
        <f t="shared" si="4"/>
        <v>0</v>
      </c>
      <c r="N66" s="198">
        <f t="shared" ref="N66:Q66" si="15">N16-N41</f>
        <v>0</v>
      </c>
      <c r="O66" s="198">
        <f t="shared" si="15"/>
        <v>0</v>
      </c>
      <c r="P66" s="198">
        <f t="shared" si="15"/>
        <v>0</v>
      </c>
      <c r="Q66" s="198">
        <f t="shared" si="15"/>
        <v>0</v>
      </c>
    </row>
    <row r="67" spans="2:17" x14ac:dyDescent="0.35">
      <c r="B67" t="s">
        <v>230</v>
      </c>
      <c r="C67" t="s">
        <v>231</v>
      </c>
      <c r="D67" s="198">
        <f t="shared" si="4"/>
        <v>0</v>
      </c>
      <c r="E67" s="198">
        <f t="shared" si="4"/>
        <v>0</v>
      </c>
      <c r="F67" s="198">
        <f t="shared" si="4"/>
        <v>0</v>
      </c>
      <c r="G67" s="198">
        <f t="shared" si="4"/>
        <v>0</v>
      </c>
      <c r="H67" s="198">
        <f t="shared" si="4"/>
        <v>0</v>
      </c>
      <c r="I67" s="198">
        <f t="shared" si="4"/>
        <v>0</v>
      </c>
      <c r="J67" s="198">
        <f t="shared" si="4"/>
        <v>0</v>
      </c>
      <c r="K67" s="198">
        <f t="shared" si="4"/>
        <v>0</v>
      </c>
      <c r="L67" s="198">
        <f t="shared" si="4"/>
        <v>0</v>
      </c>
      <c r="M67" s="198">
        <f t="shared" si="4"/>
        <v>0</v>
      </c>
      <c r="N67" s="198">
        <f t="shared" ref="N67:Q67" si="16">N17-N42</f>
        <v>0</v>
      </c>
      <c r="O67" s="198">
        <f t="shared" si="16"/>
        <v>0</v>
      </c>
      <c r="P67" s="198">
        <f t="shared" si="16"/>
        <v>0</v>
      </c>
      <c r="Q67" s="198">
        <f t="shared" si="16"/>
        <v>0</v>
      </c>
    </row>
    <row r="68" spans="2:17" x14ac:dyDescent="0.35">
      <c r="B68" t="s">
        <v>1198</v>
      </c>
      <c r="C68" t="s">
        <v>233</v>
      </c>
      <c r="D68" s="198">
        <f t="shared" si="4"/>
        <v>0</v>
      </c>
      <c r="E68" s="198">
        <f t="shared" si="4"/>
        <v>27.978277734678045</v>
      </c>
      <c r="F68" s="198">
        <f t="shared" si="4"/>
        <v>0</v>
      </c>
      <c r="G68" s="198">
        <f t="shared" si="4"/>
        <v>0</v>
      </c>
      <c r="H68" s="198">
        <f t="shared" si="4"/>
        <v>0</v>
      </c>
      <c r="I68" s="198">
        <f t="shared" si="4"/>
        <v>0</v>
      </c>
      <c r="J68" s="198">
        <f t="shared" si="4"/>
        <v>0</v>
      </c>
      <c r="K68" s="198">
        <f t="shared" si="4"/>
        <v>0</v>
      </c>
      <c r="L68" s="198">
        <f t="shared" si="4"/>
        <v>0</v>
      </c>
      <c r="M68" s="198">
        <f t="shared" si="4"/>
        <v>0</v>
      </c>
      <c r="N68" s="198">
        <f t="shared" ref="N68:Q68" si="17">N18-N43</f>
        <v>0</v>
      </c>
      <c r="O68" s="198">
        <f t="shared" si="17"/>
        <v>0</v>
      </c>
      <c r="P68" s="198">
        <f t="shared" si="17"/>
        <v>0</v>
      </c>
      <c r="Q68" s="198">
        <f t="shared" si="17"/>
        <v>0</v>
      </c>
    </row>
    <row r="69" spans="2:17" x14ac:dyDescent="0.35">
      <c r="B69" t="s">
        <v>234</v>
      </c>
      <c r="C69" t="s">
        <v>235</v>
      </c>
      <c r="D69" s="198">
        <f t="shared" si="4"/>
        <v>-2.8999999999996362</v>
      </c>
      <c r="E69" s="198">
        <f t="shared" si="4"/>
        <v>22.993580000000065</v>
      </c>
      <c r="F69" s="198">
        <f t="shared" si="4"/>
        <v>-6.4199999999345891E-3</v>
      </c>
      <c r="G69" s="198">
        <f t="shared" si="4"/>
        <v>-6.4199999999345891E-3</v>
      </c>
      <c r="H69" s="198">
        <f t="shared" si="4"/>
        <v>-6.4199999999345891E-3</v>
      </c>
      <c r="I69" s="198">
        <f t="shared" si="4"/>
        <v>-1.0699999999815191E-2</v>
      </c>
      <c r="J69" s="198">
        <f t="shared" si="4"/>
        <v>-1.0699999999815191E-2</v>
      </c>
      <c r="K69" s="198">
        <f t="shared" si="4"/>
        <v>-1.0699999999815191E-2</v>
      </c>
      <c r="L69" s="198">
        <f t="shared" si="4"/>
        <v>-1.0699999999815191E-2</v>
      </c>
      <c r="M69" s="198">
        <f t="shared" si="4"/>
        <v>-1.2839999999869178E-2</v>
      </c>
      <c r="N69" s="198">
        <f t="shared" ref="N69:Q69" si="18">N19-N44</f>
        <v>-1.2839999999869178E-2</v>
      </c>
      <c r="O69" s="198">
        <f t="shared" si="18"/>
        <v>-1.2839999999869178E-2</v>
      </c>
      <c r="P69" s="198">
        <f t="shared" si="18"/>
        <v>-1.2839999999869178E-2</v>
      </c>
      <c r="Q69" s="198">
        <f t="shared" si="18"/>
        <v>-1.4979999999923166E-2</v>
      </c>
    </row>
    <row r="70" spans="2:17" x14ac:dyDescent="0.35">
      <c r="B70" t="s">
        <v>236</v>
      </c>
      <c r="C70" t="s">
        <v>237</v>
      </c>
      <c r="D70" s="198">
        <f t="shared" si="4"/>
        <v>0</v>
      </c>
      <c r="E70" s="198">
        <f t="shared" si="4"/>
        <v>0</v>
      </c>
      <c r="F70" s="198">
        <f t="shared" si="4"/>
        <v>0</v>
      </c>
      <c r="G70" s="198">
        <f t="shared" si="4"/>
        <v>0</v>
      </c>
      <c r="H70" s="198">
        <f t="shared" si="4"/>
        <v>0</v>
      </c>
      <c r="I70" s="198">
        <f t="shared" si="4"/>
        <v>0</v>
      </c>
      <c r="J70" s="198">
        <f t="shared" si="4"/>
        <v>0</v>
      </c>
      <c r="K70" s="198">
        <f t="shared" si="4"/>
        <v>0</v>
      </c>
      <c r="L70" s="198">
        <f t="shared" si="4"/>
        <v>0</v>
      </c>
      <c r="M70" s="198">
        <f t="shared" si="4"/>
        <v>0</v>
      </c>
      <c r="N70" s="198">
        <f t="shared" ref="N70:Q70" si="19">N20-N45</f>
        <v>0</v>
      </c>
      <c r="O70" s="198">
        <f t="shared" si="19"/>
        <v>0</v>
      </c>
      <c r="P70" s="198">
        <f t="shared" si="19"/>
        <v>0</v>
      </c>
      <c r="Q70" s="198">
        <f t="shared" si="19"/>
        <v>0</v>
      </c>
    </row>
    <row r="71" spans="2:17" x14ac:dyDescent="0.35">
      <c r="B71" t="s">
        <v>238</v>
      </c>
      <c r="C71" t="s">
        <v>239</v>
      </c>
      <c r="D71" s="198">
        <f t="shared" si="4"/>
        <v>0.40000000000009095</v>
      </c>
      <c r="E71" s="198">
        <f t="shared" si="4"/>
        <v>0.41316250631416551</v>
      </c>
      <c r="F71" s="198">
        <f t="shared" si="4"/>
        <v>0.42676813374964695</v>
      </c>
      <c r="G71" s="198">
        <f t="shared" si="4"/>
        <v>0.44083179657718574</v>
      </c>
      <c r="H71" s="198">
        <f t="shared" si="4"/>
        <v>0.43939590080481139</v>
      </c>
      <c r="I71" s="198">
        <f t="shared" si="4"/>
        <v>0.43798855792283575</v>
      </c>
      <c r="J71" s="198">
        <f t="shared" si="4"/>
        <v>0.43660983380596008</v>
      </c>
      <c r="K71" s="198">
        <f t="shared" si="4"/>
        <v>0.43525979660716985</v>
      </c>
      <c r="L71" s="198">
        <f t="shared" si="4"/>
        <v>0.44239907262908673</v>
      </c>
      <c r="M71" s="198">
        <f t="shared" si="4"/>
        <v>0.44966236945765559</v>
      </c>
      <c r="N71" s="198">
        <f t="shared" ref="N71:Q71" si="20">N21-N46</f>
        <v>0.45705187175553874</v>
      </c>
      <c r="O71" s="198">
        <f t="shared" si="20"/>
        <v>0.46456980267521431</v>
      </c>
      <c r="P71" s="198">
        <f t="shared" si="20"/>
        <v>0.46679927271179622</v>
      </c>
      <c r="Q71" s="198">
        <f t="shared" si="20"/>
        <v>0.46904086715221638</v>
      </c>
    </row>
    <row r="72" spans="2:17" x14ac:dyDescent="0.35">
      <c r="B72" t="s">
        <v>240</v>
      </c>
      <c r="C72" t="s">
        <v>241</v>
      </c>
      <c r="D72" s="198">
        <f t="shared" si="4"/>
        <v>-1</v>
      </c>
      <c r="E72" s="198">
        <f t="shared" si="4"/>
        <v>0.86592912449668802</v>
      </c>
      <c r="F72" s="198">
        <f t="shared" si="4"/>
        <v>0.87698842434565449</v>
      </c>
      <c r="G72" s="198">
        <f t="shared" si="4"/>
        <v>0.88913335391271175</v>
      </c>
      <c r="H72" s="198">
        <f t="shared" si="4"/>
        <v>0.90021089022593515</v>
      </c>
      <c r="I72" s="198">
        <f t="shared" si="4"/>
        <v>0.90995057310465199</v>
      </c>
      <c r="J72" s="198">
        <f t="shared" si="4"/>
        <v>0.91904807369519403</v>
      </c>
      <c r="K72" s="198">
        <f t="shared" si="4"/>
        <v>0.92820149583349121</v>
      </c>
      <c r="L72" s="198">
        <f t="shared" si="4"/>
        <v>0.93687464973936585</v>
      </c>
      <c r="M72" s="198">
        <f t="shared" si="4"/>
        <v>0.94500622355417363</v>
      </c>
      <c r="N72" s="198">
        <f t="shared" ref="N72:Q72" si="21">N22-N47</f>
        <v>0.95331335923037841</v>
      </c>
      <c r="O72" s="198">
        <f t="shared" si="21"/>
        <v>0.96191669149311565</v>
      </c>
      <c r="P72" s="198">
        <f t="shared" si="21"/>
        <v>0.96992745562420168</v>
      </c>
      <c r="Q72" s="198">
        <f t="shared" si="21"/>
        <v>0.9785475133885484</v>
      </c>
    </row>
    <row r="73" spans="2:17" x14ac:dyDescent="0.35">
      <c r="B73" t="s">
        <v>242</v>
      </c>
      <c r="C73" t="s">
        <v>243</v>
      </c>
      <c r="D73" s="198">
        <f t="shared" si="4"/>
        <v>-8.495299220363222</v>
      </c>
      <c r="E73" s="198">
        <f t="shared" si="4"/>
        <v>-8.6080736257770241</v>
      </c>
      <c r="F73" s="198">
        <f t="shared" si="4"/>
        <v>-8.722345102239899</v>
      </c>
      <c r="G73" s="198">
        <f t="shared" si="4"/>
        <v>-8.8381335232481888</v>
      </c>
      <c r="H73" s="198">
        <f t="shared" si="4"/>
        <v>-9.2099220984781027</v>
      </c>
      <c r="I73" s="198">
        <f t="shared" si="4"/>
        <v>-9.5973504854745784</v>
      </c>
      <c r="J73" s="198">
        <f t="shared" si="4"/>
        <v>-10.001076595019185</v>
      </c>
      <c r="K73" s="198">
        <f t="shared" si="4"/>
        <v>-10.421786013840062</v>
      </c>
      <c r="L73" s="198">
        <f t="shared" si="4"/>
        <v>-10.184887079228304</v>
      </c>
      <c r="M73" s="198">
        <f t="shared" si="4"/>
        <v>-9.9533731242299837</v>
      </c>
      <c r="N73" s="198">
        <f t="shared" ref="N73:Q73" si="22">N23-N48</f>
        <v>-9.7271217421931624</v>
      </c>
      <c r="O73" s="198">
        <f t="shared" si="22"/>
        <v>-9.5060133089069723</v>
      </c>
      <c r="P73" s="198">
        <f t="shared" si="22"/>
        <v>-9.530578715128172</v>
      </c>
      <c r="Q73" s="198">
        <f t="shared" si="22"/>
        <v>-9.5552076031858633</v>
      </c>
    </row>
    <row r="74" spans="2:17" x14ac:dyDescent="0.35">
      <c r="B74" t="s">
        <v>244</v>
      </c>
      <c r="C74" t="s">
        <v>245</v>
      </c>
      <c r="D74" s="198">
        <f t="shared" si="4"/>
        <v>-5.8627000000000038</v>
      </c>
      <c r="E74" s="198">
        <f t="shared" si="4"/>
        <v>-4.7242568818766841</v>
      </c>
      <c r="F74" s="198">
        <f t="shared" si="4"/>
        <v>-5.1025795100684945</v>
      </c>
      <c r="G74" s="198">
        <f t="shared" si="4"/>
        <v>-5.810520427652051</v>
      </c>
      <c r="H74" s="198">
        <f t="shared" si="4"/>
        <v>-6.4486250155698599</v>
      </c>
      <c r="I74" s="198">
        <f t="shared" si="4"/>
        <v>-7.2336205522109225</v>
      </c>
      <c r="J74" s="198">
        <f t="shared" si="4"/>
        <v>-8.0065388416026622</v>
      </c>
      <c r="K74" s="198">
        <f t="shared" si="4"/>
        <v>-8.6554070998546848</v>
      </c>
      <c r="L74" s="198">
        <f t="shared" si="4"/>
        <v>-9.1824571309943934</v>
      </c>
      <c r="M74" s="198">
        <f t="shared" si="4"/>
        <v>-9.7238417189121833</v>
      </c>
      <c r="N74" s="198">
        <f t="shared" ref="N74:Q74" si="23">N24-N49</f>
        <v>-10.020709883745056</v>
      </c>
      <c r="O74" s="198">
        <f t="shared" si="23"/>
        <v>-10.32474532696699</v>
      </c>
      <c r="P74" s="198">
        <f t="shared" si="23"/>
        <v>-10.574592574216325</v>
      </c>
      <c r="Q74" s="198">
        <f t="shared" si="23"/>
        <v>-10.901022574216313</v>
      </c>
    </row>
    <row r="77" spans="2:17" x14ac:dyDescent="0.35">
      <c r="B77" s="1279" t="s">
        <v>247</v>
      </c>
      <c r="C77" s="1279"/>
      <c r="D77" s="1279"/>
      <c r="E77" s="1279"/>
      <c r="F77" s="1279"/>
      <c r="G77" s="1279"/>
      <c r="H77" s="1279"/>
      <c r="I77" s="1279"/>
      <c r="J77" s="1279"/>
      <c r="K77" s="1279"/>
      <c r="L77" s="1279"/>
      <c r="M77" s="1279"/>
      <c r="N77" s="1279"/>
      <c r="O77" s="1279"/>
      <c r="P77" s="1279"/>
      <c r="Q77" s="1279"/>
    </row>
    <row r="78" spans="2:17" x14ac:dyDescent="0.35">
      <c r="B78" t="s">
        <v>192</v>
      </c>
      <c r="C78" t="s">
        <v>193</v>
      </c>
      <c r="D78" t="s">
        <v>195</v>
      </c>
      <c r="E78" t="s">
        <v>196</v>
      </c>
      <c r="F78" t="s">
        <v>197</v>
      </c>
      <c r="G78" t="s">
        <v>198</v>
      </c>
      <c r="H78" t="s">
        <v>199</v>
      </c>
      <c r="I78" t="s">
        <v>200</v>
      </c>
      <c r="J78" t="s">
        <v>201</v>
      </c>
      <c r="K78" t="s">
        <v>202</v>
      </c>
      <c r="L78" t="s">
        <v>203</v>
      </c>
      <c r="M78" t="s">
        <v>204</v>
      </c>
      <c r="N78" t="s">
        <v>205</v>
      </c>
      <c r="O78" t="s">
        <v>189</v>
      </c>
      <c r="P78" t="s">
        <v>190</v>
      </c>
      <c r="Q78" t="s">
        <v>191</v>
      </c>
    </row>
    <row r="79" spans="2:17" x14ac:dyDescent="0.35">
      <c r="B79" t="s">
        <v>206</v>
      </c>
      <c r="C79" t="s">
        <v>207</v>
      </c>
      <c r="D79" s="669">
        <f t="shared" ref="D79:M79" si="24">(D4/D29-1)</f>
        <v>1.5443542774261854E-2</v>
      </c>
      <c r="E79" s="669">
        <f t="shared" si="24"/>
        <v>4.3457863951697151E-2</v>
      </c>
      <c r="F79" s="669">
        <f t="shared" si="24"/>
        <v>1.554604457817943E-2</v>
      </c>
      <c r="G79" s="669">
        <f t="shared" si="24"/>
        <v>1.5577266181004967E-2</v>
      </c>
      <c r="H79" s="669">
        <f t="shared" si="24"/>
        <v>1.5251297689752086E-2</v>
      </c>
      <c r="I79" s="669">
        <f t="shared" si="24"/>
        <v>1.4967361603736018E-2</v>
      </c>
      <c r="J79" s="669">
        <f t="shared" si="24"/>
        <v>1.5668755431005321E-2</v>
      </c>
      <c r="K79" s="669">
        <f t="shared" si="24"/>
        <v>1.5869150388986286E-2</v>
      </c>
      <c r="L79" s="669">
        <f t="shared" si="24"/>
        <v>1.5877891313135439E-2</v>
      </c>
      <c r="M79" s="669">
        <f t="shared" si="24"/>
        <v>1.6354737029537825E-2</v>
      </c>
      <c r="N79" s="669">
        <f t="shared" ref="N79:Q79" si="25">(N4/N29-1)</f>
        <v>1.7244286819288579E-2</v>
      </c>
      <c r="O79" s="669">
        <f t="shared" si="25"/>
        <v>1.7228574143989928E-2</v>
      </c>
      <c r="P79" s="669">
        <f t="shared" si="25"/>
        <v>1.7247202540103146E-2</v>
      </c>
      <c r="Q79" s="669">
        <f t="shared" si="25"/>
        <v>1.8157487417359341E-2</v>
      </c>
    </row>
    <row r="80" spans="2:17" x14ac:dyDescent="0.35">
      <c r="B80" t="s">
        <v>148</v>
      </c>
      <c r="C80" t="s">
        <v>208</v>
      </c>
      <c r="D80" s="669">
        <f t="shared" ref="D80:M99" si="26">(D5/D30-1)</f>
        <v>1.4119657655946805E-2</v>
      </c>
      <c r="E80" s="669">
        <f t="shared" si="26"/>
        <v>0</v>
      </c>
      <c r="F80" s="669">
        <f t="shared" si="26"/>
        <v>0</v>
      </c>
      <c r="G80" s="669">
        <f t="shared" si="26"/>
        <v>0</v>
      </c>
      <c r="H80" s="669">
        <f t="shared" si="26"/>
        <v>0</v>
      </c>
      <c r="I80" s="669">
        <f t="shared" si="26"/>
        <v>0</v>
      </c>
      <c r="J80" s="669">
        <f t="shared" si="26"/>
        <v>0</v>
      </c>
      <c r="K80" s="669">
        <f t="shared" si="26"/>
        <v>0</v>
      </c>
      <c r="L80" s="669">
        <f t="shared" si="26"/>
        <v>0</v>
      </c>
      <c r="M80" s="669">
        <f t="shared" si="26"/>
        <v>0</v>
      </c>
      <c r="N80" s="669">
        <f t="shared" ref="N80:Q80" si="27">(N5/N30-1)</f>
        <v>0</v>
      </c>
      <c r="O80" s="669">
        <f t="shared" si="27"/>
        <v>0</v>
      </c>
      <c r="P80" s="669">
        <f t="shared" si="27"/>
        <v>0</v>
      </c>
      <c r="Q80" s="669">
        <f t="shared" si="27"/>
        <v>0</v>
      </c>
    </row>
    <row r="81" spans="2:17" x14ac:dyDescent="0.35">
      <c r="B81" t="s">
        <v>209</v>
      </c>
      <c r="C81" t="s">
        <v>210</v>
      </c>
      <c r="D81" s="669">
        <f t="shared" si="26"/>
        <v>6.3852882957737833E-5</v>
      </c>
      <c r="E81" s="669">
        <f t="shared" si="26"/>
        <v>6.3711132102906021E-5</v>
      </c>
      <c r="F81" s="669">
        <f t="shared" si="26"/>
        <v>6.3711307996650035E-5</v>
      </c>
      <c r="G81" s="669">
        <f t="shared" si="26"/>
        <v>6.3711249666198455E-5</v>
      </c>
      <c r="H81" s="669">
        <f t="shared" si="26"/>
        <v>6.3511107076363871E-5</v>
      </c>
      <c r="I81" s="669">
        <f t="shared" si="26"/>
        <v>6.3512013767752507E-5</v>
      </c>
      <c r="J81" s="669">
        <f t="shared" si="26"/>
        <v>6.3513272609005966E-5</v>
      </c>
      <c r="K81" s="669">
        <f t="shared" si="26"/>
        <v>6.3514870803915713E-5</v>
      </c>
      <c r="L81" s="669">
        <f t="shared" si="26"/>
        <v>6.3367592341823098E-5</v>
      </c>
      <c r="M81" s="669">
        <f t="shared" si="26"/>
        <v>6.3370205431567683E-5</v>
      </c>
      <c r="N81" s="669">
        <f t="shared" ref="N81:Q81" si="28">(N6/N31-1)</f>
        <v>6.3372804557593199E-5</v>
      </c>
      <c r="O81" s="669">
        <f t="shared" si="28"/>
        <v>6.3375505652718545E-5</v>
      </c>
      <c r="P81" s="669">
        <f t="shared" si="28"/>
        <v>6.3263339210140046E-5</v>
      </c>
      <c r="Q81" s="669">
        <f t="shared" si="28"/>
        <v>6.3266934050343338E-5</v>
      </c>
    </row>
    <row r="82" spans="2:17" x14ac:dyDescent="0.35">
      <c r="B82" t="s">
        <v>211</v>
      </c>
      <c r="C82" t="s">
        <v>212</v>
      </c>
      <c r="D82" s="669">
        <f t="shared" si="26"/>
        <v>-4.6730791697502383E-4</v>
      </c>
      <c r="E82" s="669">
        <f t="shared" si="26"/>
        <v>-4.6730791697502383E-4</v>
      </c>
      <c r="F82" s="669">
        <f t="shared" si="26"/>
        <v>-4.6730791697502383E-4</v>
      </c>
      <c r="G82" s="669">
        <f t="shared" si="26"/>
        <v>-4.6730791697502383E-4</v>
      </c>
      <c r="H82" s="669">
        <f t="shared" si="26"/>
        <v>-4.6730791697502383E-4</v>
      </c>
      <c r="I82" s="669">
        <f t="shared" si="26"/>
        <v>-4.6730791697502383E-4</v>
      </c>
      <c r="J82" s="669">
        <f t="shared" si="26"/>
        <v>-4.6730791697513485E-4</v>
      </c>
      <c r="K82" s="669">
        <f t="shared" si="26"/>
        <v>-4.6730791697524587E-4</v>
      </c>
      <c r="L82" s="669">
        <f t="shared" si="26"/>
        <v>-4.673079169753569E-4</v>
      </c>
      <c r="M82" s="669">
        <f t="shared" si="26"/>
        <v>-4.673079169753569E-4</v>
      </c>
      <c r="N82" s="669">
        <f t="shared" ref="N82:Q82" si="29">(N7/N32-1)</f>
        <v>-4.673079169753569E-4</v>
      </c>
      <c r="O82" s="669">
        <f t="shared" si="29"/>
        <v>-4.673079169753569E-4</v>
      </c>
      <c r="P82" s="669">
        <f t="shared" si="29"/>
        <v>-4.673079169753569E-4</v>
      </c>
      <c r="Q82" s="669">
        <f t="shared" si="29"/>
        <v>-4.673079169753569E-4</v>
      </c>
    </row>
    <row r="83" spans="2:17" x14ac:dyDescent="0.35">
      <c r="B83" t="s">
        <v>213</v>
      </c>
      <c r="C83" t="s">
        <v>214</v>
      </c>
      <c r="D83" s="669">
        <f t="shared" si="26"/>
        <v>1.0295904289272517E-3</v>
      </c>
      <c r="E83" s="669">
        <f t="shared" si="26"/>
        <v>0.31453254885772974</v>
      </c>
      <c r="F83" s="669">
        <f t="shared" si="26"/>
        <v>0</v>
      </c>
      <c r="G83" s="669">
        <f t="shared" si="26"/>
        <v>0</v>
      </c>
      <c r="H83" s="669">
        <f t="shared" si="26"/>
        <v>0</v>
      </c>
      <c r="I83" s="669">
        <f t="shared" si="26"/>
        <v>0</v>
      </c>
      <c r="J83" s="669">
        <f t="shared" si="26"/>
        <v>0</v>
      </c>
      <c r="K83" s="669">
        <f t="shared" si="26"/>
        <v>0</v>
      </c>
      <c r="L83" s="669">
        <f t="shared" si="26"/>
        <v>0</v>
      </c>
      <c r="M83" s="669">
        <f t="shared" si="26"/>
        <v>0</v>
      </c>
      <c r="N83" s="669">
        <f t="shared" ref="N83:Q83" si="30">(N8/N33-1)</f>
        <v>0</v>
      </c>
      <c r="O83" s="669">
        <f t="shared" si="30"/>
        <v>0</v>
      </c>
      <c r="P83" s="669">
        <f t="shared" si="30"/>
        <v>0</v>
      </c>
      <c r="Q83" s="669">
        <f t="shared" si="30"/>
        <v>0</v>
      </c>
    </row>
    <row r="84" spans="2:17" x14ac:dyDescent="0.35">
      <c r="B84" t="s">
        <v>215</v>
      </c>
      <c r="C84" t="s">
        <v>216</v>
      </c>
      <c r="D84" s="669">
        <f t="shared" si="26"/>
        <v>0</v>
      </c>
      <c r="E84" s="669">
        <f t="shared" si="26"/>
        <v>0</v>
      </c>
      <c r="F84" s="669">
        <f t="shared" si="26"/>
        <v>0</v>
      </c>
      <c r="G84" s="669">
        <f t="shared" si="26"/>
        <v>0</v>
      </c>
      <c r="H84" s="669">
        <f t="shared" si="26"/>
        <v>0</v>
      </c>
      <c r="I84" s="669">
        <f t="shared" si="26"/>
        <v>0</v>
      </c>
      <c r="J84" s="669">
        <f t="shared" si="26"/>
        <v>0</v>
      </c>
      <c r="K84" s="669">
        <f t="shared" si="26"/>
        <v>0</v>
      </c>
      <c r="L84" s="669">
        <f t="shared" si="26"/>
        <v>0</v>
      </c>
      <c r="M84" s="669">
        <f t="shared" si="26"/>
        <v>0</v>
      </c>
      <c r="N84" s="669">
        <f t="shared" ref="N84:Q84" si="31">(N9/N34-1)</f>
        <v>0</v>
      </c>
      <c r="O84" s="669">
        <f t="shared" si="31"/>
        <v>0</v>
      </c>
      <c r="P84" s="669">
        <f t="shared" si="31"/>
        <v>0</v>
      </c>
      <c r="Q84" s="669">
        <f t="shared" si="31"/>
        <v>0</v>
      </c>
    </row>
    <row r="85" spans="2:17" x14ac:dyDescent="0.35">
      <c r="B85" t="s">
        <v>217</v>
      </c>
      <c r="C85" t="s">
        <v>218</v>
      </c>
      <c r="D85" s="669">
        <f t="shared" si="26"/>
        <v>-1.869158878504662E-2</v>
      </c>
      <c r="E85" s="669" t="e">
        <f t="shared" si="26"/>
        <v>#DIV/0!</v>
      </c>
      <c r="F85" s="669" t="e">
        <f t="shared" si="26"/>
        <v>#DIV/0!</v>
      </c>
      <c r="G85" s="669" t="e">
        <f t="shared" si="26"/>
        <v>#DIV/0!</v>
      </c>
      <c r="H85" s="669" t="e">
        <f t="shared" si="26"/>
        <v>#DIV/0!</v>
      </c>
      <c r="I85" s="669" t="e">
        <f t="shared" si="26"/>
        <v>#DIV/0!</v>
      </c>
      <c r="J85" s="669" t="e">
        <f t="shared" si="26"/>
        <v>#DIV/0!</v>
      </c>
      <c r="K85" s="669" t="e">
        <f t="shared" si="26"/>
        <v>#DIV/0!</v>
      </c>
      <c r="L85" s="669" t="e">
        <f t="shared" si="26"/>
        <v>#DIV/0!</v>
      </c>
      <c r="M85" s="669" t="e">
        <f t="shared" si="26"/>
        <v>#DIV/0!</v>
      </c>
      <c r="N85" s="669" t="e">
        <f t="shared" ref="N85:Q85" si="32">(N10/N35-1)</f>
        <v>#DIV/0!</v>
      </c>
      <c r="O85" s="669" t="e">
        <f t="shared" si="32"/>
        <v>#DIV/0!</v>
      </c>
      <c r="P85" s="669" t="e">
        <f t="shared" si="32"/>
        <v>#DIV/0!</v>
      </c>
      <c r="Q85" s="669" t="e">
        <f t="shared" si="32"/>
        <v>#DIV/0!</v>
      </c>
    </row>
    <row r="86" spans="2:17" x14ac:dyDescent="0.35">
      <c r="B86" t="s">
        <v>219</v>
      </c>
      <c r="C86" t="s">
        <v>220</v>
      </c>
      <c r="D86" s="669">
        <f t="shared" si="26"/>
        <v>1.1152416356877248E-2</v>
      </c>
      <c r="E86" s="669">
        <f t="shared" si="26"/>
        <v>1.115241635687747E-2</v>
      </c>
      <c r="F86" s="669">
        <f t="shared" si="26"/>
        <v>1.115241635687747E-2</v>
      </c>
      <c r="G86" s="669">
        <f t="shared" si="26"/>
        <v>1.115241635687747E-2</v>
      </c>
      <c r="H86" s="669">
        <f t="shared" si="26"/>
        <v>1.115241635687747E-2</v>
      </c>
      <c r="I86" s="669">
        <f t="shared" si="26"/>
        <v>1.115241635687747E-2</v>
      </c>
      <c r="J86" s="669">
        <f t="shared" si="26"/>
        <v>1.115241635687747E-2</v>
      </c>
      <c r="K86" s="669">
        <f t="shared" si="26"/>
        <v>1.115241635687747E-2</v>
      </c>
      <c r="L86" s="669">
        <f t="shared" si="26"/>
        <v>1.115241635687747E-2</v>
      </c>
      <c r="M86" s="669">
        <f t="shared" si="26"/>
        <v>1.115241635687747E-2</v>
      </c>
      <c r="N86" s="669">
        <f t="shared" ref="N86:Q86" si="33">(N11/N36-1)</f>
        <v>1.1152416356877692E-2</v>
      </c>
      <c r="O86" s="669">
        <f t="shared" si="33"/>
        <v>1.115241635687747E-2</v>
      </c>
      <c r="P86" s="669">
        <f t="shared" si="33"/>
        <v>1.115241635687747E-2</v>
      </c>
      <c r="Q86" s="669">
        <f t="shared" si="33"/>
        <v>1.115241635687747E-2</v>
      </c>
    </row>
    <row r="87" spans="2:17" x14ac:dyDescent="0.35">
      <c r="B87" t="s">
        <v>221</v>
      </c>
      <c r="C87" t="s">
        <v>222</v>
      </c>
      <c r="D87" s="669">
        <f t="shared" si="26"/>
        <v>-1.0887778376522661E-4</v>
      </c>
      <c r="E87" s="669">
        <f t="shared" si="26"/>
        <v>1.2487878983716838E-2</v>
      </c>
      <c r="F87" s="669">
        <f t="shared" si="26"/>
        <v>1.2487878983716616E-2</v>
      </c>
      <c r="G87" s="669">
        <f t="shared" si="26"/>
        <v>1.8458312418396794E-3</v>
      </c>
      <c r="H87" s="669">
        <f t="shared" si="26"/>
        <v>1.9918524791808778E-3</v>
      </c>
      <c r="I87" s="669">
        <f t="shared" si="26"/>
        <v>1.9918524791806558E-3</v>
      </c>
      <c r="J87" s="669">
        <f t="shared" si="26"/>
        <v>1.9918524791806558E-3</v>
      </c>
      <c r="K87" s="669">
        <f t="shared" si="26"/>
        <v>1.9918524791806558E-3</v>
      </c>
      <c r="L87" s="669">
        <f t="shared" si="26"/>
        <v>1.9918524791808778E-3</v>
      </c>
      <c r="M87" s="669">
        <f t="shared" si="26"/>
        <v>1.9918524791806558E-3</v>
      </c>
      <c r="N87" s="669">
        <f t="shared" ref="N87:Q87" si="34">(N12/N37-1)</f>
        <v>1.9918524791808778E-3</v>
      </c>
      <c r="O87" s="669">
        <f t="shared" si="34"/>
        <v>1.9918524791806558E-3</v>
      </c>
      <c r="P87" s="669">
        <f t="shared" si="34"/>
        <v>1.9918524791806558E-3</v>
      </c>
      <c r="Q87" s="669">
        <f t="shared" si="34"/>
        <v>1.9918524791808778E-3</v>
      </c>
    </row>
    <row r="88" spans="2:17" x14ac:dyDescent="0.35">
      <c r="B88" t="s">
        <v>223</v>
      </c>
      <c r="C88" t="s">
        <v>224</v>
      </c>
      <c r="D88" s="669">
        <f t="shared" si="26"/>
        <v>1.663254861821839E-3</v>
      </c>
      <c r="E88" s="669">
        <f t="shared" si="26"/>
        <v>1.4282337183956884E-2</v>
      </c>
      <c r="F88" s="669">
        <f t="shared" si="26"/>
        <v>1.4282337183956662E-2</v>
      </c>
      <c r="G88" s="669">
        <f t="shared" si="26"/>
        <v>2.0064631879515016E-3</v>
      </c>
      <c r="H88" s="669">
        <f t="shared" si="26"/>
        <v>2.0064631879515016E-3</v>
      </c>
      <c r="I88" s="669">
        <f t="shared" si="26"/>
        <v>2.0064631879512795E-3</v>
      </c>
      <c r="J88" s="669">
        <f t="shared" si="26"/>
        <v>2.0064631879512795E-3</v>
      </c>
      <c r="K88" s="669">
        <f t="shared" si="26"/>
        <v>2.0064631879512795E-3</v>
      </c>
      <c r="L88" s="669">
        <f t="shared" si="26"/>
        <v>2.0064631879515016E-3</v>
      </c>
      <c r="M88" s="669">
        <f t="shared" si="26"/>
        <v>2.0064631879515016E-3</v>
      </c>
      <c r="N88" s="669">
        <f t="shared" ref="N88:Q88" si="35">(N13/N38-1)</f>
        <v>2.0064631879515016E-3</v>
      </c>
      <c r="O88" s="669">
        <f t="shared" si="35"/>
        <v>2.0064631879515016E-3</v>
      </c>
      <c r="P88" s="669">
        <f t="shared" si="35"/>
        <v>2.0064631879515016E-3</v>
      </c>
      <c r="Q88" s="669">
        <f t="shared" si="35"/>
        <v>2.0064631879515016E-3</v>
      </c>
    </row>
    <row r="89" spans="2:17" x14ac:dyDescent="0.35">
      <c r="B89" t="s">
        <v>55</v>
      </c>
      <c r="C89" t="s">
        <v>225</v>
      </c>
      <c r="D89" s="669">
        <f t="shared" si="26"/>
        <v>0</v>
      </c>
      <c r="E89" s="669">
        <f t="shared" si="26"/>
        <v>2.9520089356107837E-2</v>
      </c>
      <c r="F89" s="669">
        <f t="shared" si="26"/>
        <v>1.8545281680441006E-2</v>
      </c>
      <c r="G89" s="669">
        <f t="shared" si="26"/>
        <v>1.8498774698241682E-2</v>
      </c>
      <c r="H89" s="669">
        <f t="shared" si="26"/>
        <v>1.8153072641008849E-2</v>
      </c>
      <c r="I89" s="669">
        <f t="shared" si="26"/>
        <v>0</v>
      </c>
      <c r="J89" s="669">
        <f t="shared" si="26"/>
        <v>0</v>
      </c>
      <c r="K89" s="669">
        <f t="shared" si="26"/>
        <v>0</v>
      </c>
      <c r="L89" s="669">
        <f t="shared" si="26"/>
        <v>0</v>
      </c>
      <c r="M89" s="669">
        <f t="shared" si="26"/>
        <v>0</v>
      </c>
      <c r="N89" s="669">
        <f t="shared" ref="N89:Q89" si="36">(N14/N39-1)</f>
        <v>0</v>
      </c>
      <c r="O89" s="669">
        <f t="shared" si="36"/>
        <v>0</v>
      </c>
      <c r="P89" s="669">
        <f t="shared" si="36"/>
        <v>0</v>
      </c>
      <c r="Q89" s="669">
        <f t="shared" si="36"/>
        <v>0</v>
      </c>
    </row>
    <row r="90" spans="2:17" x14ac:dyDescent="0.35">
      <c r="B90" t="s">
        <v>226</v>
      </c>
      <c r="C90" t="s">
        <v>227</v>
      </c>
      <c r="D90" s="669" t="e">
        <f t="shared" si="26"/>
        <v>#DIV/0!</v>
      </c>
      <c r="E90" s="669" t="e">
        <f t="shared" si="26"/>
        <v>#DIV/0!</v>
      </c>
      <c r="F90" s="669" t="e">
        <f t="shared" si="26"/>
        <v>#DIV/0!</v>
      </c>
      <c r="G90" s="669" t="e">
        <f t="shared" si="26"/>
        <v>#DIV/0!</v>
      </c>
      <c r="H90" s="669" t="e">
        <f t="shared" si="26"/>
        <v>#DIV/0!</v>
      </c>
      <c r="I90" s="669" t="e">
        <f t="shared" si="26"/>
        <v>#DIV/0!</v>
      </c>
      <c r="J90" s="669" t="e">
        <f t="shared" si="26"/>
        <v>#DIV/0!</v>
      </c>
      <c r="K90" s="669" t="e">
        <f t="shared" si="26"/>
        <v>#DIV/0!</v>
      </c>
      <c r="L90" s="669" t="e">
        <f t="shared" si="26"/>
        <v>#DIV/0!</v>
      </c>
      <c r="M90" s="669" t="e">
        <f t="shared" si="26"/>
        <v>#DIV/0!</v>
      </c>
      <c r="N90" s="669" t="e">
        <f t="shared" ref="N90:Q90" si="37">(N15/N40-1)</f>
        <v>#DIV/0!</v>
      </c>
      <c r="O90" s="669" t="e">
        <f t="shared" si="37"/>
        <v>#DIV/0!</v>
      </c>
      <c r="P90" s="669" t="e">
        <f t="shared" si="37"/>
        <v>#DIV/0!</v>
      </c>
      <c r="Q90" s="669" t="e">
        <f t="shared" si="37"/>
        <v>#DIV/0!</v>
      </c>
    </row>
    <row r="91" spans="2:17" x14ac:dyDescent="0.35">
      <c r="B91" t="s">
        <v>228</v>
      </c>
      <c r="C91" t="s">
        <v>229</v>
      </c>
      <c r="D91" s="669">
        <f t="shared" si="26"/>
        <v>0</v>
      </c>
      <c r="E91" s="669">
        <f t="shared" si="26"/>
        <v>-1</v>
      </c>
      <c r="F91" s="669" t="e">
        <f t="shared" si="26"/>
        <v>#DIV/0!</v>
      </c>
      <c r="G91" s="669" t="e">
        <f t="shared" si="26"/>
        <v>#DIV/0!</v>
      </c>
      <c r="H91" s="669" t="e">
        <f t="shared" si="26"/>
        <v>#DIV/0!</v>
      </c>
      <c r="I91" s="669" t="e">
        <f t="shared" si="26"/>
        <v>#DIV/0!</v>
      </c>
      <c r="J91" s="669" t="e">
        <f t="shared" si="26"/>
        <v>#DIV/0!</v>
      </c>
      <c r="K91" s="669" t="e">
        <f t="shared" si="26"/>
        <v>#DIV/0!</v>
      </c>
      <c r="L91" s="669" t="e">
        <f t="shared" si="26"/>
        <v>#DIV/0!</v>
      </c>
      <c r="M91" s="669" t="e">
        <f t="shared" si="26"/>
        <v>#DIV/0!</v>
      </c>
      <c r="N91" s="669" t="e">
        <f t="shared" ref="N91:Q91" si="38">(N16/N41-1)</f>
        <v>#DIV/0!</v>
      </c>
      <c r="O91" s="669" t="e">
        <f t="shared" si="38"/>
        <v>#DIV/0!</v>
      </c>
      <c r="P91" s="669" t="e">
        <f t="shared" si="38"/>
        <v>#DIV/0!</v>
      </c>
      <c r="Q91" s="669" t="e">
        <f t="shared" si="38"/>
        <v>#DIV/0!</v>
      </c>
    </row>
    <row r="92" spans="2:17" x14ac:dyDescent="0.35">
      <c r="B92" t="s">
        <v>230</v>
      </c>
      <c r="C92" t="s">
        <v>231</v>
      </c>
      <c r="D92" s="669">
        <f t="shared" si="26"/>
        <v>0</v>
      </c>
      <c r="E92" s="669">
        <f t="shared" si="26"/>
        <v>0</v>
      </c>
      <c r="F92" s="669">
        <f t="shared" si="26"/>
        <v>0</v>
      </c>
      <c r="G92" s="669">
        <f t="shared" si="26"/>
        <v>0</v>
      </c>
      <c r="H92" s="669">
        <f t="shared" si="26"/>
        <v>0</v>
      </c>
      <c r="I92" s="669">
        <f t="shared" si="26"/>
        <v>0</v>
      </c>
      <c r="J92" s="669">
        <f t="shared" si="26"/>
        <v>0</v>
      </c>
      <c r="K92" s="669">
        <f t="shared" si="26"/>
        <v>0</v>
      </c>
      <c r="L92" s="669">
        <f t="shared" si="26"/>
        <v>0</v>
      </c>
      <c r="M92" s="669">
        <f t="shared" si="26"/>
        <v>0</v>
      </c>
      <c r="N92" s="669">
        <f t="shared" ref="N92:Q92" si="39">(N17/N42-1)</f>
        <v>0</v>
      </c>
      <c r="O92" s="669">
        <f t="shared" si="39"/>
        <v>0</v>
      </c>
      <c r="P92" s="669">
        <f t="shared" si="39"/>
        <v>0</v>
      </c>
      <c r="Q92" s="669">
        <f t="shared" si="39"/>
        <v>0</v>
      </c>
    </row>
    <row r="93" spans="2:17" x14ac:dyDescent="0.35">
      <c r="B93" t="s">
        <v>232</v>
      </c>
      <c r="C93" t="s">
        <v>233</v>
      </c>
      <c r="D93" s="669">
        <f t="shared" si="26"/>
        <v>0</v>
      </c>
      <c r="E93" s="669">
        <f t="shared" si="26"/>
        <v>0.58658017948761443</v>
      </c>
      <c r="F93" s="669">
        <f t="shared" si="26"/>
        <v>0</v>
      </c>
      <c r="G93" s="669">
        <f t="shared" si="26"/>
        <v>0</v>
      </c>
      <c r="H93" s="669">
        <f t="shared" si="26"/>
        <v>0</v>
      </c>
      <c r="I93" s="669">
        <f t="shared" si="26"/>
        <v>0</v>
      </c>
      <c r="J93" s="669">
        <f t="shared" si="26"/>
        <v>0</v>
      </c>
      <c r="K93" s="669">
        <f t="shared" si="26"/>
        <v>0</v>
      </c>
      <c r="L93" s="669">
        <f t="shared" si="26"/>
        <v>0</v>
      </c>
      <c r="M93" s="669">
        <f t="shared" si="26"/>
        <v>0</v>
      </c>
      <c r="N93" s="669">
        <f t="shared" ref="N93:Q93" si="40">(N18/N43-1)</f>
        <v>0</v>
      </c>
      <c r="O93" s="669">
        <f t="shared" si="40"/>
        <v>0</v>
      </c>
      <c r="P93" s="669">
        <f t="shared" si="40"/>
        <v>0</v>
      </c>
      <c r="Q93" s="669">
        <f t="shared" si="40"/>
        <v>0</v>
      </c>
    </row>
    <row r="94" spans="2:17" x14ac:dyDescent="0.35">
      <c r="B94" t="s">
        <v>234</v>
      </c>
      <c r="C94" t="s">
        <v>235</v>
      </c>
      <c r="D94" s="669">
        <f t="shared" si="26"/>
        <v>-1.5242908893656759E-3</v>
      </c>
      <c r="E94" s="669">
        <f t="shared" si="26"/>
        <v>1.2684017598769914E-2</v>
      </c>
      <c r="F94" s="669">
        <f t="shared" si="26"/>
        <v>-3.5373860712839544E-6</v>
      </c>
      <c r="G94" s="669">
        <f t="shared" si="26"/>
        <v>-3.6518782963179675E-6</v>
      </c>
      <c r="H94" s="669">
        <f t="shared" si="26"/>
        <v>-3.5243752599667388E-6</v>
      </c>
      <c r="I94" s="669">
        <f t="shared" si="26"/>
        <v>-5.7055152175022883E-6</v>
      </c>
      <c r="J94" s="669">
        <f t="shared" si="26"/>
        <v>-5.6839961615207102E-6</v>
      </c>
      <c r="K94" s="669">
        <f t="shared" si="26"/>
        <v>-5.6626388191816091E-6</v>
      </c>
      <c r="L94" s="669">
        <f t="shared" si="26"/>
        <v>-5.5776274376917456E-6</v>
      </c>
      <c r="M94" s="669">
        <f t="shared" si="26"/>
        <v>-6.5864464842135817E-6</v>
      </c>
      <c r="N94" s="669">
        <f t="shared" ref="N94:Q94" si="41">(N19/N44-1)</f>
        <v>-6.5625454432893804E-6</v>
      </c>
      <c r="O94" s="669">
        <f t="shared" si="41"/>
        <v>-6.5388172403313405E-6</v>
      </c>
      <c r="P94" s="669">
        <f t="shared" si="41"/>
        <v>-6.4514252795522253E-6</v>
      </c>
      <c r="Q94" s="669">
        <f t="shared" si="41"/>
        <v>-7.4085893819741955E-6</v>
      </c>
    </row>
    <row r="95" spans="2:17" x14ac:dyDescent="0.35">
      <c r="B95" t="s">
        <v>236</v>
      </c>
      <c r="C95" t="s">
        <v>237</v>
      </c>
      <c r="D95" s="669">
        <f t="shared" si="26"/>
        <v>6.6613381477509392E-16</v>
      </c>
      <c r="E95" s="669">
        <f t="shared" si="26"/>
        <v>6.6613381477509392E-16</v>
      </c>
      <c r="F95" s="669">
        <f t="shared" si="26"/>
        <v>6.6613381477509392E-16</v>
      </c>
      <c r="G95" s="669">
        <f t="shared" si="26"/>
        <v>6.6613381477509392E-16</v>
      </c>
      <c r="H95" s="669">
        <f t="shared" si="26"/>
        <v>6.6613381477509392E-16</v>
      </c>
      <c r="I95" s="669">
        <f t="shared" si="26"/>
        <v>6.6613381477509392E-16</v>
      </c>
      <c r="J95" s="669">
        <f t="shared" si="26"/>
        <v>6.6613381477509392E-16</v>
      </c>
      <c r="K95" s="669">
        <f t="shared" si="26"/>
        <v>6.6613381477509392E-16</v>
      </c>
      <c r="L95" s="669">
        <f t="shared" si="26"/>
        <v>6.6613381477509392E-16</v>
      </c>
      <c r="M95" s="669">
        <f t="shared" si="26"/>
        <v>6.6613381477509392E-16</v>
      </c>
      <c r="N95" s="669">
        <f t="shared" ref="N95:Q95" si="42">(N20/N45-1)</f>
        <v>6.6613381477509392E-16</v>
      </c>
      <c r="O95" s="669">
        <f t="shared" si="42"/>
        <v>6.6613381477509392E-16</v>
      </c>
      <c r="P95" s="669">
        <f t="shared" si="42"/>
        <v>6.6613381477509392E-16</v>
      </c>
      <c r="Q95" s="669">
        <f t="shared" si="42"/>
        <v>6.6613381477509392E-16</v>
      </c>
    </row>
    <row r="96" spans="2:17" x14ac:dyDescent="0.35">
      <c r="B96" t="s">
        <v>238</v>
      </c>
      <c r="C96" t="s">
        <v>239</v>
      </c>
      <c r="D96" s="669">
        <f t="shared" si="26"/>
        <v>1.0194199500479506E-4</v>
      </c>
      <c r="E96" s="669">
        <f t="shared" si="26"/>
        <v>1.029608971971907E-4</v>
      </c>
      <c r="F96" s="669">
        <f t="shared" si="26"/>
        <v>1.0397887327173727E-4</v>
      </c>
      <c r="G96" s="669">
        <f t="shared" si="26"/>
        <v>1.0499564846200293E-4</v>
      </c>
      <c r="H96" s="669">
        <f t="shared" si="26"/>
        <v>1.0451407250111622E-4</v>
      </c>
      <c r="I96" s="669">
        <f t="shared" si="26"/>
        <v>1.0403316235052529E-4</v>
      </c>
      <c r="J96" s="669">
        <f t="shared" si="26"/>
        <v>1.03552983062416E-4</v>
      </c>
      <c r="K96" s="669">
        <f t="shared" si="26"/>
        <v>1.0307359970584962E-4</v>
      </c>
      <c r="L96" s="669">
        <f t="shared" si="26"/>
        <v>1.0345720587556784E-4</v>
      </c>
      <c r="M96" s="669">
        <f t="shared" si="26"/>
        <v>1.0384108304983819E-4</v>
      </c>
      <c r="N96" s="669">
        <f t="shared" ref="N96:Q96" si="43">(N21/N46-1)</f>
        <v>1.0422520934594282E-4</v>
      </c>
      <c r="O96" s="669">
        <f t="shared" si="43"/>
        <v>1.0460956289071177E-4</v>
      </c>
      <c r="P96" s="669">
        <f t="shared" si="43"/>
        <v>1.0457557426457598E-4</v>
      </c>
      <c r="Q96" s="669">
        <f t="shared" si="43"/>
        <v>1.0454097625522962E-4</v>
      </c>
    </row>
    <row r="97" spans="2:17" x14ac:dyDescent="0.35">
      <c r="B97" t="s">
        <v>240</v>
      </c>
      <c r="C97" t="s">
        <v>241</v>
      </c>
      <c r="D97" s="669">
        <f t="shared" si="26"/>
        <v>-4.6123333794567678E-4</v>
      </c>
      <c r="E97" s="669">
        <f t="shared" si="26"/>
        <v>3.9793228689233295E-4</v>
      </c>
      <c r="F97" s="669">
        <f t="shared" si="26"/>
        <v>3.9784570557643839E-4</v>
      </c>
      <c r="G97" s="669">
        <f t="shared" si="26"/>
        <v>3.9804694477574287E-4</v>
      </c>
      <c r="H97" s="669">
        <f t="shared" si="26"/>
        <v>3.9820068512463891E-4</v>
      </c>
      <c r="I97" s="669">
        <f t="shared" si="26"/>
        <v>3.9824653643516505E-4</v>
      </c>
      <c r="J97" s="669">
        <f t="shared" si="26"/>
        <v>3.9824298846702355E-4</v>
      </c>
      <c r="K97" s="669">
        <f t="shared" si="26"/>
        <v>3.9828108459216693E-4</v>
      </c>
      <c r="L97" s="669">
        <f t="shared" si="26"/>
        <v>3.9830905328375188E-4</v>
      </c>
      <c r="M97" s="669">
        <f t="shared" si="26"/>
        <v>3.9827513208479104E-4</v>
      </c>
      <c r="N97" s="669">
        <f t="shared" ref="N97:Q97" si="44">(N22/N47-1)</f>
        <v>3.9832100835712758E-4</v>
      </c>
      <c r="O97" s="669">
        <f t="shared" si="44"/>
        <v>3.9834061213728233E-4</v>
      </c>
      <c r="P97" s="669">
        <f t="shared" si="44"/>
        <v>3.9826581471036349E-4</v>
      </c>
      <c r="Q97" s="669">
        <f t="shared" si="44"/>
        <v>3.9822074325401857E-4</v>
      </c>
    </row>
    <row r="98" spans="2:17" x14ac:dyDescent="0.35">
      <c r="B98" t="s">
        <v>242</v>
      </c>
      <c r="C98" t="s">
        <v>243</v>
      </c>
      <c r="D98" s="669">
        <f t="shared" si="26"/>
        <v>-2.9324946739646918E-2</v>
      </c>
      <c r="E98" s="669">
        <f>(E23/E48-1)</f>
        <v>-2.9324946739647029E-2</v>
      </c>
      <c r="F98" s="669">
        <f t="shared" si="26"/>
        <v>-2.9324946739646918E-2</v>
      </c>
      <c r="G98" s="669">
        <f t="shared" si="26"/>
        <v>-2.9324946739646918E-2</v>
      </c>
      <c r="H98" s="669">
        <f t="shared" si="26"/>
        <v>-2.9324946739647029E-2</v>
      </c>
      <c r="I98" s="669">
        <f t="shared" si="26"/>
        <v>-2.9324946739647029E-2</v>
      </c>
      <c r="J98" s="669">
        <f t="shared" si="26"/>
        <v>-2.932494673964714E-2</v>
      </c>
      <c r="K98" s="669">
        <f t="shared" si="26"/>
        <v>-2.932494673964714E-2</v>
      </c>
      <c r="L98" s="669">
        <f t="shared" si="26"/>
        <v>-2.9324946739647029E-2</v>
      </c>
      <c r="M98" s="669">
        <f t="shared" si="26"/>
        <v>-2.9324946739646918E-2</v>
      </c>
      <c r="N98" s="669">
        <f t="shared" ref="N98:Q98" si="45">(N23/N48-1)</f>
        <v>-2.9324946739646918E-2</v>
      </c>
      <c r="O98" s="669">
        <f t="shared" si="45"/>
        <v>-2.9324946739646918E-2</v>
      </c>
      <c r="P98" s="669">
        <f t="shared" si="45"/>
        <v>-2.9324946739647029E-2</v>
      </c>
      <c r="Q98" s="669">
        <f t="shared" si="45"/>
        <v>-2.9324946739647029E-2</v>
      </c>
    </row>
    <row r="99" spans="2:17" x14ac:dyDescent="0.35">
      <c r="B99" t="s">
        <v>244</v>
      </c>
      <c r="C99" t="s">
        <v>245</v>
      </c>
      <c r="D99" s="669">
        <f t="shared" si="26"/>
        <v>-4.8347100963445522E-2</v>
      </c>
      <c r="E99" s="669">
        <f t="shared" si="26"/>
        <v>-3.9684230843795798E-2</v>
      </c>
      <c r="F99" s="669">
        <f t="shared" si="26"/>
        <v>-4.2134734169836818E-2</v>
      </c>
      <c r="G99" s="669">
        <f t="shared" si="26"/>
        <v>-4.7758081592856882E-2</v>
      </c>
      <c r="H99" s="669">
        <f t="shared" si="26"/>
        <v>-5.3037954614256644E-2</v>
      </c>
      <c r="I99" s="669">
        <f t="shared" si="26"/>
        <v>-5.9791574452523144E-2</v>
      </c>
      <c r="J99" s="669">
        <f t="shared" si="26"/>
        <v>-6.6758541796761661E-2</v>
      </c>
      <c r="K99" s="669">
        <f t="shared" si="26"/>
        <v>-7.2558908690351753E-2</v>
      </c>
      <c r="L99" s="669">
        <f t="shared" si="26"/>
        <v>-7.6977207522922586E-2</v>
      </c>
      <c r="M99" s="669">
        <f t="shared" si="26"/>
        <v>-8.163702632637293E-2</v>
      </c>
      <c r="N99" s="669">
        <f t="shared" ref="N99:Q99" si="46">(N24/N49-1)</f>
        <v>-8.3718679745892977E-2</v>
      </c>
      <c r="O99" s="669">
        <f t="shared" si="46"/>
        <v>-8.5903015864843724E-2</v>
      </c>
      <c r="P99" s="669">
        <f t="shared" si="46"/>
        <v>-8.7486026096050384E-2</v>
      </c>
      <c r="Q99" s="669">
        <f t="shared" si="46"/>
        <v>-8.9943751436418085E-2</v>
      </c>
    </row>
  </sheetData>
  <mergeCells count="4">
    <mergeCell ref="B2:Q2"/>
    <mergeCell ref="B77:Q77"/>
    <mergeCell ref="B52:Q52"/>
    <mergeCell ref="B27:Q27"/>
  </mergeCells>
  <conditionalFormatting sqref="D54:Q74 D79:Q99">
    <cfRule type="cellIs" dxfId="1" priority="3" operator="lessThan">
      <formula>0</formula>
    </cfRule>
    <cfRule type="cellIs" dxfId="0"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topLeftCell="B1" zoomScaleNormal="100" workbookViewId="0">
      <selection activeCell="C2" sqref="C2"/>
    </sheetView>
  </sheetViews>
  <sheetFormatPr defaultColWidth="8.7265625" defaultRowHeight="14.5" x14ac:dyDescent="0.35"/>
  <cols>
    <col min="1" max="1" width="41.1796875" customWidth="1"/>
    <col min="2" max="2" width="23.453125" customWidth="1"/>
    <col min="3" max="12" width="10.453125" bestFit="1" customWidth="1"/>
  </cols>
  <sheetData>
    <row r="1" spans="1:17" s="256" customFormat="1" x14ac:dyDescent="0.35">
      <c r="A1" s="256" t="s">
        <v>192</v>
      </c>
      <c r="B1" s="256" t="s">
        <v>193</v>
      </c>
      <c r="C1" s="259" t="s">
        <v>195</v>
      </c>
      <c r="D1" s="259" t="s">
        <v>196</v>
      </c>
      <c r="E1" s="259" t="s">
        <v>197</v>
      </c>
      <c r="F1" s="259" t="s">
        <v>198</v>
      </c>
      <c r="G1" s="259" t="s">
        <v>199</v>
      </c>
      <c r="H1" s="259" t="s">
        <v>200</v>
      </c>
      <c r="I1" s="259" t="s">
        <v>201</v>
      </c>
      <c r="J1" s="259" t="s">
        <v>202</v>
      </c>
      <c r="K1" s="259" t="s">
        <v>203</v>
      </c>
      <c r="L1" s="259" t="s">
        <v>204</v>
      </c>
      <c r="M1" s="259" t="s">
        <v>205</v>
      </c>
      <c r="N1" s="259" t="s">
        <v>189</v>
      </c>
      <c r="O1" s="259" t="s">
        <v>190</v>
      </c>
      <c r="P1" s="259" t="s">
        <v>191</v>
      </c>
      <c r="Q1" s="887"/>
    </row>
    <row r="2" spans="1:17" x14ac:dyDescent="0.35">
      <c r="A2" t="s">
        <v>206</v>
      </c>
      <c r="B2" t="s">
        <v>207</v>
      </c>
      <c r="C2" s="198">
        <f>Grants!P89</f>
        <v>418.11685200000005</v>
      </c>
      <c r="D2" s="198">
        <f>Grants!Q89</f>
        <v>423.31864142999859</v>
      </c>
      <c r="E2" s="198">
        <f>Grants!R89</f>
        <v>423.6285340649323</v>
      </c>
      <c r="F2" s="198">
        <f>Grants!S89</f>
        <v>426.95839668633465</v>
      </c>
      <c r="G2" s="198">
        <f>Grants!T89</f>
        <v>440.23941166666668</v>
      </c>
      <c r="H2" s="198">
        <f>Grants!U89</f>
        <v>452.8843619704507</v>
      </c>
      <c r="I2" s="198">
        <f>Grants!V89</f>
        <v>437.17611337154818</v>
      </c>
      <c r="J2" s="198">
        <f>Grants!W89</f>
        <v>435.99475511378807</v>
      </c>
      <c r="K2" s="198">
        <f>Grants!X89</f>
        <v>440.05219093333335</v>
      </c>
      <c r="L2" s="198">
        <f>Grants!Y89</f>
        <v>431.63394208126874</v>
      </c>
      <c r="M2" s="198">
        <f>Grants!Z89</f>
        <v>413.76351714641009</v>
      </c>
      <c r="N2" s="198">
        <f>Grants!AA89</f>
        <v>418.21511307833958</v>
      </c>
      <c r="O2" s="198">
        <f>Grants!AB89</f>
        <v>421.88752491066668</v>
      </c>
      <c r="P2" s="198">
        <f>Grants!AC89</f>
        <v>405.04790028451941</v>
      </c>
      <c r="Q2" s="872"/>
    </row>
    <row r="3" spans="1:17" x14ac:dyDescent="0.35">
      <c r="A3" t="s">
        <v>148</v>
      </c>
      <c r="B3" t="s">
        <v>208</v>
      </c>
      <c r="C3" s="198">
        <f>Grants!P108</f>
        <v>74.768000000000001</v>
      </c>
      <c r="D3" s="198">
        <f>Grants!Q108</f>
        <v>75.34842857142857</v>
      </c>
      <c r="E3" s="198">
        <f>Grants!R108</f>
        <v>75.34842857142857</v>
      </c>
      <c r="F3" s="198">
        <f>Grants!S108</f>
        <v>75.34842857142857</v>
      </c>
      <c r="G3" s="198">
        <f>Grants!T108</f>
        <v>75.34842857142857</v>
      </c>
      <c r="H3" s="198">
        <f>Grants!U108</f>
        <v>75.34842857142857</v>
      </c>
      <c r="I3" s="198">
        <f>Grants!V108</f>
        <v>75.34842857142857</v>
      </c>
      <c r="J3" s="198">
        <f>Grants!W108</f>
        <v>75.34842857142857</v>
      </c>
      <c r="K3" s="198">
        <f>Grants!X108</f>
        <v>75.34842857142857</v>
      </c>
      <c r="L3" s="198">
        <f>Grants!Y108</f>
        <v>75.34842857142857</v>
      </c>
      <c r="M3" s="198">
        <f>Grants!Z108</f>
        <v>75.34842857142857</v>
      </c>
      <c r="N3" s="198">
        <f>Grants!AA108</f>
        <v>75.34842857142857</v>
      </c>
      <c r="O3" s="198">
        <f>Grants!AB108</f>
        <v>75.34842857142857</v>
      </c>
      <c r="P3" s="198">
        <f>Grants!AC108</f>
        <v>75.34842857142857</v>
      </c>
      <c r="Q3" s="872"/>
    </row>
    <row r="4" spans="1:17" x14ac:dyDescent="0.35">
      <c r="A4" t="s">
        <v>209</v>
      </c>
      <c r="B4" t="s">
        <v>210</v>
      </c>
      <c r="C4" s="198">
        <f>'Federal and State Purchases'!P14</f>
        <v>1566.2</v>
      </c>
      <c r="D4" s="198">
        <f>'Federal and State Purchases'!Q14</f>
        <v>1581.6606920590798</v>
      </c>
      <c r="E4" s="198">
        <f>'Federal and State Purchases'!R14</f>
        <v>1583.6257604788229</v>
      </c>
      <c r="F4" s="198">
        <f>'Federal and State Purchases'!S14</f>
        <v>1582.9735594519052</v>
      </c>
      <c r="G4" s="198">
        <f>'Federal and State Purchases'!T14</f>
        <v>1588.1283769066833</v>
      </c>
      <c r="H4" s="198">
        <f>'Federal and State Purchases'!U14</f>
        <v>1592.3527034879748</v>
      </c>
      <c r="I4" s="198">
        <f>'Federal and State Purchases'!V14</f>
        <v>1598.2551154070156</v>
      </c>
      <c r="J4" s="198">
        <f>'Federal and State Purchases'!W14</f>
        <v>1605.8120144987333</v>
      </c>
      <c r="K4" s="198">
        <f>'Federal and State Purchases'!X14</f>
        <v>1618.4945734646228</v>
      </c>
      <c r="L4" s="198">
        <f>'Federal and State Purchases'!Y14</f>
        <v>1627.256683929988</v>
      </c>
      <c r="M4" s="198">
        <f>'Federal and State Purchases'!Z14</f>
        <v>1636.0665934485162</v>
      </c>
      <c r="N4" s="198">
        <f>'Federal and State Purchases'!AA14</f>
        <v>1645.3237863179284</v>
      </c>
      <c r="O4" s="198">
        <f>'Federal and State Purchases'!AB14</f>
        <v>1657.232255468974</v>
      </c>
      <c r="P4" s="198">
        <f>'Federal and State Purchases'!AC14</f>
        <v>1667.3995044448452</v>
      </c>
      <c r="Q4" s="872"/>
    </row>
    <row r="5" spans="1:17" x14ac:dyDescent="0.35">
      <c r="A5" t="s">
        <v>211</v>
      </c>
      <c r="B5" t="s">
        <v>212</v>
      </c>
      <c r="C5" s="198">
        <f>'Federal and State Purchases'!P35</f>
        <v>2566.6999999999998</v>
      </c>
      <c r="D5" s="198">
        <f>'Federal and State Purchases'!Q35</f>
        <v>2604.3633609610974</v>
      </c>
      <c r="E5" s="198">
        <f>'Federal and State Purchases'!R35</f>
        <v>2654.9571479589972</v>
      </c>
      <c r="F5" s="198">
        <f>'Federal and State Purchases'!S35</f>
        <v>2700.2468008461938</v>
      </c>
      <c r="G5" s="198">
        <f>'Federal and State Purchases'!T35</f>
        <v>2736.633097522003</v>
      </c>
      <c r="H5" s="198">
        <f>'Federal and State Purchases'!U35</f>
        <v>2770.217700441061</v>
      </c>
      <c r="I5" s="198">
        <f>'Federal and State Purchases'!V35</f>
        <v>2804.2144614803478</v>
      </c>
      <c r="J5" s="198">
        <f>'Federal and State Purchases'!W35</f>
        <v>2838.6284387409369</v>
      </c>
      <c r="K5" s="198">
        <f>'Federal and State Purchases'!X35</f>
        <v>2873.4647523981034</v>
      </c>
      <c r="L5" s="198">
        <f>'Federal and State Purchases'!Y35</f>
        <v>2908.7285854631145</v>
      </c>
      <c r="M5" s="198">
        <f>'Federal and State Purchases'!Z35</f>
        <v>2908.7285854631145</v>
      </c>
      <c r="N5" s="198">
        <f>'Federal and State Purchases'!AA35</f>
        <v>2908.7285854631145</v>
      </c>
      <c r="O5" s="198">
        <f>'Federal and State Purchases'!AB35</f>
        <v>2908.7285854631145</v>
      </c>
      <c r="P5" s="198">
        <f>'Federal and State Purchases'!AC35</f>
        <v>2908.7285854631145</v>
      </c>
      <c r="Q5" s="872"/>
    </row>
    <row r="6" spans="1:17" x14ac:dyDescent="0.35">
      <c r="A6" t="s">
        <v>213</v>
      </c>
      <c r="B6" t="s">
        <v>214</v>
      </c>
      <c r="C6" s="198">
        <f>Subsidies!P44</f>
        <v>194.452</v>
      </c>
      <c r="D6" s="198">
        <f>Subsidies!Q44</f>
        <v>70.26706671838636</v>
      </c>
      <c r="E6" s="198">
        <f>Subsidies!R44</f>
        <v>43.650309542280866</v>
      </c>
      <c r="F6" s="198">
        <f>Subsidies!S44</f>
        <v>31.64100000000002</v>
      </c>
      <c r="G6" s="198">
        <f>Subsidies!T44</f>
        <v>85.260000000000019</v>
      </c>
      <c r="H6" s="198">
        <f>Subsidies!U44</f>
        <v>82.260000000000019</v>
      </c>
      <c r="I6" s="198">
        <f>Subsidies!V44</f>
        <v>82.260000000000019</v>
      </c>
      <c r="J6" s="198">
        <f>Subsidies!W44</f>
        <v>82.260000000000019</v>
      </c>
      <c r="K6" s="198">
        <f>Subsidies!X44</f>
        <v>84.935000000000016</v>
      </c>
      <c r="L6" s="198">
        <f>Subsidies!Y44</f>
        <v>84.935000000000016</v>
      </c>
      <c r="M6" s="198">
        <f>Subsidies!Z44</f>
        <v>84.935000000000016</v>
      </c>
      <c r="N6" s="198">
        <f>Subsidies!AA44</f>
        <v>84.935000000000016</v>
      </c>
      <c r="O6" s="198">
        <f>Subsidies!AB44</f>
        <v>77.001000000000005</v>
      </c>
      <c r="P6" s="198">
        <f>Subsidies!AC44</f>
        <v>77.001000000000005</v>
      </c>
      <c r="Q6" s="872"/>
    </row>
    <row r="7" spans="1:17" x14ac:dyDescent="0.35">
      <c r="A7" t="s">
        <v>215</v>
      </c>
      <c r="B7" t="s">
        <v>216</v>
      </c>
      <c r="C7" s="198">
        <f>Subsidies!P43</f>
        <v>110.24799999999999</v>
      </c>
      <c r="D7" s="198">
        <f>Subsidies!Q43</f>
        <v>110.24799999999999</v>
      </c>
      <c r="E7" s="198">
        <f>Subsidies!R43</f>
        <v>110.24799999999999</v>
      </c>
      <c r="F7" s="198">
        <f>Subsidies!S43</f>
        <v>110.24799999999999</v>
      </c>
      <c r="G7" s="198">
        <f>Subsidies!T43</f>
        <v>12.726000000000001</v>
      </c>
      <c r="H7" s="198">
        <f>Subsidies!U43</f>
        <v>12.726000000000001</v>
      </c>
      <c r="I7" s="198">
        <f>Subsidies!V43</f>
        <v>12.726000000000001</v>
      </c>
      <c r="J7" s="198">
        <f>Subsidies!W43</f>
        <v>12.726000000000001</v>
      </c>
      <c r="K7" s="198">
        <f>Subsidies!X43</f>
        <v>1.365</v>
      </c>
      <c r="L7" s="198">
        <f>Subsidies!Y43</f>
        <v>1.365</v>
      </c>
      <c r="M7" s="198">
        <f>Subsidies!Z43</f>
        <v>1.365</v>
      </c>
      <c r="N7" s="198">
        <f>Subsidies!AA43</f>
        <v>1.365</v>
      </c>
      <c r="O7" s="198">
        <f>Subsidies!AB43</f>
        <v>-0.90100000000000025</v>
      </c>
      <c r="P7" s="198">
        <f>Subsidies!AC43</f>
        <v>-0.90100000000000025</v>
      </c>
      <c r="Q7" s="872"/>
    </row>
    <row r="8" spans="1:17" x14ac:dyDescent="0.35">
      <c r="A8" t="s">
        <v>217</v>
      </c>
      <c r="B8" t="s">
        <v>218</v>
      </c>
      <c r="C8" s="198">
        <f>'Unemployment Insurance'!P19</f>
        <v>10.5</v>
      </c>
      <c r="D8" s="198">
        <f>'Unemployment Insurance'!Q19</f>
        <v>0</v>
      </c>
      <c r="E8" s="198">
        <f>'Unemployment Insurance'!R19</f>
        <v>0</v>
      </c>
      <c r="F8" s="198">
        <f>'Unemployment Insurance'!S19</f>
        <v>0</v>
      </c>
      <c r="G8" s="198">
        <f>'Unemployment Insurance'!T19</f>
        <v>0</v>
      </c>
      <c r="H8" s="198">
        <f>'Unemployment Insurance'!U19</f>
        <v>0</v>
      </c>
      <c r="I8" s="198">
        <f>'Unemployment Insurance'!V19</f>
        <v>0</v>
      </c>
      <c r="J8" s="198">
        <f>'Unemployment Insurance'!W19</f>
        <v>0</v>
      </c>
      <c r="K8" s="198">
        <f>'Unemployment Insurance'!X19</f>
        <v>0</v>
      </c>
      <c r="L8" s="198">
        <f>'Unemployment Insurance'!Y19</f>
        <v>0</v>
      </c>
      <c r="M8" s="198">
        <f>'Unemployment Insurance'!Z19</f>
        <v>0</v>
      </c>
      <c r="N8" s="198">
        <f>'Unemployment Insurance'!AA19</f>
        <v>0</v>
      </c>
      <c r="O8" s="198">
        <f>'Unemployment Insurance'!AB19</f>
        <v>0</v>
      </c>
      <c r="P8" s="198">
        <f>'Unemployment Insurance'!AC19</f>
        <v>0</v>
      </c>
      <c r="Q8" s="872"/>
    </row>
    <row r="9" spans="1:17" x14ac:dyDescent="0.35">
      <c r="A9" t="s">
        <v>219</v>
      </c>
      <c r="B9" t="s">
        <v>220</v>
      </c>
      <c r="C9" s="198">
        <f>'Unemployment Insurance'!P20</f>
        <v>27.200000000000003</v>
      </c>
      <c r="D9" s="198">
        <f>'Unemployment Insurance'!Q20</f>
        <v>26.36900787401575</v>
      </c>
      <c r="E9" s="198">
        <f>'Unemployment Insurance'!R20</f>
        <v>24.537826771653545</v>
      </c>
      <c r="F9" s="198">
        <f>'Unemployment Insurance'!S20</f>
        <v>23.657574803149608</v>
      </c>
      <c r="G9" s="198">
        <f>'Unemployment Insurance'!T20</f>
        <v>23.36844094488189</v>
      </c>
      <c r="H9" s="198">
        <f>'Unemployment Insurance'!U20</f>
        <v>23.529070866141733</v>
      </c>
      <c r="I9" s="198">
        <f>'Unemployment Insurance'!V20</f>
        <v>23.88888188976378</v>
      </c>
      <c r="J9" s="198">
        <f>'Unemployment Insurance'!W20</f>
        <v>24.255118110236221</v>
      </c>
      <c r="K9" s="198">
        <f>'Unemployment Insurance'!X20</f>
        <v>24.640629921259844</v>
      </c>
      <c r="L9" s="198">
        <f>'Unemployment Insurance'!Y20</f>
        <v>25.122519685039375</v>
      </c>
      <c r="M9" s="198">
        <f>'Unemployment Insurance'!Z20</f>
        <v>25.520881889763785</v>
      </c>
      <c r="N9" s="198">
        <f>'Unemployment Insurance'!AA20</f>
        <v>25.835716535433075</v>
      </c>
      <c r="O9" s="198">
        <f>'Unemployment Insurance'!AB20</f>
        <v>26.227653543307088</v>
      </c>
      <c r="P9" s="198">
        <f>'Unemployment Insurance'!AC20</f>
        <v>26.606740157480321</v>
      </c>
      <c r="Q9" s="872"/>
    </row>
    <row r="10" spans="1:17" s="858" customFormat="1" x14ac:dyDescent="0.35">
      <c r="A10" s="858" t="s">
        <v>221</v>
      </c>
      <c r="B10" s="858" t="s">
        <v>222</v>
      </c>
      <c r="C10" s="859">
        <f>Medicaid!P27</f>
        <v>541.83299999999997</v>
      </c>
      <c r="D10" s="859">
        <f>Medicaid!Q27</f>
        <v>556.27590382878202</v>
      </c>
      <c r="E10" s="859">
        <f>Medicaid!R27</f>
        <v>563.99846733866354</v>
      </c>
      <c r="F10" s="859">
        <f>Medicaid!S27</f>
        <v>555.31215047777141</v>
      </c>
      <c r="G10" s="859">
        <f>Medicaid!T27</f>
        <v>545.77939561629398</v>
      </c>
      <c r="H10" s="859">
        <f>Medicaid!U27</f>
        <v>538.55794982060513</v>
      </c>
      <c r="I10" s="859">
        <f>Medicaid!V27</f>
        <v>531.43205413142277</v>
      </c>
      <c r="J10" s="859">
        <f>Medicaid!W27</f>
        <v>524.40044428351337</v>
      </c>
      <c r="K10" s="859">
        <f>Medicaid!X27</f>
        <v>531.61887902663864</v>
      </c>
      <c r="L10" s="859">
        <f>Medicaid!Y27</f>
        <v>538.93667638607883</v>
      </c>
      <c r="M10" s="859">
        <f>Medicaid!Z27</f>
        <v>546.35520410011429</v>
      </c>
      <c r="N10" s="859">
        <f>Medicaid!AA27</f>
        <v>553.87584873410572</v>
      </c>
      <c r="O10" s="859">
        <f>Medicaid!AB27</f>
        <v>561.50001593965203</v>
      </c>
      <c r="P10" s="859">
        <f>Medicaid!AC27</f>
        <v>569.22913071731398</v>
      </c>
      <c r="Q10" s="859"/>
    </row>
    <row r="11" spans="1:17" s="858" customFormat="1" x14ac:dyDescent="0.35">
      <c r="A11" s="858" t="s">
        <v>223</v>
      </c>
      <c r="B11" s="858" t="s">
        <v>224</v>
      </c>
      <c r="C11" s="859">
        <f>Medicaid!P26</f>
        <v>782.9</v>
      </c>
      <c r="D11" s="859">
        <f>Medicaid!Q26</f>
        <v>803.76869830289672</v>
      </c>
      <c r="E11" s="859">
        <f>Medicaid!R26</f>
        <v>814.92710868374513</v>
      </c>
      <c r="F11" s="859">
        <f>Medicaid!S26</f>
        <v>816.24042696594665</v>
      </c>
      <c r="G11" s="859">
        <f>Medicaid!T26</f>
        <v>805.440393020128</v>
      </c>
      <c r="H11" s="859">
        <f>Medicaid!U26</f>
        <v>794.78325904517249</v>
      </c>
      <c r="I11" s="859">
        <f>Medicaid!V26</f>
        <v>784.26713426909055</v>
      </c>
      <c r="J11" s="859">
        <f>Medicaid!W26</f>
        <v>773.89015293752323</v>
      </c>
      <c r="K11" s="859">
        <f>Medicaid!X26</f>
        <v>784.54284331607403</v>
      </c>
      <c r="L11" s="859">
        <f>Medicaid!Y26</f>
        <v>795.34216924990426</v>
      </c>
      <c r="M11" s="859">
        <f>Medicaid!Z26</f>
        <v>806.29014919494455</v>
      </c>
      <c r="N11" s="859">
        <f>Medicaid!AA26</f>
        <v>817.38882939141251</v>
      </c>
      <c r="O11" s="859">
        <f>Medicaid!AB26</f>
        <v>828.64028424626679</v>
      </c>
      <c r="P11" s="859">
        <f>Medicaid!AC26</f>
        <v>840.04661672092539</v>
      </c>
      <c r="Q11" s="859"/>
    </row>
    <row r="12" spans="1:17" x14ac:dyDescent="0.35">
      <c r="A12" t="s">
        <v>55</v>
      </c>
      <c r="B12" t="s">
        <v>225</v>
      </c>
      <c r="C12" s="198">
        <f>Medicare!P10</f>
        <v>847.9</v>
      </c>
      <c r="D12" s="198">
        <f>Medicare!Q10</f>
        <v>871.88090535292895</v>
      </c>
      <c r="E12" s="198">
        <f>Medicare!R10</f>
        <v>878.75313989296569</v>
      </c>
      <c r="F12" s="198">
        <f>Medicare!S10</f>
        <v>880.92215084498832</v>
      </c>
      <c r="G12" s="198">
        <f>Medicare!T10</f>
        <v>897.39348728518314</v>
      </c>
      <c r="H12" s="198">
        <f>Medicare!U10</f>
        <v>898.14736293954718</v>
      </c>
      <c r="I12" s="198">
        <f>Medicare!V10</f>
        <v>915.21402485035151</v>
      </c>
      <c r="J12" s="198">
        <f>Medicare!W10</f>
        <v>932.59931257640858</v>
      </c>
      <c r="K12" s="198">
        <f>Medicare!X10</f>
        <v>950.30917469809549</v>
      </c>
      <c r="L12" s="198">
        <f>Medicare!Y10</f>
        <v>968.09159552506367</v>
      </c>
      <c r="M12" s="198">
        <f>Medicare!Z10</f>
        <v>986.20125580990646</v>
      </c>
      <c r="N12" s="198">
        <f>Medicare!AA10</f>
        <v>1004.6441775483819</v>
      </c>
      <c r="O12" s="198">
        <f>Medicare!AB10</f>
        <v>1023.4264935555032</v>
      </c>
      <c r="P12" s="198">
        <f>Medicare!AC10</f>
        <v>1042.55444950488</v>
      </c>
      <c r="Q12" s="872"/>
    </row>
    <row r="13" spans="1:17" x14ac:dyDescent="0.35">
      <c r="A13" t="s">
        <v>226</v>
      </c>
      <c r="B13" t="s">
        <v>227</v>
      </c>
      <c r="C13" s="198">
        <f>'Rebate Checks'!P11</f>
        <v>0</v>
      </c>
      <c r="D13" s="198">
        <f>'Rebate Checks'!Q11</f>
        <v>0</v>
      </c>
      <c r="E13" s="198">
        <f>'Rebate Checks'!R11</f>
        <v>0</v>
      </c>
      <c r="F13" s="198">
        <f>'Rebate Checks'!S11</f>
        <v>0</v>
      </c>
      <c r="G13" s="198">
        <f>'Rebate Checks'!T11</f>
        <v>0</v>
      </c>
      <c r="H13" s="198">
        <f>'Rebate Checks'!U11</f>
        <v>0</v>
      </c>
      <c r="I13" s="198">
        <f>'Rebate Checks'!V11</f>
        <v>0</v>
      </c>
      <c r="J13" s="198">
        <f>'Rebate Checks'!W11</f>
        <v>0</v>
      </c>
      <c r="K13" s="198">
        <f>'Rebate Checks'!X11</f>
        <v>0</v>
      </c>
      <c r="L13" s="198">
        <f>'Rebate Checks'!Y11</f>
        <v>0</v>
      </c>
      <c r="M13" s="198">
        <f>'Rebate Checks'!Z11</f>
        <v>0</v>
      </c>
      <c r="N13" s="198">
        <f>'Rebate Checks'!AA11</f>
        <v>0</v>
      </c>
      <c r="O13" s="198">
        <f>'Rebate Checks'!AB11</f>
        <v>0</v>
      </c>
      <c r="P13" s="198">
        <f>'Rebate Checks'!AC11</f>
        <v>0</v>
      </c>
      <c r="Q13" s="872"/>
    </row>
    <row r="14" spans="1:17" x14ac:dyDescent="0.35">
      <c r="A14" t="s">
        <v>228</v>
      </c>
      <c r="B14" t="s">
        <v>229</v>
      </c>
      <c r="C14" s="872">
        <f>'Rebate Checks'!P10</f>
        <v>14.2</v>
      </c>
      <c r="D14" s="872">
        <f>'Rebate Checks'!Q10</f>
        <v>0</v>
      </c>
      <c r="E14" s="872">
        <f>'Rebate Checks'!R10</f>
        <v>0</v>
      </c>
      <c r="F14" s="872">
        <f>'Rebate Checks'!S10</f>
        <v>0</v>
      </c>
      <c r="G14" s="872">
        <f>'Rebate Checks'!T10</f>
        <v>0</v>
      </c>
      <c r="H14" s="872">
        <f>'Rebate Checks'!U10</f>
        <v>0</v>
      </c>
      <c r="I14" s="872">
        <f>'Rebate Checks'!V10</f>
        <v>0</v>
      </c>
      <c r="J14" s="872">
        <f>'Rebate Checks'!W10</f>
        <v>0</v>
      </c>
      <c r="K14" s="872">
        <f>'Rebate Checks'!X10</f>
        <v>0</v>
      </c>
      <c r="L14" s="872">
        <f>'Rebate Checks'!Y10</f>
        <v>0</v>
      </c>
      <c r="M14" s="872">
        <f>'Rebate Checks'!Z10</f>
        <v>0</v>
      </c>
      <c r="N14" s="872">
        <f>'Rebate Checks'!AA10</f>
        <v>0</v>
      </c>
      <c r="O14" s="872">
        <f>'Rebate Checks'!AB10</f>
        <v>0</v>
      </c>
      <c r="P14" s="872">
        <f>'Rebate Checks'!AC10</f>
        <v>0</v>
      </c>
      <c r="Q14" s="872"/>
    </row>
    <row r="15" spans="1:17" x14ac:dyDescent="0.35">
      <c r="A15" t="s">
        <v>230</v>
      </c>
      <c r="B15" t="s">
        <v>231</v>
      </c>
      <c r="C15" s="198">
        <f>'Social Benefits'!P17</f>
        <v>52.756999999999998</v>
      </c>
      <c r="D15" s="198">
        <f>'Social Benefits'!Q17</f>
        <v>52.756999999999998</v>
      </c>
      <c r="E15" s="198">
        <f>'Social Benefits'!R17</f>
        <v>52.756999999999998</v>
      </c>
      <c r="F15" s="198">
        <f>'Social Benefits'!S17</f>
        <v>52.756999999999998</v>
      </c>
      <c r="G15" s="198">
        <f>'Social Benefits'!T17</f>
        <v>12</v>
      </c>
      <c r="H15" s="198">
        <f>'Social Benefits'!U17</f>
        <v>12</v>
      </c>
      <c r="I15" s="198">
        <f>'Social Benefits'!V17</f>
        <v>12</v>
      </c>
      <c r="J15" s="198">
        <f>'Social Benefits'!W17</f>
        <v>12</v>
      </c>
      <c r="K15" s="198">
        <f>'Social Benefits'!X17</f>
        <v>4.2219999999999995</v>
      </c>
      <c r="L15" s="198">
        <f>'Social Benefits'!Y17</f>
        <v>4.2219999999999995</v>
      </c>
      <c r="M15" s="198">
        <f>'Social Benefits'!Z17</f>
        <v>4.2219999999999995</v>
      </c>
      <c r="N15" s="198">
        <f>'Social Benefits'!AA17</f>
        <v>4.2219999999999995</v>
      </c>
      <c r="O15" s="198">
        <f>'Social Benefits'!AB17</f>
        <v>2.3719999999999999</v>
      </c>
      <c r="P15" s="198">
        <f>'Social Benefits'!AC17</f>
        <v>2.3719999999999999</v>
      </c>
      <c r="Q15" s="872"/>
    </row>
    <row r="16" spans="1:17" x14ac:dyDescent="0.35">
      <c r="A16" t="s">
        <v>1161</v>
      </c>
      <c r="B16" t="s">
        <v>233</v>
      </c>
      <c r="C16" s="198">
        <f>'Social Benefits'!P24</f>
        <v>84.119000000000014</v>
      </c>
      <c r="D16" s="198">
        <f>'Social Benefits'!Q24</f>
        <v>75.675555469356098</v>
      </c>
      <c r="E16" s="198">
        <f>'Social Benefits'!R24</f>
        <v>39.703484096198608</v>
      </c>
      <c r="F16" s="198">
        <f>'Social Benefits'!S24</f>
        <v>19.719000000000005</v>
      </c>
      <c r="G16" s="198">
        <f>'Social Benefits'!T24</f>
        <v>1.4159999999999999</v>
      </c>
      <c r="H16" s="198">
        <f>'Social Benefits'!U24</f>
        <v>1.4159999999999999</v>
      </c>
      <c r="I16" s="198">
        <f>'Social Benefits'!V24</f>
        <v>1.4159999999999999</v>
      </c>
      <c r="J16" s="198">
        <f>'Social Benefits'!W24</f>
        <v>1.4159999999999999</v>
      </c>
      <c r="K16" s="198">
        <f>'Social Benefits'!X24</f>
        <v>1.4790000000000001</v>
      </c>
      <c r="L16" s="198">
        <f>'Social Benefits'!Y24</f>
        <v>1.4790000000000001</v>
      </c>
      <c r="M16" s="198">
        <f>'Social Benefits'!Z24</f>
        <v>1.4790000000000001</v>
      </c>
      <c r="N16" s="198">
        <f>'Social Benefits'!AA24</f>
        <v>1.4790000000000001</v>
      </c>
      <c r="O16" s="198">
        <f>'Social Benefits'!AB24</f>
        <v>1.63</v>
      </c>
      <c r="P16" s="198">
        <f>'Social Benefits'!AC24</f>
        <v>1.63</v>
      </c>
      <c r="Q16" s="872"/>
    </row>
    <row r="17" spans="1:17" x14ac:dyDescent="0.35">
      <c r="A17" t="s">
        <v>234</v>
      </c>
      <c r="B17" t="s">
        <v>235</v>
      </c>
      <c r="C17" s="198">
        <f>'Social Benefits'!P27</f>
        <v>1899.6240000000003</v>
      </c>
      <c r="D17" s="198">
        <f>'Social Benefits'!Q27</f>
        <v>1835.7930200000012</v>
      </c>
      <c r="E17" s="198">
        <f>'Social Benefits'!R27</f>
        <v>1814.8930200000013</v>
      </c>
      <c r="F17" s="198">
        <f>'Social Benefits'!S27</f>
        <v>1757.9930200000015</v>
      </c>
      <c r="G17" s="198">
        <f>'Social Benefits'!T27</f>
        <v>1821.5930200000016</v>
      </c>
      <c r="H17" s="198">
        <f>'Social Benefits'!U27</f>
        <v>1875.3677000000018</v>
      </c>
      <c r="I17" s="198">
        <f>'Social Benefits'!V27</f>
        <v>1882.467700000002</v>
      </c>
      <c r="J17" s="198">
        <f>'Social Benefits'!W27</f>
        <v>1889.5677000000021</v>
      </c>
      <c r="K17" s="198">
        <f>'Social Benefits'!X27</f>
        <v>1918.3677000000023</v>
      </c>
      <c r="L17" s="198">
        <f>'Social Benefits'!Y27</f>
        <v>1949.4450400000023</v>
      </c>
      <c r="M17" s="198">
        <f>'Social Benefits'!Z27</f>
        <v>1956.5450400000025</v>
      </c>
      <c r="N17" s="198">
        <f>'Social Benefits'!AA27</f>
        <v>1963.6450400000026</v>
      </c>
      <c r="O17" s="198">
        <f>'Social Benefits'!AB27</f>
        <v>1990.2450400000027</v>
      </c>
      <c r="P17" s="198">
        <f>'Social Benefits'!AC27</f>
        <v>2021.9623800000029</v>
      </c>
      <c r="Q17" s="872"/>
    </row>
    <row r="18" spans="1:17" x14ac:dyDescent="0.35">
      <c r="A18" t="s">
        <v>236</v>
      </c>
      <c r="B18" t="s">
        <v>237</v>
      </c>
      <c r="C18" s="198">
        <f>'Social Benefits'!P31</f>
        <v>156.30000000000007</v>
      </c>
      <c r="D18" s="198">
        <f>'Social Benefits'!Q31</f>
        <v>158.18464098060005</v>
      </c>
      <c r="E18" s="198">
        <f>'Social Benefits'!R31</f>
        <v>160.0920066676988</v>
      </c>
      <c r="F18" s="198">
        <f>'Social Benefits'!S31</f>
        <v>162.02237107225687</v>
      </c>
      <c r="G18" s="198">
        <f>'Social Benefits'!T31</f>
        <v>163.97601150921625</v>
      </c>
      <c r="H18" s="198">
        <f>'Social Benefits'!U31</f>
        <v>165.95320863733909</v>
      </c>
      <c r="I18" s="198">
        <f>'Social Benefits'!V31</f>
        <v>167.9542464995271</v>
      </c>
      <c r="J18" s="198">
        <f>'Social Benefits'!W31</f>
        <v>169.97941256362691</v>
      </c>
      <c r="K18" s="198">
        <f>'Social Benefits'!X31</f>
        <v>172.02899776372749</v>
      </c>
      <c r="L18" s="198">
        <f>'Social Benefits'!Y31</f>
        <v>174.10329654195564</v>
      </c>
      <c r="M18" s="198">
        <f>'Social Benefits'!Z31</f>
        <v>176.20260689077534</v>
      </c>
      <c r="N18" s="198">
        <f>'Social Benefits'!AA31</f>
        <v>178.3272303957971</v>
      </c>
      <c r="O18" s="198">
        <f>'Social Benefits'!AB31</f>
        <v>180.47747227910364</v>
      </c>
      <c r="P18" s="198">
        <f>'Social Benefits'!AC31</f>
        <v>182.65364144309783</v>
      </c>
      <c r="Q18" s="872"/>
    </row>
    <row r="19" spans="1:17" x14ac:dyDescent="0.35">
      <c r="A19" t="s">
        <v>238</v>
      </c>
      <c r="B19" t="s">
        <v>239</v>
      </c>
      <c r="C19" s="198">
        <f>Taxes!P9</f>
        <v>3924.2000000000003</v>
      </c>
      <c r="D19" s="198">
        <f>Taxes!Q9</f>
        <v>4013.2230501561603</v>
      </c>
      <c r="E19" s="198">
        <f>Taxes!R9</f>
        <v>4104.8002848042397</v>
      </c>
      <c r="F19" s="198">
        <f>Taxes!S9</f>
        <v>4199.0128967738165</v>
      </c>
      <c r="G19" s="198">
        <f>Taxes!T9</f>
        <v>4204.6187019956105</v>
      </c>
      <c r="H19" s="198">
        <f>Taxes!U9</f>
        <v>4210.5239652534374</v>
      </c>
      <c r="I19" s="198">
        <f>Taxes!V9</f>
        <v>4216.7307318736248</v>
      </c>
      <c r="J19" s="198">
        <f>Taxes!W9</f>
        <v>4223.2410786421106</v>
      </c>
      <c r="K19" s="198">
        <f>Taxes!X9</f>
        <v>4276.5976352926946</v>
      </c>
      <c r="L19" s="198">
        <f>Taxes!Y9</f>
        <v>4330.7431863837164</v>
      </c>
      <c r="M19" s="198">
        <f>Taxes!Z9</f>
        <v>4385.6904769072362</v>
      </c>
      <c r="N19" s="198">
        <f>Taxes!AA9</f>
        <v>4441.452466492774</v>
      </c>
      <c r="O19" s="198">
        <f>Taxes!AB9</f>
        <v>4464.2173069307519</v>
      </c>
      <c r="P19" s="198">
        <f>Taxes!AC9</f>
        <v>4487.1390907689447</v>
      </c>
      <c r="Q19" s="872"/>
    </row>
    <row r="20" spans="1:17" x14ac:dyDescent="0.35">
      <c r="A20" t="s">
        <v>240</v>
      </c>
      <c r="B20" t="s">
        <v>241</v>
      </c>
      <c r="C20" s="198">
        <f>Taxes!P16</f>
        <v>2167.1</v>
      </c>
      <c r="D20" s="198">
        <f>Taxes!Q16</f>
        <v>2176.9374694843818</v>
      </c>
      <c r="E20" s="198">
        <f>Taxes!R16</f>
        <v>2205.2200592516465</v>
      </c>
      <c r="F20" s="198">
        <f>Taxes!S16</f>
        <v>2234.6290617271839</v>
      </c>
      <c r="G20" s="198">
        <f>Taxes!T16</f>
        <v>2261.5966985023424</v>
      </c>
      <c r="H20" s="198">
        <f>Taxes!U16</f>
        <v>2285.8025732437</v>
      </c>
      <c r="I20" s="198">
        <f>Taxes!V16</f>
        <v>2308.6761217963044</v>
      </c>
      <c r="J20" s="198">
        <f>Taxes!W16</f>
        <v>2331.446852121323</v>
      </c>
      <c r="K20" s="198">
        <f>Taxes!X16</f>
        <v>2353.0668149947428</v>
      </c>
      <c r="L20" s="198">
        <f>Taxes!Y16</f>
        <v>2373.6922541058202</v>
      </c>
      <c r="M20" s="198">
        <f>Taxes!Z16</f>
        <v>2394.282661369396</v>
      </c>
      <c r="N20" s="198">
        <f>Taxes!AA16</f>
        <v>2415.7714093315994</v>
      </c>
      <c r="O20" s="198">
        <f>Taxes!AB16</f>
        <v>2436.3470544868342</v>
      </c>
      <c r="P20" s="198">
        <f>Taxes!AC16</f>
        <v>2458.2777464261462</v>
      </c>
      <c r="Q20" s="872"/>
    </row>
    <row r="21" spans="1:17" x14ac:dyDescent="0.35">
      <c r="A21" t="s">
        <v>242</v>
      </c>
      <c r="B21" t="s">
        <v>243</v>
      </c>
      <c r="C21" s="198">
        <f>Taxes!P13</f>
        <v>281.2</v>
      </c>
      <c r="D21" s="198">
        <f>Taxes!Q13</f>
        <v>284.93290710306445</v>
      </c>
      <c r="E21" s="198">
        <f>Taxes!R13</f>
        <v>288.71536824396719</v>
      </c>
      <c r="F21" s="198">
        <f>Taxes!S13</f>
        <v>292.54804124852546</v>
      </c>
      <c r="G21" s="198">
        <f>Taxes!T13</f>
        <v>304.85448798368532</v>
      </c>
      <c r="H21" s="198">
        <f>Taxes!U13</f>
        <v>317.67862279017521</v>
      </c>
      <c r="I21" s="198">
        <f>Taxes!V13</f>
        <v>331.04222294822597</v>
      </c>
      <c r="J21" s="198">
        <f>Taxes!W13</f>
        <v>344.96798183013334</v>
      </c>
      <c r="K21" s="198">
        <f>Taxes!X13</f>
        <v>337.12647105048472</v>
      </c>
      <c r="L21" s="198">
        <f>Taxes!Y13</f>
        <v>329.4632066430969</v>
      </c>
      <c r="M21" s="198">
        <f>Taxes!Z13</f>
        <v>321.97413686716163</v>
      </c>
      <c r="N21" s="198">
        <f>Taxes!AA13</f>
        <v>314.65530208250289</v>
      </c>
      <c r="O21" s="198">
        <f>Taxes!AB13</f>
        <v>315.46843320951899</v>
      </c>
      <c r="P21" s="198">
        <f>Taxes!AC13</f>
        <v>316.28366562713899</v>
      </c>
      <c r="Q21" s="872"/>
    </row>
    <row r="22" spans="1:17" x14ac:dyDescent="0.35">
      <c r="A22" t="s">
        <v>244</v>
      </c>
      <c r="B22" t="s">
        <v>245</v>
      </c>
      <c r="C22" s="198">
        <f>Taxes!P21</f>
        <v>115.4</v>
      </c>
      <c r="D22" s="198">
        <f>Taxes!Q21</f>
        <v>114.32194311812333</v>
      </c>
      <c r="E22" s="198">
        <f>Taxes!R21</f>
        <v>115.99892048993151</v>
      </c>
      <c r="F22" s="198">
        <f>Taxes!S21</f>
        <v>115.85517957234795</v>
      </c>
      <c r="G22" s="198">
        <f>Taxes!T21</f>
        <v>115.13647498443015</v>
      </c>
      <c r="H22" s="198">
        <f>Taxes!U21</f>
        <v>113.74697944778909</v>
      </c>
      <c r="I22" s="198">
        <f>Taxes!V21</f>
        <v>111.92626115839735</v>
      </c>
      <c r="J22" s="198">
        <f>Taxes!W21</f>
        <v>110.63259290014533</v>
      </c>
      <c r="K22" s="198">
        <f>Taxes!X21</f>
        <v>110.10554286900562</v>
      </c>
      <c r="L22" s="198">
        <f>Taxes!Y21</f>
        <v>109.38683828108782</v>
      </c>
      <c r="M22" s="198">
        <f>Taxes!Z21</f>
        <v>109.67432011625495</v>
      </c>
      <c r="N22" s="198">
        <f>Taxes!AA21</f>
        <v>109.86597467303302</v>
      </c>
      <c r="O22" s="198">
        <f>Taxes!AB21</f>
        <v>110.29719742578369</v>
      </c>
      <c r="P22" s="198">
        <f>Taxes!AC21</f>
        <v>110.29719742578369</v>
      </c>
      <c r="Q22" s="872"/>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91057-A08C-4199-9664-77E24D9FAFCA}">
  <dimension ref="A2:AB90"/>
  <sheetViews>
    <sheetView workbookViewId="0">
      <selection activeCell="L43" sqref="L43"/>
    </sheetView>
  </sheetViews>
  <sheetFormatPr defaultRowHeight="14.5" x14ac:dyDescent="0.35"/>
  <cols>
    <col min="1" max="1" width="6.54296875" style="886" customWidth="1"/>
    <col min="2" max="2" width="69.26953125" style="886" customWidth="1"/>
    <col min="3" max="5" width="11.54296875" style="886" bestFit="1" customWidth="1"/>
    <col min="6" max="6" width="12" style="886" bestFit="1" customWidth="1"/>
    <col min="7" max="7" width="11.54296875" style="886" bestFit="1" customWidth="1"/>
    <col min="8" max="10" width="11.54296875" style="886" customWidth="1"/>
    <col min="11" max="28" width="8.81640625" style="858"/>
  </cols>
  <sheetData>
    <row r="2" spans="1:12" x14ac:dyDescent="0.35">
      <c r="A2"/>
      <c r="B2"/>
      <c r="C2"/>
      <c r="D2"/>
      <c r="E2"/>
      <c r="F2"/>
      <c r="G2"/>
      <c r="H2"/>
      <c r="I2"/>
      <c r="J2"/>
    </row>
    <row r="3" spans="1:12" x14ac:dyDescent="0.35">
      <c r="A3"/>
      <c r="B3"/>
      <c r="C3"/>
      <c r="D3"/>
      <c r="E3"/>
      <c r="F3"/>
      <c r="G3"/>
      <c r="H3"/>
      <c r="I3"/>
      <c r="J3"/>
    </row>
    <row r="4" spans="1:12" ht="15" thickBot="1" x14ac:dyDescent="0.4">
      <c r="A4" s="1280"/>
      <c r="B4" s="1280"/>
      <c r="C4" s="1280"/>
      <c r="D4" s="1280"/>
      <c r="E4" s="1280"/>
      <c r="F4" s="1167"/>
      <c r="G4" s="1167"/>
      <c r="H4" s="1167"/>
      <c r="I4" s="1167"/>
      <c r="J4" s="1167"/>
    </row>
    <row r="5" spans="1:12" x14ac:dyDescent="0.35">
      <c r="A5" s="1171"/>
      <c r="B5" s="1172"/>
      <c r="C5" s="1281" t="s">
        <v>1186</v>
      </c>
      <c r="D5" s="1282"/>
      <c r="E5" s="1282"/>
      <c r="F5" s="1282"/>
      <c r="G5" s="1282"/>
      <c r="H5" s="1282"/>
      <c r="I5" s="1282"/>
      <c r="J5" s="1282"/>
    </row>
    <row r="6" spans="1:12" x14ac:dyDescent="0.35">
      <c r="A6" s="1168" t="s">
        <v>1187</v>
      </c>
      <c r="B6" s="1173"/>
      <c r="C6" s="1283">
        <v>2021</v>
      </c>
      <c r="D6" s="1284"/>
      <c r="E6" s="1284"/>
      <c r="F6" s="1284"/>
      <c r="G6" s="1284"/>
      <c r="H6" s="1284"/>
      <c r="I6" s="1285">
        <v>2022</v>
      </c>
      <c r="J6" s="1286"/>
      <c r="K6" s="858" t="s">
        <v>1216</v>
      </c>
      <c r="L6" s="858" t="s">
        <v>1217</v>
      </c>
    </row>
    <row r="7" spans="1:12" ht="15" thickBot="1" x14ac:dyDescent="0.4">
      <c r="A7" s="1174"/>
      <c r="B7" s="1175"/>
      <c r="C7" s="1176" t="s">
        <v>1188</v>
      </c>
      <c r="D7" s="1177" t="s">
        <v>252</v>
      </c>
      <c r="E7" s="1177" t="s">
        <v>1189</v>
      </c>
      <c r="F7" s="1177" t="s">
        <v>1190</v>
      </c>
      <c r="G7" s="1177" t="s">
        <v>1191</v>
      </c>
      <c r="H7" s="1177" t="s">
        <v>1214</v>
      </c>
      <c r="I7" s="1177" t="s">
        <v>248</v>
      </c>
      <c r="J7" s="1178" t="s">
        <v>249</v>
      </c>
    </row>
    <row r="8" spans="1:12" x14ac:dyDescent="0.35">
      <c r="A8" s="1179">
        <v>1</v>
      </c>
      <c r="B8" s="670" t="s">
        <v>254</v>
      </c>
      <c r="C8" s="1180">
        <v>20835.3</v>
      </c>
      <c r="D8" s="1181">
        <v>20916.3</v>
      </c>
      <c r="E8" s="1182">
        <v>20719.8</v>
      </c>
      <c r="F8" s="1181">
        <v>20844.900000000001</v>
      </c>
      <c r="G8" s="1182">
        <v>20957.900000000001</v>
      </c>
      <c r="H8" s="1182">
        <v>21040.2</v>
      </c>
      <c r="I8" s="1182">
        <v>21051.9</v>
      </c>
      <c r="J8" s="1183">
        <v>21153.3</v>
      </c>
      <c r="K8" s="1194">
        <f>AVERAGE(I8:J8)</f>
        <v>21102.6</v>
      </c>
    </row>
    <row r="9" spans="1:12" x14ac:dyDescent="0.35">
      <c r="A9" s="256">
        <v>2</v>
      </c>
      <c r="B9" s="671" t="s">
        <v>255</v>
      </c>
      <c r="C9" s="646">
        <v>12680.1</v>
      </c>
      <c r="D9" s="647">
        <v>12743.4</v>
      </c>
      <c r="E9" s="648">
        <v>12846</v>
      </c>
      <c r="F9" s="647">
        <v>12973.3</v>
      </c>
      <c r="G9" s="648">
        <v>13061.3</v>
      </c>
      <c r="H9" s="648">
        <v>13149.7</v>
      </c>
      <c r="I9" s="648">
        <v>13209</v>
      </c>
      <c r="J9" s="649">
        <v>13306.4</v>
      </c>
      <c r="K9" s="1194">
        <f t="shared" ref="K9:K59" si="0">AVERAGE(I9:J9)</f>
        <v>13257.7</v>
      </c>
    </row>
    <row r="10" spans="1:12" x14ac:dyDescent="0.35">
      <c r="A10" s="1184">
        <v>3</v>
      </c>
      <c r="B10" s="672" t="s">
        <v>256</v>
      </c>
      <c r="C10" s="650">
        <v>10418.700000000001</v>
      </c>
      <c r="D10" s="651">
        <v>10475.1</v>
      </c>
      <c r="E10" s="652">
        <v>10567.9</v>
      </c>
      <c r="F10" s="651">
        <v>10683.3</v>
      </c>
      <c r="G10" s="652">
        <v>10761.9</v>
      </c>
      <c r="H10" s="652">
        <v>10839.7</v>
      </c>
      <c r="I10" s="652">
        <v>10888.1</v>
      </c>
      <c r="J10" s="653">
        <v>10974.5</v>
      </c>
      <c r="K10" s="1194">
        <f t="shared" si="0"/>
        <v>10931.3</v>
      </c>
    </row>
    <row r="11" spans="1:12" x14ac:dyDescent="0.35">
      <c r="A11" s="886">
        <v>4</v>
      </c>
      <c r="B11" s="673" t="s">
        <v>257</v>
      </c>
      <c r="C11" s="654">
        <v>8868.7999999999993</v>
      </c>
      <c r="D11" s="282">
        <v>8920.4</v>
      </c>
      <c r="E11" s="655">
        <v>9009.9</v>
      </c>
      <c r="F11" s="282">
        <v>9120.5</v>
      </c>
      <c r="G11" s="655">
        <v>9196.7000000000007</v>
      </c>
      <c r="H11" s="655">
        <v>9270.1</v>
      </c>
      <c r="I11" s="655">
        <v>9312.2000000000007</v>
      </c>
      <c r="J11" s="656">
        <v>9392.7000000000007</v>
      </c>
      <c r="K11" s="1194">
        <f t="shared" si="0"/>
        <v>9352.4500000000007</v>
      </c>
    </row>
    <row r="12" spans="1:12" x14ac:dyDescent="0.35">
      <c r="A12" s="1184">
        <v>5</v>
      </c>
      <c r="B12" s="672" t="s">
        <v>258</v>
      </c>
      <c r="C12" s="650">
        <v>1549.9</v>
      </c>
      <c r="D12" s="651">
        <v>1554.8</v>
      </c>
      <c r="E12" s="652">
        <v>1558</v>
      </c>
      <c r="F12" s="651">
        <v>1562.8</v>
      </c>
      <c r="G12" s="652">
        <v>1565.1</v>
      </c>
      <c r="H12" s="652">
        <v>1569.6</v>
      </c>
      <c r="I12" s="652">
        <v>1575.9</v>
      </c>
      <c r="J12" s="653">
        <v>1581.8</v>
      </c>
      <c r="K12" s="1194">
        <f t="shared" si="0"/>
        <v>1578.85</v>
      </c>
    </row>
    <row r="13" spans="1:12" x14ac:dyDescent="0.35">
      <c r="A13" s="886">
        <v>6</v>
      </c>
      <c r="B13" s="673" t="s">
        <v>259</v>
      </c>
      <c r="C13" s="654">
        <v>2261.4</v>
      </c>
      <c r="D13" s="282">
        <v>2268.1999999999998</v>
      </c>
      <c r="E13" s="655">
        <v>2278.1</v>
      </c>
      <c r="F13" s="282">
        <v>2289.9</v>
      </c>
      <c r="G13" s="655">
        <v>2299.4</v>
      </c>
      <c r="H13" s="655">
        <v>2309.9</v>
      </c>
      <c r="I13" s="655">
        <v>2320.9</v>
      </c>
      <c r="J13" s="656">
        <v>2331.9</v>
      </c>
      <c r="K13" s="1194">
        <f t="shared" si="0"/>
        <v>2326.4</v>
      </c>
    </row>
    <row r="14" spans="1:12" x14ac:dyDescent="0.35">
      <c r="A14" s="1179">
        <v>7</v>
      </c>
      <c r="B14" s="674" t="s">
        <v>260</v>
      </c>
      <c r="C14" s="657">
        <v>1872.3</v>
      </c>
      <c r="D14" s="645">
        <v>1868.8</v>
      </c>
      <c r="E14" s="658">
        <v>1859.9</v>
      </c>
      <c r="F14" s="645">
        <v>1862.7</v>
      </c>
      <c r="G14" s="658">
        <v>1867.8</v>
      </c>
      <c r="H14" s="658">
        <v>1845</v>
      </c>
      <c r="I14" s="658">
        <v>1848.8</v>
      </c>
      <c r="J14" s="659">
        <v>1863.7</v>
      </c>
      <c r="K14" s="1194">
        <f t="shared" si="0"/>
        <v>1856.25</v>
      </c>
    </row>
    <row r="15" spans="1:12" x14ac:dyDescent="0.35">
      <c r="A15" s="886">
        <v>8</v>
      </c>
      <c r="B15" s="673" t="s">
        <v>261</v>
      </c>
      <c r="C15" s="654">
        <v>123</v>
      </c>
      <c r="D15" s="282">
        <v>114.5</v>
      </c>
      <c r="E15" s="655">
        <v>94.4</v>
      </c>
      <c r="F15" s="282">
        <v>90.8</v>
      </c>
      <c r="G15" s="655">
        <v>88.9</v>
      </c>
      <c r="H15" s="655">
        <v>84.2</v>
      </c>
      <c r="I15" s="655">
        <v>95.7</v>
      </c>
      <c r="J15" s="656">
        <v>107.5</v>
      </c>
      <c r="K15" s="1194">
        <f t="shared" si="0"/>
        <v>101.6</v>
      </c>
    </row>
    <row r="16" spans="1:12" x14ac:dyDescent="0.35">
      <c r="A16" s="1184"/>
      <c r="B16" s="675" t="s">
        <v>264</v>
      </c>
      <c r="C16" s="650" t="s">
        <v>265</v>
      </c>
      <c r="D16" s="651" t="s">
        <v>265</v>
      </c>
      <c r="E16" s="652" t="s">
        <v>265</v>
      </c>
      <c r="F16" s="651" t="s">
        <v>265</v>
      </c>
      <c r="G16" s="652" t="s">
        <v>265</v>
      </c>
      <c r="H16" s="652" t="s">
        <v>265</v>
      </c>
      <c r="I16" s="652"/>
      <c r="J16" s="653" t="s">
        <v>265</v>
      </c>
      <c r="K16" s="1194"/>
    </row>
    <row r="17" spans="1:28" ht="16.5" x14ac:dyDescent="0.35">
      <c r="A17" s="1184">
        <v>9</v>
      </c>
      <c r="B17" s="672" t="s">
        <v>266</v>
      </c>
      <c r="C17" s="650">
        <v>12.9</v>
      </c>
      <c r="D17" s="651">
        <v>12.7</v>
      </c>
      <c r="E17" s="652">
        <v>0.5</v>
      </c>
      <c r="F17" s="651">
        <v>1.1000000000000001</v>
      </c>
      <c r="G17" s="652">
        <v>2.5</v>
      </c>
      <c r="H17" s="652">
        <v>0</v>
      </c>
      <c r="I17" s="652">
        <v>0.3</v>
      </c>
      <c r="J17" s="653">
        <v>0.2</v>
      </c>
      <c r="K17" s="1194">
        <f t="shared" si="0"/>
        <v>0.25</v>
      </c>
    </row>
    <row r="18" spans="1:28" s="1186" customFormat="1" ht="16.5" x14ac:dyDescent="0.35">
      <c r="A18" s="1186">
        <v>10</v>
      </c>
      <c r="B18" s="1193" t="s">
        <v>267</v>
      </c>
      <c r="C18" s="1188">
        <v>10.199999999999999</v>
      </c>
      <c r="D18" s="1189">
        <v>6.9</v>
      </c>
      <c r="E18" s="1190">
        <v>3.9</v>
      </c>
      <c r="F18" s="1189">
        <v>1.8</v>
      </c>
      <c r="G18" s="1190">
        <v>0.5</v>
      </c>
      <c r="H18" s="1190">
        <v>0</v>
      </c>
      <c r="I18" s="1190">
        <v>0</v>
      </c>
      <c r="J18" s="1191">
        <v>0</v>
      </c>
      <c r="K18" s="1195">
        <f t="shared" si="0"/>
        <v>0</v>
      </c>
      <c r="L18" s="858"/>
      <c r="M18" s="858"/>
      <c r="N18" s="858"/>
      <c r="O18" s="858"/>
      <c r="P18" s="858"/>
      <c r="Q18" s="858"/>
      <c r="R18" s="858"/>
      <c r="S18" s="858"/>
      <c r="T18" s="858"/>
      <c r="U18" s="858"/>
      <c r="V18" s="858"/>
      <c r="W18" s="858"/>
      <c r="X18" s="858"/>
      <c r="Y18" s="858"/>
      <c r="Z18" s="858"/>
      <c r="AA18" s="858"/>
      <c r="AB18" s="858"/>
    </row>
    <row r="19" spans="1:28" x14ac:dyDescent="0.35">
      <c r="A19" s="1184">
        <v>11</v>
      </c>
      <c r="B19" s="672" t="s">
        <v>268</v>
      </c>
      <c r="C19" s="650">
        <v>1749.2</v>
      </c>
      <c r="D19" s="651">
        <v>1754.3</v>
      </c>
      <c r="E19" s="652">
        <v>1765.5</v>
      </c>
      <c r="F19" s="651">
        <v>1771.9</v>
      </c>
      <c r="G19" s="652">
        <v>1778.8</v>
      </c>
      <c r="H19" s="652">
        <v>1760.8</v>
      </c>
      <c r="I19" s="652">
        <v>1753</v>
      </c>
      <c r="J19" s="653">
        <v>1756.3</v>
      </c>
      <c r="K19" s="1194">
        <f t="shared" si="0"/>
        <v>1754.65</v>
      </c>
    </row>
    <row r="20" spans="1:28" x14ac:dyDescent="0.35">
      <c r="B20" s="676" t="s">
        <v>269</v>
      </c>
      <c r="C20" s="654" t="s">
        <v>265</v>
      </c>
      <c r="D20" s="282" t="s">
        <v>265</v>
      </c>
      <c r="E20" s="655" t="s">
        <v>265</v>
      </c>
      <c r="F20" s="282" t="s">
        <v>265</v>
      </c>
      <c r="G20" s="655" t="s">
        <v>265</v>
      </c>
      <c r="H20" s="655" t="s">
        <v>265</v>
      </c>
      <c r="I20" s="655"/>
      <c r="J20" s="656" t="s">
        <v>265</v>
      </c>
      <c r="K20" s="1194"/>
    </row>
    <row r="21" spans="1:28" s="1186" customFormat="1" ht="16.5" x14ac:dyDescent="0.35">
      <c r="A21" s="1186">
        <v>12</v>
      </c>
      <c r="B21" s="1193" t="s">
        <v>267</v>
      </c>
      <c r="C21" s="1188">
        <v>160.30000000000001</v>
      </c>
      <c r="D21" s="1189">
        <v>108.8</v>
      </c>
      <c r="E21" s="1190">
        <v>61.5</v>
      </c>
      <c r="F21" s="1189">
        <v>28.3</v>
      </c>
      <c r="G21" s="1190">
        <v>7.3</v>
      </c>
      <c r="H21" s="1190">
        <v>0.1</v>
      </c>
      <c r="I21" s="1190">
        <v>0</v>
      </c>
      <c r="J21" s="1191">
        <v>0</v>
      </c>
      <c r="K21" s="1195">
        <f t="shared" si="0"/>
        <v>0</v>
      </c>
      <c r="L21" s="858"/>
      <c r="M21" s="858"/>
      <c r="N21" s="858"/>
      <c r="O21" s="858"/>
      <c r="P21" s="858"/>
      <c r="Q21" s="858"/>
      <c r="R21" s="858"/>
      <c r="S21" s="858"/>
      <c r="T21" s="858"/>
      <c r="U21" s="858"/>
      <c r="V21" s="858"/>
      <c r="W21" s="858"/>
      <c r="X21" s="858"/>
      <c r="Y21" s="858"/>
      <c r="Z21" s="858"/>
      <c r="AA21" s="858"/>
      <c r="AB21" s="858"/>
    </row>
    <row r="22" spans="1:28" x14ac:dyDescent="0.35">
      <c r="A22" s="1179">
        <v>13</v>
      </c>
      <c r="B22" s="674" t="s">
        <v>270</v>
      </c>
      <c r="C22" s="657">
        <v>719.8</v>
      </c>
      <c r="D22" s="645">
        <v>728.9</v>
      </c>
      <c r="E22" s="658">
        <v>738.1</v>
      </c>
      <c r="F22" s="645">
        <v>740.3</v>
      </c>
      <c r="G22" s="658">
        <v>743.6</v>
      </c>
      <c r="H22" s="658">
        <v>746.7</v>
      </c>
      <c r="I22" s="658">
        <v>751.8</v>
      </c>
      <c r="J22" s="659">
        <v>756.9</v>
      </c>
      <c r="K22" s="1194">
        <f t="shared" si="0"/>
        <v>754.34999999999991</v>
      </c>
    </row>
    <row r="23" spans="1:28" x14ac:dyDescent="0.35">
      <c r="A23" s="256">
        <v>14</v>
      </c>
      <c r="B23" s="671" t="s">
        <v>271</v>
      </c>
      <c r="C23" s="646">
        <v>2946.7</v>
      </c>
      <c r="D23" s="647">
        <v>2942.4</v>
      </c>
      <c r="E23" s="648">
        <v>2946.4</v>
      </c>
      <c r="F23" s="647">
        <v>2974.8</v>
      </c>
      <c r="G23" s="648">
        <v>2986.9</v>
      </c>
      <c r="H23" s="648">
        <v>3005.7</v>
      </c>
      <c r="I23" s="648">
        <v>3004.2</v>
      </c>
      <c r="J23" s="649">
        <v>3010.1</v>
      </c>
      <c r="K23" s="1194">
        <f t="shared" si="0"/>
        <v>3007.1499999999996</v>
      </c>
    </row>
    <row r="24" spans="1:28" x14ac:dyDescent="0.35">
      <c r="A24" s="1184">
        <v>15</v>
      </c>
      <c r="B24" s="672" t="s">
        <v>272</v>
      </c>
      <c r="C24" s="650">
        <v>1637.8</v>
      </c>
      <c r="D24" s="651">
        <v>1636</v>
      </c>
      <c r="E24" s="652">
        <v>1635.1</v>
      </c>
      <c r="F24" s="651">
        <v>1647.8</v>
      </c>
      <c r="G24" s="652">
        <v>1656.9</v>
      </c>
      <c r="H24" s="652">
        <v>1665.6</v>
      </c>
      <c r="I24" s="652">
        <v>1674.4</v>
      </c>
      <c r="J24" s="653">
        <v>1682.8</v>
      </c>
      <c r="K24" s="1194">
        <f t="shared" si="0"/>
        <v>1678.6</v>
      </c>
    </row>
    <row r="25" spans="1:28" x14ac:dyDescent="0.35">
      <c r="A25" s="886">
        <v>16</v>
      </c>
      <c r="B25" s="673" t="s">
        <v>273</v>
      </c>
      <c r="C25" s="654">
        <v>1308.9000000000001</v>
      </c>
      <c r="D25" s="282">
        <v>1306.3</v>
      </c>
      <c r="E25" s="655">
        <v>1311.3</v>
      </c>
      <c r="F25" s="282">
        <v>1327</v>
      </c>
      <c r="G25" s="655">
        <v>1330.1</v>
      </c>
      <c r="H25" s="655">
        <v>1340.1</v>
      </c>
      <c r="I25" s="655">
        <v>1329.8</v>
      </c>
      <c r="J25" s="656">
        <v>1327.3</v>
      </c>
      <c r="K25" s="1194">
        <f t="shared" si="0"/>
        <v>1328.55</v>
      </c>
    </row>
    <row r="26" spans="1:28" x14ac:dyDescent="0.35">
      <c r="A26" s="1179">
        <v>17</v>
      </c>
      <c r="B26" s="674" t="s">
        <v>274</v>
      </c>
      <c r="C26" s="657">
        <v>4218.8999999999996</v>
      </c>
      <c r="D26" s="645">
        <v>4242.3999999999996</v>
      </c>
      <c r="E26" s="658">
        <v>3951.2</v>
      </c>
      <c r="F26" s="645">
        <v>3930.6</v>
      </c>
      <c r="G26" s="658">
        <v>3945.5</v>
      </c>
      <c r="H26" s="658">
        <v>3950.7</v>
      </c>
      <c r="I26" s="658">
        <v>3910.8</v>
      </c>
      <c r="J26" s="659">
        <v>3900.6</v>
      </c>
      <c r="K26" s="1194">
        <f t="shared" si="0"/>
        <v>3905.7</v>
      </c>
    </row>
    <row r="27" spans="1:28" x14ac:dyDescent="0.35">
      <c r="A27" s="886">
        <v>18</v>
      </c>
      <c r="B27" s="673" t="s">
        <v>275</v>
      </c>
      <c r="C27" s="654">
        <v>4145.3</v>
      </c>
      <c r="D27" s="282">
        <v>4177.7</v>
      </c>
      <c r="E27" s="655">
        <v>3885.7</v>
      </c>
      <c r="F27" s="282">
        <v>3864.5</v>
      </c>
      <c r="G27" s="655">
        <v>3878.7</v>
      </c>
      <c r="H27" s="655">
        <v>3883.3</v>
      </c>
      <c r="I27" s="655">
        <v>3843.5</v>
      </c>
      <c r="J27" s="656">
        <v>3832.5</v>
      </c>
      <c r="K27" s="1194">
        <f t="shared" si="0"/>
        <v>3838</v>
      </c>
    </row>
    <row r="28" spans="1:28" x14ac:dyDescent="0.35">
      <c r="A28" s="1184">
        <v>19</v>
      </c>
      <c r="B28" s="672" t="s">
        <v>276</v>
      </c>
      <c r="C28" s="650">
        <v>1113.5999999999999</v>
      </c>
      <c r="D28" s="651">
        <v>1119.3</v>
      </c>
      <c r="E28" s="652">
        <v>1118.7</v>
      </c>
      <c r="F28" s="651">
        <v>1129.7</v>
      </c>
      <c r="G28" s="652">
        <v>1126</v>
      </c>
      <c r="H28" s="652">
        <v>1124.9000000000001</v>
      </c>
      <c r="I28" s="652">
        <v>1196.4000000000001</v>
      </c>
      <c r="J28" s="653">
        <v>1197</v>
      </c>
      <c r="K28" s="1194">
        <f t="shared" si="0"/>
        <v>1196.7</v>
      </c>
    </row>
    <row r="29" spans="1:28" s="1186" customFormat="1" x14ac:dyDescent="0.35">
      <c r="A29" s="1186">
        <v>20</v>
      </c>
      <c r="B29" s="1187" t="s">
        <v>277</v>
      </c>
      <c r="C29" s="1188">
        <v>821.3</v>
      </c>
      <c r="D29" s="1189">
        <v>826.2</v>
      </c>
      <c r="E29" s="1190">
        <v>832.2</v>
      </c>
      <c r="F29" s="1189">
        <v>839.3</v>
      </c>
      <c r="G29" s="1190">
        <v>847.5</v>
      </c>
      <c r="H29" s="1190">
        <v>856.9</v>
      </c>
      <c r="I29" s="1190">
        <v>866.3</v>
      </c>
      <c r="J29" s="1191">
        <v>875.2</v>
      </c>
      <c r="K29" s="1195">
        <f t="shared" si="0"/>
        <v>870.75</v>
      </c>
      <c r="L29" s="858">
        <f>Medicare!Q10</f>
        <v>871.88090535292895</v>
      </c>
      <c r="M29" s="858"/>
      <c r="N29" s="858"/>
      <c r="O29" s="858"/>
      <c r="P29" s="858"/>
      <c r="Q29" s="858"/>
      <c r="R29" s="858"/>
      <c r="S29" s="858"/>
      <c r="T29" s="858"/>
      <c r="U29" s="858"/>
      <c r="V29" s="858"/>
      <c r="W29" s="858"/>
      <c r="X29" s="858"/>
      <c r="Y29" s="858"/>
      <c r="Z29" s="858"/>
      <c r="AA29" s="858"/>
      <c r="AB29" s="858"/>
    </row>
    <row r="30" spans="1:28" x14ac:dyDescent="0.35">
      <c r="A30" s="1184"/>
      <c r="B30" s="675" t="s">
        <v>278</v>
      </c>
      <c r="C30" s="650" t="s">
        <v>265</v>
      </c>
      <c r="D30" s="651" t="s">
        <v>265</v>
      </c>
      <c r="E30" s="652" t="s">
        <v>265</v>
      </c>
      <c r="F30" s="651" t="s">
        <v>265</v>
      </c>
      <c r="G30" s="652" t="s">
        <v>265</v>
      </c>
      <c r="H30" s="652" t="s">
        <v>265</v>
      </c>
      <c r="I30" s="652" t="s">
        <v>265</v>
      </c>
      <c r="J30" s="653" t="s">
        <v>265</v>
      </c>
      <c r="K30" s="1194"/>
    </row>
    <row r="31" spans="1:28" ht="16.5" x14ac:dyDescent="0.35">
      <c r="A31" s="1184">
        <v>21</v>
      </c>
      <c r="B31" s="672" t="s">
        <v>279</v>
      </c>
      <c r="C31" s="650">
        <v>14.2</v>
      </c>
      <c r="D31" s="651">
        <v>14.3</v>
      </c>
      <c r="E31" s="652">
        <v>14.4</v>
      </c>
      <c r="F31" s="651">
        <v>14.5</v>
      </c>
      <c r="G31" s="652">
        <v>14.6</v>
      </c>
      <c r="H31" s="652">
        <v>14.7</v>
      </c>
      <c r="I31" s="652">
        <v>14.9</v>
      </c>
      <c r="J31" s="653">
        <v>15</v>
      </c>
      <c r="K31" s="1194">
        <f t="shared" si="0"/>
        <v>14.95</v>
      </c>
    </row>
    <row r="32" spans="1:28" s="1186" customFormat="1" x14ac:dyDescent="0.35">
      <c r="A32" s="1186">
        <v>22</v>
      </c>
      <c r="B32" s="1187" t="s">
        <v>280</v>
      </c>
      <c r="C32" s="1188">
        <v>763.3</v>
      </c>
      <c r="D32" s="1189">
        <v>777.4</v>
      </c>
      <c r="E32" s="1190">
        <v>784.4</v>
      </c>
      <c r="F32" s="1189">
        <v>780.6</v>
      </c>
      <c r="G32" s="1190">
        <v>781.2</v>
      </c>
      <c r="H32" s="1190">
        <v>786.8</v>
      </c>
      <c r="I32" s="1190">
        <v>800.2</v>
      </c>
      <c r="J32" s="1191">
        <v>807.4</v>
      </c>
      <c r="K32" s="1195">
        <f t="shared" si="0"/>
        <v>803.8</v>
      </c>
      <c r="L32" s="858">
        <f>Medicaid!Q26</f>
        <v>803.76869830289672</v>
      </c>
      <c r="M32" s="858"/>
      <c r="N32" s="858"/>
      <c r="O32" s="858"/>
      <c r="P32" s="858"/>
      <c r="Q32" s="858"/>
      <c r="R32" s="858"/>
      <c r="S32" s="858"/>
      <c r="T32" s="858"/>
      <c r="U32" s="858"/>
      <c r="V32" s="858"/>
      <c r="W32" s="858"/>
      <c r="X32" s="858"/>
      <c r="Y32" s="858"/>
      <c r="Z32" s="858"/>
      <c r="AA32" s="858"/>
      <c r="AB32" s="858"/>
    </row>
    <row r="33" spans="1:28" s="1186" customFormat="1" x14ac:dyDescent="0.35">
      <c r="A33" s="1186">
        <v>23</v>
      </c>
      <c r="B33" s="1187" t="s">
        <v>281</v>
      </c>
      <c r="C33" s="1188">
        <v>367.8</v>
      </c>
      <c r="D33" s="1189">
        <v>352.3</v>
      </c>
      <c r="E33" s="1190">
        <v>96.9</v>
      </c>
      <c r="F33" s="1189">
        <v>45.3</v>
      </c>
      <c r="G33" s="1190">
        <v>37.4</v>
      </c>
      <c r="H33" s="1190">
        <v>30.3</v>
      </c>
      <c r="I33" s="1190">
        <v>26.5</v>
      </c>
      <c r="J33" s="1191">
        <v>24.1</v>
      </c>
      <c r="K33" s="1195">
        <f t="shared" si="0"/>
        <v>25.3</v>
      </c>
      <c r="L33" s="1196">
        <f>'Unemployment Insurance'!Q20+'Unemployment Insurance'!Q19</f>
        <v>26.36900787401575</v>
      </c>
      <c r="M33" s="858"/>
      <c r="N33" s="858"/>
      <c r="O33" s="858"/>
      <c r="P33" s="858"/>
      <c r="Q33" s="858"/>
      <c r="R33" s="858"/>
      <c r="S33" s="858"/>
      <c r="T33" s="858"/>
      <c r="U33" s="858"/>
      <c r="V33" s="858"/>
      <c r="W33" s="858"/>
      <c r="X33" s="858"/>
      <c r="Y33" s="858"/>
      <c r="Z33" s="858"/>
      <c r="AA33" s="858"/>
      <c r="AB33" s="858"/>
    </row>
    <row r="34" spans="1:28" ht="16.5" x14ac:dyDescent="0.35">
      <c r="B34" s="677" t="s">
        <v>282</v>
      </c>
      <c r="C34" s="654" t="s">
        <v>265</v>
      </c>
      <c r="D34" s="282" t="s">
        <v>265</v>
      </c>
      <c r="E34" s="655" t="s">
        <v>265</v>
      </c>
      <c r="F34" s="282" t="s">
        <v>265</v>
      </c>
      <c r="G34" s="655" t="s">
        <v>265</v>
      </c>
      <c r="H34" s="655" t="s">
        <v>265</v>
      </c>
      <c r="I34" s="655"/>
      <c r="J34" s="656" t="s">
        <v>265</v>
      </c>
      <c r="K34" s="1194"/>
    </row>
    <row r="35" spans="1:28" x14ac:dyDescent="0.35">
      <c r="A35" s="886">
        <v>24</v>
      </c>
      <c r="B35" s="678" t="s">
        <v>283</v>
      </c>
      <c r="C35" s="654">
        <v>5.8</v>
      </c>
      <c r="D35" s="282">
        <v>4.8</v>
      </c>
      <c r="E35" s="655">
        <v>6.5</v>
      </c>
      <c r="F35" s="282">
        <v>2.9</v>
      </c>
      <c r="G35" s="655">
        <v>2.8</v>
      </c>
      <c r="H35" s="655">
        <v>1.4</v>
      </c>
      <c r="I35" s="655">
        <v>0.8</v>
      </c>
      <c r="J35" s="656">
        <v>0.7</v>
      </c>
      <c r="K35" s="1194">
        <f t="shared" si="0"/>
        <v>0.75</v>
      </c>
    </row>
    <row r="36" spans="1:28" x14ac:dyDescent="0.35">
      <c r="A36" s="1184">
        <v>25</v>
      </c>
      <c r="B36" s="679" t="s">
        <v>284</v>
      </c>
      <c r="C36" s="650">
        <v>84.3</v>
      </c>
      <c r="D36" s="651">
        <v>78.7</v>
      </c>
      <c r="E36" s="652">
        <v>21.4</v>
      </c>
      <c r="F36" s="651">
        <v>5.4</v>
      </c>
      <c r="G36" s="652">
        <v>2.8</v>
      </c>
      <c r="H36" s="652">
        <v>1.8</v>
      </c>
      <c r="I36" s="652">
        <v>1.1000000000000001</v>
      </c>
      <c r="J36" s="653">
        <v>0.9</v>
      </c>
      <c r="K36" s="1194">
        <f t="shared" si="0"/>
        <v>1</v>
      </c>
    </row>
    <row r="37" spans="1:28" x14ac:dyDescent="0.35">
      <c r="A37" s="886">
        <v>26</v>
      </c>
      <c r="B37" s="680" t="s">
        <v>285</v>
      </c>
      <c r="C37" s="654">
        <v>65.599999999999994</v>
      </c>
      <c r="D37" s="282">
        <v>67.900000000000006</v>
      </c>
      <c r="E37" s="655">
        <v>16.600000000000001</v>
      </c>
      <c r="F37" s="282">
        <v>3.6</v>
      </c>
      <c r="G37" s="655">
        <v>2.2000000000000002</v>
      </c>
      <c r="H37" s="655">
        <v>1.5</v>
      </c>
      <c r="I37" s="655">
        <v>1.1000000000000001</v>
      </c>
      <c r="J37" s="656">
        <v>0.9</v>
      </c>
      <c r="K37" s="1194">
        <f t="shared" si="0"/>
        <v>1</v>
      </c>
    </row>
    <row r="38" spans="1:28" x14ac:dyDescent="0.35">
      <c r="A38" s="1184">
        <v>27</v>
      </c>
      <c r="B38" s="679" t="s">
        <v>286</v>
      </c>
      <c r="C38" s="650">
        <v>167.1</v>
      </c>
      <c r="D38" s="651">
        <v>159.9</v>
      </c>
      <c r="E38" s="652">
        <v>12.7</v>
      </c>
      <c r="F38" s="651">
        <v>0</v>
      </c>
      <c r="G38" s="652">
        <v>0</v>
      </c>
      <c r="H38" s="652">
        <v>0</v>
      </c>
      <c r="I38" s="652">
        <v>0</v>
      </c>
      <c r="J38" s="653">
        <v>0</v>
      </c>
      <c r="K38" s="1194">
        <f t="shared" si="0"/>
        <v>0</v>
      </c>
    </row>
    <row r="39" spans="1:28" x14ac:dyDescent="0.35">
      <c r="A39" s="886">
        <v>28</v>
      </c>
      <c r="B39" s="673" t="s">
        <v>287</v>
      </c>
      <c r="C39" s="654">
        <v>160.4</v>
      </c>
      <c r="D39" s="282">
        <v>162.19999999999999</v>
      </c>
      <c r="E39" s="655">
        <v>164.4</v>
      </c>
      <c r="F39" s="282">
        <v>166.7</v>
      </c>
      <c r="G39" s="655">
        <v>169.2</v>
      </c>
      <c r="H39" s="655">
        <v>171.8</v>
      </c>
      <c r="I39" s="655">
        <v>174.6</v>
      </c>
      <c r="J39" s="656">
        <v>177.5</v>
      </c>
      <c r="K39" s="1194">
        <f t="shared" si="0"/>
        <v>176.05</v>
      </c>
    </row>
    <row r="40" spans="1:28" x14ac:dyDescent="0.35">
      <c r="A40" s="1184">
        <v>29</v>
      </c>
      <c r="B40" s="672" t="s">
        <v>288</v>
      </c>
      <c r="C40" s="650">
        <v>919</v>
      </c>
      <c r="D40" s="651">
        <v>940.3</v>
      </c>
      <c r="E40" s="652">
        <v>889.2</v>
      </c>
      <c r="F40" s="651">
        <v>903</v>
      </c>
      <c r="G40" s="652">
        <v>917.3</v>
      </c>
      <c r="H40" s="652">
        <v>912.6</v>
      </c>
      <c r="I40" s="652">
        <v>779.4</v>
      </c>
      <c r="J40" s="653">
        <v>751.3</v>
      </c>
      <c r="K40" s="1194">
        <f t="shared" si="0"/>
        <v>765.34999999999991</v>
      </c>
    </row>
    <row r="41" spans="1:28" x14ac:dyDescent="0.35">
      <c r="B41" s="677" t="s">
        <v>289</v>
      </c>
      <c r="C41" s="654" t="s">
        <v>265</v>
      </c>
      <c r="D41" s="282" t="s">
        <v>265</v>
      </c>
      <c r="E41" s="655" t="s">
        <v>265</v>
      </c>
      <c r="F41" s="282" t="s">
        <v>265</v>
      </c>
      <c r="G41" s="655" t="s">
        <v>265</v>
      </c>
      <c r="H41" s="655" t="s">
        <v>265</v>
      </c>
      <c r="I41" s="655"/>
      <c r="J41" s="656" t="s">
        <v>265</v>
      </c>
      <c r="K41" s="1194"/>
    </row>
    <row r="42" spans="1:28" s="1186" customFormat="1" ht="16.5" x14ac:dyDescent="0.35">
      <c r="A42" s="1186">
        <v>30</v>
      </c>
      <c r="B42" s="1192" t="s">
        <v>290</v>
      </c>
      <c r="C42" s="1188">
        <v>211.9</v>
      </c>
      <c r="D42" s="1189">
        <v>225.6</v>
      </c>
      <c r="E42" s="1190">
        <v>219.3</v>
      </c>
      <c r="F42" s="1189">
        <v>220.5</v>
      </c>
      <c r="G42" s="1190">
        <v>222.6</v>
      </c>
      <c r="H42" s="1190">
        <v>226.3</v>
      </c>
      <c r="I42" s="1190">
        <v>105.6</v>
      </c>
      <c r="J42" s="1191">
        <v>105.6</v>
      </c>
      <c r="K42" s="1195">
        <f t="shared" si="0"/>
        <v>105.6</v>
      </c>
      <c r="L42" s="858">
        <f>'Social Benefits'!Q21</f>
        <v>106</v>
      </c>
      <c r="M42" s="858"/>
      <c r="N42" s="858"/>
      <c r="O42" s="858"/>
      <c r="P42" s="858"/>
      <c r="Q42" s="858"/>
      <c r="R42" s="858"/>
      <c r="S42" s="858"/>
      <c r="T42" s="858"/>
      <c r="U42" s="858"/>
      <c r="V42" s="858"/>
      <c r="W42" s="858"/>
      <c r="X42" s="858"/>
      <c r="Y42" s="858"/>
      <c r="Z42" s="858"/>
      <c r="AA42" s="858"/>
      <c r="AB42" s="858"/>
    </row>
    <row r="43" spans="1:28" s="1186" customFormat="1" ht="16.5" x14ac:dyDescent="0.35">
      <c r="A43" s="1186">
        <v>31</v>
      </c>
      <c r="B43" s="1192" t="s">
        <v>291</v>
      </c>
      <c r="C43" s="1188">
        <v>45.7</v>
      </c>
      <c r="D43" s="1189">
        <v>40.4</v>
      </c>
      <c r="E43" s="1190">
        <v>30.6</v>
      </c>
      <c r="F43" s="1189">
        <v>31.3</v>
      </c>
      <c r="G43" s="1190">
        <v>11.4</v>
      </c>
      <c r="H43" s="1190">
        <v>0</v>
      </c>
      <c r="I43" s="1190">
        <v>0</v>
      </c>
      <c r="J43" s="1191">
        <v>0</v>
      </c>
      <c r="K43" s="1195">
        <f t="shared" si="0"/>
        <v>0</v>
      </c>
      <c r="L43" s="858">
        <f>'Rebate Checks'!Q10</f>
        <v>0</v>
      </c>
      <c r="M43" s="858"/>
      <c r="N43" s="858"/>
      <c r="O43" s="858"/>
      <c r="P43" s="858"/>
      <c r="Q43" s="858"/>
      <c r="R43" s="858"/>
      <c r="S43" s="858"/>
      <c r="T43" s="858"/>
      <c r="U43" s="858"/>
      <c r="V43" s="858"/>
      <c r="W43" s="858"/>
      <c r="X43" s="858"/>
      <c r="Y43" s="858"/>
      <c r="Z43" s="858"/>
      <c r="AA43" s="858"/>
      <c r="AB43" s="858"/>
    </row>
    <row r="44" spans="1:28" ht="16.5" x14ac:dyDescent="0.35">
      <c r="A44" s="886">
        <v>32</v>
      </c>
      <c r="B44" s="678" t="s">
        <v>1215</v>
      </c>
      <c r="C44" s="654">
        <v>0.2</v>
      </c>
      <c r="D44" s="282">
        <v>0</v>
      </c>
      <c r="E44" s="655">
        <v>0</v>
      </c>
      <c r="F44" s="282">
        <v>0</v>
      </c>
      <c r="G44" s="655">
        <v>0</v>
      </c>
      <c r="H44" s="655">
        <v>0</v>
      </c>
      <c r="I44" s="655">
        <v>0</v>
      </c>
      <c r="J44" s="656">
        <v>0</v>
      </c>
      <c r="K44" s="1194">
        <f t="shared" si="0"/>
        <v>0</v>
      </c>
    </row>
    <row r="45" spans="1:28" s="1186" customFormat="1" ht="16.5" x14ac:dyDescent="0.35">
      <c r="A45" s="1186">
        <v>33</v>
      </c>
      <c r="B45" s="1193" t="s">
        <v>292</v>
      </c>
      <c r="C45" s="1188">
        <v>21.7</v>
      </c>
      <c r="D45" s="1189">
        <v>13.5</v>
      </c>
      <c r="E45" s="1190">
        <v>6.8</v>
      </c>
      <c r="F45" s="1189">
        <v>3.4</v>
      </c>
      <c r="G45" s="1190">
        <v>2.6</v>
      </c>
      <c r="H45" s="1190">
        <v>0</v>
      </c>
      <c r="I45" s="1190">
        <v>0</v>
      </c>
      <c r="J45" s="1191">
        <v>0</v>
      </c>
      <c r="K45" s="1195">
        <f t="shared" si="0"/>
        <v>0</v>
      </c>
      <c r="L45" s="858"/>
      <c r="M45" s="858"/>
      <c r="N45" s="858"/>
      <c r="O45" s="858"/>
      <c r="P45" s="858"/>
      <c r="Q45" s="858"/>
      <c r="R45" s="858"/>
      <c r="S45" s="858"/>
      <c r="T45" s="858"/>
      <c r="U45" s="858"/>
      <c r="V45" s="858"/>
      <c r="W45" s="858"/>
      <c r="X45" s="858"/>
      <c r="Y45" s="858"/>
      <c r="Z45" s="858"/>
      <c r="AA45" s="858"/>
      <c r="AB45" s="858"/>
    </row>
    <row r="46" spans="1:28" s="1186" customFormat="1" ht="16.5" x14ac:dyDescent="0.35">
      <c r="A46" s="1186">
        <v>34</v>
      </c>
      <c r="B46" s="1187" t="s">
        <v>293</v>
      </c>
      <c r="C46" s="1188">
        <v>36.1</v>
      </c>
      <c r="D46" s="1189">
        <v>49.3</v>
      </c>
      <c r="E46" s="1190">
        <v>26.8</v>
      </c>
      <c r="F46" s="1189">
        <v>37</v>
      </c>
      <c r="G46" s="1190">
        <v>74.400000000000006</v>
      </c>
      <c r="H46" s="1190">
        <v>81.900000000000006</v>
      </c>
      <c r="I46" s="1190">
        <v>65.3</v>
      </c>
      <c r="J46" s="1191">
        <v>47.3</v>
      </c>
      <c r="K46" s="1195">
        <f t="shared" si="0"/>
        <v>56.3</v>
      </c>
      <c r="L46" s="858">
        <f>'Provider Relief'!Q11</f>
        <v>55.95655546935609</v>
      </c>
      <c r="M46" s="858"/>
      <c r="N46" s="858"/>
      <c r="O46" s="858"/>
      <c r="P46" s="858"/>
      <c r="Q46" s="858"/>
      <c r="R46" s="858"/>
      <c r="S46" s="858"/>
      <c r="T46" s="858"/>
      <c r="U46" s="858"/>
      <c r="V46" s="858"/>
      <c r="W46" s="858"/>
      <c r="X46" s="858"/>
      <c r="Y46" s="858"/>
      <c r="Z46" s="858"/>
      <c r="AA46" s="858"/>
      <c r="AB46" s="858"/>
    </row>
    <row r="47" spans="1:28" x14ac:dyDescent="0.35">
      <c r="A47" s="1184">
        <v>35</v>
      </c>
      <c r="B47" s="672" t="s">
        <v>294</v>
      </c>
      <c r="C47" s="650">
        <v>73.599999999999994</v>
      </c>
      <c r="D47" s="651">
        <v>64.8</v>
      </c>
      <c r="E47" s="652">
        <v>65.400000000000006</v>
      </c>
      <c r="F47" s="651">
        <v>66.099999999999994</v>
      </c>
      <c r="G47" s="652">
        <v>66.7</v>
      </c>
      <c r="H47" s="652">
        <v>67.400000000000006</v>
      </c>
      <c r="I47" s="652">
        <v>67.400000000000006</v>
      </c>
      <c r="J47" s="653">
        <v>68</v>
      </c>
      <c r="K47" s="1194">
        <f t="shared" si="0"/>
        <v>67.7</v>
      </c>
    </row>
    <row r="48" spans="1:28" x14ac:dyDescent="0.35">
      <c r="A48" s="256">
        <v>36</v>
      </c>
      <c r="B48" s="671" t="s">
        <v>295</v>
      </c>
      <c r="C48" s="646">
        <v>1602.5</v>
      </c>
      <c r="D48" s="647">
        <v>1609.6</v>
      </c>
      <c r="E48" s="648">
        <v>1621.8</v>
      </c>
      <c r="F48" s="647">
        <v>1636.8</v>
      </c>
      <c r="G48" s="648">
        <v>1647.2</v>
      </c>
      <c r="H48" s="648">
        <v>1657.5</v>
      </c>
      <c r="I48" s="648">
        <v>1672.7</v>
      </c>
      <c r="J48" s="649">
        <v>1684.2</v>
      </c>
      <c r="K48" s="1194">
        <f t="shared" si="0"/>
        <v>1678.45</v>
      </c>
    </row>
    <row r="49" spans="1:11" x14ac:dyDescent="0.35">
      <c r="A49" s="1179">
        <v>37</v>
      </c>
      <c r="B49" s="674" t="s">
        <v>296</v>
      </c>
      <c r="C49" s="657">
        <v>2609.5</v>
      </c>
      <c r="D49" s="645">
        <v>2638.7</v>
      </c>
      <c r="E49" s="658">
        <v>2675.1</v>
      </c>
      <c r="F49" s="645">
        <v>2711.4</v>
      </c>
      <c r="G49" s="658">
        <v>2744.5</v>
      </c>
      <c r="H49" s="658">
        <v>2778.7</v>
      </c>
      <c r="I49" s="658">
        <v>2767.2</v>
      </c>
      <c r="J49" s="659">
        <v>2792.6</v>
      </c>
      <c r="K49" s="1194">
        <f t="shared" si="0"/>
        <v>2779.8999999999996</v>
      </c>
    </row>
    <row r="50" spans="1:11" x14ac:dyDescent="0.35">
      <c r="A50" s="256">
        <v>38</v>
      </c>
      <c r="B50" s="671" t="s">
        <v>297</v>
      </c>
      <c r="C50" s="646">
        <v>18225.8</v>
      </c>
      <c r="D50" s="647">
        <v>18277.599999999999</v>
      </c>
      <c r="E50" s="648">
        <v>18044.7</v>
      </c>
      <c r="F50" s="647">
        <v>18133.5</v>
      </c>
      <c r="G50" s="648">
        <v>18213.400000000001</v>
      </c>
      <c r="H50" s="648">
        <v>18261.5</v>
      </c>
      <c r="I50" s="648">
        <v>18284.7</v>
      </c>
      <c r="J50" s="649">
        <v>18360.8</v>
      </c>
      <c r="K50" s="1194">
        <f t="shared" si="0"/>
        <v>18322.75</v>
      </c>
    </row>
    <row r="51" spans="1:11" x14ac:dyDescent="0.35">
      <c r="A51" s="1179">
        <v>39</v>
      </c>
      <c r="B51" s="674" t="s">
        <v>298</v>
      </c>
      <c r="C51" s="657">
        <v>16305.3</v>
      </c>
      <c r="D51" s="645">
        <v>16482.400000000001</v>
      </c>
      <c r="E51" s="658">
        <v>16581</v>
      </c>
      <c r="F51" s="645">
        <v>16803.8</v>
      </c>
      <c r="G51" s="658">
        <v>16885.099999999999</v>
      </c>
      <c r="H51" s="658">
        <v>16736.3</v>
      </c>
      <c r="I51" s="658">
        <v>17174.900000000001</v>
      </c>
      <c r="J51" s="659">
        <v>17212.2</v>
      </c>
      <c r="K51" s="1194">
        <f t="shared" si="0"/>
        <v>17193.550000000003</v>
      </c>
    </row>
    <row r="52" spans="1:11" x14ac:dyDescent="0.35">
      <c r="A52" s="886">
        <v>40</v>
      </c>
      <c r="B52" s="673" t="s">
        <v>299</v>
      </c>
      <c r="C52" s="654">
        <v>15814.9</v>
      </c>
      <c r="D52" s="282">
        <v>15991.1</v>
      </c>
      <c r="E52" s="655">
        <v>16088.9</v>
      </c>
      <c r="F52" s="282">
        <v>16309.5</v>
      </c>
      <c r="G52" s="655">
        <v>16390.900000000001</v>
      </c>
      <c r="H52" s="655">
        <v>16242.3</v>
      </c>
      <c r="I52" s="655">
        <v>16678.400000000001</v>
      </c>
      <c r="J52" s="656">
        <v>16713.3</v>
      </c>
      <c r="K52" s="1194">
        <f t="shared" si="0"/>
        <v>16695.849999999999</v>
      </c>
    </row>
    <row r="53" spans="1:11" x14ac:dyDescent="0.35">
      <c r="A53" s="1184">
        <v>41</v>
      </c>
      <c r="B53" s="672" t="s">
        <v>300</v>
      </c>
      <c r="C53" s="650">
        <v>271</v>
      </c>
      <c r="D53" s="651">
        <v>271.7</v>
      </c>
      <c r="E53" s="652">
        <v>272.3</v>
      </c>
      <c r="F53" s="651">
        <v>272</v>
      </c>
      <c r="G53" s="652">
        <v>271.60000000000002</v>
      </c>
      <c r="H53" s="652">
        <v>271.2</v>
      </c>
      <c r="I53" s="652">
        <v>273.39999999999998</v>
      </c>
      <c r="J53" s="653">
        <v>275.60000000000002</v>
      </c>
      <c r="K53" s="1194">
        <f t="shared" si="0"/>
        <v>274.5</v>
      </c>
    </row>
    <row r="54" spans="1:11" x14ac:dyDescent="0.35">
      <c r="B54" s="681" t="s">
        <v>301</v>
      </c>
      <c r="C54" s="654" t="s">
        <v>265</v>
      </c>
      <c r="D54" s="282" t="s">
        <v>265</v>
      </c>
      <c r="E54" s="655" t="s">
        <v>265</v>
      </c>
      <c r="F54" s="282" t="s">
        <v>265</v>
      </c>
      <c r="G54" s="655" t="s">
        <v>265</v>
      </c>
      <c r="H54" s="655" t="s">
        <v>265</v>
      </c>
      <c r="I54" s="655"/>
      <c r="J54" s="656" t="s">
        <v>265</v>
      </c>
      <c r="K54" s="1194"/>
    </row>
    <row r="55" spans="1:11" ht="16.5" x14ac:dyDescent="0.35">
      <c r="A55" s="886">
        <v>42</v>
      </c>
      <c r="B55" s="682" t="s">
        <v>302</v>
      </c>
      <c r="C55" s="654">
        <v>-37.799999999999997</v>
      </c>
      <c r="D55" s="282">
        <v>-37.799999999999997</v>
      </c>
      <c r="E55" s="655">
        <v>-37.799999999999997</v>
      </c>
      <c r="F55" s="282">
        <v>-37.799999999999997</v>
      </c>
      <c r="G55" s="655">
        <v>-37.799999999999997</v>
      </c>
      <c r="H55" s="655">
        <v>-37.799999999999997</v>
      </c>
      <c r="I55" s="655">
        <v>-37.799999999999997</v>
      </c>
      <c r="J55" s="656">
        <v>-37.799999999999997</v>
      </c>
      <c r="K55" s="1194">
        <f t="shared" si="0"/>
        <v>-37.799999999999997</v>
      </c>
    </row>
    <row r="56" spans="1:11" x14ac:dyDescent="0.35">
      <c r="A56" s="1184">
        <v>43</v>
      </c>
      <c r="B56" s="672" t="s">
        <v>303</v>
      </c>
      <c r="C56" s="650">
        <v>219.4</v>
      </c>
      <c r="D56" s="651">
        <v>219.6</v>
      </c>
      <c r="E56" s="652">
        <v>219.8</v>
      </c>
      <c r="F56" s="651">
        <v>222.4</v>
      </c>
      <c r="G56" s="652">
        <v>222.6</v>
      </c>
      <c r="H56" s="652">
        <v>222.9</v>
      </c>
      <c r="I56" s="652">
        <v>223.1</v>
      </c>
      <c r="J56" s="653">
        <v>223.4</v>
      </c>
      <c r="K56" s="1194">
        <f t="shared" si="0"/>
        <v>223.25</v>
      </c>
    </row>
    <row r="57" spans="1:11" x14ac:dyDescent="0.35">
      <c r="A57" s="886">
        <v>44</v>
      </c>
      <c r="B57" s="673" t="s">
        <v>304</v>
      </c>
      <c r="C57" s="654">
        <v>116.5</v>
      </c>
      <c r="D57" s="282">
        <v>116.8</v>
      </c>
      <c r="E57" s="655">
        <v>117</v>
      </c>
      <c r="F57" s="282">
        <v>117.2</v>
      </c>
      <c r="G57" s="655">
        <v>117.5</v>
      </c>
      <c r="H57" s="655">
        <v>117.7</v>
      </c>
      <c r="I57" s="655">
        <v>118</v>
      </c>
      <c r="J57" s="656">
        <v>118.2</v>
      </c>
      <c r="K57" s="1194">
        <f t="shared" si="0"/>
        <v>118.1</v>
      </c>
    </row>
    <row r="58" spans="1:11" x14ac:dyDescent="0.35">
      <c r="A58" s="1184">
        <v>45</v>
      </c>
      <c r="B58" s="672" t="s">
        <v>305</v>
      </c>
      <c r="C58" s="650">
        <v>102.8</v>
      </c>
      <c r="D58" s="651">
        <v>102.8</v>
      </c>
      <c r="E58" s="652">
        <v>102.8</v>
      </c>
      <c r="F58" s="651">
        <v>105.2</v>
      </c>
      <c r="G58" s="652">
        <v>105.2</v>
      </c>
      <c r="H58" s="652">
        <v>105.2</v>
      </c>
      <c r="I58" s="652">
        <v>105.2</v>
      </c>
      <c r="J58" s="653">
        <v>105.2</v>
      </c>
      <c r="K58" s="1194">
        <f t="shared" si="0"/>
        <v>105.2</v>
      </c>
    </row>
    <row r="59" spans="1:11" ht="15" thickBot="1" x14ac:dyDescent="0.4">
      <c r="A59" s="1185">
        <v>46</v>
      </c>
      <c r="B59" s="683" t="s">
        <v>306</v>
      </c>
      <c r="C59" s="660">
        <v>1920.5</v>
      </c>
      <c r="D59" s="661">
        <v>1795.2</v>
      </c>
      <c r="E59" s="662">
        <v>1463.7</v>
      </c>
      <c r="F59" s="661">
        <v>1329.6</v>
      </c>
      <c r="G59" s="662">
        <v>1328.3</v>
      </c>
      <c r="H59" s="662">
        <v>1525.2</v>
      </c>
      <c r="I59" s="662">
        <v>1109.8</v>
      </c>
      <c r="J59" s="663">
        <v>1148.5</v>
      </c>
      <c r="K59" s="1194">
        <f t="shared" si="0"/>
        <v>1129.1500000000001</v>
      </c>
    </row>
    <row r="61" spans="1:11" x14ac:dyDescent="0.35">
      <c r="A61" s="886" t="s">
        <v>307</v>
      </c>
      <c r="B61" s="664" t="s">
        <v>308</v>
      </c>
    </row>
    <row r="62" spans="1:11" x14ac:dyDescent="0.35">
      <c r="A62" s="886" t="s">
        <v>309</v>
      </c>
      <c r="B62" s="665" t="s">
        <v>310</v>
      </c>
    </row>
    <row r="63" spans="1:11" x14ac:dyDescent="0.35">
      <c r="A63" s="886" t="s">
        <v>311</v>
      </c>
      <c r="B63" s="665" t="s">
        <v>312</v>
      </c>
    </row>
    <row r="64" spans="1:11" x14ac:dyDescent="0.35">
      <c r="A64" s="886" t="s">
        <v>313</v>
      </c>
      <c r="B64" s="665" t="s">
        <v>314</v>
      </c>
    </row>
    <row r="66" spans="1:10" x14ac:dyDescent="0.35">
      <c r="A66"/>
      <c r="B66"/>
      <c r="C66"/>
      <c r="D66"/>
      <c r="E66"/>
      <c r="F66"/>
      <c r="G66"/>
      <c r="H66"/>
      <c r="I66"/>
      <c r="J66"/>
    </row>
    <row r="67" spans="1:10" x14ac:dyDescent="0.35">
      <c r="A67"/>
      <c r="B67"/>
      <c r="C67"/>
      <c r="D67"/>
      <c r="E67"/>
      <c r="F67"/>
      <c r="G67"/>
      <c r="H67"/>
      <c r="I67"/>
      <c r="J67"/>
    </row>
    <row r="68" spans="1:10" x14ac:dyDescent="0.35">
      <c r="A68"/>
      <c r="B68"/>
      <c r="C68"/>
      <c r="D68"/>
      <c r="E68"/>
      <c r="F68"/>
      <c r="G68"/>
      <c r="H68"/>
      <c r="I68"/>
      <c r="J68"/>
    </row>
    <row r="69" spans="1:10" x14ac:dyDescent="0.35">
      <c r="A69"/>
      <c r="B69"/>
      <c r="C69"/>
      <c r="D69"/>
      <c r="E69"/>
      <c r="F69"/>
      <c r="G69"/>
      <c r="H69"/>
      <c r="I69"/>
      <c r="J69"/>
    </row>
    <row r="70" spans="1:10" x14ac:dyDescent="0.35">
      <c r="A70"/>
      <c r="B70"/>
      <c r="C70"/>
      <c r="D70"/>
      <c r="E70"/>
      <c r="F70"/>
      <c r="G70"/>
      <c r="H70"/>
      <c r="I70"/>
      <c r="J70"/>
    </row>
    <row r="71" spans="1:10" x14ac:dyDescent="0.35">
      <c r="A71"/>
      <c r="B71"/>
      <c r="C71"/>
      <c r="D71"/>
      <c r="E71"/>
      <c r="F71"/>
      <c r="G71"/>
      <c r="H71"/>
      <c r="I71"/>
      <c r="J71"/>
    </row>
    <row r="72" spans="1:10" x14ac:dyDescent="0.35">
      <c r="A72"/>
      <c r="B72"/>
      <c r="C72"/>
      <c r="D72"/>
      <c r="E72"/>
      <c r="F72"/>
      <c r="G72"/>
      <c r="H72"/>
      <c r="I72"/>
      <c r="J72"/>
    </row>
    <row r="73" spans="1:10" x14ac:dyDescent="0.35">
      <c r="A73"/>
      <c r="B73"/>
      <c r="C73"/>
      <c r="D73"/>
      <c r="E73"/>
      <c r="F73"/>
      <c r="G73"/>
      <c r="H73"/>
      <c r="I73"/>
      <c r="J73"/>
    </row>
    <row r="74" spans="1:10" x14ac:dyDescent="0.35">
      <c r="A74"/>
      <c r="B74"/>
      <c r="C74"/>
      <c r="D74"/>
      <c r="E74"/>
      <c r="F74"/>
      <c r="G74"/>
      <c r="H74"/>
      <c r="I74"/>
      <c r="J74"/>
    </row>
    <row r="76" spans="1:10" x14ac:dyDescent="0.35">
      <c r="A76"/>
      <c r="B76"/>
      <c r="C76"/>
      <c r="D76"/>
      <c r="E76"/>
      <c r="F76"/>
      <c r="G76"/>
      <c r="H76"/>
      <c r="I76"/>
      <c r="J76"/>
    </row>
    <row r="78" spans="1:10" x14ac:dyDescent="0.35">
      <c r="A78" s="886" t="s">
        <v>315</v>
      </c>
    </row>
    <row r="80" spans="1:10" x14ac:dyDescent="0.35">
      <c r="A80" s="886" t="s">
        <v>316</v>
      </c>
    </row>
    <row r="82" spans="1:1" x14ac:dyDescent="0.35">
      <c r="A82" s="666"/>
    </row>
    <row r="88" spans="1:1" x14ac:dyDescent="0.35">
      <c r="A88" s="410"/>
    </row>
    <row r="89" spans="1:1" x14ac:dyDescent="0.35">
      <c r="A89" s="410"/>
    </row>
    <row r="90" spans="1:1" x14ac:dyDescent="0.35">
      <c r="A90" s="410"/>
    </row>
  </sheetData>
  <mergeCells count="4">
    <mergeCell ref="A4:E4"/>
    <mergeCell ref="C5:J5"/>
    <mergeCell ref="C6:H6"/>
    <mergeCell ref="I6:J6"/>
  </mergeCells>
  <hyperlinks>
    <hyperlink ref="A74:J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62C789CF-D76B-49B1-83E9-1E7AE5805302}"/>
    <hyperlink ref="A76:J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A52A1E10-3276-4BAD-B7F2-15AA0058A8F3}"/>
    <hyperlink ref="A67:J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B1805FC1-AD9B-4E4D-8E78-22A9CE5A17F5}"/>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416CBD0D-D719-4F31-99E1-5970659CDEB7}"/>
    <hyperlink ref="A71:J71" r:id="rId5" display="4. Economic impact payments, initially established by the CARES Act, provide direct payments to individuals. For more information, see &quot;How are federal economic impact payments to support individuals during the COVID-19 pandemic recorded in the NIPAs?&quot;." xr:uid="{2E214D94-A891-4748-978F-6ECC502E026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I10"/>
  <sheetViews>
    <sheetView workbookViewId="0">
      <selection activeCell="H2" sqref="H2"/>
    </sheetView>
  </sheetViews>
  <sheetFormatPr defaultColWidth="8.7265625" defaultRowHeight="14.5" x14ac:dyDescent="0.35"/>
  <cols>
    <col min="1" max="1" width="18.453125" customWidth="1"/>
    <col min="2" max="2" width="27.1796875" customWidth="1"/>
  </cols>
  <sheetData>
    <row r="1" spans="1:9" s="256" customFormat="1" x14ac:dyDescent="0.35">
      <c r="A1" s="256" t="s">
        <v>192</v>
      </c>
      <c r="B1" s="256" t="s">
        <v>193</v>
      </c>
      <c r="C1" s="168" t="s">
        <v>317</v>
      </c>
      <c r="D1" s="168" t="s">
        <v>318</v>
      </c>
      <c r="E1" s="168" t="s">
        <v>319</v>
      </c>
      <c r="F1" s="168" t="s">
        <v>320</v>
      </c>
      <c r="G1" s="256" t="s">
        <v>321</v>
      </c>
      <c r="H1" s="256" t="s">
        <v>194</v>
      </c>
      <c r="I1" s="256" t="s">
        <v>195</v>
      </c>
    </row>
    <row r="2" spans="1:9" ht="29" x14ac:dyDescent="0.35">
      <c r="A2" s="1" t="s">
        <v>322</v>
      </c>
      <c r="B2" t="s">
        <v>323</v>
      </c>
      <c r="C2">
        <f>Grants!J89</f>
        <v>334.61</v>
      </c>
      <c r="D2">
        <f>Grants!K89</f>
        <v>301.78300000000002</v>
      </c>
      <c r="E2">
        <f>Grants!L89</f>
        <v>280.16300000000001</v>
      </c>
      <c r="F2">
        <f>Grants!M89</f>
        <v>310.15499999999997</v>
      </c>
      <c r="G2">
        <f>Grants!N89</f>
        <v>346.31500000000005</v>
      </c>
      <c r="H2">
        <f>Grants!O89</f>
        <v>384.12299999999988</v>
      </c>
      <c r="I2" s="886">
        <f>Grants!P89</f>
        <v>418.11685200000005</v>
      </c>
    </row>
    <row r="3" spans="1:9" ht="43.5" x14ac:dyDescent="0.35">
      <c r="A3" s="765" t="s">
        <v>1155</v>
      </c>
      <c r="B3" t="s">
        <v>1152</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886">
        <f>'Social Benefits'!P27</f>
        <v>1899.6240000000003</v>
      </c>
    </row>
    <row r="4" spans="1:9" ht="43.5" x14ac:dyDescent="0.35">
      <c r="A4" s="765" t="s">
        <v>1157</v>
      </c>
      <c r="B4" t="s">
        <v>1153</v>
      </c>
      <c r="C4">
        <f>'Social Benefits'!J17</f>
        <v>0</v>
      </c>
      <c r="D4">
        <f>'Social Benefits'!K17</f>
        <v>0</v>
      </c>
      <c r="E4">
        <f>'Social Benefits'!L17</f>
        <v>0</v>
      </c>
      <c r="F4">
        <f>'Social Benefits'!M17</f>
        <v>0</v>
      </c>
      <c r="G4">
        <f>'Social Benefits'!N17</f>
        <v>33.921840000000024</v>
      </c>
      <c r="H4">
        <f>'Social Benefits'!O17</f>
        <v>44.966160000000031</v>
      </c>
      <c r="I4" s="886">
        <f>'Social Benefits'!P17</f>
        <v>52.756999999999998</v>
      </c>
    </row>
    <row r="5" spans="1:9" ht="29" x14ac:dyDescent="0.35">
      <c r="A5" s="765" t="s">
        <v>1156</v>
      </c>
      <c r="B5" t="s">
        <v>1154</v>
      </c>
      <c r="C5">
        <f>'Social Benefits'!J24</f>
        <v>160.9</v>
      </c>
      <c r="D5">
        <f>'Social Benefits'!K24</f>
        <v>58.4</v>
      </c>
      <c r="E5">
        <f>'Social Benefits'!L24</f>
        <v>34.5</v>
      </c>
      <c r="F5">
        <f>'Social Benefits'!M24</f>
        <v>42.8</v>
      </c>
      <c r="G5">
        <f>'Social Benefits'!N24</f>
        <v>26.6</v>
      </c>
      <c r="H5">
        <f>'Social Benefits'!O24</f>
        <v>40.50400000000004</v>
      </c>
      <c r="I5" s="886">
        <f>'Social Benefits'!P24</f>
        <v>84.119000000000014</v>
      </c>
    </row>
    <row r="6" spans="1:9" x14ac:dyDescent="0.35">
      <c r="A6" s="886" t="s">
        <v>215</v>
      </c>
      <c r="B6" s="886" t="s">
        <v>1207</v>
      </c>
      <c r="C6" s="200">
        <f>Subsidies!J43</f>
        <v>0</v>
      </c>
      <c r="D6" s="200">
        <f>Subsidies!K43</f>
        <v>0</v>
      </c>
      <c r="E6" s="200">
        <f>Subsidies!L43</f>
        <v>0</v>
      </c>
      <c r="F6" s="200">
        <f>Subsidies!M43</f>
        <v>0</v>
      </c>
      <c r="G6" s="200">
        <f>Subsidies!N43</f>
        <v>58.782959999999989</v>
      </c>
      <c r="H6" s="200">
        <f>Subsidies!O43</f>
        <v>267.78904</v>
      </c>
      <c r="I6" s="200">
        <f>Subsidies!P43</f>
        <v>110.24799999999999</v>
      </c>
    </row>
    <row r="7" spans="1:9" x14ac:dyDescent="0.35">
      <c r="C7" s="886"/>
      <c r="D7" s="886"/>
      <c r="E7" s="886"/>
      <c r="F7" s="886"/>
      <c r="G7" s="886"/>
      <c r="H7" s="886"/>
    </row>
    <row r="8" spans="1:9" x14ac:dyDescent="0.35">
      <c r="C8" s="886"/>
      <c r="D8" s="886"/>
      <c r="E8" s="886"/>
      <c r="F8" s="886"/>
      <c r="G8" s="886"/>
      <c r="H8" s="886"/>
    </row>
    <row r="9" spans="1:9" x14ac:dyDescent="0.35">
      <c r="C9" s="886"/>
      <c r="D9" s="886"/>
      <c r="E9" s="886"/>
      <c r="F9" s="886"/>
      <c r="G9" s="886"/>
      <c r="H9" s="886"/>
    </row>
    <row r="10" spans="1:9" x14ac:dyDescent="0.35">
      <c r="C10" s="886"/>
      <c r="D10" s="886"/>
      <c r="E10" s="886"/>
      <c r="F10" s="886"/>
      <c r="G10" s="886"/>
      <c r="H10" s="886"/>
    </row>
  </sheetData>
  <phoneticPr fontId="5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5FF0053-8299-499B-B6D8-4A210CA85C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Guide to the FIM Spreadsheet</vt:lpstr>
      <vt:lpstr>Checklist (New Quarter Release)</vt:lpstr>
      <vt:lpstr>Checklist (Monthly Revision)</vt:lpstr>
      <vt:lpstr>Checklist (CBO Budget Release)</vt:lpstr>
      <vt:lpstr>Revisions</vt:lpstr>
      <vt:lpstr>forecast comparison</vt:lpstr>
      <vt:lpstr>forecast</vt:lpstr>
      <vt:lpstr>February MPI</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Sophia Campbell</cp:lastModifiedBy>
  <cp:revision/>
  <dcterms:created xsi:type="dcterms:W3CDTF">2021-05-28T15:43:48Z</dcterms:created>
  <dcterms:modified xsi:type="dcterms:W3CDTF">2022-04-18T16:10:17Z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