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ivotTables/pivotTable2.xml" ContentType="application/vnd.openxmlformats-officedocument.spreadsheetml.pivotTable+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4.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5.xml" ContentType="application/vnd.openxmlformats-officedocument.drawing+xml"/>
  <Override PartName="/xl/drawings/drawing16.xml" ContentType="application/vnd.openxmlformats-officedocument.drawing+xml"/>
  <Override PartName="/xl/comments15.xml" ContentType="application/vnd.openxmlformats-officedocument.spreadsheetml.comments+xml"/>
  <Override PartName="/xl/threadedComments/threadedComment15.xml" ContentType="application/vnd.ms-excel.threadedcomments+xml"/>
  <Override PartName="/xl/drawings/drawing17.xml" ContentType="application/vnd.openxmlformats-officedocument.drawing+xml"/>
  <Override PartName="/xl/tables/table1.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drawings/drawing18.xml" ContentType="application/vnd.openxmlformats-officedocument.drawing+xml"/>
  <Override PartName="/xl/comments17.xml" ContentType="application/vnd.openxmlformats-officedocument.spreadsheetml.comments+xml"/>
  <Override PartName="/xl/threadedComments/threadedComment17.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E8290A4C-772C-4EFC-89CF-A179C4AAA93B}" xr6:coauthVersionLast="47" xr6:coauthVersionMax="47" xr10:uidLastSave="{00000000-0000-0000-0000-000000000000}"/>
  <bookViews>
    <workbookView xWindow="30450" yWindow="1140" windowWidth="25305" windowHeight="13635" firstSheet="3" activeTab="6"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November - MPI" sheetId="79" r:id="rId9"/>
    <sheet name="October - MPI" sheetId="73" r:id="rId10"/>
    <sheet name="March MPI - PCE" sheetId="72" r:id="rId11"/>
    <sheet name="historical overrides" sheetId="50" r:id="rId12"/>
    <sheet name="deflators_override" sheetId="71" r:id="rId13"/>
    <sheet name="mpc" sheetId="56" r:id="rId14"/>
    <sheet name="Unemployment Insurance" sheetId="25" r:id="rId15"/>
    <sheet name="Unemployment Insurance - lorae" sheetId="74" state="hidden" r:id="rId16"/>
    <sheet name="Grants" sheetId="26" r:id="rId17"/>
    <sheet name="Federal and State Purchases" sheetId="20" r:id="rId18"/>
    <sheet name="Subsidies" sheetId="30" r:id="rId19"/>
    <sheet name="Medicaid" sheetId="49" r:id="rId20"/>
    <sheet name="Medicare" sheetId="33" r:id="rId21"/>
    <sheet name="Student loans" sheetId="67" r:id="rId22"/>
    <sheet name="Social Benefits" sheetId="59" r:id="rId23"/>
    <sheet name="Social Benefits (BETA VERSION)" sheetId="75" r:id="rId24"/>
    <sheet name="Social Benefits (EXPLANATION)" sheetId="77" r:id="rId25"/>
    <sheet name="Supply Side IRA" sheetId="78" r:id="rId26"/>
    <sheet name="Taxes" sheetId="48" r:id="rId27"/>
    <sheet name="Deflators" sheetId="70" r:id="rId28"/>
    <sheet name="PPP (expired)" sheetId="38" r:id="rId29"/>
    <sheet name="Provider Relief (expired)" sheetId="40" r:id="rId30"/>
    <sheet name="Rebate Checks (expired)" sheetId="29" r:id="rId31"/>
    <sheet name="IRA and CHIPS supply side" sheetId="76" r:id="rId32"/>
    <sheet name="Cares Act Scores" sheetId="36" r:id="rId33"/>
    <sheet name="IRA and CHIPS" sheetId="65" r:id="rId34"/>
    <sheet name="Response and Relief Act Score" sheetId="27" r:id="rId35"/>
    <sheet name="ARP Score" sheetId="5" r:id="rId36"/>
    <sheet name="ARP Timing" sheetId="6" r:id="rId37"/>
    <sheet name="ARP Quarterly" sheetId="21" r:id="rId38"/>
    <sheet name="Deflators_original" sheetId="63" state="hidden" r:id="rId39"/>
  </sheets>
  <calcPr calcId="191029"/>
  <pivotCaches>
    <pivotCache cacheId="2" r:id="rId4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D13" i="21"/>
  <c r="D14" i="21" s="1"/>
  <c r="D15" i="21" s="1"/>
  <c r="C13" i="21"/>
  <c r="V11" i="21"/>
  <c r="U11" i="21"/>
  <c r="T11" i="21"/>
  <c r="S11" i="21"/>
  <c r="R11" i="21"/>
  <c r="Q11" i="21"/>
  <c r="P11" i="21"/>
  <c r="O11" i="21"/>
  <c r="N11" i="21"/>
  <c r="F81" i="21" s="1"/>
  <c r="M11" i="21"/>
  <c r="L11" i="21"/>
  <c r="K11" i="21"/>
  <c r="J11" i="21"/>
  <c r="I11" i="21"/>
  <c r="H11" i="21"/>
  <c r="G11" i="21"/>
  <c r="F11" i="21"/>
  <c r="D81" i="21" s="1"/>
  <c r="S10" i="21"/>
  <c r="R10" i="21"/>
  <c r="H9" i="21"/>
  <c r="G9" i="21"/>
  <c r="V6" i="21"/>
  <c r="Q5" i="21"/>
  <c r="P4" i="21"/>
  <c r="O4" i="21"/>
  <c r="U3" i="21"/>
  <c r="K3" i="21"/>
  <c r="J3" i="21"/>
  <c r="D1" i="21"/>
  <c r="C19" i="6"/>
  <c r="B19" i="6"/>
  <c r="T17" i="6"/>
  <c r="S17" i="6"/>
  <c r="V50" i="21" s="1"/>
  <c r="Q17" i="6"/>
  <c r="U16" i="6"/>
  <c r="T16" i="6"/>
  <c r="S16" i="6"/>
  <c r="V49" i="21" s="1"/>
  <c r="R16" i="6"/>
  <c r="U49" i="21" s="1"/>
  <c r="Q16" i="6"/>
  <c r="T49" i="21" s="1"/>
  <c r="P16" i="6"/>
  <c r="S49" i="21" s="1"/>
  <c r="O16" i="6"/>
  <c r="R49" i="21" s="1"/>
  <c r="N16" i="6"/>
  <c r="Q49" i="21" s="1"/>
  <c r="D9" i="6"/>
  <c r="C9" i="6"/>
  <c r="D6" i="21" s="1"/>
  <c r="U6" i="6"/>
  <c r="T6" i="6"/>
  <c r="S6" i="6"/>
  <c r="T3" i="21" s="1"/>
  <c r="R6" i="6"/>
  <c r="S3" i="21" s="1"/>
  <c r="Q6" i="6"/>
  <c r="R3" i="21" s="1"/>
  <c r="P6" i="6"/>
  <c r="O6" i="6"/>
  <c r="N6" i="6"/>
  <c r="M6" i="6"/>
  <c r="L6" i="6"/>
  <c r="M3" i="21" s="1"/>
  <c r="K6" i="6"/>
  <c r="L3" i="21" s="1"/>
  <c r="J6" i="6"/>
  <c r="I6" i="6"/>
  <c r="H6" i="6"/>
  <c r="I3" i="21" s="1"/>
  <c r="G6" i="6"/>
  <c r="H3" i="21" s="1"/>
  <c r="F6" i="6"/>
  <c r="E6" i="6"/>
  <c r="D6" i="6"/>
  <c r="C6" i="6"/>
  <c r="D3" i="21" s="1"/>
  <c r="B6" i="6"/>
  <c r="C3" i="21" s="1"/>
  <c r="BJ16" i="5"/>
  <c r="BI16" i="5"/>
  <c r="BH16" i="5"/>
  <c r="BG16" i="5"/>
  <c r="BF16" i="5"/>
  <c r="BE16" i="5"/>
  <c r="BD16" i="5"/>
  <c r="BC16" i="5"/>
  <c r="BB16" i="5"/>
  <c r="AZ16" i="5"/>
  <c r="AY16" i="5"/>
  <c r="AX16" i="5"/>
  <c r="AW16" i="5"/>
  <c r="AV16" i="5"/>
  <c r="AU16" i="5"/>
  <c r="AT16" i="5"/>
  <c r="AS16" i="5"/>
  <c r="AR16" i="5"/>
  <c r="K16" i="5" s="1"/>
  <c r="AQ16" i="5"/>
  <c r="AP16" i="5"/>
  <c r="AO16" i="5"/>
  <c r="AN16" i="5"/>
  <c r="AM16" i="5"/>
  <c r="AL16" i="5"/>
  <c r="AK16" i="5"/>
  <c r="N16" i="5" s="1"/>
  <c r="AJ16" i="5"/>
  <c r="AI16" i="5"/>
  <c r="AH16" i="5"/>
  <c r="AG16" i="5"/>
  <c r="AF16" i="5"/>
  <c r="AE16" i="5"/>
  <c r="AD16" i="5"/>
  <c r="AC16" i="5"/>
  <c r="AB16" i="5"/>
  <c r="AA16" i="5"/>
  <c r="Z16" i="5"/>
  <c r="Y16" i="5"/>
  <c r="X16" i="5"/>
  <c r="W16" i="5"/>
  <c r="V16" i="5"/>
  <c r="U16" i="5"/>
  <c r="T16" i="5"/>
  <c r="S16" i="5"/>
  <c r="R16" i="5"/>
  <c r="Q16" i="5"/>
  <c r="P16" i="5"/>
  <c r="O16" i="5"/>
  <c r="L16" i="5"/>
  <c r="N15" i="5"/>
  <c r="M15" i="5"/>
  <c r="K15" i="5"/>
  <c r="J15" i="5"/>
  <c r="I15" i="5"/>
  <c r="H15" i="5"/>
  <c r="G15" i="5"/>
  <c r="E15" i="5"/>
  <c r="D15" i="5"/>
  <c r="C15" i="5"/>
  <c r="F15" i="5" s="1"/>
  <c r="B15" i="5"/>
  <c r="N14" i="5"/>
  <c r="M14" i="5"/>
  <c r="K14" i="5"/>
  <c r="J14" i="5"/>
  <c r="I14" i="5"/>
  <c r="H14" i="5"/>
  <c r="G14" i="5"/>
  <c r="E14" i="5"/>
  <c r="D14" i="5"/>
  <c r="C14" i="5"/>
  <c r="F14" i="5" s="1"/>
  <c r="B14" i="5"/>
  <c r="N13" i="5"/>
  <c r="M13" i="5"/>
  <c r="K13" i="5"/>
  <c r="J13" i="5"/>
  <c r="I13" i="5"/>
  <c r="H13" i="5"/>
  <c r="G13" i="5"/>
  <c r="E13" i="5"/>
  <c r="D13" i="5"/>
  <c r="C13" i="5"/>
  <c r="F13" i="5" s="1"/>
  <c r="B13" i="5"/>
  <c r="N12" i="5"/>
  <c r="M12" i="5"/>
  <c r="K12" i="5"/>
  <c r="J12" i="5"/>
  <c r="I12" i="5"/>
  <c r="H12" i="5"/>
  <c r="G12" i="5"/>
  <c r="E12" i="5"/>
  <c r="D12" i="5"/>
  <c r="D16" i="5" s="1"/>
  <c r="C12" i="5"/>
  <c r="B12" i="5"/>
  <c r="N11" i="5"/>
  <c r="M11" i="5"/>
  <c r="K11" i="5"/>
  <c r="J11" i="5"/>
  <c r="I11" i="5"/>
  <c r="H11" i="5"/>
  <c r="G11" i="5"/>
  <c r="E11" i="5"/>
  <c r="D11" i="5"/>
  <c r="C11" i="5"/>
  <c r="F11" i="5" s="1"/>
  <c r="B11" i="5"/>
  <c r="N10" i="5"/>
  <c r="M10" i="5"/>
  <c r="V12" i="21" s="1"/>
  <c r="K10" i="5"/>
  <c r="V10" i="21" s="1"/>
  <c r="J10" i="5"/>
  <c r="V9" i="21" s="1"/>
  <c r="I10" i="5"/>
  <c r="H10" i="5"/>
  <c r="V7" i="21" s="1"/>
  <c r="G10" i="5"/>
  <c r="E10" i="5"/>
  <c r="V4" i="21" s="1"/>
  <c r="D10" i="5"/>
  <c r="C10" i="5"/>
  <c r="B10" i="5"/>
  <c r="N9" i="5"/>
  <c r="M9" i="5"/>
  <c r="K9" i="5"/>
  <c r="J9" i="5"/>
  <c r="I9" i="5"/>
  <c r="H9" i="5"/>
  <c r="G9" i="5"/>
  <c r="E9" i="5"/>
  <c r="D9" i="5"/>
  <c r="C9" i="5"/>
  <c r="F9" i="5" s="1"/>
  <c r="R5" i="21" s="1"/>
  <c r="B9" i="5"/>
  <c r="N8" i="5"/>
  <c r="M8" i="5"/>
  <c r="K8" i="5"/>
  <c r="J8" i="5"/>
  <c r="P9" i="21" s="1"/>
  <c r="I8" i="5"/>
  <c r="H8" i="5"/>
  <c r="P7" i="21" s="1"/>
  <c r="G8" i="5"/>
  <c r="E8" i="5"/>
  <c r="Q4" i="21" s="1"/>
  <c r="D8" i="5"/>
  <c r="C8" i="5"/>
  <c r="F8" i="5" s="1"/>
  <c r="B8" i="5"/>
  <c r="N7" i="5"/>
  <c r="T13" i="21" s="1"/>
  <c r="T14" i="21" s="1"/>
  <c r="T15" i="21" s="1"/>
  <c r="M7" i="5"/>
  <c r="K7" i="5"/>
  <c r="J7" i="5"/>
  <c r="I7" i="5"/>
  <c r="H7" i="5"/>
  <c r="G7" i="5"/>
  <c r="E7" i="5"/>
  <c r="D7" i="5"/>
  <c r="C7" i="5"/>
  <c r="F7" i="5" s="1"/>
  <c r="B7" i="5"/>
  <c r="N6" i="5"/>
  <c r="M6" i="5"/>
  <c r="K6" i="5"/>
  <c r="J6" i="5"/>
  <c r="I6" i="5"/>
  <c r="H6" i="5"/>
  <c r="I7" i="21" s="1"/>
  <c r="G6" i="5"/>
  <c r="E6" i="5"/>
  <c r="I4" i="21" s="1"/>
  <c r="D6" i="5"/>
  <c r="C6" i="5"/>
  <c r="F6" i="5" s="1"/>
  <c r="B6" i="5"/>
  <c r="N5" i="5"/>
  <c r="E13" i="21" s="1"/>
  <c r="E14" i="21" s="1"/>
  <c r="E15" i="21" s="1"/>
  <c r="M5" i="5"/>
  <c r="C12" i="21" s="1"/>
  <c r="L5" i="5"/>
  <c r="C11" i="21" s="1"/>
  <c r="K5" i="5"/>
  <c r="C10" i="21" s="1"/>
  <c r="J5" i="5"/>
  <c r="C9" i="21" s="1"/>
  <c r="I5" i="5"/>
  <c r="H5" i="5"/>
  <c r="G5" i="5"/>
  <c r="D5" i="5"/>
  <c r="F5" i="5" s="1"/>
  <c r="C5" i="5"/>
  <c r="B5" i="5"/>
  <c r="D8" i="21" s="1"/>
  <c r="F17" i="27"/>
  <c r="F16" i="27"/>
  <c r="F15" i="27"/>
  <c r="F14" i="27"/>
  <c r="F13" i="27"/>
  <c r="F12" i="27"/>
  <c r="F11" i="27"/>
  <c r="F9" i="27"/>
  <c r="F8" i="27"/>
  <c r="F7" i="27"/>
  <c r="F6" i="27"/>
  <c r="F5" i="27"/>
  <c r="B3" i="27"/>
  <c r="G194" i="65"/>
  <c r="H194" i="65" s="1"/>
  <c r="I194" i="65" s="1"/>
  <c r="G193" i="65"/>
  <c r="H193" i="65" s="1"/>
  <c r="I193" i="65" s="1"/>
  <c r="G192" i="65"/>
  <c r="H192" i="65" s="1"/>
  <c r="I192" i="65" s="1"/>
  <c r="P191" i="65"/>
  <c r="Q191" i="65" s="1"/>
  <c r="G191" i="65"/>
  <c r="H191" i="65" s="1"/>
  <c r="I191" i="65" s="1"/>
  <c r="G190" i="65"/>
  <c r="H190" i="65" s="1"/>
  <c r="I190" i="65" s="1"/>
  <c r="G189" i="65"/>
  <c r="H189" i="65" s="1"/>
  <c r="I189" i="65" s="1"/>
  <c r="S188" i="65"/>
  <c r="R188" i="65"/>
  <c r="O188" i="65"/>
  <c r="P188" i="65" s="1"/>
  <c r="Q188" i="65" s="1"/>
  <c r="N188" i="65"/>
  <c r="L188" i="65"/>
  <c r="M188" i="65" s="1"/>
  <c r="K188" i="65"/>
  <c r="J188" i="65"/>
  <c r="H188" i="65"/>
  <c r="I188" i="65" s="1"/>
  <c r="G188" i="65"/>
  <c r="F188" i="65"/>
  <c r="D188" i="65"/>
  <c r="E188" i="65" s="1"/>
  <c r="P187" i="65"/>
  <c r="Q187" i="65" s="1"/>
  <c r="G187" i="65"/>
  <c r="H187" i="65" s="1"/>
  <c r="I187" i="65" s="1"/>
  <c r="G186" i="65"/>
  <c r="H186" i="65" s="1"/>
  <c r="I186" i="65" s="1"/>
  <c r="P185" i="65"/>
  <c r="Q185" i="65" s="1"/>
  <c r="G184" i="65"/>
  <c r="H184" i="65" s="1"/>
  <c r="I184" i="65" s="1"/>
  <c r="L179" i="65"/>
  <c r="O178" i="65"/>
  <c r="H178" i="65"/>
  <c r="R193" i="65" s="1"/>
  <c r="S193" i="65" s="1"/>
  <c r="G178" i="65"/>
  <c r="N193" i="65" s="1"/>
  <c r="O193" i="65" s="1"/>
  <c r="P193" i="65" s="1"/>
  <c r="Q193" i="65" s="1"/>
  <c r="L177" i="65"/>
  <c r="K177" i="65"/>
  <c r="D177" i="65"/>
  <c r="D192" i="65" s="1"/>
  <c r="E192" i="65" s="1"/>
  <c r="O176" i="65"/>
  <c r="H176" i="65"/>
  <c r="R191" i="65" s="1"/>
  <c r="S191" i="65" s="1"/>
  <c r="G176" i="65"/>
  <c r="N191" i="65" s="1"/>
  <c r="O191" i="65" s="1"/>
  <c r="L175" i="65"/>
  <c r="K175" i="65"/>
  <c r="D175" i="65"/>
  <c r="D190" i="65" s="1"/>
  <c r="E190" i="65" s="1"/>
  <c r="O174" i="65"/>
  <c r="H174" i="65"/>
  <c r="R189" i="65" s="1"/>
  <c r="S189" i="65" s="1"/>
  <c r="G174" i="65"/>
  <c r="N189" i="65" s="1"/>
  <c r="O189" i="65" s="1"/>
  <c r="P189" i="65" s="1"/>
  <c r="Q189" i="65" s="1"/>
  <c r="L172" i="65"/>
  <c r="K172" i="65"/>
  <c r="D172" i="65"/>
  <c r="D187" i="65" s="1"/>
  <c r="E187" i="65" s="1"/>
  <c r="O171" i="65"/>
  <c r="H171" i="65"/>
  <c r="R186" i="65" s="1"/>
  <c r="S186" i="65" s="1"/>
  <c r="G171" i="65"/>
  <c r="N186" i="65" s="1"/>
  <c r="O186" i="65" s="1"/>
  <c r="P186" i="65" s="1"/>
  <c r="Q186" i="65" s="1"/>
  <c r="L170" i="65"/>
  <c r="K170" i="65"/>
  <c r="D170" i="65"/>
  <c r="D185" i="65" s="1"/>
  <c r="E185" i="65" s="1"/>
  <c r="O169" i="65"/>
  <c r="N169" i="65"/>
  <c r="M169" i="65"/>
  <c r="L169" i="65"/>
  <c r="K169" i="65"/>
  <c r="J169" i="65"/>
  <c r="I169" i="65"/>
  <c r="H169" i="65"/>
  <c r="R184" i="65" s="1"/>
  <c r="S184" i="65" s="1"/>
  <c r="G169" i="65"/>
  <c r="N184" i="65" s="1"/>
  <c r="O184" i="65" s="1"/>
  <c r="P184" i="65" s="1"/>
  <c r="Q184" i="65" s="1"/>
  <c r="F169" i="65"/>
  <c r="J184" i="65" s="1"/>
  <c r="K184" i="65" s="1"/>
  <c r="L184" i="65" s="1"/>
  <c r="M184" i="65" s="1"/>
  <c r="E169" i="65"/>
  <c r="F184" i="65" s="1"/>
  <c r="D169" i="65"/>
  <c r="D184" i="65" s="1"/>
  <c r="E184" i="65" s="1"/>
  <c r="O85" i="65"/>
  <c r="N85" i="65"/>
  <c r="N178" i="65" s="1"/>
  <c r="M85" i="65"/>
  <c r="M178" i="65" s="1"/>
  <c r="L85" i="65"/>
  <c r="L178" i="65" s="1"/>
  <c r="K85" i="65"/>
  <c r="K178" i="65" s="1"/>
  <c r="J85" i="65"/>
  <c r="J178" i="65" s="1"/>
  <c r="I85" i="65"/>
  <c r="I178" i="65" s="1"/>
  <c r="H85" i="65"/>
  <c r="G85" i="65"/>
  <c r="F85" i="65"/>
  <c r="F178" i="65" s="1"/>
  <c r="J193" i="65" s="1"/>
  <c r="K193" i="65" s="1"/>
  <c r="L193" i="65" s="1"/>
  <c r="M193" i="65" s="1"/>
  <c r="E85" i="65"/>
  <c r="E178" i="65" s="1"/>
  <c r="F193" i="65" s="1"/>
  <c r="D85" i="65"/>
  <c r="D178" i="65" s="1"/>
  <c r="D193" i="65" s="1"/>
  <c r="E193" i="65" s="1"/>
  <c r="O84" i="65"/>
  <c r="O177" i="65" s="1"/>
  <c r="N84" i="65"/>
  <c r="N177" i="65" s="1"/>
  <c r="M84" i="65"/>
  <c r="M177" i="65" s="1"/>
  <c r="L84" i="65"/>
  <c r="K84" i="65"/>
  <c r="J84" i="65"/>
  <c r="J177" i="65" s="1"/>
  <c r="I84" i="65"/>
  <c r="I177" i="65" s="1"/>
  <c r="H84" i="65"/>
  <c r="H177" i="65" s="1"/>
  <c r="R192" i="65" s="1"/>
  <c r="S192" i="65" s="1"/>
  <c r="G84" i="65"/>
  <c r="G177" i="65" s="1"/>
  <c r="N192" i="65" s="1"/>
  <c r="O192" i="65" s="1"/>
  <c r="P192" i="65" s="1"/>
  <c r="Q192" i="65" s="1"/>
  <c r="F84" i="65"/>
  <c r="F177" i="65" s="1"/>
  <c r="J192" i="65" s="1"/>
  <c r="K192" i="65" s="1"/>
  <c r="L192" i="65" s="1"/>
  <c r="M192" i="65" s="1"/>
  <c r="E84" i="65"/>
  <c r="E177" i="65" s="1"/>
  <c r="F192" i="65" s="1"/>
  <c r="D84" i="65"/>
  <c r="O83" i="65"/>
  <c r="O179" i="65" s="1"/>
  <c r="N83" i="65"/>
  <c r="N179" i="65" s="1"/>
  <c r="M83" i="65"/>
  <c r="M179" i="65" s="1"/>
  <c r="L83" i="65"/>
  <c r="K83" i="65"/>
  <c r="K179" i="65" s="1"/>
  <c r="J83" i="65"/>
  <c r="J179" i="65" s="1"/>
  <c r="I83" i="65"/>
  <c r="I179" i="65" s="1"/>
  <c r="H83" i="65"/>
  <c r="H179" i="65" s="1"/>
  <c r="R194" i="65" s="1"/>
  <c r="S194" i="65" s="1"/>
  <c r="G83" i="65"/>
  <c r="G179" i="65" s="1"/>
  <c r="N194" i="65" s="1"/>
  <c r="O194" i="65" s="1"/>
  <c r="P194" i="65" s="1"/>
  <c r="Q194" i="65" s="1"/>
  <c r="F83" i="65"/>
  <c r="F179" i="65" s="1"/>
  <c r="J194" i="65" s="1"/>
  <c r="K194" i="65" s="1"/>
  <c r="L194" i="65" s="1"/>
  <c r="M194" i="65" s="1"/>
  <c r="E83" i="65"/>
  <c r="E179" i="65" s="1"/>
  <c r="F194" i="65" s="1"/>
  <c r="D83" i="65"/>
  <c r="D179" i="65" s="1"/>
  <c r="D194" i="65" s="1"/>
  <c r="E194" i="65" s="1"/>
  <c r="O74" i="65"/>
  <c r="O172" i="65" s="1"/>
  <c r="N74" i="65"/>
  <c r="N172" i="65" s="1"/>
  <c r="M74" i="65"/>
  <c r="M172" i="65" s="1"/>
  <c r="L74" i="65"/>
  <c r="K74" i="65"/>
  <c r="J74" i="65"/>
  <c r="J172" i="65" s="1"/>
  <c r="I74" i="65"/>
  <c r="I172" i="65" s="1"/>
  <c r="H74" i="65"/>
  <c r="H172" i="65" s="1"/>
  <c r="R187" i="65" s="1"/>
  <c r="S187" i="65" s="1"/>
  <c r="G74" i="65"/>
  <c r="G172" i="65" s="1"/>
  <c r="N187" i="65" s="1"/>
  <c r="O187" i="65" s="1"/>
  <c r="F74" i="65"/>
  <c r="F172" i="65" s="1"/>
  <c r="J187" i="65" s="1"/>
  <c r="K187" i="65" s="1"/>
  <c r="L187" i="65" s="1"/>
  <c r="M187" i="65" s="1"/>
  <c r="E74" i="65"/>
  <c r="E172" i="65" s="1"/>
  <c r="F187" i="65" s="1"/>
  <c r="D74" i="65"/>
  <c r="O73" i="65"/>
  <c r="N73" i="65"/>
  <c r="N176" i="65" s="1"/>
  <c r="M73" i="65"/>
  <c r="M176" i="65" s="1"/>
  <c r="L73" i="65"/>
  <c r="L176" i="65" s="1"/>
  <c r="K73" i="65"/>
  <c r="K176" i="65" s="1"/>
  <c r="J73" i="65"/>
  <c r="J176" i="65" s="1"/>
  <c r="I73" i="65"/>
  <c r="I176" i="65" s="1"/>
  <c r="H73" i="65"/>
  <c r="G73" i="65"/>
  <c r="F73" i="65"/>
  <c r="F176" i="65" s="1"/>
  <c r="J191" i="65" s="1"/>
  <c r="K191" i="65" s="1"/>
  <c r="L191" i="65" s="1"/>
  <c r="M191" i="65" s="1"/>
  <c r="E73" i="65"/>
  <c r="E176" i="65" s="1"/>
  <c r="F191" i="65" s="1"/>
  <c r="D73" i="65"/>
  <c r="D176" i="65" s="1"/>
  <c r="D191" i="65" s="1"/>
  <c r="E191" i="65" s="1"/>
  <c r="O72" i="65"/>
  <c r="O175" i="65" s="1"/>
  <c r="N72" i="65"/>
  <c r="N175" i="65" s="1"/>
  <c r="M72" i="65"/>
  <c r="M175" i="65" s="1"/>
  <c r="L72" i="65"/>
  <c r="K72" i="65"/>
  <c r="J72" i="65"/>
  <c r="J175" i="65" s="1"/>
  <c r="I72" i="65"/>
  <c r="I175" i="65" s="1"/>
  <c r="H72" i="65"/>
  <c r="H175" i="65" s="1"/>
  <c r="R190" i="65" s="1"/>
  <c r="S190" i="65" s="1"/>
  <c r="G72" i="65"/>
  <c r="G175" i="65" s="1"/>
  <c r="N190" i="65" s="1"/>
  <c r="O190" i="65" s="1"/>
  <c r="P190" i="65" s="1"/>
  <c r="Q190" i="65" s="1"/>
  <c r="F72" i="65"/>
  <c r="F175" i="65" s="1"/>
  <c r="J190" i="65" s="1"/>
  <c r="K190" i="65" s="1"/>
  <c r="L190" i="65" s="1"/>
  <c r="M190" i="65" s="1"/>
  <c r="E72" i="65"/>
  <c r="E175" i="65" s="1"/>
  <c r="F190" i="65" s="1"/>
  <c r="D72" i="65"/>
  <c r="O71" i="65"/>
  <c r="N71" i="65"/>
  <c r="N174" i="65" s="1"/>
  <c r="M71" i="65"/>
  <c r="M174" i="65" s="1"/>
  <c r="L71" i="65"/>
  <c r="L174" i="65" s="1"/>
  <c r="K71" i="65"/>
  <c r="K174" i="65" s="1"/>
  <c r="J71" i="65"/>
  <c r="J174" i="65" s="1"/>
  <c r="I71" i="65"/>
  <c r="I174" i="65" s="1"/>
  <c r="H71" i="65"/>
  <c r="G71" i="65"/>
  <c r="F71" i="65"/>
  <c r="F174" i="65" s="1"/>
  <c r="J189" i="65" s="1"/>
  <c r="K189" i="65" s="1"/>
  <c r="L189" i="65" s="1"/>
  <c r="M189" i="65" s="1"/>
  <c r="E71" i="65"/>
  <c r="E174" i="65" s="1"/>
  <c r="F189" i="65" s="1"/>
  <c r="D71" i="65"/>
  <c r="D174" i="65" s="1"/>
  <c r="D189" i="65" s="1"/>
  <c r="E189" i="65" s="1"/>
  <c r="O70" i="65"/>
  <c r="O170" i="65" s="1"/>
  <c r="N70" i="65"/>
  <c r="N170" i="65" s="1"/>
  <c r="M70" i="65"/>
  <c r="M170" i="65" s="1"/>
  <c r="L70" i="65"/>
  <c r="K70" i="65"/>
  <c r="J70" i="65"/>
  <c r="J170" i="65" s="1"/>
  <c r="I70" i="65"/>
  <c r="I170" i="65" s="1"/>
  <c r="H70" i="65"/>
  <c r="H170" i="65" s="1"/>
  <c r="R185" i="65" s="1"/>
  <c r="S185" i="65" s="1"/>
  <c r="G70" i="65"/>
  <c r="G170" i="65" s="1"/>
  <c r="N185" i="65" s="1"/>
  <c r="O185" i="65" s="1"/>
  <c r="F70" i="65"/>
  <c r="F170" i="65" s="1"/>
  <c r="J185" i="65" s="1"/>
  <c r="K185" i="65" s="1"/>
  <c r="L185" i="65" s="1"/>
  <c r="M185" i="65" s="1"/>
  <c r="E70" i="65"/>
  <c r="E170" i="65" s="1"/>
  <c r="F185" i="65" s="1"/>
  <c r="G185" i="65" s="1"/>
  <c r="H185" i="65" s="1"/>
  <c r="I185" i="65" s="1"/>
  <c r="D70" i="65"/>
  <c r="O69" i="65"/>
  <c r="N69" i="65"/>
  <c r="N171" i="65" s="1"/>
  <c r="M69" i="65"/>
  <c r="M171" i="65" s="1"/>
  <c r="L69" i="65"/>
  <c r="L171" i="65" s="1"/>
  <c r="K69" i="65"/>
  <c r="K171" i="65" s="1"/>
  <c r="J69" i="65"/>
  <c r="J171" i="65" s="1"/>
  <c r="I69" i="65"/>
  <c r="I171" i="65" s="1"/>
  <c r="H69" i="65"/>
  <c r="G69" i="65"/>
  <c r="F69" i="65"/>
  <c r="F171" i="65" s="1"/>
  <c r="J186" i="65" s="1"/>
  <c r="K186" i="65" s="1"/>
  <c r="L186" i="65" s="1"/>
  <c r="M186" i="65" s="1"/>
  <c r="E69" i="65"/>
  <c r="E171" i="65" s="1"/>
  <c r="F186" i="65" s="1"/>
  <c r="D69" i="65"/>
  <c r="D171" i="65" s="1"/>
  <c r="D186" i="65" s="1"/>
  <c r="E186" i="65" s="1"/>
  <c r="D75" i="76"/>
  <c r="D74" i="76"/>
  <c r="D73" i="76"/>
  <c r="D72" i="76"/>
  <c r="D71" i="76"/>
  <c r="D70" i="76"/>
  <c r="D61" i="76"/>
  <c r="D60" i="76"/>
  <c r="D59" i="76"/>
  <c r="D58" i="76"/>
  <c r="D57" i="76"/>
  <c r="D56" i="76"/>
  <c r="D55" i="76"/>
  <c r="D54" i="76"/>
  <c r="D53" i="76"/>
  <c r="D52" i="76"/>
  <c r="D51" i="76"/>
  <c r="B46" i="76"/>
  <c r="B47" i="76" s="1"/>
  <c r="D45" i="76"/>
  <c r="D44" i="76"/>
  <c r="D43" i="76"/>
  <c r="G42" i="76"/>
  <c r="D42" i="76"/>
  <c r="G41" i="76"/>
  <c r="H41" i="76" s="1"/>
  <c r="D41" i="76"/>
  <c r="I40" i="76"/>
  <c r="H40" i="76"/>
  <c r="G40" i="76"/>
  <c r="D40" i="76"/>
  <c r="I39" i="76"/>
  <c r="J39" i="76" s="1"/>
  <c r="H39" i="76"/>
  <c r="D39" i="76"/>
  <c r="J38" i="76"/>
  <c r="I38" i="76"/>
  <c r="H38" i="76"/>
  <c r="D38" i="76"/>
  <c r="H37" i="76"/>
  <c r="D37" i="76"/>
  <c r="I36" i="76"/>
  <c r="H36" i="76"/>
  <c r="G36" i="76"/>
  <c r="D36" i="76"/>
  <c r="D35" i="76"/>
  <c r="D34" i="76"/>
  <c r="M33" i="76"/>
  <c r="D33" i="76"/>
  <c r="M32" i="76"/>
  <c r="J32" i="76"/>
  <c r="G32" i="76"/>
  <c r="H32" i="76" s="1"/>
  <c r="I32" i="76" s="1"/>
  <c r="D32" i="76"/>
  <c r="G31" i="76"/>
  <c r="H31" i="76" s="1"/>
  <c r="I31" i="76" s="1"/>
  <c r="J31" i="76" s="1"/>
  <c r="D31" i="76"/>
  <c r="H30" i="76"/>
  <c r="G30" i="76"/>
  <c r="D30" i="76"/>
  <c r="I29" i="76"/>
  <c r="H29" i="76"/>
  <c r="G29" i="76"/>
  <c r="D29" i="76"/>
  <c r="I28" i="76"/>
  <c r="J28" i="76" s="1"/>
  <c r="G28" i="76"/>
  <c r="H28" i="76" s="1"/>
  <c r="D28" i="76"/>
  <c r="A28" i="76"/>
  <c r="A29" i="76" s="1"/>
  <c r="A30" i="76" s="1"/>
  <c r="A31" i="76" s="1"/>
  <c r="A32" i="76" s="1"/>
  <c r="A33" i="76" s="1"/>
  <c r="A34" i="76" s="1"/>
  <c r="A35" i="76" s="1"/>
  <c r="A36" i="76" s="1"/>
  <c r="A37" i="76" s="1"/>
  <c r="A38" i="76" s="1"/>
  <c r="A39" i="76" s="1"/>
  <c r="A40" i="76" s="1"/>
  <c r="A41" i="76" s="1"/>
  <c r="A42" i="76" s="1"/>
  <c r="A43" i="76" s="1"/>
  <c r="A44" i="76" s="1"/>
  <c r="A45" i="76" s="1"/>
  <c r="A46" i="76" s="1"/>
  <c r="A47" i="76" s="1"/>
  <c r="A48" i="76" s="1"/>
  <c r="A49" i="76" s="1"/>
  <c r="A50" i="76" s="1"/>
  <c r="A51" i="76" s="1"/>
  <c r="A52" i="76" s="1"/>
  <c r="A53" i="76" s="1"/>
  <c r="A54" i="76" s="1"/>
  <c r="A55" i="76" s="1"/>
  <c r="A56" i="76" s="1"/>
  <c r="A57" i="76" s="1"/>
  <c r="A58" i="76" s="1"/>
  <c r="A59" i="76" s="1"/>
  <c r="A60" i="76" s="1"/>
  <c r="A61" i="76" s="1"/>
  <c r="D27" i="76"/>
  <c r="G27" i="76" s="1"/>
  <c r="H27" i="76" s="1"/>
  <c r="Q14" i="76"/>
  <c r="P14" i="76"/>
  <c r="B14" i="76"/>
  <c r="C13" i="76"/>
  <c r="M11" i="29"/>
  <c r="J11" i="29"/>
  <c r="P10" i="29"/>
  <c r="T9" i="29"/>
  <c r="T10" i="29" s="1"/>
  <c r="S9" i="29"/>
  <c r="S10" i="29" s="1"/>
  <c r="R9" i="29"/>
  <c r="R10" i="29" s="1"/>
  <c r="Q9" i="29"/>
  <c r="Q10" i="29" s="1"/>
  <c r="P9" i="29"/>
  <c r="O9" i="29"/>
  <c r="O10" i="29" s="1"/>
  <c r="N9" i="29"/>
  <c r="N10" i="29" s="1"/>
  <c r="M9" i="29"/>
  <c r="M10" i="29" s="1"/>
  <c r="L9" i="29"/>
  <c r="L11" i="29" s="1"/>
  <c r="K9" i="29"/>
  <c r="K11" i="29" s="1"/>
  <c r="J9" i="29"/>
  <c r="J15" i="40"/>
  <c r="M14" i="40"/>
  <c r="M15" i="40" s="1"/>
  <c r="T13" i="40"/>
  <c r="S13" i="40"/>
  <c r="R13" i="40"/>
  <c r="Q13" i="40"/>
  <c r="P13" i="40"/>
  <c r="O13" i="40"/>
  <c r="N13" i="40"/>
  <c r="M13" i="40"/>
  <c r="M17" i="40" s="1"/>
  <c r="L13" i="40"/>
  <c r="K13" i="40"/>
  <c r="J13" i="40"/>
  <c r="T12" i="40"/>
  <c r="S12" i="40"/>
  <c r="R12" i="40"/>
  <c r="Q12" i="40"/>
  <c r="P12" i="40"/>
  <c r="O12" i="40"/>
  <c r="N12" i="40"/>
  <c r="M12" i="40"/>
  <c r="L12" i="40"/>
  <c r="K12" i="40"/>
  <c r="J12" i="40"/>
  <c r="T11" i="40"/>
  <c r="S11" i="40"/>
  <c r="R11" i="40"/>
  <c r="R14" i="40" s="1"/>
  <c r="R16" i="40" s="1"/>
  <c r="Q11" i="40"/>
  <c r="P11" i="40"/>
  <c r="O11" i="40"/>
  <c r="N11" i="40"/>
  <c r="M11" i="40"/>
  <c r="L11" i="40"/>
  <c r="K11" i="40"/>
  <c r="J11" i="40"/>
  <c r="J14" i="40" s="1"/>
  <c r="J16" i="40" s="1"/>
  <c r="I70" i="38"/>
  <c r="L69" i="38"/>
  <c r="I67" i="38"/>
  <c r="L65" i="38"/>
  <c r="L70" i="38" s="1"/>
  <c r="I65" i="38"/>
  <c r="L64" i="38"/>
  <c r="L67" i="38" s="1"/>
  <c r="M56" i="38"/>
  <c r="J56" i="38"/>
  <c r="P55" i="38"/>
  <c r="M55" i="38"/>
  <c r="O48" i="38" s="1"/>
  <c r="L55" i="38"/>
  <c r="L56" i="38" s="1"/>
  <c r="P54" i="38"/>
  <c r="O54" i="38"/>
  <c r="N54" i="38"/>
  <c r="M54" i="38"/>
  <c r="L54" i="38"/>
  <c r="K54" i="38"/>
  <c r="K55" i="38" s="1"/>
  <c r="M48" i="38" s="1"/>
  <c r="J54" i="38"/>
  <c r="J55" i="38" s="1"/>
  <c r="P53" i="38"/>
  <c r="O53" i="38"/>
  <c r="N53" i="38"/>
  <c r="M53" i="38"/>
  <c r="L53" i="38"/>
  <c r="K53" i="38"/>
  <c r="J53" i="38"/>
  <c r="N48" i="38"/>
  <c r="J45" i="38"/>
  <c r="Q44" i="38"/>
  <c r="J44" i="38"/>
  <c r="J43" i="38"/>
  <c r="Q42" i="38"/>
  <c r="J42" i="38"/>
  <c r="T41" i="38"/>
  <c r="S41" i="38"/>
  <c r="S42" i="38" s="1"/>
  <c r="S43" i="38" s="1"/>
  <c r="S44" i="38" s="1"/>
  <c r="S45" i="38" s="1"/>
  <c r="J41" i="38"/>
  <c r="Q40" i="38"/>
  <c r="R40" i="38" s="1"/>
  <c r="J40" i="38"/>
  <c r="T39" i="38"/>
  <c r="T40" i="38" s="1"/>
  <c r="P40" i="38" s="1"/>
  <c r="S39" i="38"/>
  <c r="S40" i="38" s="1"/>
  <c r="J39" i="38"/>
  <c r="T38" i="38"/>
  <c r="S38" i="38"/>
  <c r="Q38" i="38"/>
  <c r="R38" i="38" s="1"/>
  <c r="P38" i="38"/>
  <c r="J38" i="38"/>
  <c r="Q37" i="38"/>
  <c r="J37" i="38"/>
  <c r="P37" i="38" s="1"/>
  <c r="J36" i="38"/>
  <c r="P35" i="38"/>
  <c r="J35" i="38"/>
  <c r="J34" i="38"/>
  <c r="P33" i="38"/>
  <c r="J33" i="38"/>
  <c r="J32" i="38"/>
  <c r="P31" i="38"/>
  <c r="J31" i="38"/>
  <c r="T30" i="38"/>
  <c r="T31" i="38" s="1"/>
  <c r="T32" i="38" s="1"/>
  <c r="T33" i="38" s="1"/>
  <c r="T34" i="38" s="1"/>
  <c r="T35" i="38" s="1"/>
  <c r="T36" i="38" s="1"/>
  <c r="S30" i="38"/>
  <c r="J30" i="38"/>
  <c r="P29" i="38"/>
  <c r="Q29" i="38" s="1"/>
  <c r="J29" i="38"/>
  <c r="T28" i="38"/>
  <c r="T29" i="38" s="1"/>
  <c r="S28" i="38"/>
  <c r="S29" i="38" s="1"/>
  <c r="O29" i="38" s="1"/>
  <c r="J28" i="38"/>
  <c r="J27" i="38"/>
  <c r="N26" i="38"/>
  <c r="J26" i="38"/>
  <c r="N25" i="38"/>
  <c r="J25" i="38"/>
  <c r="S24" i="38"/>
  <c r="J24" i="38"/>
  <c r="N24" i="38" s="1"/>
  <c r="S23" i="38"/>
  <c r="M23" i="38"/>
  <c r="J23" i="38"/>
  <c r="J22" i="38"/>
  <c r="N21" i="38"/>
  <c r="M21" i="38"/>
  <c r="J21" i="38"/>
  <c r="J20" i="38"/>
  <c r="M20" i="38" s="1"/>
  <c r="J19" i="38"/>
  <c r="M18" i="38"/>
  <c r="J18" i="38"/>
  <c r="M17" i="38"/>
  <c r="J17" i="38"/>
  <c r="J16" i="38"/>
  <c r="S15" i="38"/>
  <c r="J15" i="38"/>
  <c r="S14" i="38"/>
  <c r="M14" i="38"/>
  <c r="L14" i="38"/>
  <c r="N14" i="38" s="1"/>
  <c r="J14" i="38"/>
  <c r="M13" i="38"/>
  <c r="L13" i="38"/>
  <c r="J13" i="38"/>
  <c r="N13" i="38" s="1"/>
  <c r="M12" i="38"/>
  <c r="L12" i="38"/>
  <c r="N12" i="38" s="1"/>
  <c r="J12" i="38"/>
  <c r="M11" i="38"/>
  <c r="L11" i="38"/>
  <c r="J11" i="38"/>
  <c r="N11" i="38" s="1"/>
  <c r="AF70" i="70"/>
  <c r="AE70" i="70"/>
  <c r="AD70" i="70"/>
  <c r="AD47" i="70" s="1"/>
  <c r="AD16" i="70" s="1"/>
  <c r="AD25" i="70" s="1"/>
  <c r="AC70" i="70"/>
  <c r="AB70" i="70"/>
  <c r="AA70" i="70"/>
  <c r="AB47" i="70" s="1"/>
  <c r="Z70" i="70"/>
  <c r="Y70" i="70"/>
  <c r="X70" i="70"/>
  <c r="W70" i="70"/>
  <c r="V70" i="70"/>
  <c r="U70" i="70"/>
  <c r="T70" i="70"/>
  <c r="S70" i="70"/>
  <c r="AF69" i="70"/>
  <c r="AE69" i="70"/>
  <c r="AD69" i="70"/>
  <c r="AC69" i="70"/>
  <c r="AB69" i="70"/>
  <c r="AB46" i="70" s="1"/>
  <c r="AA69" i="70"/>
  <c r="Z69" i="70"/>
  <c r="Y69" i="70"/>
  <c r="X69" i="70"/>
  <c r="Y46" i="70" s="1"/>
  <c r="W69" i="70"/>
  <c r="V69" i="70"/>
  <c r="U69" i="70"/>
  <c r="T69" i="70"/>
  <c r="S69" i="70"/>
  <c r="AF68" i="70"/>
  <c r="AE68" i="70"/>
  <c r="AD68" i="70"/>
  <c r="AE45" i="70" s="1"/>
  <c r="AC68" i="70"/>
  <c r="AB68" i="70"/>
  <c r="AA68" i="70"/>
  <c r="Z68" i="70"/>
  <c r="Z45" i="70" s="1"/>
  <c r="Y68" i="70"/>
  <c r="X68" i="70"/>
  <c r="W68" i="70"/>
  <c r="V68" i="70"/>
  <c r="U68" i="70"/>
  <c r="T68" i="70"/>
  <c r="S68" i="70"/>
  <c r="Y49" i="70"/>
  <c r="Y20" i="70" s="1"/>
  <c r="X49" i="70"/>
  <c r="X20" i="70" s="1"/>
  <c r="X27" i="70" s="1"/>
  <c r="W49" i="70"/>
  <c r="V49" i="70"/>
  <c r="U49" i="70"/>
  <c r="T49" i="70"/>
  <c r="S49" i="70"/>
  <c r="R49" i="70"/>
  <c r="Q49" i="70"/>
  <c r="Q20" i="70" s="1"/>
  <c r="P49" i="70"/>
  <c r="P20" i="70" s="1"/>
  <c r="P27" i="70" s="1"/>
  <c r="O49" i="70"/>
  <c r="N49" i="70"/>
  <c r="M49" i="70"/>
  <c r="L49" i="70"/>
  <c r="K49" i="70"/>
  <c r="J49" i="70"/>
  <c r="I49" i="70"/>
  <c r="I20" i="70" s="1"/>
  <c r="H49" i="70"/>
  <c r="H20" i="70" s="1"/>
  <c r="H27" i="70" s="1"/>
  <c r="G49" i="70"/>
  <c r="F49" i="70"/>
  <c r="E49" i="70"/>
  <c r="D49" i="70"/>
  <c r="AD48" i="70"/>
  <c r="AC48" i="70"/>
  <c r="Y48" i="70"/>
  <c r="X48" i="70"/>
  <c r="W48" i="70"/>
  <c r="V48" i="70"/>
  <c r="V18" i="70" s="1"/>
  <c r="U48" i="70"/>
  <c r="U18" i="70" s="1"/>
  <c r="U26" i="70" s="1"/>
  <c r="T48" i="70"/>
  <c r="S48" i="70"/>
  <c r="R48" i="70"/>
  <c r="Q48" i="70"/>
  <c r="P48" i="70"/>
  <c r="O48" i="70"/>
  <c r="N48" i="70"/>
  <c r="N18" i="70" s="1"/>
  <c r="M48" i="70"/>
  <c r="M18" i="70" s="1"/>
  <c r="M26" i="70" s="1"/>
  <c r="L48" i="70"/>
  <c r="K48" i="70"/>
  <c r="J48" i="70"/>
  <c r="I48" i="70"/>
  <c r="H48" i="70"/>
  <c r="G48" i="70"/>
  <c r="F48" i="70"/>
  <c r="F18" i="70" s="1"/>
  <c r="E48" i="70"/>
  <c r="E18" i="70" s="1"/>
  <c r="E26" i="70" s="1"/>
  <c r="D48" i="70"/>
  <c r="AC47" i="70"/>
  <c r="AA47" i="70"/>
  <c r="Z47" i="70"/>
  <c r="Y47" i="70"/>
  <c r="X47" i="70"/>
  <c r="W47" i="70"/>
  <c r="V47" i="70"/>
  <c r="U47" i="70"/>
  <c r="T47" i="70"/>
  <c r="S47" i="70"/>
  <c r="S16" i="70" s="1"/>
  <c r="S25" i="70" s="1"/>
  <c r="R47" i="70"/>
  <c r="R16" i="70" s="1"/>
  <c r="R25" i="70" s="1"/>
  <c r="Q47" i="70"/>
  <c r="P47" i="70"/>
  <c r="O47" i="70"/>
  <c r="N47" i="70"/>
  <c r="M47" i="70"/>
  <c r="L47" i="70"/>
  <c r="K47" i="70"/>
  <c r="K16" i="70" s="1"/>
  <c r="K25" i="70" s="1"/>
  <c r="J47" i="70"/>
  <c r="I47" i="70"/>
  <c r="H47" i="70"/>
  <c r="G47" i="70"/>
  <c r="F47" i="70"/>
  <c r="E47" i="70"/>
  <c r="D47" i="70"/>
  <c r="AF46" i="70"/>
  <c r="AE46" i="70"/>
  <c r="AA46" i="70"/>
  <c r="Z46" i="70"/>
  <c r="X46" i="70"/>
  <c r="W46" i="70"/>
  <c r="V46" i="70"/>
  <c r="U46" i="70"/>
  <c r="T46" i="70"/>
  <c r="S46" i="70"/>
  <c r="R46" i="70"/>
  <c r="Q46" i="70"/>
  <c r="P46" i="70"/>
  <c r="O46" i="70"/>
  <c r="N46" i="70"/>
  <c r="M46" i="70"/>
  <c r="L46" i="70"/>
  <c r="K46" i="70"/>
  <c r="J46" i="70"/>
  <c r="I46" i="70"/>
  <c r="H46" i="70"/>
  <c r="G46" i="70"/>
  <c r="F46" i="70"/>
  <c r="E46" i="70"/>
  <c r="D46" i="70"/>
  <c r="AF45" i="70"/>
  <c r="AC45" i="70"/>
  <c r="AC12" i="70" s="1"/>
  <c r="AC23" i="70" s="1"/>
  <c r="AB45" i="70"/>
  <c r="AB12" i="70" s="1"/>
  <c r="AB23" i="70" s="1"/>
  <c r="Y45" i="70"/>
  <c r="X45" i="70"/>
  <c r="W45" i="70"/>
  <c r="V45" i="70"/>
  <c r="U45" i="70"/>
  <c r="T45" i="70"/>
  <c r="S45" i="70"/>
  <c r="R45" i="70"/>
  <c r="Q45" i="70"/>
  <c r="P45" i="70"/>
  <c r="O45" i="70"/>
  <c r="N45" i="70"/>
  <c r="M45" i="70"/>
  <c r="L45" i="70"/>
  <c r="K45" i="70"/>
  <c r="J45" i="70"/>
  <c r="I45" i="70"/>
  <c r="H45" i="70"/>
  <c r="G45" i="70"/>
  <c r="F45" i="70"/>
  <c r="E45" i="70"/>
  <c r="D45" i="70"/>
  <c r="Y27" i="70"/>
  <c r="U27" i="70"/>
  <c r="Q27" i="70"/>
  <c r="M27" i="70"/>
  <c r="I27" i="70"/>
  <c r="E27" i="70"/>
  <c r="V26" i="70"/>
  <c r="R26" i="70"/>
  <c r="N26" i="70"/>
  <c r="J26" i="70"/>
  <c r="F26" i="70"/>
  <c r="T25" i="70"/>
  <c r="L25" i="70"/>
  <c r="AF24" i="70"/>
  <c r="AB24" i="70"/>
  <c r="P24" i="70"/>
  <c r="H24" i="70"/>
  <c r="Q23" i="70"/>
  <c r="W20" i="70"/>
  <c r="W27" i="70" s="1"/>
  <c r="V20" i="70"/>
  <c r="V27" i="70" s="1"/>
  <c r="U20" i="70"/>
  <c r="T20" i="70"/>
  <c r="T27" i="70" s="1"/>
  <c r="S20" i="70"/>
  <c r="S27" i="70" s="1"/>
  <c r="R20" i="70"/>
  <c r="R27" i="70" s="1"/>
  <c r="O20" i="70"/>
  <c r="O27" i="70" s="1"/>
  <c r="N20" i="70"/>
  <c r="N27" i="70" s="1"/>
  <c r="M20" i="70"/>
  <c r="L20" i="70"/>
  <c r="L27" i="70" s="1"/>
  <c r="K20" i="70"/>
  <c r="K27" i="70" s="1"/>
  <c r="J20" i="70"/>
  <c r="J27" i="70" s="1"/>
  <c r="G20" i="70"/>
  <c r="G27" i="70" s="1"/>
  <c r="F20" i="70"/>
  <c r="F27" i="70" s="1"/>
  <c r="E20" i="70"/>
  <c r="D20" i="70"/>
  <c r="D27" i="70" s="1"/>
  <c r="Y18" i="70"/>
  <c r="Y26" i="70" s="1"/>
  <c r="X18" i="70"/>
  <c r="X26" i="70" s="1"/>
  <c r="W18" i="70"/>
  <c r="W26" i="70" s="1"/>
  <c r="T18" i="70"/>
  <c r="T26" i="70" s="1"/>
  <c r="S18" i="70"/>
  <c r="S26" i="70" s="1"/>
  <c r="R18" i="70"/>
  <c r="Q18" i="70"/>
  <c r="Q26" i="70" s="1"/>
  <c r="P18" i="70"/>
  <c r="P26" i="70" s="1"/>
  <c r="O18" i="70"/>
  <c r="O26" i="70" s="1"/>
  <c r="L18" i="70"/>
  <c r="L26" i="70" s="1"/>
  <c r="K18" i="70"/>
  <c r="K26" i="70" s="1"/>
  <c r="J18" i="70"/>
  <c r="I18" i="70"/>
  <c r="I26" i="70" s="1"/>
  <c r="H18" i="70"/>
  <c r="H26" i="70" s="1"/>
  <c r="G18" i="70"/>
  <c r="G26" i="70" s="1"/>
  <c r="D18" i="70"/>
  <c r="D26" i="70" s="1"/>
  <c r="AC16" i="70"/>
  <c r="AC25" i="70" s="1"/>
  <c r="Y16" i="70"/>
  <c r="Y25" i="70" s="1"/>
  <c r="X16" i="70"/>
  <c r="X25" i="70" s="1"/>
  <c r="W16" i="70"/>
  <c r="W25" i="70" s="1"/>
  <c r="V16" i="70"/>
  <c r="V25" i="70" s="1"/>
  <c r="U16" i="70"/>
  <c r="U25" i="70" s="1"/>
  <c r="T16" i="70"/>
  <c r="Q16" i="70"/>
  <c r="Q25" i="70" s="1"/>
  <c r="P16" i="70"/>
  <c r="P25" i="70" s="1"/>
  <c r="O16" i="70"/>
  <c r="O25" i="70" s="1"/>
  <c r="N16" i="70"/>
  <c r="N25" i="70" s="1"/>
  <c r="M16" i="70"/>
  <c r="M25" i="70" s="1"/>
  <c r="L16" i="70"/>
  <c r="J16" i="70"/>
  <c r="J25" i="70" s="1"/>
  <c r="I16" i="70"/>
  <c r="I25" i="70" s="1"/>
  <c r="H16" i="70"/>
  <c r="H25" i="70" s="1"/>
  <c r="G16" i="70"/>
  <c r="G25" i="70" s="1"/>
  <c r="F16" i="70"/>
  <c r="F25" i="70" s="1"/>
  <c r="E16" i="70"/>
  <c r="E25" i="70" s="1"/>
  <c r="D16" i="70"/>
  <c r="D25" i="70" s="1"/>
  <c r="AF14" i="70"/>
  <c r="AE14" i="70"/>
  <c r="AE24" i="70" s="1"/>
  <c r="AB14" i="70"/>
  <c r="AA14" i="70"/>
  <c r="AA24" i="70" s="1"/>
  <c r="Z14" i="70"/>
  <c r="Z24" i="70" s="1"/>
  <c r="Y14" i="70"/>
  <c r="Y24" i="70" s="1"/>
  <c r="C3" i="71" s="1"/>
  <c r="X14" i="70"/>
  <c r="X24" i="70" s="1"/>
  <c r="W14" i="70"/>
  <c r="W24" i="70" s="1"/>
  <c r="V14" i="70"/>
  <c r="V24" i="70" s="1"/>
  <c r="U14" i="70"/>
  <c r="U24" i="70" s="1"/>
  <c r="T14" i="70"/>
  <c r="T24" i="70" s="1"/>
  <c r="S14" i="70"/>
  <c r="S24" i="70" s="1"/>
  <c r="R14" i="70"/>
  <c r="R24" i="70" s="1"/>
  <c r="Q14" i="70"/>
  <c r="Q24" i="70" s="1"/>
  <c r="P14" i="70"/>
  <c r="O14" i="70"/>
  <c r="O24" i="70" s="1"/>
  <c r="N14" i="70"/>
  <c r="N24" i="70" s="1"/>
  <c r="M14" i="70"/>
  <c r="M24" i="70" s="1"/>
  <c r="L14" i="70"/>
  <c r="L24" i="70" s="1"/>
  <c r="K14" i="70"/>
  <c r="K24" i="70" s="1"/>
  <c r="J14" i="70"/>
  <c r="J24" i="70" s="1"/>
  <c r="I14" i="70"/>
  <c r="I24" i="70" s="1"/>
  <c r="H14" i="70"/>
  <c r="G14" i="70"/>
  <c r="G24" i="70" s="1"/>
  <c r="F14" i="70"/>
  <c r="F24" i="70" s="1"/>
  <c r="E14" i="70"/>
  <c r="E24" i="70" s="1"/>
  <c r="D14" i="70"/>
  <c r="D24" i="70" s="1"/>
  <c r="AF12" i="70"/>
  <c r="AF23" i="70" s="1"/>
  <c r="AE12" i="70"/>
  <c r="AE23" i="70" s="1"/>
  <c r="Z12" i="70"/>
  <c r="Z23" i="70" s="1"/>
  <c r="Y12" i="70"/>
  <c r="Y23" i="70" s="1"/>
  <c r="X12" i="70"/>
  <c r="X23" i="70" s="1"/>
  <c r="W12" i="70"/>
  <c r="W23" i="70" s="1"/>
  <c r="V12" i="70"/>
  <c r="V23" i="70" s="1"/>
  <c r="U12" i="70"/>
  <c r="U23" i="70" s="1"/>
  <c r="T12" i="70"/>
  <c r="T23" i="70" s="1"/>
  <c r="S12" i="70"/>
  <c r="S23" i="70" s="1"/>
  <c r="R12" i="70"/>
  <c r="R23" i="70" s="1"/>
  <c r="Q12" i="70"/>
  <c r="P12" i="70"/>
  <c r="P23" i="70" s="1"/>
  <c r="O12" i="70"/>
  <c r="O23" i="70" s="1"/>
  <c r="N12" i="70"/>
  <c r="N23" i="70" s="1"/>
  <c r="M12" i="70"/>
  <c r="M23" i="70" s="1"/>
  <c r="L12" i="70"/>
  <c r="L23" i="70" s="1"/>
  <c r="K12" i="70"/>
  <c r="K23" i="70" s="1"/>
  <c r="J12" i="70"/>
  <c r="J23" i="70" s="1"/>
  <c r="I12" i="70"/>
  <c r="I23" i="70" s="1"/>
  <c r="H12" i="70"/>
  <c r="H23" i="70" s="1"/>
  <c r="G12" i="70"/>
  <c r="G23" i="70" s="1"/>
  <c r="F12" i="70"/>
  <c r="F23" i="70" s="1"/>
  <c r="E12" i="70"/>
  <c r="E23" i="70" s="1"/>
  <c r="D12" i="70"/>
  <c r="D23" i="70" s="1"/>
  <c r="AC170" i="48"/>
  <c r="AB170" i="48"/>
  <c r="AA170" i="48"/>
  <c r="Z170" i="48"/>
  <c r="Y170" i="48"/>
  <c r="X170" i="48"/>
  <c r="W170" i="48"/>
  <c r="V170" i="48"/>
  <c r="U170" i="48"/>
  <c r="T170" i="48"/>
  <c r="S170" i="48"/>
  <c r="R170" i="48"/>
  <c r="Q170" i="48"/>
  <c r="P170" i="48"/>
  <c r="O170" i="48"/>
  <c r="N170" i="48"/>
  <c r="AC168" i="48"/>
  <c r="AB168" i="48"/>
  <c r="AA168" i="48"/>
  <c r="Z168" i="48"/>
  <c r="Y168" i="48"/>
  <c r="X168" i="48"/>
  <c r="W168" i="48"/>
  <c r="V168" i="48"/>
  <c r="U168" i="48"/>
  <c r="T168" i="48"/>
  <c r="S168" i="48"/>
  <c r="R168" i="48"/>
  <c r="Q168" i="48"/>
  <c r="P168" i="48"/>
  <c r="O168" i="48"/>
  <c r="N168" i="48"/>
  <c r="AC166" i="48"/>
  <c r="AB166" i="48"/>
  <c r="AA166" i="48"/>
  <c r="Z166" i="48"/>
  <c r="Y166" i="48"/>
  <c r="X166" i="48"/>
  <c r="W166" i="48"/>
  <c r="V166" i="48"/>
  <c r="U166" i="48"/>
  <c r="T166" i="48"/>
  <c r="S166" i="48"/>
  <c r="R166" i="48"/>
  <c r="Q166" i="48"/>
  <c r="P166" i="48"/>
  <c r="O166" i="48"/>
  <c r="N166" i="48"/>
  <c r="M166" i="48"/>
  <c r="L166" i="48"/>
  <c r="K166" i="48"/>
  <c r="J166" i="48"/>
  <c r="I166" i="48"/>
  <c r="H166" i="48"/>
  <c r="G166"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V162" i="48"/>
  <c r="N162" i="48"/>
  <c r="U158" i="48"/>
  <c r="V158" i="48" s="1"/>
  <c r="W158" i="48" s="1"/>
  <c r="T158" i="48"/>
  <c r="T156" i="48"/>
  <c r="U156" i="48" s="1"/>
  <c r="V156" i="48" s="1"/>
  <c r="W156" i="48" s="1"/>
  <c r="X156" i="48" s="1"/>
  <c r="Y156" i="48" s="1"/>
  <c r="Z156" i="48" s="1"/>
  <c r="AA156" i="48" s="1"/>
  <c r="AB156" i="48" s="1"/>
  <c r="AC156" i="48" s="1"/>
  <c r="T154" i="48"/>
  <c r="U154" i="48" s="1"/>
  <c r="V154" i="48" s="1"/>
  <c r="W154" i="48" s="1"/>
  <c r="X154" i="48" s="1"/>
  <c r="Y154" i="48" s="1"/>
  <c r="Z154" i="48" s="1"/>
  <c r="AA154" i="48" s="1"/>
  <c r="AB154" i="48" s="1"/>
  <c r="AC154" i="48" s="1"/>
  <c r="T152" i="48"/>
  <c r="U152" i="48" s="1"/>
  <c r="V152" i="48" s="1"/>
  <c r="W152" i="48" s="1"/>
  <c r="X152" i="48" s="1"/>
  <c r="Y152" i="48" s="1"/>
  <c r="Z152" i="48" s="1"/>
  <c r="AA152" i="48" s="1"/>
  <c r="AB152" i="48" s="1"/>
  <c r="AC152" i="48" s="1"/>
  <c r="S150" i="48"/>
  <c r="R150" i="48"/>
  <c r="Q150" i="48"/>
  <c r="P150" i="48"/>
  <c r="O150" i="48"/>
  <c r="N150" i="48"/>
  <c r="M150" i="48"/>
  <c r="L150" i="48"/>
  <c r="K150" i="48"/>
  <c r="J150" i="48"/>
  <c r="I150" i="48"/>
  <c r="H150" i="48"/>
  <c r="G150" i="48"/>
  <c r="F150" i="48"/>
  <c r="S144" i="48"/>
  <c r="L144" i="48"/>
  <c r="K144" i="48"/>
  <c r="P143" i="48"/>
  <c r="H143" i="48"/>
  <c r="O140" i="48"/>
  <c r="G140" i="48"/>
  <c r="L139" i="48"/>
  <c r="Q138" i="48"/>
  <c r="I138" i="48"/>
  <c r="Y131" i="48"/>
  <c r="Q129" i="48"/>
  <c r="X126" i="48"/>
  <c r="W126" i="48"/>
  <c r="V126" i="48"/>
  <c r="U126" i="48"/>
  <c r="T126" i="48"/>
  <c r="S126" i="48"/>
  <c r="R126" i="48"/>
  <c r="R144" i="48" s="1"/>
  <c r="Q126" i="48"/>
  <c r="P126" i="48"/>
  <c r="P144" i="48" s="1"/>
  <c r="O126" i="48"/>
  <c r="O144" i="48" s="1"/>
  <c r="N126" i="48"/>
  <c r="N144" i="48" s="1"/>
  <c r="M126" i="48"/>
  <c r="M144" i="48" s="1"/>
  <c r="L126" i="48"/>
  <c r="K126" i="48"/>
  <c r="J126" i="48"/>
  <c r="J144" i="48" s="1"/>
  <c r="I126" i="48"/>
  <c r="H126" i="48"/>
  <c r="H144" i="48" s="1"/>
  <c r="G126" i="48"/>
  <c r="G144" i="48" s="1"/>
  <c r="F126" i="48"/>
  <c r="X125" i="48"/>
  <c r="W125" i="48"/>
  <c r="V125" i="48"/>
  <c r="U125" i="48"/>
  <c r="T125" i="48"/>
  <c r="S125" i="48"/>
  <c r="S143" i="48" s="1"/>
  <c r="R125" i="48"/>
  <c r="R143" i="48" s="1"/>
  <c r="Q125" i="48"/>
  <c r="P125" i="48"/>
  <c r="Q143" i="48" s="1"/>
  <c r="O125" i="48"/>
  <c r="O143" i="48" s="1"/>
  <c r="N125" i="48"/>
  <c r="N143" i="48" s="1"/>
  <c r="M125" i="48"/>
  <c r="M143" i="48" s="1"/>
  <c r="L125" i="48"/>
  <c r="K125" i="48"/>
  <c r="K143" i="48" s="1"/>
  <c r="J125" i="48"/>
  <c r="J143" i="48" s="1"/>
  <c r="I125" i="48"/>
  <c r="H125" i="48"/>
  <c r="I143" i="48" s="1"/>
  <c r="G125" i="48"/>
  <c r="G143" i="48" s="1"/>
  <c r="F125" i="48"/>
  <c r="W124" i="48"/>
  <c r="V124" i="48"/>
  <c r="O124" i="48"/>
  <c r="O142" i="48" s="1"/>
  <c r="N124" i="48"/>
  <c r="G124" i="48"/>
  <c r="F124" i="48"/>
  <c r="X123" i="48"/>
  <c r="W123" i="48"/>
  <c r="V123" i="48"/>
  <c r="U123" i="48"/>
  <c r="T123" i="48"/>
  <c r="S123" i="48"/>
  <c r="R123" i="48"/>
  <c r="S141" i="48" s="1"/>
  <c r="Q123" i="48"/>
  <c r="P123" i="48"/>
  <c r="P141" i="48" s="1"/>
  <c r="O123" i="48"/>
  <c r="O141" i="48" s="1"/>
  <c r="N123" i="48"/>
  <c r="N141" i="48" s="1"/>
  <c r="M123" i="48"/>
  <c r="M141" i="48" s="1"/>
  <c r="L123" i="48"/>
  <c r="L141" i="48" s="1"/>
  <c r="K123" i="48"/>
  <c r="K141" i="48" s="1"/>
  <c r="J123" i="48"/>
  <c r="I123" i="48"/>
  <c r="H123" i="48"/>
  <c r="H141" i="48" s="1"/>
  <c r="G123" i="48"/>
  <c r="G141" i="48" s="1"/>
  <c r="F123" i="48"/>
  <c r="X122" i="48"/>
  <c r="W122" i="48"/>
  <c r="V122" i="48"/>
  <c r="U122" i="48"/>
  <c r="T122" i="48"/>
  <c r="S122" i="48"/>
  <c r="S140" i="48" s="1"/>
  <c r="R122" i="48"/>
  <c r="R140" i="48" s="1"/>
  <c r="Q122" i="48"/>
  <c r="Q140" i="48" s="1"/>
  <c r="P122" i="48"/>
  <c r="P140" i="48" s="1"/>
  <c r="O122" i="48"/>
  <c r="N122" i="48"/>
  <c r="N140" i="48" s="1"/>
  <c r="M122" i="48"/>
  <c r="L122" i="48"/>
  <c r="K122" i="48"/>
  <c r="K140" i="48" s="1"/>
  <c r="J122" i="48"/>
  <c r="J140" i="48" s="1"/>
  <c r="I122" i="48"/>
  <c r="I140" i="48" s="1"/>
  <c r="H122" i="48"/>
  <c r="H140" i="48" s="1"/>
  <c r="G122" i="48"/>
  <c r="F122" i="48"/>
  <c r="X121" i="48"/>
  <c r="X119" i="48" s="1"/>
  <c r="W121" i="48"/>
  <c r="V121" i="48"/>
  <c r="U121" i="48"/>
  <c r="T121" i="48"/>
  <c r="S121" i="48"/>
  <c r="S139" i="48" s="1"/>
  <c r="R121" i="48"/>
  <c r="R139" i="48" s="1"/>
  <c r="Q121" i="48"/>
  <c r="Q139" i="48" s="1"/>
  <c r="P121" i="48"/>
  <c r="O121" i="48"/>
  <c r="O139" i="48" s="1"/>
  <c r="N121" i="48"/>
  <c r="N139" i="48" s="1"/>
  <c r="M121" i="48"/>
  <c r="M139" i="48" s="1"/>
  <c r="L121" i="48"/>
  <c r="K121" i="48"/>
  <c r="K139" i="48" s="1"/>
  <c r="J121" i="48"/>
  <c r="J139" i="48" s="1"/>
  <c r="I121" i="48"/>
  <c r="I139" i="48" s="1"/>
  <c r="H121" i="48"/>
  <c r="G121" i="48"/>
  <c r="G139" i="48" s="1"/>
  <c r="F121" i="48"/>
  <c r="X120" i="48"/>
  <c r="X124" i="48" s="1"/>
  <c r="W120" i="48"/>
  <c r="V120" i="48"/>
  <c r="U120" i="48"/>
  <c r="U124" i="48" s="1"/>
  <c r="T120" i="48"/>
  <c r="T124" i="48" s="1"/>
  <c r="S120" i="48"/>
  <c r="S119" i="48" s="1"/>
  <c r="R120" i="48"/>
  <c r="Q120" i="48"/>
  <c r="Q124" i="48" s="1"/>
  <c r="P120" i="48"/>
  <c r="P138" i="48" s="1"/>
  <c r="O120" i="48"/>
  <c r="O138" i="48" s="1"/>
  <c r="N120" i="48"/>
  <c r="N138" i="48" s="1"/>
  <c r="M120" i="48"/>
  <c r="M124" i="48" s="1"/>
  <c r="M142" i="48" s="1"/>
  <c r="L120" i="48"/>
  <c r="L124" i="48" s="1"/>
  <c r="K120" i="48"/>
  <c r="K119" i="48" s="1"/>
  <c r="J120" i="48"/>
  <c r="I120" i="48"/>
  <c r="I124" i="48" s="1"/>
  <c r="H120" i="48"/>
  <c r="H138" i="48" s="1"/>
  <c r="G120" i="48"/>
  <c r="G138" i="48" s="1"/>
  <c r="F120" i="48"/>
  <c r="V119" i="48"/>
  <c r="U119" i="48"/>
  <c r="N119" i="48"/>
  <c r="M119" i="48"/>
  <c r="F119" i="48"/>
  <c r="K115" i="48"/>
  <c r="AG101" i="48"/>
  <c r="AF101" i="48"/>
  <c r="AE101" i="48"/>
  <c r="AD101" i="48"/>
  <c r="AC101" i="48"/>
  <c r="AC162" i="48" s="1"/>
  <c r="AB101" i="48"/>
  <c r="AB162" i="48" s="1"/>
  <c r="AA101" i="48"/>
  <c r="AA162" i="48" s="1"/>
  <c r="Z101" i="48"/>
  <c r="Z162" i="48" s="1"/>
  <c r="Y101" i="48"/>
  <c r="Y162" i="48" s="1"/>
  <c r="X101" i="48"/>
  <c r="X162" i="48" s="1"/>
  <c r="W101" i="48"/>
  <c r="W162" i="48" s="1"/>
  <c r="V101" i="48"/>
  <c r="U101" i="48"/>
  <c r="U162" i="48" s="1"/>
  <c r="T101" i="48"/>
  <c r="T162" i="48" s="1"/>
  <c r="T150" i="48" s="1"/>
  <c r="U150" i="48" s="1"/>
  <c r="V150" i="48" s="1"/>
  <c r="W150" i="48" s="1"/>
  <c r="S101" i="48"/>
  <c r="S162" i="48" s="1"/>
  <c r="R101" i="48"/>
  <c r="R162" i="48" s="1"/>
  <c r="Q101" i="48"/>
  <c r="Q162" i="48" s="1"/>
  <c r="P101" i="48"/>
  <c r="P162" i="48" s="1"/>
  <c r="O101" i="48"/>
  <c r="O162" i="48" s="1"/>
  <c r="N101" i="48"/>
  <c r="M101" i="48"/>
  <c r="M162" i="48" s="1"/>
  <c r="L101" i="48"/>
  <c r="L162" i="48" s="1"/>
  <c r="K101" i="48"/>
  <c r="K162" i="48" s="1"/>
  <c r="J101" i="48"/>
  <c r="J162" i="48" s="1"/>
  <c r="I101" i="48"/>
  <c r="I162" i="48" s="1"/>
  <c r="H101" i="48"/>
  <c r="H162" i="48" s="1"/>
  <c r="G101" i="48"/>
  <c r="G162" i="48" s="1"/>
  <c r="F101" i="48"/>
  <c r="H94" i="48"/>
  <c r="I94" i="48" s="1"/>
  <c r="J94" i="48" s="1"/>
  <c r="K94" i="48" s="1"/>
  <c r="L94" i="48" s="1"/>
  <c r="L88" i="48"/>
  <c r="K88" i="48"/>
  <c r="J88" i="48"/>
  <c r="I88" i="48"/>
  <c r="H88" i="48"/>
  <c r="G88" i="48"/>
  <c r="F88" i="48"/>
  <c r="E88" i="48"/>
  <c r="L86" i="48"/>
  <c r="K86" i="48"/>
  <c r="J86" i="48"/>
  <c r="I86" i="48"/>
  <c r="H86" i="48"/>
  <c r="G86" i="48"/>
  <c r="F86" i="48"/>
  <c r="E86" i="48"/>
  <c r="L85" i="48"/>
  <c r="K85" i="48"/>
  <c r="J85" i="48"/>
  <c r="I85" i="48"/>
  <c r="H85" i="48"/>
  <c r="G85" i="48"/>
  <c r="F85" i="48"/>
  <c r="E85" i="48"/>
  <c r="F73" i="48"/>
  <c r="E73" i="48"/>
  <c r="F71" i="48"/>
  <c r="E71" i="48"/>
  <c r="F70" i="48"/>
  <c r="E70" i="48"/>
  <c r="L57" i="48"/>
  <c r="L87" i="48" s="1"/>
  <c r="K57" i="48"/>
  <c r="K87" i="48" s="1"/>
  <c r="J57" i="48"/>
  <c r="J87" i="48" s="1"/>
  <c r="I57" i="48"/>
  <c r="I87" i="48" s="1"/>
  <c r="H57" i="48"/>
  <c r="H87" i="48" s="1"/>
  <c r="G57" i="48"/>
  <c r="G87" i="48" s="1"/>
  <c r="F57" i="48"/>
  <c r="F87" i="48" s="1"/>
  <c r="E57" i="48"/>
  <c r="AG47" i="48"/>
  <c r="AF47" i="48"/>
  <c r="AE47" i="48"/>
  <c r="AD47" i="48"/>
  <c r="AC47" i="48"/>
  <c r="AB47" i="48"/>
  <c r="AA47" i="48"/>
  <c r="Z47" i="48"/>
  <c r="Y47" i="48"/>
  <c r="G35" i="48"/>
  <c r="G66" i="48" s="1"/>
  <c r="G73" i="48" s="1"/>
  <c r="X26" i="48"/>
  <c r="W26" i="48"/>
  <c r="W131" i="48" s="1"/>
  <c r="X131" i="48" s="1"/>
  <c r="V26" i="48"/>
  <c r="V131" i="48" s="1"/>
  <c r="U26" i="48"/>
  <c r="U131" i="48" s="1"/>
  <c r="T26" i="48"/>
  <c r="T131" i="48" s="1"/>
  <c r="S26" i="48"/>
  <c r="S131" i="48" s="1"/>
  <c r="R26" i="48"/>
  <c r="R131" i="48" s="1"/>
  <c r="Q26" i="48"/>
  <c r="Q131" i="48" s="1"/>
  <c r="P26" i="48"/>
  <c r="P131" i="48" s="1"/>
  <c r="O26" i="48"/>
  <c r="O131" i="48" s="1"/>
  <c r="N26" i="48"/>
  <c r="N131" i="48" s="1"/>
  <c r="M26" i="48"/>
  <c r="M131" i="48" s="1"/>
  <c r="L26" i="48"/>
  <c r="L131" i="48" s="1"/>
  <c r="K26" i="48"/>
  <c r="K131" i="48" s="1"/>
  <c r="J26" i="48"/>
  <c r="J131" i="48" s="1"/>
  <c r="I26" i="48"/>
  <c r="I131" i="48" s="1"/>
  <c r="H26" i="48"/>
  <c r="H131" i="48" s="1"/>
  <c r="G26" i="48"/>
  <c r="G131" i="48" s="1"/>
  <c r="F26" i="48"/>
  <c r="F131" i="48" s="1"/>
  <c r="AB25" i="48"/>
  <c r="X25" i="48"/>
  <c r="X130" i="48" s="1"/>
  <c r="Y130" i="48" s="1"/>
  <c r="Z130" i="48" s="1"/>
  <c r="AA130" i="48" s="1"/>
  <c r="AB130" i="48" s="1"/>
  <c r="AC130" i="48" s="1"/>
  <c r="W25" i="48"/>
  <c r="W130" i="48" s="1"/>
  <c r="V25" i="48"/>
  <c r="V130" i="48" s="1"/>
  <c r="U25" i="48"/>
  <c r="U130" i="48" s="1"/>
  <c r="T25" i="48"/>
  <c r="T130" i="48" s="1"/>
  <c r="S25" i="48"/>
  <c r="S130" i="48" s="1"/>
  <c r="R25" i="48"/>
  <c r="R130" i="48" s="1"/>
  <c r="Q25" i="48"/>
  <c r="Q130" i="48" s="1"/>
  <c r="P25" i="48"/>
  <c r="P130" i="48" s="1"/>
  <c r="O25" i="48"/>
  <c r="O130" i="48" s="1"/>
  <c r="N25" i="48"/>
  <c r="N130" i="48" s="1"/>
  <c r="M25" i="48"/>
  <c r="M130" i="48" s="1"/>
  <c r="L25" i="48"/>
  <c r="L130" i="48" s="1"/>
  <c r="K25" i="48"/>
  <c r="K130" i="48" s="1"/>
  <c r="J25" i="48"/>
  <c r="J130" i="48" s="1"/>
  <c r="I25" i="48"/>
  <c r="I130" i="48" s="1"/>
  <c r="H25" i="48"/>
  <c r="H130" i="48" s="1"/>
  <c r="G25" i="48"/>
  <c r="G130" i="48" s="1"/>
  <c r="F25" i="48"/>
  <c r="F130" i="48" s="1"/>
  <c r="X24" i="48"/>
  <c r="X129" i="48" s="1"/>
  <c r="Y129" i="48" s="1"/>
  <c r="W24" i="48"/>
  <c r="W129" i="48" s="1"/>
  <c r="V24" i="48"/>
  <c r="V129" i="48" s="1"/>
  <c r="U24" i="48"/>
  <c r="U129" i="48" s="1"/>
  <c r="T24" i="48"/>
  <c r="T129" i="48" s="1"/>
  <c r="S24" i="48"/>
  <c r="R24" i="48"/>
  <c r="Q24" i="48"/>
  <c r="P24" i="48"/>
  <c r="O24" i="48"/>
  <c r="O129" i="48" s="1"/>
  <c r="N24" i="48"/>
  <c r="N129" i="48" s="1"/>
  <c r="M24" i="48"/>
  <c r="M129" i="48" s="1"/>
  <c r="L24" i="48"/>
  <c r="L129" i="48" s="1"/>
  <c r="K24" i="48"/>
  <c r="J24" i="48"/>
  <c r="I24" i="48"/>
  <c r="I129" i="48" s="1"/>
  <c r="H24" i="48"/>
  <c r="H20" i="48" s="1"/>
  <c r="G24" i="48"/>
  <c r="G129" i="48" s="1"/>
  <c r="F24" i="48"/>
  <c r="AB22" i="48"/>
  <c r="X22" i="48"/>
  <c r="X128" i="48" s="1"/>
  <c r="Y128" i="48" s="1"/>
  <c r="Z128" i="48" s="1"/>
  <c r="AA128" i="48" s="1"/>
  <c r="AB128" i="48" s="1"/>
  <c r="AC128" i="48" s="1"/>
  <c r="W22" i="48"/>
  <c r="V22" i="48"/>
  <c r="V128" i="48" s="1"/>
  <c r="U22" i="48"/>
  <c r="U128" i="48" s="1"/>
  <c r="T22" i="48"/>
  <c r="S22" i="48"/>
  <c r="S128" i="48" s="1"/>
  <c r="R22" i="48"/>
  <c r="Q22" i="48"/>
  <c r="P22" i="48"/>
  <c r="O22" i="48"/>
  <c r="N22" i="48"/>
  <c r="N128" i="48" s="1"/>
  <c r="M22" i="48"/>
  <c r="L22" i="48"/>
  <c r="K22" i="48"/>
  <c r="K128" i="48" s="1"/>
  <c r="J22" i="48"/>
  <c r="I22" i="48"/>
  <c r="H22" i="48"/>
  <c r="G22" i="48"/>
  <c r="F22" i="48"/>
  <c r="F128" i="48" s="1"/>
  <c r="X20" i="48"/>
  <c r="W20" i="48"/>
  <c r="U20" i="48"/>
  <c r="S20" i="48"/>
  <c r="R20" i="48"/>
  <c r="Q20" i="48"/>
  <c r="O20" i="48"/>
  <c r="M20" i="48"/>
  <c r="K20" i="48"/>
  <c r="J20" i="48"/>
  <c r="I20" i="48"/>
  <c r="G20" i="48"/>
  <c r="W16" i="48"/>
  <c r="W116" i="48" s="1"/>
  <c r="V16" i="48"/>
  <c r="V116" i="48" s="1"/>
  <c r="U16" i="48"/>
  <c r="U116" i="48" s="1"/>
  <c r="T16" i="48"/>
  <c r="T116" i="48" s="1"/>
  <c r="S16" i="48"/>
  <c r="S116" i="48" s="1"/>
  <c r="R16" i="48"/>
  <c r="R116" i="48" s="1"/>
  <c r="Q16" i="48"/>
  <c r="Q116" i="48" s="1"/>
  <c r="P16" i="48"/>
  <c r="P116" i="48" s="1"/>
  <c r="O16" i="48"/>
  <c r="O116" i="48" s="1"/>
  <c r="N16" i="48"/>
  <c r="N116" i="48" s="1"/>
  <c r="I96" i="48" s="1"/>
  <c r="J96" i="48" s="1"/>
  <c r="K96" i="48" s="1"/>
  <c r="L96" i="48" s="1"/>
  <c r="M16" i="48"/>
  <c r="M116" i="48" s="1"/>
  <c r="H96" i="48" s="1"/>
  <c r="L16" i="48"/>
  <c r="K16" i="48"/>
  <c r="K116" i="48" s="1"/>
  <c r="J16" i="48"/>
  <c r="J116" i="48" s="1"/>
  <c r="I16" i="48"/>
  <c r="I116" i="48" s="1"/>
  <c r="H16" i="48"/>
  <c r="H116" i="48" s="1"/>
  <c r="G16" i="48"/>
  <c r="F16" i="48"/>
  <c r="X14" i="48"/>
  <c r="W14" i="48"/>
  <c r="W115" i="48" s="1"/>
  <c r="V14" i="48"/>
  <c r="V115" i="48" s="1"/>
  <c r="U14" i="48"/>
  <c r="U115" i="48" s="1"/>
  <c r="T14" i="48"/>
  <c r="T115" i="48" s="1"/>
  <c r="S14" i="48"/>
  <c r="S115" i="48" s="1"/>
  <c r="R14" i="48"/>
  <c r="R115" i="48" s="1"/>
  <c r="Q14" i="48"/>
  <c r="Q115" i="48" s="1"/>
  <c r="P14" i="48"/>
  <c r="O14" i="48"/>
  <c r="O115" i="48" s="1"/>
  <c r="N14" i="48"/>
  <c r="N115" i="48" s="1"/>
  <c r="H95" i="48" s="1"/>
  <c r="M14" i="48"/>
  <c r="M115" i="48" s="1"/>
  <c r="L14" i="48"/>
  <c r="L115" i="48" s="1"/>
  <c r="K14" i="48"/>
  <c r="J14" i="48"/>
  <c r="J115" i="48" s="1"/>
  <c r="I14" i="48"/>
  <c r="I115" i="48" s="1"/>
  <c r="H14" i="48"/>
  <c r="G14" i="48"/>
  <c r="F14" i="48"/>
  <c r="X12" i="48"/>
  <c r="X114" i="48" s="1"/>
  <c r="Y114" i="48" s="1"/>
  <c r="Z114" i="48" s="1"/>
  <c r="AA114" i="48" s="1"/>
  <c r="AB114" i="48" s="1"/>
  <c r="AC114" i="48" s="1"/>
  <c r="AD114" i="48" s="1"/>
  <c r="AE114" i="48" s="1"/>
  <c r="AF114" i="48" s="1"/>
  <c r="AG114" i="48" s="1"/>
  <c r="W12" i="48"/>
  <c r="W114" i="48" s="1"/>
  <c r="V12" i="48"/>
  <c r="V114" i="48" s="1"/>
  <c r="U12" i="48"/>
  <c r="U114" i="48" s="1"/>
  <c r="T12" i="48"/>
  <c r="T114" i="48" s="1"/>
  <c r="S12" i="48"/>
  <c r="R12" i="48"/>
  <c r="Q12" i="48"/>
  <c r="Q114" i="48" s="1"/>
  <c r="P12" i="48"/>
  <c r="O12" i="48"/>
  <c r="O114" i="48" s="1"/>
  <c r="N12" i="48"/>
  <c r="N114" i="48" s="1"/>
  <c r="M12" i="48"/>
  <c r="M114" i="48" s="1"/>
  <c r="L12" i="48"/>
  <c r="K12" i="48"/>
  <c r="J12" i="48"/>
  <c r="I12" i="48"/>
  <c r="I114" i="48" s="1"/>
  <c r="H12" i="48"/>
  <c r="G12" i="48"/>
  <c r="F12" i="48"/>
  <c r="X10" i="48"/>
  <c r="W10" i="48"/>
  <c r="V10" i="48"/>
  <c r="V112" i="48" s="1"/>
  <c r="U10" i="48"/>
  <c r="U112" i="48" s="1"/>
  <c r="T10" i="48"/>
  <c r="S10" i="48"/>
  <c r="S112" i="48" s="1"/>
  <c r="R10" i="48"/>
  <c r="Q10" i="48"/>
  <c r="P10" i="48"/>
  <c r="I32" i="48" s="1"/>
  <c r="O10" i="48"/>
  <c r="N10" i="48"/>
  <c r="N112" i="48" s="1"/>
  <c r="H93" i="48" s="1"/>
  <c r="I93" i="48" s="1"/>
  <c r="J93" i="48" s="1"/>
  <c r="K93" i="48" s="1"/>
  <c r="L93" i="48" s="1"/>
  <c r="M10" i="48"/>
  <c r="L10" i="48"/>
  <c r="K10" i="48"/>
  <c r="K112" i="48" s="1"/>
  <c r="J10" i="48"/>
  <c r="I10" i="48"/>
  <c r="H10" i="48"/>
  <c r="G10" i="48"/>
  <c r="F10" i="48"/>
  <c r="W9" i="48"/>
  <c r="W27" i="48" s="1"/>
  <c r="V9" i="48"/>
  <c r="U9" i="48"/>
  <c r="U27" i="48" s="1"/>
  <c r="T9" i="48"/>
  <c r="S9" i="48"/>
  <c r="S27" i="48" s="1"/>
  <c r="R9" i="48"/>
  <c r="R27" i="48" s="1"/>
  <c r="Q9" i="48"/>
  <c r="Q27" i="48" s="1"/>
  <c r="O9" i="48"/>
  <c r="O27" i="48" s="1"/>
  <c r="N9" i="48"/>
  <c r="M9" i="48"/>
  <c r="M27" i="48" s="1"/>
  <c r="L9" i="48"/>
  <c r="K9" i="48"/>
  <c r="K27" i="48" s="1"/>
  <c r="J9" i="48"/>
  <c r="J27" i="48" s="1"/>
  <c r="I9" i="48"/>
  <c r="I27" i="48" s="1"/>
  <c r="G9" i="48"/>
  <c r="G27" i="48" s="1"/>
  <c r="F9" i="48"/>
  <c r="Z19" i="77"/>
  <c r="X15" i="77"/>
  <c r="AA7" i="77"/>
  <c r="AA19" i="77" s="1"/>
  <c r="Z7" i="77"/>
  <c r="X7" i="77"/>
  <c r="X16" i="77" s="1"/>
  <c r="X19" i="77" s="1"/>
  <c r="Q7" i="77"/>
  <c r="G130" i="75"/>
  <c r="F130" i="75"/>
  <c r="W106" i="75"/>
  <c r="W105" i="75" s="1"/>
  <c r="U106" i="75"/>
  <c r="V105" i="75"/>
  <c r="U105" i="75"/>
  <c r="V104" i="75" s="1"/>
  <c r="V106" i="75" s="1"/>
  <c r="T105" i="75"/>
  <c r="S105" i="75"/>
  <c r="R105" i="75"/>
  <c r="Q105" i="75"/>
  <c r="P105" i="75"/>
  <c r="O105" i="75"/>
  <c r="N105" i="75"/>
  <c r="M105" i="75"/>
  <c r="L105" i="75"/>
  <c r="K105" i="75"/>
  <c r="J105" i="75"/>
  <c r="I105" i="75"/>
  <c r="H105" i="75"/>
  <c r="G105" i="75"/>
  <c r="F105" i="75"/>
  <c r="E105" i="75"/>
  <c r="D105" i="75"/>
  <c r="W104" i="75"/>
  <c r="U104" i="75"/>
  <c r="AG99" i="75"/>
  <c r="AF99" i="75"/>
  <c r="AE99" i="75"/>
  <c r="AD99" i="75"/>
  <c r="V96" i="75"/>
  <c r="U96" i="75"/>
  <c r="T96" i="75"/>
  <c r="S96" i="75"/>
  <c r="R96" i="75"/>
  <c r="Q96" i="75"/>
  <c r="P96" i="75"/>
  <c r="O96" i="75"/>
  <c r="N96" i="75"/>
  <c r="M96" i="75"/>
  <c r="L96" i="75"/>
  <c r="K96" i="75"/>
  <c r="J96" i="75"/>
  <c r="I96" i="75"/>
  <c r="H96" i="75"/>
  <c r="G96" i="75"/>
  <c r="F96" i="75"/>
  <c r="E96" i="75"/>
  <c r="D96" i="75"/>
  <c r="V86" i="75"/>
  <c r="U86" i="75"/>
  <c r="T86" i="75"/>
  <c r="S86" i="75"/>
  <c r="R86" i="75"/>
  <c r="Q86" i="75"/>
  <c r="P86" i="75"/>
  <c r="O86" i="75"/>
  <c r="N86" i="75"/>
  <c r="M86" i="75"/>
  <c r="L86" i="75"/>
  <c r="K86" i="75"/>
  <c r="J86" i="75"/>
  <c r="I86" i="75"/>
  <c r="H86" i="75"/>
  <c r="J87" i="75" s="1"/>
  <c r="G86" i="75"/>
  <c r="F86" i="75"/>
  <c r="E86" i="75"/>
  <c r="D86" i="75"/>
  <c r="U85" i="75"/>
  <c r="M85" i="75"/>
  <c r="V44" i="75"/>
  <c r="U44" i="75"/>
  <c r="T44" i="75"/>
  <c r="S44" i="75"/>
  <c r="R44" i="75"/>
  <c r="Q44" i="75"/>
  <c r="P44" i="75"/>
  <c r="O44" i="75"/>
  <c r="N44" i="75"/>
  <c r="M44" i="75"/>
  <c r="L44" i="75"/>
  <c r="K44" i="75"/>
  <c r="J44" i="75"/>
  <c r="I44" i="75"/>
  <c r="H44" i="75"/>
  <c r="G44" i="75"/>
  <c r="F44" i="75"/>
  <c r="E44" i="75"/>
  <c r="D44" i="75"/>
  <c r="AC40" i="75"/>
  <c r="AB40" i="75"/>
  <c r="AA40" i="75"/>
  <c r="Z40" i="75"/>
  <c r="Y40" i="75"/>
  <c r="X40" i="75"/>
  <c r="W40" i="75"/>
  <c r="V40" i="75"/>
  <c r="U40" i="75"/>
  <c r="T40" i="75"/>
  <c r="S40" i="75"/>
  <c r="AA38" i="75"/>
  <c r="Z38" i="75"/>
  <c r="S38" i="75"/>
  <c r="K38" i="75"/>
  <c r="J38" i="75"/>
  <c r="AC36" i="75"/>
  <c r="AB36" i="75"/>
  <c r="AA36" i="75"/>
  <c r="Z36" i="75"/>
  <c r="Y36" i="75"/>
  <c r="X36" i="75"/>
  <c r="W36" i="75"/>
  <c r="V36" i="75"/>
  <c r="U36" i="75"/>
  <c r="T36" i="75"/>
  <c r="S36" i="75"/>
  <c r="R36" i="75"/>
  <c r="Q36" i="75"/>
  <c r="P36" i="75"/>
  <c r="O36" i="75"/>
  <c r="N36" i="75"/>
  <c r="M36" i="75"/>
  <c r="L36" i="75"/>
  <c r="K36" i="75"/>
  <c r="J36" i="75"/>
  <c r="T35" i="75"/>
  <c r="S35" i="75"/>
  <c r="R35" i="75"/>
  <c r="Q35" i="75"/>
  <c r="P35" i="75"/>
  <c r="O35" i="75"/>
  <c r="N35" i="75"/>
  <c r="M35" i="75"/>
  <c r="H34" i="75"/>
  <c r="G34" i="75"/>
  <c r="F34" i="75"/>
  <c r="E34" i="75"/>
  <c r="D34" i="75"/>
  <c r="AA33" i="75"/>
  <c r="Z33" i="75"/>
  <c r="Y33" i="75"/>
  <c r="Y38" i="75" s="1"/>
  <c r="S33" i="75"/>
  <c r="AB32" i="75"/>
  <c r="AA32" i="75"/>
  <c r="H28" i="75"/>
  <c r="V25" i="75"/>
  <c r="U25" i="75"/>
  <c r="T25" i="75"/>
  <c r="S25" i="75"/>
  <c r="R25" i="75"/>
  <c r="Q25" i="75"/>
  <c r="P25" i="75"/>
  <c r="O25" i="75"/>
  <c r="N25" i="75"/>
  <c r="M25" i="75"/>
  <c r="L25" i="75"/>
  <c r="K25" i="75"/>
  <c r="J25" i="75"/>
  <c r="I25" i="75"/>
  <c r="H25" i="75"/>
  <c r="G25" i="75"/>
  <c r="F25" i="75"/>
  <c r="E25" i="75"/>
  <c r="D25" i="75"/>
  <c r="H24" i="75"/>
  <c r="G24" i="75"/>
  <c r="G28" i="75" s="1"/>
  <c r="F24" i="75"/>
  <c r="F28" i="75" s="1"/>
  <c r="E24" i="75"/>
  <c r="E28" i="75" s="1"/>
  <c r="D24" i="75"/>
  <c r="D28" i="75" s="1"/>
  <c r="AA23" i="75"/>
  <c r="Z23" i="75"/>
  <c r="Y23" i="75"/>
  <c r="S23" i="75"/>
  <c r="AC22" i="75"/>
  <c r="AB22" i="75"/>
  <c r="AA22" i="75"/>
  <c r="Z22" i="75"/>
  <c r="Y22" i="75"/>
  <c r="X22" i="75"/>
  <c r="W22" i="75"/>
  <c r="V22" i="75"/>
  <c r="U22" i="75"/>
  <c r="T22" i="75"/>
  <c r="S22" i="75"/>
  <c r="R22" i="75"/>
  <c r="Q22" i="75"/>
  <c r="P22" i="75"/>
  <c r="O22" i="75"/>
  <c r="N22" i="75"/>
  <c r="M22" i="75"/>
  <c r="L22" i="75"/>
  <c r="K22" i="75"/>
  <c r="J22" i="75"/>
  <c r="T21" i="75"/>
  <c r="S21" i="75"/>
  <c r="R21" i="75"/>
  <c r="Q21" i="75"/>
  <c r="P21" i="75"/>
  <c r="O21" i="75"/>
  <c r="N21" i="75"/>
  <c r="M21" i="75"/>
  <c r="L21" i="75"/>
  <c r="L38" i="75" s="1"/>
  <c r="K21" i="75"/>
  <c r="J21" i="75"/>
  <c r="I21" i="75"/>
  <c r="I38" i="75" s="1"/>
  <c r="H21" i="75"/>
  <c r="H38" i="75" s="1"/>
  <c r="G21" i="75"/>
  <c r="G99" i="75" s="1"/>
  <c r="F21" i="75"/>
  <c r="F99" i="75" s="1"/>
  <c r="E21" i="75"/>
  <c r="E99" i="75" s="1"/>
  <c r="D21" i="75"/>
  <c r="D99" i="75" s="1"/>
  <c r="AC18" i="75"/>
  <c r="AB18" i="75"/>
  <c r="AA18" i="75"/>
  <c r="Z18" i="75"/>
  <c r="Y18" i="75"/>
  <c r="X18" i="75"/>
  <c r="W18" i="75"/>
  <c r="V18" i="75"/>
  <c r="U18" i="75"/>
  <c r="T18" i="75"/>
  <c r="S18" i="75"/>
  <c r="R18" i="75"/>
  <c r="Q18" i="75"/>
  <c r="P18" i="75"/>
  <c r="O18" i="75"/>
  <c r="N18" i="75"/>
  <c r="M18" i="75"/>
  <c r="L18" i="75"/>
  <c r="K18" i="75"/>
  <c r="J18" i="75"/>
  <c r="I18" i="75"/>
  <c r="H18" i="75"/>
  <c r="V15" i="75"/>
  <c r="T13" i="75"/>
  <c r="S13" i="75"/>
  <c r="R13" i="75"/>
  <c r="Q13" i="75"/>
  <c r="P13" i="75"/>
  <c r="O13" i="75"/>
  <c r="N13" i="75"/>
  <c r="M13" i="75"/>
  <c r="V12" i="75"/>
  <c r="U12" i="75"/>
  <c r="T12" i="75"/>
  <c r="S12" i="75"/>
  <c r="R12" i="75"/>
  <c r="Q12" i="75"/>
  <c r="P12" i="75"/>
  <c r="E133" i="75" s="1"/>
  <c r="E137" i="75" s="1"/>
  <c r="O12" i="75"/>
  <c r="N12" i="75"/>
  <c r="M12" i="75"/>
  <c r="L12" i="75"/>
  <c r="K12" i="75"/>
  <c r="J12" i="75"/>
  <c r="I12" i="75"/>
  <c r="H12" i="75"/>
  <c r="G12" i="75"/>
  <c r="F12" i="75"/>
  <c r="E12" i="75"/>
  <c r="D12" i="75"/>
  <c r="F122" i="59"/>
  <c r="G122" i="59" s="1"/>
  <c r="X98" i="59"/>
  <c r="X97" i="59"/>
  <c r="W97" i="59"/>
  <c r="V97" i="59"/>
  <c r="W96" i="59" s="1"/>
  <c r="W98" i="59" s="1"/>
  <c r="U97" i="59"/>
  <c r="V96" i="59" s="1"/>
  <c r="V98" i="59" s="1"/>
  <c r="T97" i="59"/>
  <c r="S97" i="59"/>
  <c r="R97" i="59"/>
  <c r="Q97" i="59"/>
  <c r="P97" i="59"/>
  <c r="O97" i="59"/>
  <c r="N97" i="59"/>
  <c r="M97" i="59"/>
  <c r="L97" i="59"/>
  <c r="K97" i="59"/>
  <c r="J97" i="59"/>
  <c r="I97" i="59"/>
  <c r="H97" i="59"/>
  <c r="G97" i="59"/>
  <c r="F97" i="59"/>
  <c r="E97" i="59"/>
  <c r="D97" i="59"/>
  <c r="X96" i="59"/>
  <c r="U96" i="59"/>
  <c r="U98" i="59" s="1"/>
  <c r="X88" i="59"/>
  <c r="W88" i="59"/>
  <c r="V88" i="59"/>
  <c r="U88" i="59"/>
  <c r="T88" i="59"/>
  <c r="S88" i="59"/>
  <c r="R88" i="59"/>
  <c r="Q88" i="59"/>
  <c r="P88" i="59"/>
  <c r="O88" i="59"/>
  <c r="N88" i="59"/>
  <c r="M88" i="59"/>
  <c r="L88" i="59"/>
  <c r="K88" i="59"/>
  <c r="J88" i="59"/>
  <c r="I88" i="59"/>
  <c r="H88" i="59"/>
  <c r="G88" i="59"/>
  <c r="F88" i="59"/>
  <c r="E88" i="59"/>
  <c r="D88" i="59"/>
  <c r="X79" i="59"/>
  <c r="U79" i="59"/>
  <c r="S79" i="59"/>
  <c r="P79" i="59"/>
  <c r="M79" i="59"/>
  <c r="K79" i="59"/>
  <c r="X78" i="59"/>
  <c r="W78" i="59"/>
  <c r="V78" i="59"/>
  <c r="V79" i="59" s="1"/>
  <c r="U78" i="59"/>
  <c r="T78" i="59"/>
  <c r="S78" i="59"/>
  <c r="S77" i="59" s="1"/>
  <c r="R78" i="59"/>
  <c r="Q78" i="59"/>
  <c r="P78" i="59"/>
  <c r="O78" i="59"/>
  <c r="N78" i="59"/>
  <c r="N79" i="59" s="1"/>
  <c r="M78" i="59"/>
  <c r="L78" i="59"/>
  <c r="K78" i="59"/>
  <c r="K77" i="59" s="1"/>
  <c r="J78" i="59"/>
  <c r="I78" i="59"/>
  <c r="H78" i="59"/>
  <c r="Q79" i="59" s="1"/>
  <c r="G78" i="59"/>
  <c r="F78" i="59"/>
  <c r="E78" i="59"/>
  <c r="D78" i="59"/>
  <c r="X77" i="59"/>
  <c r="U77" i="59"/>
  <c r="U26" i="59" s="1"/>
  <c r="P77" i="59"/>
  <c r="P26" i="59" s="1"/>
  <c r="M77" i="59"/>
  <c r="M26" i="59" s="1"/>
  <c r="K37" i="59"/>
  <c r="K38" i="59" s="1"/>
  <c r="X36" i="59"/>
  <c r="W36" i="59"/>
  <c r="V36" i="59"/>
  <c r="U36" i="59"/>
  <c r="T36" i="59"/>
  <c r="S36" i="59"/>
  <c r="R36" i="59"/>
  <c r="Q36" i="59"/>
  <c r="P36" i="59"/>
  <c r="O36" i="59"/>
  <c r="N36" i="59"/>
  <c r="M36" i="59"/>
  <c r="L36" i="59"/>
  <c r="K36" i="59"/>
  <c r="J36" i="59"/>
  <c r="I36" i="59"/>
  <c r="H36" i="59"/>
  <c r="G36" i="59"/>
  <c r="F36" i="59"/>
  <c r="E36" i="59"/>
  <c r="D36" i="59"/>
  <c r="AG32" i="59"/>
  <c r="AF32" i="59"/>
  <c r="AE32" i="59"/>
  <c r="AD32" i="59"/>
  <c r="AC32" i="59"/>
  <c r="AB32" i="59"/>
  <c r="AA32" i="59"/>
  <c r="Z32" i="59"/>
  <c r="Y32" i="59"/>
  <c r="X32" i="59"/>
  <c r="W32" i="59"/>
  <c r="V32" i="59"/>
  <c r="U32" i="59"/>
  <c r="T32" i="59"/>
  <c r="S32" i="59"/>
  <c r="AA30" i="59"/>
  <c r="F30" i="59"/>
  <c r="AG28" i="59"/>
  <c r="AF28" i="59"/>
  <c r="AE28" i="59"/>
  <c r="AD28" i="59"/>
  <c r="AC28" i="59"/>
  <c r="AB28" i="59"/>
  <c r="AA28" i="59"/>
  <c r="Z28" i="59"/>
  <c r="Y28" i="59"/>
  <c r="X28" i="59"/>
  <c r="W28" i="59"/>
  <c r="V28" i="59"/>
  <c r="U28" i="59"/>
  <c r="T28" i="59"/>
  <c r="S28" i="59"/>
  <c r="R28" i="59"/>
  <c r="Q28" i="59"/>
  <c r="P28" i="59"/>
  <c r="O28" i="59"/>
  <c r="N28" i="59"/>
  <c r="M28" i="59"/>
  <c r="L28" i="59"/>
  <c r="K28" i="59"/>
  <c r="J28" i="59"/>
  <c r="T27" i="59"/>
  <c r="S27" i="59"/>
  <c r="R27" i="59"/>
  <c r="Q27" i="59"/>
  <c r="P27" i="59"/>
  <c r="O27" i="59"/>
  <c r="N27" i="59"/>
  <c r="M27" i="59"/>
  <c r="S26" i="59"/>
  <c r="K26" i="59"/>
  <c r="H26" i="59"/>
  <c r="G26" i="59"/>
  <c r="F26" i="59"/>
  <c r="E26" i="59"/>
  <c r="D26" i="59"/>
  <c r="AF25" i="59"/>
  <c r="AF30" i="59" s="1"/>
  <c r="AA25" i="59"/>
  <c r="Z25" i="59"/>
  <c r="Z30" i="59" s="1"/>
  <c r="Y25" i="59"/>
  <c r="Y30" i="59" s="1"/>
  <c r="S25" i="59"/>
  <c r="S30" i="59" s="1"/>
  <c r="AB24" i="59"/>
  <c r="AA24" i="59"/>
  <c r="T21" i="59"/>
  <c r="S21" i="59"/>
  <c r="R21" i="59"/>
  <c r="Q21" i="59"/>
  <c r="P21" i="59"/>
  <c r="O21" i="59"/>
  <c r="N21" i="59"/>
  <c r="M21" i="59"/>
  <c r="L21" i="59"/>
  <c r="L30" i="59" s="1"/>
  <c r="K21" i="59"/>
  <c r="K30" i="59" s="1"/>
  <c r="D5" i="50" s="1"/>
  <c r="J21" i="59"/>
  <c r="J30" i="59" s="1"/>
  <c r="I21" i="59"/>
  <c r="I30" i="59" s="1"/>
  <c r="H21" i="59"/>
  <c r="H30" i="59" s="1"/>
  <c r="G21" i="59"/>
  <c r="F21" i="59"/>
  <c r="E21" i="59"/>
  <c r="D21" i="59"/>
  <c r="D30" i="59" s="1"/>
  <c r="AC18" i="59"/>
  <c r="AB18" i="59"/>
  <c r="AA18" i="59"/>
  <c r="Z18" i="59"/>
  <c r="Y18" i="59"/>
  <c r="X18" i="59"/>
  <c r="W18" i="59"/>
  <c r="V18" i="59"/>
  <c r="U18" i="59"/>
  <c r="T18" i="59"/>
  <c r="S18" i="59"/>
  <c r="R18" i="59"/>
  <c r="Q18" i="59"/>
  <c r="P18" i="59"/>
  <c r="O18" i="59"/>
  <c r="N18" i="59"/>
  <c r="M18" i="59"/>
  <c r="L18" i="59"/>
  <c r="K18" i="59"/>
  <c r="J18" i="59"/>
  <c r="I18" i="59"/>
  <c r="H18" i="59"/>
  <c r="W17" i="59"/>
  <c r="O17" i="59"/>
  <c r="G17" i="59"/>
  <c r="W15" i="59"/>
  <c r="V15" i="59"/>
  <c r="X12" i="59"/>
  <c r="W12" i="59"/>
  <c r="V12" i="59"/>
  <c r="U12" i="59"/>
  <c r="T12" i="59"/>
  <c r="F125" i="59" s="1"/>
  <c r="F129" i="59" s="1"/>
  <c r="S12" i="59"/>
  <c r="R12" i="59"/>
  <c r="Q12" i="59"/>
  <c r="P12" i="59"/>
  <c r="O12" i="59"/>
  <c r="N12" i="59"/>
  <c r="M12" i="59"/>
  <c r="L12" i="59"/>
  <c r="D125" i="59" s="1"/>
  <c r="D129" i="59" s="1"/>
  <c r="K12" i="59"/>
  <c r="J12" i="59"/>
  <c r="I12" i="59"/>
  <c r="H12" i="59"/>
  <c r="G12" i="59"/>
  <c r="F12" i="59"/>
  <c r="E12" i="59"/>
  <c r="D12" i="59"/>
  <c r="AG20" i="67"/>
  <c r="AF20" i="67"/>
  <c r="AE20" i="67"/>
  <c r="AD20" i="67"/>
  <c r="AC20" i="67"/>
  <c r="AB20" i="67"/>
  <c r="AA20" i="67"/>
  <c r="Z20" i="67"/>
  <c r="Y20" i="67"/>
  <c r="X20" i="67"/>
  <c r="W20" i="67"/>
  <c r="V20" i="67"/>
  <c r="U20" i="67"/>
  <c r="T20" i="67"/>
  <c r="S20" i="67"/>
  <c r="R20" i="67"/>
  <c r="AG11" i="67"/>
  <c r="AF11" i="67"/>
  <c r="AE11" i="67"/>
  <c r="AD11" i="67"/>
  <c r="AC11" i="67"/>
  <c r="AB11" i="67"/>
  <c r="AA11" i="67"/>
  <c r="Z11" i="67"/>
  <c r="Y11" i="67"/>
  <c r="X11" i="67"/>
  <c r="W11" i="67"/>
  <c r="C25" i="33"/>
  <c r="I24" i="33"/>
  <c r="J26" i="33" s="1"/>
  <c r="H24" i="33"/>
  <c r="I26" i="33" s="1"/>
  <c r="G24" i="33"/>
  <c r="F24" i="33"/>
  <c r="G26" i="33" s="1"/>
  <c r="E24" i="33"/>
  <c r="F26" i="33" s="1"/>
  <c r="J23" i="33"/>
  <c r="V18" i="33"/>
  <c r="S18" i="33"/>
  <c r="N18" i="33"/>
  <c r="W13" i="33"/>
  <c r="O13" i="33"/>
  <c r="N13" i="33"/>
  <c r="X11" i="33"/>
  <c r="Y11" i="33" s="1"/>
  <c r="Z11" i="33" s="1"/>
  <c r="W11" i="33"/>
  <c r="V11" i="33"/>
  <c r="U11" i="33"/>
  <c r="T11" i="33"/>
  <c r="S11" i="33"/>
  <c r="R11" i="33"/>
  <c r="Q11" i="33"/>
  <c r="P11" i="33"/>
  <c r="O11" i="33"/>
  <c r="N11" i="33"/>
  <c r="M11" i="33"/>
  <c r="L11" i="33"/>
  <c r="K11" i="33"/>
  <c r="J11" i="33"/>
  <c r="X10" i="33"/>
  <c r="X17" i="59" s="1"/>
  <c r="W10" i="33"/>
  <c r="W17" i="75" s="1"/>
  <c r="V10" i="33"/>
  <c r="V17" i="75" s="1"/>
  <c r="U10" i="33"/>
  <c r="U17" i="75" s="1"/>
  <c r="T10" i="33"/>
  <c r="S10" i="33"/>
  <c r="S17" i="75" s="1"/>
  <c r="R10" i="33"/>
  <c r="R17" i="75" s="1"/>
  <c r="Q10" i="33"/>
  <c r="Q17" i="75" s="1"/>
  <c r="P10" i="33"/>
  <c r="P17" i="59" s="1"/>
  <c r="O10" i="33"/>
  <c r="O17" i="75" s="1"/>
  <c r="N10" i="33"/>
  <c r="N17" i="75" s="1"/>
  <c r="M10" i="33"/>
  <c r="M17" i="75" s="1"/>
  <c r="L10" i="33"/>
  <c r="K10" i="33"/>
  <c r="K17" i="75" s="1"/>
  <c r="J10" i="33"/>
  <c r="J17" i="75" s="1"/>
  <c r="I10" i="33"/>
  <c r="I17" i="75" s="1"/>
  <c r="H10" i="33"/>
  <c r="H17" i="75" s="1"/>
  <c r="G10" i="33"/>
  <c r="G17" i="75" s="1"/>
  <c r="F10" i="33"/>
  <c r="F17" i="75" s="1"/>
  <c r="E10" i="33"/>
  <c r="E17" i="75" s="1"/>
  <c r="D10" i="33"/>
  <c r="L46" i="49"/>
  <c r="K46" i="49"/>
  <c r="J46" i="49"/>
  <c r="P45" i="49"/>
  <c r="O45" i="49"/>
  <c r="N45" i="49"/>
  <c r="M45" i="49"/>
  <c r="L45" i="49"/>
  <c r="K45" i="49"/>
  <c r="J45" i="49"/>
  <c r="I45" i="49"/>
  <c r="H45" i="49"/>
  <c r="G45" i="49"/>
  <c r="F45" i="49"/>
  <c r="P44" i="49"/>
  <c r="O44" i="49"/>
  <c r="N44" i="49"/>
  <c r="M44" i="49"/>
  <c r="L44" i="49"/>
  <c r="K44" i="49"/>
  <c r="J44" i="49"/>
  <c r="I44" i="49"/>
  <c r="H44" i="49"/>
  <c r="G44" i="49"/>
  <c r="F44" i="49"/>
  <c r="V26" i="49"/>
  <c r="S26" i="49"/>
  <c r="N26" i="49"/>
  <c r="K26" i="49"/>
  <c r="F26" i="49"/>
  <c r="L17" i="49"/>
  <c r="Z12" i="49"/>
  <c r="X12" i="49"/>
  <c r="S12" i="49"/>
  <c r="P12" i="49"/>
  <c r="K12" i="49"/>
  <c r="H12" i="49"/>
  <c r="X11" i="49"/>
  <c r="W11" i="49"/>
  <c r="W12" i="49" s="1"/>
  <c r="V11" i="49"/>
  <c r="V12" i="49" s="1"/>
  <c r="U11" i="49"/>
  <c r="U12" i="49" s="1"/>
  <c r="U28" i="49" s="1"/>
  <c r="T11" i="49"/>
  <c r="S11" i="49"/>
  <c r="R11" i="49"/>
  <c r="Q11" i="49"/>
  <c r="Q12" i="49" s="1"/>
  <c r="P11" i="49"/>
  <c r="O11" i="49"/>
  <c r="O12" i="49" s="1"/>
  <c r="N11" i="49"/>
  <c r="N12" i="49" s="1"/>
  <c r="M11" i="49"/>
  <c r="M12" i="49" s="1"/>
  <c r="M28" i="49" s="1"/>
  <c r="L11" i="49"/>
  <c r="K11" i="49"/>
  <c r="J11" i="49"/>
  <c r="I11" i="49"/>
  <c r="I12" i="49" s="1"/>
  <c r="H11" i="49"/>
  <c r="G11" i="49"/>
  <c r="G12" i="49" s="1"/>
  <c r="F11" i="49"/>
  <c r="F12" i="49" s="1"/>
  <c r="E11" i="49"/>
  <c r="E12" i="49" s="1"/>
  <c r="E28" i="49" s="1"/>
  <c r="D11" i="49"/>
  <c r="X10" i="49"/>
  <c r="X26" i="49" s="1"/>
  <c r="W10" i="49"/>
  <c r="W26" i="49" s="1"/>
  <c r="V10" i="49"/>
  <c r="U10" i="49"/>
  <c r="U26" i="49" s="1"/>
  <c r="T10" i="49"/>
  <c r="T12" i="49" s="1"/>
  <c r="S10" i="49"/>
  <c r="R10" i="49"/>
  <c r="Q10" i="49"/>
  <c r="Q26" i="49" s="1"/>
  <c r="P10" i="49"/>
  <c r="P26" i="49" s="1"/>
  <c r="O10" i="49"/>
  <c r="O26" i="49" s="1"/>
  <c r="N10" i="49"/>
  <c r="N28" i="49" s="1"/>
  <c r="M10" i="49"/>
  <c r="M26" i="49" s="1"/>
  <c r="L10" i="49"/>
  <c r="K10" i="49"/>
  <c r="K28" i="49" s="1"/>
  <c r="J10" i="49"/>
  <c r="I10" i="49"/>
  <c r="I26" i="49" s="1"/>
  <c r="H10" i="49"/>
  <c r="H26" i="49" s="1"/>
  <c r="G10" i="49"/>
  <c r="G26" i="49" s="1"/>
  <c r="F10" i="49"/>
  <c r="F28" i="49" s="1"/>
  <c r="E10" i="49"/>
  <c r="E26" i="49" s="1"/>
  <c r="D10" i="49"/>
  <c r="AD81" i="30"/>
  <c r="AD79" i="30"/>
  <c r="AD72" i="30"/>
  <c r="AD71" i="30"/>
  <c r="AD70" i="30"/>
  <c r="AD69" i="30"/>
  <c r="AD68" i="30"/>
  <c r="AD67" i="30"/>
  <c r="AD66" i="30"/>
  <c r="AD65" i="30"/>
  <c r="AD58" i="30"/>
  <c r="K46" i="30"/>
  <c r="G46" i="30"/>
  <c r="F46" i="30"/>
  <c r="AF45" i="30"/>
  <c r="N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B37" i="30"/>
  <c r="AA37" i="30"/>
  <c r="Z37" i="30"/>
  <c r="Z20" i="30" s="1"/>
  <c r="Y37" i="30"/>
  <c r="AC36" i="30"/>
  <c r="AB36" i="30"/>
  <c r="AA36" i="30"/>
  <c r="Z36" i="30"/>
  <c r="Y36" i="30"/>
  <c r="X36" i="30"/>
  <c r="O34" i="30"/>
  <c r="N34" i="30"/>
  <c r="O33" i="30"/>
  <c r="N30" i="30"/>
  <c r="N29" i="30" s="1"/>
  <c r="AG27" i="30"/>
  <c r="AF27" i="30"/>
  <c r="AE27" i="30"/>
  <c r="AD27" i="30"/>
  <c r="AC27" i="30"/>
  <c r="AB27" i="30"/>
  <c r="AA27" i="30"/>
  <c r="Z27" i="30"/>
  <c r="Y27" i="30"/>
  <c r="X27" i="30"/>
  <c r="W27" i="30"/>
  <c r="V27" i="30"/>
  <c r="U27" i="30"/>
  <c r="AD64" i="30" s="1"/>
  <c r="T27" i="30"/>
  <c r="S27" i="30"/>
  <c r="AG26" i="30"/>
  <c r="AF26" i="30"/>
  <c r="AE26" i="30"/>
  <c r="AD26" i="30"/>
  <c r="AC26" i="30"/>
  <c r="AB26" i="30"/>
  <c r="AA26" i="30"/>
  <c r="Z26" i="30"/>
  <c r="Y26" i="30"/>
  <c r="X26" i="30"/>
  <c r="W26" i="30"/>
  <c r="V26" i="30"/>
  <c r="U26" i="30"/>
  <c r="AD63" i="30" s="1"/>
  <c r="T26" i="30"/>
  <c r="S26" i="30"/>
  <c r="AG25" i="30"/>
  <c r="AF25" i="30"/>
  <c r="AE25" i="30"/>
  <c r="AD25" i="30"/>
  <c r="AC25" i="30"/>
  <c r="AB25" i="30"/>
  <c r="AA25" i="30"/>
  <c r="Z25" i="30"/>
  <c r="Y25" i="30"/>
  <c r="X25" i="30"/>
  <c r="W25" i="30"/>
  <c r="V25" i="30"/>
  <c r="U25" i="30"/>
  <c r="AD62" i="30" s="1"/>
  <c r="T25" i="30"/>
  <c r="O25" i="30"/>
  <c r="AG24" i="30"/>
  <c r="AF24" i="30"/>
  <c r="AE24" i="30"/>
  <c r="AD24" i="30"/>
  <c r="AC24" i="30"/>
  <c r="AB24" i="30"/>
  <c r="X23" i="30"/>
  <c r="Y23" i="30" s="1"/>
  <c r="Z23" i="30" s="1"/>
  <c r="AA23" i="30" s="1"/>
  <c r="AB23" i="30" s="1"/>
  <c r="AC23" i="30" s="1"/>
  <c r="AD23" i="30" s="1"/>
  <c r="AE23" i="30" s="1"/>
  <c r="AF23" i="30" s="1"/>
  <c r="AG23" i="30" s="1"/>
  <c r="W23" i="30"/>
  <c r="V23" i="30"/>
  <c r="U23" i="30"/>
  <c r="AD60" i="30" s="1"/>
  <c r="T23" i="30"/>
  <c r="S23" i="30"/>
  <c r="R23" i="30"/>
  <c r="Q23" i="30"/>
  <c r="P23" i="30"/>
  <c r="O23" i="30"/>
  <c r="N23" i="30"/>
  <c r="X22" i="30"/>
  <c r="W22" i="30"/>
  <c r="V22" i="30"/>
  <c r="U22" i="30"/>
  <c r="AD59" i="30" s="1"/>
  <c r="T22" i="30"/>
  <c r="S22" i="30"/>
  <c r="R22" i="30"/>
  <c r="Q22" i="30"/>
  <c r="P22" i="30"/>
  <c r="O22" i="30"/>
  <c r="N22" i="30"/>
  <c r="AA21" i="30"/>
  <c r="AB21" i="30" s="1"/>
  <c r="AC21" i="30" s="1"/>
  <c r="AD21" i="30" s="1"/>
  <c r="AE21" i="30" s="1"/>
  <c r="AF21" i="30" s="1"/>
  <c r="AG21" i="30" s="1"/>
  <c r="Y21" i="30"/>
  <c r="Z21" i="30" s="1"/>
  <c r="X21" i="30"/>
  <c r="W21" i="30"/>
  <c r="V21" i="30"/>
  <c r="U21" i="30"/>
  <c r="T21" i="30"/>
  <c r="S21" i="30"/>
  <c r="R21" i="30"/>
  <c r="Q21" i="30"/>
  <c r="P21" i="30"/>
  <c r="O21" i="30"/>
  <c r="N21" i="30"/>
  <c r="M21" i="30"/>
  <c r="L21" i="30"/>
  <c r="K21" i="30"/>
  <c r="J21" i="30"/>
  <c r="I21" i="30"/>
  <c r="H21" i="30"/>
  <c r="AG20" i="30"/>
  <c r="AF20" i="30"/>
  <c r="AE20" i="30"/>
  <c r="AD20" i="30"/>
  <c r="AC20" i="30"/>
  <c r="AB20" i="30"/>
  <c r="AA20" i="30"/>
  <c r="Y20" i="30"/>
  <c r="T20" i="30"/>
  <c r="S20" i="30"/>
  <c r="R20" i="30"/>
  <c r="Q20" i="30"/>
  <c r="P20" i="30"/>
  <c r="O20" i="30"/>
  <c r="N20" i="30"/>
  <c r="M20" i="30"/>
  <c r="M15" i="30" s="1"/>
  <c r="L20" i="30"/>
  <c r="K20" i="30"/>
  <c r="J20" i="30"/>
  <c r="I20" i="30"/>
  <c r="H20" i="30"/>
  <c r="X19" i="30"/>
  <c r="W19" i="30"/>
  <c r="V19" i="30"/>
  <c r="U19" i="30"/>
  <c r="AD56" i="30" s="1"/>
  <c r="T19" i="30"/>
  <c r="S19" i="30"/>
  <c r="R19" i="30"/>
  <c r="Q19" i="30"/>
  <c r="P19" i="30"/>
  <c r="O19" i="30"/>
  <c r="N19" i="30"/>
  <c r="M19" i="30"/>
  <c r="L19" i="30"/>
  <c r="K19" i="30"/>
  <c r="J19" i="30"/>
  <c r="I19" i="30"/>
  <c r="I15" i="30" s="1"/>
  <c r="H19" i="30"/>
  <c r="AG18" i="30"/>
  <c r="AF18" i="30"/>
  <c r="AE18" i="30"/>
  <c r="AD18" i="30"/>
  <c r="AC18" i="30"/>
  <c r="AB18" i="30"/>
  <c r="AA18" i="30"/>
  <c r="Z18" i="30"/>
  <c r="Y18" i="30"/>
  <c r="X18" i="30"/>
  <c r="W18" i="30"/>
  <c r="V18" i="30"/>
  <c r="U18" i="30"/>
  <c r="AD55" i="30" s="1"/>
  <c r="T18" i="30"/>
  <c r="S18" i="30"/>
  <c r="R18" i="30"/>
  <c r="Q18" i="30"/>
  <c r="P18" i="30"/>
  <c r="O18" i="30"/>
  <c r="N18" i="30"/>
  <c r="M18" i="30"/>
  <c r="O30" i="30" s="1"/>
  <c r="O29" i="30" s="1"/>
  <c r="L18" i="30"/>
  <c r="K18" i="30"/>
  <c r="J18" i="30"/>
  <c r="I18" i="30"/>
  <c r="H18" i="30"/>
  <c r="H15" i="30" s="1"/>
  <c r="Z17" i="30"/>
  <c r="X17" i="30"/>
  <c r="Y17" i="30" s="1"/>
  <c r="W17" i="30"/>
  <c r="V17" i="30"/>
  <c r="U17" i="30"/>
  <c r="T17" i="30"/>
  <c r="S17" i="30"/>
  <c r="R17" i="30"/>
  <c r="Q17" i="30"/>
  <c r="P17" i="30"/>
  <c r="O17" i="30"/>
  <c r="N17" i="30"/>
  <c r="M17" i="30"/>
  <c r="M13" i="30" s="1"/>
  <c r="M12" i="30" s="1"/>
  <c r="L17" i="30"/>
  <c r="K17" i="30"/>
  <c r="J17" i="30"/>
  <c r="I17" i="30"/>
  <c r="H17" i="30"/>
  <c r="X16" i="30"/>
  <c r="W16" i="30"/>
  <c r="V16" i="30"/>
  <c r="U16" i="30"/>
  <c r="AD53" i="30" s="1"/>
  <c r="T16" i="30"/>
  <c r="S16" i="30"/>
  <c r="R16" i="30"/>
  <c r="Q16" i="30"/>
  <c r="P16" i="30"/>
  <c r="O16" i="30"/>
  <c r="N16" i="30"/>
  <c r="N15" i="30" s="1"/>
  <c r="M16" i="30"/>
  <c r="L16" i="30"/>
  <c r="K16" i="30"/>
  <c r="J16" i="30"/>
  <c r="I16" i="30"/>
  <c r="H16" i="30"/>
  <c r="L15" i="30"/>
  <c r="X14" i="30"/>
  <c r="W14" i="30"/>
  <c r="V14" i="30"/>
  <c r="U14" i="30"/>
  <c r="AD51" i="30" s="1"/>
  <c r="T14" i="30"/>
  <c r="S14" i="30"/>
  <c r="R14" i="30"/>
  <c r="Q14" i="30"/>
  <c r="P14" i="30"/>
  <c r="O14" i="30"/>
  <c r="N14" i="30"/>
  <c r="N13" i="30" s="1"/>
  <c r="M14" i="30"/>
  <c r="L14" i="30"/>
  <c r="K14" i="30"/>
  <c r="J14" i="30"/>
  <c r="I14" i="30"/>
  <c r="H14" i="30"/>
  <c r="L13" i="30"/>
  <c r="H13" i="30"/>
  <c r="Z12" i="30"/>
  <c r="G12" i="30"/>
  <c r="F12" i="30"/>
  <c r="X11" i="30"/>
  <c r="W11" i="30"/>
  <c r="V11" i="30"/>
  <c r="U11" i="30"/>
  <c r="AD48" i="30" s="1"/>
  <c r="T11" i="30"/>
  <c r="S11" i="30"/>
  <c r="R11" i="30"/>
  <c r="Q11" i="30"/>
  <c r="P11" i="30"/>
  <c r="O11" i="30"/>
  <c r="N11" i="30"/>
  <c r="M11" i="30"/>
  <c r="L11" i="30"/>
  <c r="L12" i="30" s="1"/>
  <c r="K11" i="30"/>
  <c r="J11" i="30"/>
  <c r="J46" i="30" s="1"/>
  <c r="I11" i="30"/>
  <c r="H11" i="30"/>
  <c r="AG12" i="30" s="1"/>
  <c r="L48" i="20"/>
  <c r="AH39" i="20"/>
  <c r="AE39" i="20"/>
  <c r="AH41" i="20" s="1"/>
  <c r="AK38" i="20"/>
  <c r="AJ37" i="20"/>
  <c r="AI37" i="20"/>
  <c r="AH37" i="20"/>
  <c r="AG37" i="20"/>
  <c r="AF37" i="20"/>
  <c r="AE37" i="20"/>
  <c r="AD37" i="20"/>
  <c r="AC37" i="20"/>
  <c r="AB37" i="20"/>
  <c r="AA37" i="20"/>
  <c r="Z37" i="20"/>
  <c r="Y37" i="20"/>
  <c r="X37" i="20"/>
  <c r="W37" i="20"/>
  <c r="V37" i="20"/>
  <c r="U37" i="20"/>
  <c r="T37" i="20"/>
  <c r="S37" i="20"/>
  <c r="R37" i="20"/>
  <c r="Q37" i="20"/>
  <c r="P37" i="20"/>
  <c r="O37" i="20"/>
  <c r="N37" i="20"/>
  <c r="M37" i="20"/>
  <c r="L37" i="20"/>
  <c r="K37" i="20"/>
  <c r="J37" i="20"/>
  <c r="I37" i="20"/>
  <c r="H37" i="20"/>
  <c r="G37" i="20"/>
  <c r="F37" i="20"/>
  <c r="E37" i="20"/>
  <c r="D37" i="20"/>
  <c r="AL35" i="20"/>
  <c r="AK35" i="20"/>
  <c r="AJ35" i="20"/>
  <c r="AI35" i="20"/>
  <c r="AH35" i="20"/>
  <c r="AG35" i="20"/>
  <c r="AF35" i="20"/>
  <c r="AE35" i="20"/>
  <c r="AE38" i="20" s="1"/>
  <c r="AD35" i="20"/>
  <c r="AC35" i="20"/>
  <c r="AB35" i="20"/>
  <c r="AA35" i="20"/>
  <c r="Z35" i="20"/>
  <c r="Y35" i="20"/>
  <c r="X35" i="20"/>
  <c r="W35" i="20"/>
  <c r="V35" i="20"/>
  <c r="W27" i="20"/>
  <c r="R27" i="20"/>
  <c r="O27" i="20"/>
  <c r="J27" i="20"/>
  <c r="AF26" i="20"/>
  <c r="AE26" i="20"/>
  <c r="AD26" i="20"/>
  <c r="AC26" i="20"/>
  <c r="AB26" i="20"/>
  <c r="AA26" i="20"/>
  <c r="Z26" i="20"/>
  <c r="Y26" i="20"/>
  <c r="X26" i="20"/>
  <c r="S26" i="20"/>
  <c r="P26" i="20"/>
  <c r="X23" i="20"/>
  <c r="X27" i="20" s="1"/>
  <c r="W23" i="20"/>
  <c r="W26" i="20" s="1"/>
  <c r="V23" i="20"/>
  <c r="V27" i="20" s="1"/>
  <c r="U23" i="20"/>
  <c r="U27" i="20" s="1"/>
  <c r="T23" i="20"/>
  <c r="S23" i="20"/>
  <c r="S27" i="20" s="1"/>
  <c r="R23" i="20"/>
  <c r="R26" i="20" s="1"/>
  <c r="Q23" i="20"/>
  <c r="Q27" i="20" s="1"/>
  <c r="P23" i="20"/>
  <c r="O23" i="20"/>
  <c r="O26" i="20" s="1"/>
  <c r="N23" i="20"/>
  <c r="N27" i="20" s="1"/>
  <c r="M23" i="20"/>
  <c r="L23" i="20"/>
  <c r="K23" i="20"/>
  <c r="J23" i="20"/>
  <c r="I23" i="20"/>
  <c r="I27" i="20" s="1"/>
  <c r="H23" i="20"/>
  <c r="X11" i="20"/>
  <c r="W11" i="20"/>
  <c r="V11" i="20"/>
  <c r="U11" i="20"/>
  <c r="T11" i="20"/>
  <c r="S11" i="20"/>
  <c r="R11" i="20"/>
  <c r="Q11" i="20"/>
  <c r="P11" i="20"/>
  <c r="O11" i="20"/>
  <c r="N11" i="20"/>
  <c r="M11" i="20"/>
  <c r="L11" i="20"/>
  <c r="K11" i="20"/>
  <c r="J11" i="20"/>
  <c r="I11" i="20"/>
  <c r="H11" i="20"/>
  <c r="AD107" i="26"/>
  <c r="AC107" i="26"/>
  <c r="AB107" i="26"/>
  <c r="AA107" i="26"/>
  <c r="Z107" i="26"/>
  <c r="Y107" i="26"/>
  <c r="X107" i="26"/>
  <c r="W107" i="26"/>
  <c r="V107" i="26"/>
  <c r="U107" i="26"/>
  <c r="T107" i="26"/>
  <c r="S107" i="26"/>
  <c r="Q106" i="26"/>
  <c r="Q48" i="20" s="1"/>
  <c r="P106" i="26"/>
  <c r="P48" i="20" s="1"/>
  <c r="O106" i="26"/>
  <c r="O48" i="20" s="1"/>
  <c r="N106" i="26"/>
  <c r="N48" i="20" s="1"/>
  <c r="M106" i="26"/>
  <c r="M48" i="20" s="1"/>
  <c r="L106" i="26"/>
  <c r="K106" i="26"/>
  <c r="K48" i="20" s="1"/>
  <c r="J106" i="26"/>
  <c r="I106" i="26"/>
  <c r="I48" i="20" s="1"/>
  <c r="H106" i="26"/>
  <c r="N83" i="26"/>
  <c r="AG81" i="26"/>
  <c r="AF81" i="26"/>
  <c r="AE81" i="26"/>
  <c r="AD81" i="26"/>
  <c r="AC81" i="26"/>
  <c r="AB81" i="26"/>
  <c r="AA81" i="26"/>
  <c r="Z81" i="26"/>
  <c r="Y81" i="26"/>
  <c r="X81" i="26"/>
  <c r="W81" i="26"/>
  <c r="V81" i="26"/>
  <c r="U81" i="26"/>
  <c r="T81" i="26"/>
  <c r="S81" i="26"/>
  <c r="AG79" i="26"/>
  <c r="AF79" i="26"/>
  <c r="AE79" i="26"/>
  <c r="AG78" i="26"/>
  <c r="AF78" i="26"/>
  <c r="AE78" i="26"/>
  <c r="AD78" i="26"/>
  <c r="AC78" i="26"/>
  <c r="AB78" i="26"/>
  <c r="AA78" i="26"/>
  <c r="Z78" i="26"/>
  <c r="Y78" i="26"/>
  <c r="AG77" i="26"/>
  <c r="AF77" i="26"/>
  <c r="AE77" i="26"/>
  <c r="C69" i="26"/>
  <c r="C68" i="26"/>
  <c r="C67" i="26"/>
  <c r="C66" i="26"/>
  <c r="C47" i="26" s="1"/>
  <c r="C65" i="26"/>
  <c r="C64" i="26" s="1"/>
  <c r="C63" i="26"/>
  <c r="C62" i="26"/>
  <c r="C61" i="26"/>
  <c r="C60" i="26"/>
  <c r="C59" i="26"/>
  <c r="C54" i="26"/>
  <c r="C50" i="26"/>
  <c r="E50" i="26" s="1"/>
  <c r="C49" i="26"/>
  <c r="C48" i="26"/>
  <c r="C46" i="26"/>
  <c r="AC39" i="26"/>
  <c r="AB39" i="26"/>
  <c r="AD38" i="26"/>
  <c r="O38" i="26"/>
  <c r="N38" i="26"/>
  <c r="Z37" i="26"/>
  <c r="R37" i="26"/>
  <c r="Q37" i="26"/>
  <c r="AH36" i="26"/>
  <c r="AI19" i="26" s="1"/>
  <c r="Q36" i="26"/>
  <c r="N36" i="26"/>
  <c r="X33" i="26"/>
  <c r="W33" i="26"/>
  <c r="V33" i="26"/>
  <c r="U33" i="26"/>
  <c r="T33" i="26"/>
  <c r="S33" i="26"/>
  <c r="R33" i="26"/>
  <c r="Q33" i="26"/>
  <c r="P33" i="26"/>
  <c r="O33" i="26"/>
  <c r="N33" i="26"/>
  <c r="M33" i="26"/>
  <c r="X32" i="26"/>
  <c r="W32" i="26"/>
  <c r="V32" i="26"/>
  <c r="U32" i="26"/>
  <c r="T32" i="26"/>
  <c r="S32" i="26"/>
  <c r="R32" i="26"/>
  <c r="Q32" i="26"/>
  <c r="P32" i="26"/>
  <c r="O32" i="26"/>
  <c r="N32" i="26"/>
  <c r="M32" i="26"/>
  <c r="N31" i="26"/>
  <c r="AH31" i="26" s="1"/>
  <c r="M31" i="26"/>
  <c r="AD29" i="26"/>
  <c r="AC29" i="26"/>
  <c r="AB29" i="26"/>
  <c r="AA29" i="26"/>
  <c r="Z29" i="26"/>
  <c r="Y29" i="26"/>
  <c r="AH28" i="26"/>
  <c r="AH27" i="26"/>
  <c r="J26" i="26"/>
  <c r="AH26" i="26" s="1"/>
  <c r="P25" i="26"/>
  <c r="O25" i="26"/>
  <c r="N25" i="26"/>
  <c r="M25" i="26"/>
  <c r="L25" i="26"/>
  <c r="K25" i="26"/>
  <c r="J25" i="26"/>
  <c r="AD19" i="26"/>
  <c r="AC19" i="26"/>
  <c r="AB19" i="26"/>
  <c r="AA19" i="26"/>
  <c r="Z19" i="26"/>
  <c r="Y19" i="26"/>
  <c r="X19" i="26"/>
  <c r="W19" i="26"/>
  <c r="V19" i="26"/>
  <c r="U19" i="26"/>
  <c r="T19" i="26"/>
  <c r="S19" i="26"/>
  <c r="R19" i="26"/>
  <c r="Q19" i="26"/>
  <c r="P19" i="26"/>
  <c r="O19" i="26"/>
  <c r="N19" i="26"/>
  <c r="M19" i="26"/>
  <c r="L19" i="26"/>
  <c r="K19" i="26"/>
  <c r="S18" i="26"/>
  <c r="Q18" i="26"/>
  <c r="P18" i="26"/>
  <c r="AC17" i="26"/>
  <c r="AB17" i="26"/>
  <c r="AD16" i="26"/>
  <c r="AD79" i="26" s="1"/>
  <c r="AC16" i="26"/>
  <c r="AC79" i="26" s="1"/>
  <c r="AB16" i="26"/>
  <c r="AB79" i="26" s="1"/>
  <c r="AA16" i="26"/>
  <c r="AA79" i="26" s="1"/>
  <c r="Z16" i="26"/>
  <c r="Z79" i="26" s="1"/>
  <c r="Y16" i="26"/>
  <c r="Y79" i="26" s="1"/>
  <c r="AD15" i="26"/>
  <c r="AC15" i="26"/>
  <c r="AB15" i="26"/>
  <c r="AA15" i="26"/>
  <c r="Z15" i="26"/>
  <c r="Y15" i="26"/>
  <c r="AD14" i="26"/>
  <c r="AD77" i="26" s="1"/>
  <c r="AC14" i="26"/>
  <c r="AC77" i="26" s="1"/>
  <c r="AB14" i="26"/>
  <c r="AB77" i="26" s="1"/>
  <c r="AA14" i="26"/>
  <c r="AA77" i="26" s="1"/>
  <c r="Z14" i="26"/>
  <c r="Z77" i="26" s="1"/>
  <c r="Y14" i="26"/>
  <c r="Y77" i="26" s="1"/>
  <c r="X14" i="26"/>
  <c r="X77" i="26" s="1"/>
  <c r="W14" i="26"/>
  <c r="W77" i="26" s="1"/>
  <c r="V14" i="26"/>
  <c r="V77" i="26" s="1"/>
  <c r="U14" i="26"/>
  <c r="U77" i="26" s="1"/>
  <c r="T14" i="26"/>
  <c r="T77" i="26" s="1"/>
  <c r="S14" i="26"/>
  <c r="S77" i="26" s="1"/>
  <c r="R14" i="26"/>
  <c r="R77" i="26" s="1"/>
  <c r="Q14" i="26"/>
  <c r="Q77" i="26" s="1"/>
  <c r="P14" i="26"/>
  <c r="P77" i="26" s="1"/>
  <c r="O14" i="26"/>
  <c r="O77" i="26" s="1"/>
  <c r="N14" i="26"/>
  <c r="N77" i="26" s="1"/>
  <c r="M14" i="26"/>
  <c r="M77" i="26" s="1"/>
  <c r="L14" i="26"/>
  <c r="L77" i="26" s="1"/>
  <c r="K14" i="26"/>
  <c r="K77" i="26" s="1"/>
  <c r="J14" i="26"/>
  <c r="Z13" i="26"/>
  <c r="T13" i="26"/>
  <c r="T83" i="26" s="1"/>
  <c r="S13" i="26"/>
  <c r="S83" i="26" s="1"/>
  <c r="R13" i="26"/>
  <c r="R83" i="26" s="1"/>
  <c r="Q13" i="26"/>
  <c r="Q83" i="26" s="1"/>
  <c r="P13" i="26"/>
  <c r="P83" i="26" s="1"/>
  <c r="O13" i="26"/>
  <c r="O83" i="26" s="1"/>
  <c r="N13" i="26"/>
  <c r="M13" i="26"/>
  <c r="M83" i="26" s="1"/>
  <c r="L13" i="26"/>
  <c r="L83" i="26" s="1"/>
  <c r="K13" i="26"/>
  <c r="K83" i="26" s="1"/>
  <c r="J13" i="26"/>
  <c r="AI12" i="26"/>
  <c r="AH12" i="26"/>
  <c r="J12" i="26"/>
  <c r="D46" i="26" s="1"/>
  <c r="X11" i="26"/>
  <c r="W11" i="26"/>
  <c r="T11" i="26"/>
  <c r="Q11" i="26"/>
  <c r="P11" i="26"/>
  <c r="O11" i="26"/>
  <c r="L11" i="26"/>
  <c r="L20" i="26" s="1"/>
  <c r="L80" i="26" s="1"/>
  <c r="I11" i="26"/>
  <c r="I20" i="26" s="1"/>
  <c r="I80" i="26" s="1"/>
  <c r="I75" i="26" s="1"/>
  <c r="I49" i="20" s="1"/>
  <c r="H11" i="26"/>
  <c r="H20" i="26" s="1"/>
  <c r="H80" i="26" s="1"/>
  <c r="H75" i="26" s="1"/>
  <c r="H49" i="20" s="1"/>
  <c r="G11" i="26"/>
  <c r="G20" i="26" s="1"/>
  <c r="D11" i="26"/>
  <c r="D20" i="26" s="1"/>
  <c r="AD10" i="26"/>
  <c r="X10" i="26"/>
  <c r="W10" i="26"/>
  <c r="V10" i="26"/>
  <c r="U10" i="26"/>
  <c r="T10" i="26"/>
  <c r="S10" i="26"/>
  <c r="R10" i="26"/>
  <c r="Q10" i="26"/>
  <c r="P10" i="26"/>
  <c r="O10" i="26"/>
  <c r="N10" i="26"/>
  <c r="M10" i="26"/>
  <c r="L10" i="26"/>
  <c r="K10" i="26"/>
  <c r="J10" i="26"/>
  <c r="I10" i="26"/>
  <c r="H10" i="26"/>
  <c r="G10" i="26"/>
  <c r="F10" i="26"/>
  <c r="E10" i="26"/>
  <c r="D10" i="26"/>
  <c r="X9" i="26"/>
  <c r="W9" i="26"/>
  <c r="V9" i="26"/>
  <c r="V11" i="26" s="1"/>
  <c r="U9" i="26"/>
  <c r="U11" i="26" s="1"/>
  <c r="T9" i="26"/>
  <c r="S9" i="26"/>
  <c r="S11" i="26" s="1"/>
  <c r="R9" i="26"/>
  <c r="Q9" i="26"/>
  <c r="P9" i="26"/>
  <c r="O9" i="26"/>
  <c r="N9" i="26"/>
  <c r="N11" i="26" s="1"/>
  <c r="M9" i="26"/>
  <c r="M11" i="26" s="1"/>
  <c r="L9" i="26"/>
  <c r="K9" i="26"/>
  <c r="K11" i="26" s="1"/>
  <c r="K20" i="26" s="1"/>
  <c r="K80" i="26" s="1"/>
  <c r="J9" i="26"/>
  <c r="I9" i="26"/>
  <c r="H9" i="26"/>
  <c r="G9" i="26"/>
  <c r="F9" i="26"/>
  <c r="F11" i="26" s="1"/>
  <c r="F20" i="26" s="1"/>
  <c r="E9" i="26"/>
  <c r="E11" i="26" s="1"/>
  <c r="E20" i="26" s="1"/>
  <c r="D9" i="26"/>
  <c r="Q20" i="74"/>
  <c r="P20" i="74"/>
  <c r="I20" i="74"/>
  <c r="H20"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H17" i="74"/>
  <c r="G17" i="74"/>
  <c r="F17" i="74"/>
  <c r="E17" i="74"/>
  <c r="D17" i="74"/>
  <c r="U16" i="74"/>
  <c r="T16" i="74"/>
  <c r="S16" i="74"/>
  <c r="R16" i="74"/>
  <c r="Q16" i="74"/>
  <c r="P16" i="74"/>
  <c r="P13" i="74" s="1"/>
  <c r="O16" i="74"/>
  <c r="N16" i="74"/>
  <c r="M16" i="74"/>
  <c r="L16" i="74"/>
  <c r="K16" i="74"/>
  <c r="J16" i="74"/>
  <c r="I16" i="74"/>
  <c r="H16" i="74"/>
  <c r="H13" i="74" s="1"/>
  <c r="G16" i="74"/>
  <c r="F16" i="74"/>
  <c r="E16" i="74"/>
  <c r="D16" i="74"/>
  <c r="U15" i="74"/>
  <c r="T15" i="74"/>
  <c r="S15" i="74"/>
  <c r="S13" i="74" s="1"/>
  <c r="R15" i="74"/>
  <c r="Q15" i="74"/>
  <c r="P15" i="74"/>
  <c r="O15" i="74"/>
  <c r="O13" i="74" s="1"/>
  <c r="N15" i="74"/>
  <c r="M15" i="74"/>
  <c r="L15" i="74"/>
  <c r="K15" i="74"/>
  <c r="K13" i="74" s="1"/>
  <c r="J15" i="74"/>
  <c r="J13" i="74" s="1"/>
  <c r="I15" i="74"/>
  <c r="H15" i="74"/>
  <c r="G15" i="74"/>
  <c r="F15" i="74"/>
  <c r="E15" i="74"/>
  <c r="D15" i="74"/>
  <c r="U14" i="74"/>
  <c r="U13" i="74" s="1"/>
  <c r="T14" i="74"/>
  <c r="T13" i="74" s="1"/>
  <c r="S14" i="74"/>
  <c r="R14" i="74"/>
  <c r="Q14" i="74"/>
  <c r="P14" i="74"/>
  <c r="O14" i="74"/>
  <c r="N14" i="74"/>
  <c r="M14" i="74"/>
  <c r="M13" i="74" s="1"/>
  <c r="L14" i="74"/>
  <c r="L13" i="74" s="1"/>
  <c r="K14" i="74"/>
  <c r="J14" i="74"/>
  <c r="I14" i="74"/>
  <c r="I13" i="74" s="1"/>
  <c r="H14" i="74"/>
  <c r="G14" i="74"/>
  <c r="F14" i="74"/>
  <c r="E14" i="74"/>
  <c r="D14" i="74"/>
  <c r="N13" i="74"/>
  <c r="U12" i="74"/>
  <c r="T12" i="74"/>
  <c r="S12" i="74"/>
  <c r="R12" i="74"/>
  <c r="Q12" i="74"/>
  <c r="P12" i="74"/>
  <c r="O12" i="74"/>
  <c r="N12" i="74"/>
  <c r="M12" i="74"/>
  <c r="L12" i="74"/>
  <c r="K12" i="74"/>
  <c r="J12" i="74"/>
  <c r="I12" i="74"/>
  <c r="H12" i="74"/>
  <c r="G12" i="74"/>
  <c r="F12" i="74"/>
  <c r="E12" i="74"/>
  <c r="D12" i="74"/>
  <c r="U11" i="74"/>
  <c r="T11" i="74"/>
  <c r="S11" i="74"/>
  <c r="S20" i="74" s="1"/>
  <c r="S19" i="74" s="1"/>
  <c r="R11" i="74"/>
  <c r="Q11" i="74"/>
  <c r="P11" i="74"/>
  <c r="P19" i="74" s="1"/>
  <c r="O11" i="74"/>
  <c r="O20" i="74" s="1"/>
  <c r="O19" i="74" s="1"/>
  <c r="N11" i="74"/>
  <c r="M11" i="74"/>
  <c r="L11" i="74"/>
  <c r="K11" i="74"/>
  <c r="K20" i="74" s="1"/>
  <c r="K19" i="74" s="1"/>
  <c r="J11" i="74"/>
  <c r="J20" i="74" s="1"/>
  <c r="J19" i="74" s="1"/>
  <c r="I11" i="74"/>
  <c r="I19" i="74" s="1"/>
  <c r="H11" i="74"/>
  <c r="H19" i="74" s="1"/>
  <c r="G11" i="74"/>
  <c r="G20" i="74" s="1"/>
  <c r="G19" i="74" s="1"/>
  <c r="F11" i="74"/>
  <c r="E11" i="74"/>
  <c r="D11" i="74"/>
  <c r="D20" i="74" s="1"/>
  <c r="D19" i="74" s="1"/>
  <c r="AF23" i="25"/>
  <c r="AE23" i="25"/>
  <c r="AD23" i="25"/>
  <c r="AC23" i="25"/>
  <c r="AB23" i="25"/>
  <c r="AA23" i="25"/>
  <c r="Z23" i="25"/>
  <c r="Y23" i="25"/>
  <c r="X23" i="25"/>
  <c r="T20" i="25"/>
  <c r="Q20" i="25"/>
  <c r="M20" i="25"/>
  <c r="I20" i="25"/>
  <c r="E20" i="25"/>
  <c r="D20" i="25"/>
  <c r="M19" i="25"/>
  <c r="E19" i="25"/>
  <c r="X18" i="25"/>
  <c r="W18" i="25"/>
  <c r="V18" i="25"/>
  <c r="U18" i="25"/>
  <c r="T18" i="25"/>
  <c r="S18" i="25"/>
  <c r="R18" i="25"/>
  <c r="Q18" i="25"/>
  <c r="P18" i="25"/>
  <c r="O18" i="25"/>
  <c r="N18" i="25"/>
  <c r="M18" i="25"/>
  <c r="L18" i="25"/>
  <c r="K18" i="25"/>
  <c r="J18" i="25"/>
  <c r="I18" i="25"/>
  <c r="H18" i="25"/>
  <c r="G18" i="25"/>
  <c r="F18" i="25"/>
  <c r="E18" i="25"/>
  <c r="D18" i="25"/>
  <c r="X17" i="25"/>
  <c r="Y17" i="25" s="1"/>
  <c r="W17" i="25"/>
  <c r="V17" i="25"/>
  <c r="U17" i="25"/>
  <c r="T17" i="25"/>
  <c r="S17" i="25"/>
  <c r="R17" i="25"/>
  <c r="Q17" i="25"/>
  <c r="P17" i="25"/>
  <c r="O17" i="25"/>
  <c r="N17" i="25"/>
  <c r="M17" i="25"/>
  <c r="M13" i="25" s="1"/>
  <c r="L17" i="25"/>
  <c r="K17" i="25"/>
  <c r="J17" i="25"/>
  <c r="J13" i="25" s="1"/>
  <c r="I17" i="25"/>
  <c r="H17" i="25"/>
  <c r="G17" i="25"/>
  <c r="F17" i="25"/>
  <c r="E17" i="25"/>
  <c r="D17" i="25"/>
  <c r="X16" i="25"/>
  <c r="Y16" i="25" s="1"/>
  <c r="Z16" i="25" s="1"/>
  <c r="AA16" i="25" s="1"/>
  <c r="AB16" i="25" s="1"/>
  <c r="AC16" i="25" s="1"/>
  <c r="AD16" i="25" s="1"/>
  <c r="W16" i="25"/>
  <c r="V16" i="25"/>
  <c r="U16" i="25"/>
  <c r="T16" i="25"/>
  <c r="S16" i="25"/>
  <c r="R16" i="25"/>
  <c r="Q16" i="25"/>
  <c r="P16" i="25"/>
  <c r="P13" i="25" s="1"/>
  <c r="O16" i="25"/>
  <c r="N16" i="25"/>
  <c r="M16" i="25"/>
  <c r="L16" i="25"/>
  <c r="K16" i="25"/>
  <c r="J16" i="25"/>
  <c r="I16" i="25"/>
  <c r="H16" i="25"/>
  <c r="H13" i="25" s="1"/>
  <c r="G16" i="25"/>
  <c r="F16" i="25"/>
  <c r="E16" i="25"/>
  <c r="D16" i="25"/>
  <c r="X15" i="25"/>
  <c r="Y15" i="25" s="1"/>
  <c r="W15" i="25"/>
  <c r="V15" i="25"/>
  <c r="U15" i="25"/>
  <c r="U13" i="25" s="1"/>
  <c r="U20" i="25" s="1"/>
  <c r="T15" i="25"/>
  <c r="T13" i="25" s="1"/>
  <c r="S15" i="25"/>
  <c r="R15" i="25"/>
  <c r="Q15" i="25"/>
  <c r="P15" i="25"/>
  <c r="O15" i="25"/>
  <c r="N15" i="25"/>
  <c r="M15" i="25"/>
  <c r="L15" i="25"/>
  <c r="K15" i="25"/>
  <c r="J15" i="25"/>
  <c r="I15" i="25"/>
  <c r="H15" i="25"/>
  <c r="G15" i="25"/>
  <c r="F15" i="25"/>
  <c r="E15" i="25"/>
  <c r="D15" i="25"/>
  <c r="X14" i="25"/>
  <c r="W14" i="25"/>
  <c r="W13" i="25" s="1"/>
  <c r="V14" i="25"/>
  <c r="U14" i="25"/>
  <c r="T14" i="25"/>
  <c r="S14" i="25"/>
  <c r="S13" i="25" s="1"/>
  <c r="R14" i="25"/>
  <c r="Q14" i="25"/>
  <c r="P14" i="25"/>
  <c r="O14" i="25"/>
  <c r="O13" i="25" s="1"/>
  <c r="N14" i="25"/>
  <c r="M14" i="25"/>
  <c r="L14" i="25"/>
  <c r="K14" i="25"/>
  <c r="K13" i="25" s="1"/>
  <c r="J14" i="25"/>
  <c r="I14" i="25"/>
  <c r="H14" i="25"/>
  <c r="G14" i="25"/>
  <c r="F14" i="25"/>
  <c r="E14" i="25"/>
  <c r="D14" i="25"/>
  <c r="R13" i="25"/>
  <c r="I13" i="25"/>
  <c r="X12" i="25"/>
  <c r="Y12" i="25" s="1"/>
  <c r="W12" i="25"/>
  <c r="V12" i="25"/>
  <c r="U12" i="25"/>
  <c r="T12" i="25"/>
  <c r="S12" i="25"/>
  <c r="R12" i="25"/>
  <c r="Q12" i="25"/>
  <c r="P12" i="25"/>
  <c r="O12" i="25"/>
  <c r="N12" i="25"/>
  <c r="M12" i="25"/>
  <c r="L12" i="25"/>
  <c r="K12" i="25"/>
  <c r="J12" i="25"/>
  <c r="I12" i="25"/>
  <c r="H12" i="25"/>
  <c r="G12" i="25"/>
  <c r="F12" i="25"/>
  <c r="E12" i="25"/>
  <c r="D12" i="25"/>
  <c r="X11" i="25"/>
  <c r="W11" i="25"/>
  <c r="V11" i="25"/>
  <c r="U11" i="25"/>
  <c r="T11" i="25"/>
  <c r="S11" i="25"/>
  <c r="R11" i="25"/>
  <c r="Q11" i="25"/>
  <c r="Q19" i="25" s="1"/>
  <c r="P11" i="25"/>
  <c r="O11" i="25"/>
  <c r="O20" i="25" s="1"/>
  <c r="N11" i="25"/>
  <c r="M11" i="25"/>
  <c r="L11" i="25"/>
  <c r="K11" i="25"/>
  <c r="J11" i="25"/>
  <c r="I11" i="25"/>
  <c r="I19" i="25" s="1"/>
  <c r="H11" i="25"/>
  <c r="H20" i="25" s="1"/>
  <c r="G11" i="25"/>
  <c r="G20" i="25" s="1"/>
  <c r="F11" i="25"/>
  <c r="F20" i="25" s="1"/>
  <c r="E11" i="25"/>
  <c r="D11" i="25"/>
  <c r="D19" i="25" s="1"/>
  <c r="O14" i="56"/>
  <c r="O13" i="56"/>
  <c r="O12" i="56"/>
  <c r="O11" i="56"/>
  <c r="O10" i="56"/>
  <c r="O9" i="56"/>
  <c r="O8" i="56"/>
  <c r="O7" i="56"/>
  <c r="O6" i="56"/>
  <c r="O5" i="56"/>
  <c r="O4" i="56"/>
  <c r="O3" i="56"/>
  <c r="D2" i="56"/>
  <c r="E2" i="56" s="1"/>
  <c r="F2" i="56" s="1"/>
  <c r="G2" i="56" s="1"/>
  <c r="H2" i="56" s="1"/>
  <c r="I2" i="56" s="1"/>
  <c r="J2" i="56" s="1"/>
  <c r="K2" i="56" s="1"/>
  <c r="L2" i="56" s="1"/>
  <c r="M2" i="56" s="1"/>
  <c r="N2" i="56" s="1"/>
  <c r="C6" i="71"/>
  <c r="C5" i="71"/>
  <c r="H4" i="71"/>
  <c r="G4" i="71"/>
  <c r="C4" i="71"/>
  <c r="J3" i="71"/>
  <c r="I3" i="71"/>
  <c r="F3" i="71"/>
  <c r="E3" i="71"/>
  <c r="D3" i="71"/>
  <c r="J2" i="71"/>
  <c r="I2" i="71"/>
  <c r="G2" i="71"/>
  <c r="F2" i="71"/>
  <c r="D2" i="71"/>
  <c r="C2" i="71"/>
  <c r="Q11" i="50"/>
  <c r="P11" i="50"/>
  <c r="O11" i="50"/>
  <c r="N11" i="50"/>
  <c r="M11" i="50"/>
  <c r="L11" i="50"/>
  <c r="K11" i="50"/>
  <c r="J11" i="50"/>
  <c r="I11" i="50"/>
  <c r="H11" i="50"/>
  <c r="G11" i="50"/>
  <c r="F11" i="50"/>
  <c r="E11" i="50"/>
  <c r="D11" i="50"/>
  <c r="C11" i="50"/>
  <c r="Q10" i="50"/>
  <c r="P10" i="50"/>
  <c r="O10" i="50"/>
  <c r="N10" i="50"/>
  <c r="M10" i="50"/>
  <c r="L10" i="50"/>
  <c r="J9" i="50"/>
  <c r="I9" i="50"/>
  <c r="H9" i="50"/>
  <c r="G9" i="50"/>
  <c r="F9" i="50"/>
  <c r="E9" i="50"/>
  <c r="D9" i="50"/>
  <c r="Q8" i="50"/>
  <c r="P8" i="50"/>
  <c r="O8" i="50"/>
  <c r="N8" i="50"/>
  <c r="Q7" i="50"/>
  <c r="P7" i="50"/>
  <c r="O7" i="50"/>
  <c r="N7" i="50"/>
  <c r="M7" i="50"/>
  <c r="L7" i="50"/>
  <c r="K7" i="50"/>
  <c r="J7" i="50"/>
  <c r="I7" i="50"/>
  <c r="H7" i="50"/>
  <c r="G7" i="50"/>
  <c r="F7" i="50"/>
  <c r="E7" i="50"/>
  <c r="D7" i="50"/>
  <c r="C7" i="50"/>
  <c r="G6" i="50"/>
  <c r="E6" i="50"/>
  <c r="D6" i="50"/>
  <c r="C6" i="50"/>
  <c r="L5" i="50"/>
  <c r="E5" i="50"/>
  <c r="C5" i="50"/>
  <c r="M4" i="50"/>
  <c r="E4" i="50"/>
  <c r="D4" i="50"/>
  <c r="C4" i="50"/>
  <c r="AC51" i="72"/>
  <c r="Z51" i="72"/>
  <c r="V51" i="72"/>
  <c r="U51" i="72"/>
  <c r="AA46" i="72"/>
  <c r="AA51" i="72" s="1"/>
  <c r="Z46" i="72"/>
  <c r="Y46" i="72"/>
  <c r="Y51" i="72" s="1"/>
  <c r="X46" i="72"/>
  <c r="X51" i="72" s="1"/>
  <c r="W46" i="72"/>
  <c r="W51" i="72" s="1"/>
  <c r="V46" i="72"/>
  <c r="U46" i="72"/>
  <c r="T46" i="72"/>
  <c r="T51" i="72" s="1"/>
  <c r="S46" i="72"/>
  <c r="AC40" i="72"/>
  <c r="AB40" i="72"/>
  <c r="AA40" i="72"/>
  <c r="Z40" i="72"/>
  <c r="Y40" i="72"/>
  <c r="X40" i="72"/>
  <c r="W40" i="72"/>
  <c r="V40" i="72"/>
  <c r="U40" i="72"/>
  <c r="T40" i="72"/>
  <c r="S40" i="72"/>
  <c r="R40" i="72"/>
  <c r="Q40" i="72"/>
  <c r="P40" i="72"/>
  <c r="O40" i="72"/>
  <c r="N40" i="72"/>
  <c r="M40" i="72"/>
  <c r="L40" i="72"/>
  <c r="K40" i="72"/>
  <c r="J40" i="72"/>
  <c r="I40" i="72"/>
  <c r="H40" i="72"/>
  <c r="G40" i="72"/>
  <c r="F40" i="72"/>
  <c r="E40" i="72"/>
  <c r="D40" i="72"/>
  <c r="AC39" i="72"/>
  <c r="AB39" i="72"/>
  <c r="AA39" i="72"/>
  <c r="Z39" i="72"/>
  <c r="Y39" i="72"/>
  <c r="X39" i="72"/>
  <c r="W39" i="72"/>
  <c r="V39" i="72"/>
  <c r="U39" i="72"/>
  <c r="T39" i="72"/>
  <c r="S39" i="72"/>
  <c r="R39" i="72"/>
  <c r="Q39" i="72"/>
  <c r="P39" i="72"/>
  <c r="O39" i="72"/>
  <c r="N39" i="72"/>
  <c r="M39" i="72"/>
  <c r="L39" i="72"/>
  <c r="K39" i="72"/>
  <c r="J39" i="72"/>
  <c r="I39" i="72"/>
  <c r="H39" i="72"/>
  <c r="G39" i="72"/>
  <c r="F39" i="72"/>
  <c r="E39" i="72"/>
  <c r="D39" i="72"/>
  <c r="AC38" i="72"/>
  <c r="AB38" i="72"/>
  <c r="AA38" i="72"/>
  <c r="Z38" i="72"/>
  <c r="Y38" i="72"/>
  <c r="X38" i="72"/>
  <c r="W38" i="72"/>
  <c r="V38" i="72"/>
  <c r="U38" i="72"/>
  <c r="T38" i="72"/>
  <c r="S38" i="72"/>
  <c r="R38" i="72"/>
  <c r="Q38" i="72"/>
  <c r="P38" i="72"/>
  <c r="O38" i="72"/>
  <c r="N38" i="72"/>
  <c r="M38" i="72"/>
  <c r="L38" i="72"/>
  <c r="K38" i="72"/>
  <c r="J38" i="72"/>
  <c r="I38" i="72"/>
  <c r="H38" i="72"/>
  <c r="G38" i="72"/>
  <c r="F38" i="72"/>
  <c r="E38" i="72"/>
  <c r="D38" i="72"/>
  <c r="AC37" i="72"/>
  <c r="AB37" i="72"/>
  <c r="AA37" i="72"/>
  <c r="Z37" i="72"/>
  <c r="Y37" i="72"/>
  <c r="X37" i="72"/>
  <c r="W37" i="72"/>
  <c r="V37" i="72"/>
  <c r="U37" i="72"/>
  <c r="T37" i="72"/>
  <c r="S37" i="72"/>
  <c r="R37" i="72"/>
  <c r="Q37" i="72"/>
  <c r="P37" i="72"/>
  <c r="O37" i="72"/>
  <c r="N37" i="72"/>
  <c r="M37" i="72"/>
  <c r="L37" i="72"/>
  <c r="K37" i="72"/>
  <c r="J37" i="72"/>
  <c r="I37" i="72"/>
  <c r="H37" i="72"/>
  <c r="G37" i="72"/>
  <c r="F37" i="72"/>
  <c r="E37" i="72"/>
  <c r="D37"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C34" i="72"/>
  <c r="AB34" i="72"/>
  <c r="AA34" i="72"/>
  <c r="Z34" i="72"/>
  <c r="Y34" i="72"/>
  <c r="X34" i="72"/>
  <c r="W34" i="72"/>
  <c r="V34" i="72"/>
  <c r="U34" i="72"/>
  <c r="T34" i="72"/>
  <c r="S34" i="72"/>
  <c r="R34" i="72"/>
  <c r="Q34" i="72"/>
  <c r="P34" i="72"/>
  <c r="O34" i="72"/>
  <c r="N34" i="72"/>
  <c r="M34" i="72"/>
  <c r="L34" i="72"/>
  <c r="K34" i="72"/>
  <c r="J34" i="72"/>
  <c r="I34" i="72"/>
  <c r="H34" i="72"/>
  <c r="G34" i="72"/>
  <c r="F34" i="72"/>
  <c r="E34" i="72"/>
  <c r="D34" i="72"/>
  <c r="AC33" i="72"/>
  <c r="AB33" i="72"/>
  <c r="AA33" i="72"/>
  <c r="Z33" i="72"/>
  <c r="Y33" i="72"/>
  <c r="X33" i="72"/>
  <c r="W33" i="72"/>
  <c r="V33" i="72"/>
  <c r="U33" i="72"/>
  <c r="T33" i="72"/>
  <c r="S33" i="72"/>
  <c r="R33" i="72"/>
  <c r="Q33" i="72"/>
  <c r="P33" i="72"/>
  <c r="O33" i="72"/>
  <c r="N33" i="72"/>
  <c r="M33" i="72"/>
  <c r="L33" i="72"/>
  <c r="K33" i="72"/>
  <c r="J33" i="72"/>
  <c r="I33" i="72"/>
  <c r="H33" i="72"/>
  <c r="G33" i="72"/>
  <c r="F33" i="72"/>
  <c r="E33" i="72"/>
  <c r="D33" i="72"/>
  <c r="AC32" i="72"/>
  <c r="AB32" i="72"/>
  <c r="AA32" i="72"/>
  <c r="Z32" i="72"/>
  <c r="Y32" i="72"/>
  <c r="X32" i="72"/>
  <c r="W32" i="72"/>
  <c r="V32" i="72"/>
  <c r="U32" i="72"/>
  <c r="T32" i="72"/>
  <c r="S32" i="72"/>
  <c r="R32" i="72"/>
  <c r="Q32" i="72"/>
  <c r="P32" i="72"/>
  <c r="O32" i="72"/>
  <c r="N32" i="72"/>
  <c r="M32" i="72"/>
  <c r="L32" i="72"/>
  <c r="K32" i="72"/>
  <c r="J32" i="72"/>
  <c r="I32" i="72"/>
  <c r="H32" i="72"/>
  <c r="G32" i="72"/>
  <c r="F32" i="72"/>
  <c r="E32" i="72"/>
  <c r="D32" i="72"/>
  <c r="AC31" i="72"/>
  <c r="AB31" i="72"/>
  <c r="AA31" i="72"/>
  <c r="Z31" i="72"/>
  <c r="Y31" i="72"/>
  <c r="X31" i="72"/>
  <c r="W31" i="72"/>
  <c r="V31" i="72"/>
  <c r="U31" i="72"/>
  <c r="T31" i="72"/>
  <c r="S31" i="72"/>
  <c r="R31" i="72"/>
  <c r="Q31" i="72"/>
  <c r="P31" i="72"/>
  <c r="O31" i="72"/>
  <c r="N31" i="72"/>
  <c r="M31" i="72"/>
  <c r="L31" i="72"/>
  <c r="K31" i="72"/>
  <c r="J31" i="72"/>
  <c r="I31" i="72"/>
  <c r="H31" i="72"/>
  <c r="G31" i="72"/>
  <c r="F31" i="72"/>
  <c r="E31" i="72"/>
  <c r="D31" i="72"/>
  <c r="AD30" i="72"/>
  <c r="AD8" i="72" s="1"/>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S38" i="73"/>
  <c r="S37" i="73"/>
  <c r="S31" i="73"/>
  <c r="S30" i="73"/>
  <c r="T38" i="79"/>
  <c r="T37" i="79"/>
  <c r="T32" i="79"/>
  <c r="T31" i="79"/>
  <c r="T30" i="79"/>
  <c r="L24" i="35"/>
  <c r="K24" i="35"/>
  <c r="J24" i="35"/>
  <c r="I24" i="35"/>
  <c r="H24" i="35"/>
  <c r="G24" i="35"/>
  <c r="F24" i="35"/>
  <c r="E24" i="35"/>
  <c r="D24" i="35"/>
  <c r="C24" i="35"/>
  <c r="L23" i="35"/>
  <c r="K23" i="35"/>
  <c r="J23" i="35"/>
  <c r="I23" i="35"/>
  <c r="H23" i="35"/>
  <c r="I25" i="55" s="1"/>
  <c r="I121" i="55" s="1"/>
  <c r="G23" i="35"/>
  <c r="F23" i="35"/>
  <c r="E23" i="35"/>
  <c r="D23" i="35"/>
  <c r="C23" i="35"/>
  <c r="C22" i="35"/>
  <c r="C20" i="35"/>
  <c r="L17" i="35"/>
  <c r="L16" i="35"/>
  <c r="K16" i="35"/>
  <c r="F16" i="35"/>
  <c r="G18" i="55" s="1"/>
  <c r="E16" i="35"/>
  <c r="D16" i="35"/>
  <c r="L15" i="35"/>
  <c r="G15" i="35"/>
  <c r="F15" i="35"/>
  <c r="L14" i="35"/>
  <c r="K14" i="35"/>
  <c r="J14" i="35"/>
  <c r="I14" i="35"/>
  <c r="H14" i="35"/>
  <c r="G14" i="35"/>
  <c r="F14" i="35"/>
  <c r="E14" i="35"/>
  <c r="D14" i="35"/>
  <c r="C14" i="35"/>
  <c r="D16" i="55" s="1"/>
  <c r="L13" i="35"/>
  <c r="K13" i="35"/>
  <c r="J13" i="35"/>
  <c r="I13" i="35"/>
  <c r="H13" i="35"/>
  <c r="G13" i="35"/>
  <c r="F13" i="35"/>
  <c r="E13" i="35"/>
  <c r="F15" i="55" s="1"/>
  <c r="F111" i="55" s="1"/>
  <c r="D13" i="35"/>
  <c r="C13" i="35"/>
  <c r="C12" i="35"/>
  <c r="C11" i="35"/>
  <c r="S32" i="73" s="1"/>
  <c r="L9" i="35"/>
  <c r="L8" i="35"/>
  <c r="K8" i="35"/>
  <c r="J8" i="35"/>
  <c r="L7" i="35"/>
  <c r="K7" i="35"/>
  <c r="L6" i="35"/>
  <c r="L5" i="35"/>
  <c r="C5" i="35"/>
  <c r="C4" i="35"/>
  <c r="E126" i="55"/>
  <c r="I124" i="55"/>
  <c r="G121" i="55"/>
  <c r="G113" i="55"/>
  <c r="F112" i="55"/>
  <c r="E112" i="55"/>
  <c r="D103" i="55"/>
  <c r="D96" i="55"/>
  <c r="I95" i="55"/>
  <c r="H94" i="55"/>
  <c r="G94" i="55"/>
  <c r="D94" i="55"/>
  <c r="F93" i="55"/>
  <c r="E93" i="55"/>
  <c r="H92" i="55"/>
  <c r="D92" i="55"/>
  <c r="I89" i="55"/>
  <c r="F89" i="55"/>
  <c r="I80" i="55"/>
  <c r="G80" i="55"/>
  <c r="G79" i="55"/>
  <c r="F79" i="55"/>
  <c r="D78" i="55"/>
  <c r="E32" i="55"/>
  <c r="D32" i="55"/>
  <c r="D128" i="55" s="1"/>
  <c r="I31" i="55"/>
  <c r="I127" i="55" s="1"/>
  <c r="E31" i="55"/>
  <c r="D31" i="55"/>
  <c r="I30" i="55"/>
  <c r="H30" i="55"/>
  <c r="H126" i="55" s="1"/>
  <c r="G30" i="55"/>
  <c r="G126" i="55" s="1"/>
  <c r="F30" i="55"/>
  <c r="F94" i="55" s="1"/>
  <c r="E30" i="55"/>
  <c r="E94" i="55" s="1"/>
  <c r="D30" i="55"/>
  <c r="D126" i="55" s="1"/>
  <c r="H29" i="55"/>
  <c r="G29" i="55"/>
  <c r="F29" i="55"/>
  <c r="F125" i="55" s="1"/>
  <c r="E29" i="55"/>
  <c r="E125" i="55" s="1"/>
  <c r="D29" i="55"/>
  <c r="D93" i="55" s="1"/>
  <c r="I28" i="55"/>
  <c r="I92" i="55" s="1"/>
  <c r="H28" i="55"/>
  <c r="H124" i="55" s="1"/>
  <c r="F28" i="55"/>
  <c r="E28" i="55"/>
  <c r="D28" i="55"/>
  <c r="D124" i="55" s="1"/>
  <c r="H25" i="55"/>
  <c r="H89" i="55" s="1"/>
  <c r="G25" i="55"/>
  <c r="G89" i="55" s="1"/>
  <c r="F25" i="55"/>
  <c r="F121" i="55" s="1"/>
  <c r="E25" i="55"/>
  <c r="D25" i="55"/>
  <c r="C25" i="55"/>
  <c r="B25" i="55"/>
  <c r="D24" i="55"/>
  <c r="C24" i="55"/>
  <c r="B24" i="55"/>
  <c r="C23" i="55"/>
  <c r="B23" i="55"/>
  <c r="D22" i="55"/>
  <c r="D118" i="55" s="1"/>
  <c r="C22" i="55"/>
  <c r="B22" i="55"/>
  <c r="C21" i="55"/>
  <c r="B21" i="55"/>
  <c r="C20" i="55"/>
  <c r="B20" i="55"/>
  <c r="C19" i="55"/>
  <c r="B19" i="55"/>
  <c r="F18" i="55"/>
  <c r="F114" i="55" s="1"/>
  <c r="E18" i="55"/>
  <c r="C18" i="55"/>
  <c r="B18" i="55"/>
  <c r="H17" i="55"/>
  <c r="H81" i="55" s="1"/>
  <c r="G17" i="55"/>
  <c r="G81" i="55" s="1"/>
  <c r="C17" i="55"/>
  <c r="B17" i="55"/>
  <c r="I16" i="55"/>
  <c r="I112" i="55" s="1"/>
  <c r="H16" i="55"/>
  <c r="H112" i="55" s="1"/>
  <c r="G16" i="55"/>
  <c r="G112" i="55" s="1"/>
  <c r="F16" i="55"/>
  <c r="F80" i="55" s="1"/>
  <c r="E16" i="55"/>
  <c r="E80" i="55" s="1"/>
  <c r="C16" i="55"/>
  <c r="B16" i="55"/>
  <c r="I15" i="55"/>
  <c r="I111" i="55" s="1"/>
  <c r="H15" i="55"/>
  <c r="G15" i="55"/>
  <c r="G111" i="55" s="1"/>
  <c r="E15" i="55"/>
  <c r="E111" i="55" s="1"/>
  <c r="D15" i="55"/>
  <c r="D79" i="55" s="1"/>
  <c r="C15" i="55"/>
  <c r="B15" i="55"/>
  <c r="D14" i="55"/>
  <c r="D110" i="55" s="1"/>
  <c r="C14" i="55"/>
  <c r="B14" i="55"/>
  <c r="D13" i="55"/>
  <c r="C13" i="55"/>
  <c r="B13" i="55"/>
  <c r="C12" i="55"/>
  <c r="B12" i="55"/>
  <c r="C11" i="55"/>
  <c r="B11" i="55"/>
  <c r="C10" i="55"/>
  <c r="B10" i="55"/>
  <c r="C9" i="55"/>
  <c r="B9" i="55"/>
  <c r="C8" i="55"/>
  <c r="B8" i="55"/>
  <c r="D7" i="55"/>
  <c r="D71" i="55" s="1"/>
  <c r="C7" i="55"/>
  <c r="B7" i="55"/>
  <c r="D6" i="55"/>
  <c r="D102" i="55" s="1"/>
  <c r="C6" i="55"/>
  <c r="B6" i="55"/>
  <c r="C5" i="55"/>
  <c r="B5" i="55"/>
  <c r="C4" i="55"/>
  <c r="B4" i="55"/>
  <c r="F3" i="55"/>
  <c r="E3"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E76" i="46"/>
  <c r="F76" i="46" s="1"/>
  <c r="G76" i="46" s="1"/>
  <c r="C76" i="46"/>
  <c r="E75" i="46"/>
  <c r="F75" i="46" s="1"/>
  <c r="G75" i="46" s="1"/>
  <c r="C75" i="46"/>
  <c r="E74" i="46"/>
  <c r="F74" i="46" s="1"/>
  <c r="G74" i="46" s="1"/>
  <c r="C74" i="46"/>
  <c r="E73" i="46"/>
  <c r="F73" i="46" s="1"/>
  <c r="G73" i="46" s="1"/>
  <c r="C73" i="46"/>
  <c r="E72" i="46"/>
  <c r="F72" i="46" s="1"/>
  <c r="G72" i="46" s="1"/>
  <c r="C72" i="46"/>
  <c r="E71" i="46"/>
  <c r="F71" i="46" s="1"/>
  <c r="G71" i="46" s="1"/>
  <c r="C71" i="46"/>
  <c r="E70" i="46"/>
  <c r="F70" i="46" s="1"/>
  <c r="G70" i="46" s="1"/>
  <c r="C70" i="46"/>
  <c r="E69" i="46"/>
  <c r="F69" i="46" s="1"/>
  <c r="G69" i="46" s="1"/>
  <c r="C69" i="46"/>
  <c r="E68" i="46"/>
  <c r="F68" i="46" s="1"/>
  <c r="G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E60" i="46"/>
  <c r="F60" i="46" s="1"/>
  <c r="G60" i="46" s="1"/>
  <c r="C60" i="46"/>
  <c r="E59" i="46"/>
  <c r="F59" i="46" s="1"/>
  <c r="G59" i="46" s="1"/>
  <c r="C59" i="46"/>
  <c r="E58" i="46"/>
  <c r="F58" i="46" s="1"/>
  <c r="G58" i="46" s="1"/>
  <c r="C58" i="46"/>
  <c r="F57" i="46"/>
  <c r="E57" i="46"/>
  <c r="C57" i="46"/>
  <c r="F56" i="46"/>
  <c r="G56" i="46" s="1"/>
  <c r="E56" i="46"/>
  <c r="C56" i="46"/>
  <c r="F55" i="46"/>
  <c r="G55" i="46" s="1"/>
  <c r="E55" i="46"/>
  <c r="C55" i="46"/>
  <c r="F54" i="46"/>
  <c r="G54" i="46" s="1"/>
  <c r="E54" i="46"/>
  <c r="C54" i="46"/>
  <c r="F53" i="46"/>
  <c r="G53" i="46" s="1"/>
  <c r="E53" i="46"/>
  <c r="C53" i="46"/>
  <c r="F52" i="46"/>
  <c r="G52" i="46" s="1"/>
  <c r="E52" i="46"/>
  <c r="C52" i="46"/>
  <c r="F51" i="46"/>
  <c r="G51" i="46" s="1"/>
  <c r="E51" i="46"/>
  <c r="C51" i="46"/>
  <c r="F50" i="46"/>
  <c r="G50" i="46" s="1"/>
  <c r="E50" i="46"/>
  <c r="C50" i="46"/>
  <c r="F49" i="46"/>
  <c r="G49" i="46" s="1"/>
  <c r="E49" i="46"/>
  <c r="C49" i="46"/>
  <c r="F48" i="46"/>
  <c r="G48" i="46" s="1"/>
  <c r="E48" i="46"/>
  <c r="C48" i="46"/>
  <c r="F47" i="46"/>
  <c r="G47" i="46" s="1"/>
  <c r="E47" i="46"/>
  <c r="C47" i="46"/>
  <c r="F46" i="46"/>
  <c r="G46" i="46" s="1"/>
  <c r="E46" i="46"/>
  <c r="C46" i="46"/>
  <c r="F45" i="46"/>
  <c r="G45" i="46" s="1"/>
  <c r="E45" i="46"/>
  <c r="C45" i="46"/>
  <c r="F44" i="46"/>
  <c r="G44" i="46" s="1"/>
  <c r="E44" i="46"/>
  <c r="C44" i="46"/>
  <c r="F43" i="46"/>
  <c r="G43" i="46" s="1"/>
  <c r="E43" i="46"/>
  <c r="C43" i="46"/>
  <c r="F42" i="46"/>
  <c r="G42" i="46" s="1"/>
  <c r="E42" i="46"/>
  <c r="C42" i="46"/>
  <c r="F41" i="46"/>
  <c r="G41" i="46" s="1"/>
  <c r="E41" i="46"/>
  <c r="C41" i="46"/>
  <c r="F40" i="46"/>
  <c r="G40" i="46" s="1"/>
  <c r="E40" i="46"/>
  <c r="C40" i="46"/>
  <c r="F39" i="46"/>
  <c r="G39" i="46" s="1"/>
  <c r="E39" i="46"/>
  <c r="C39" i="46"/>
  <c r="F38" i="46"/>
  <c r="G38" i="46" s="1"/>
  <c r="E38" i="46"/>
  <c r="C38" i="46"/>
  <c r="F37" i="46"/>
  <c r="G37" i="46" s="1"/>
  <c r="E37" i="46"/>
  <c r="C37" i="46"/>
  <c r="F36" i="46"/>
  <c r="G36" i="46" s="1"/>
  <c r="E36" i="46"/>
  <c r="C36" i="46"/>
  <c r="F35" i="46"/>
  <c r="G35" i="46" s="1"/>
  <c r="E35" i="46"/>
  <c r="C35" i="46"/>
  <c r="F34" i="46"/>
  <c r="G34" i="46" s="1"/>
  <c r="E34" i="46"/>
  <c r="C34" i="46"/>
  <c r="F33" i="46"/>
  <c r="G33" i="46" s="1"/>
  <c r="E33" i="46"/>
  <c r="C33" i="46"/>
  <c r="F32" i="46"/>
  <c r="G32" i="46" s="1"/>
  <c r="E32" i="46"/>
  <c r="C32" i="46"/>
  <c r="F31" i="46"/>
  <c r="G31" i="46" s="1"/>
  <c r="E31" i="46"/>
  <c r="E30" i="46"/>
  <c r="F30" i="46" s="1"/>
  <c r="G30" i="46" s="1"/>
  <c r="E29" i="46"/>
  <c r="F29" i="46" s="1"/>
  <c r="G29" i="46" s="1"/>
  <c r="E28" i="46"/>
  <c r="F28" i="46" s="1"/>
  <c r="G28" i="46" s="1"/>
  <c r="F27" i="46"/>
  <c r="G27" i="46" s="1"/>
  <c r="E27" i="46"/>
  <c r="C27" i="46"/>
  <c r="F26" i="46"/>
  <c r="G26" i="46" s="1"/>
  <c r="E26" i="46"/>
  <c r="C26" i="46"/>
  <c r="F25" i="46"/>
  <c r="G25" i="46" s="1"/>
  <c r="E25" i="46"/>
  <c r="C25" i="46"/>
  <c r="F24" i="46"/>
  <c r="G24" i="46" s="1"/>
  <c r="E24" i="46"/>
  <c r="C24" i="46"/>
  <c r="F23" i="46"/>
  <c r="G23" i="46" s="1"/>
  <c r="E23" i="46"/>
  <c r="C23" i="46"/>
  <c r="F22" i="46"/>
  <c r="G22" i="46" s="1"/>
  <c r="E22" i="46"/>
  <c r="C22" i="46"/>
  <c r="F21" i="46"/>
  <c r="G21" i="46" s="1"/>
  <c r="E21" i="46"/>
  <c r="C21" i="46"/>
  <c r="F20" i="46"/>
  <c r="G20" i="46" s="1"/>
  <c r="E20" i="46"/>
  <c r="C20" i="46"/>
  <c r="F19" i="46"/>
  <c r="G19" i="46" s="1"/>
  <c r="E19" i="46"/>
  <c r="C19" i="46"/>
  <c r="F18" i="46"/>
  <c r="G18" i="46" s="1"/>
  <c r="E18" i="46"/>
  <c r="C18" i="46"/>
  <c r="F17" i="46"/>
  <c r="G17" i="46" s="1"/>
  <c r="E17" i="46"/>
  <c r="C17" i="46"/>
  <c r="F16" i="46"/>
  <c r="G16" i="46" s="1"/>
  <c r="E16" i="46"/>
  <c r="C16" i="46"/>
  <c r="F15" i="46"/>
  <c r="G15" i="46" s="1"/>
  <c r="E15" i="46"/>
  <c r="C15" i="46"/>
  <c r="F14" i="46"/>
  <c r="G14" i="46" s="1"/>
  <c r="E14" i="46"/>
  <c r="C14" i="46"/>
  <c r="F13" i="46"/>
  <c r="G13" i="46" s="1"/>
  <c r="E13" i="46"/>
  <c r="C13" i="46"/>
  <c r="F12" i="46"/>
  <c r="G12" i="46" s="1"/>
  <c r="E12" i="46"/>
  <c r="C12" i="46"/>
  <c r="F11" i="46"/>
  <c r="G11" i="46" s="1"/>
  <c r="E11" i="46"/>
  <c r="C11" i="46"/>
  <c r="F10" i="46"/>
  <c r="G10" i="46" s="1"/>
  <c r="E10" i="46"/>
  <c r="C10" i="46"/>
  <c r="F9" i="46"/>
  <c r="G9" i="46" s="1"/>
  <c r="E9" i="46"/>
  <c r="C9" i="46"/>
  <c r="F8" i="46"/>
  <c r="G8" i="46" s="1"/>
  <c r="E8" i="46"/>
  <c r="C8" i="46"/>
  <c r="F7" i="46"/>
  <c r="G7" i="46" s="1"/>
  <c r="E7" i="46"/>
  <c r="C7" i="46"/>
  <c r="F6" i="46"/>
  <c r="G6" i="46" s="1"/>
  <c r="E6" i="46"/>
  <c r="C6" i="46"/>
  <c r="F5" i="46"/>
  <c r="G5" i="46" s="1"/>
  <c r="E5" i="46"/>
  <c r="C5" i="46"/>
  <c r="F4" i="46"/>
  <c r="G4" i="46" s="1"/>
  <c r="E4" i="46"/>
  <c r="C4" i="46"/>
  <c r="F3" i="46"/>
  <c r="G3" i="46" s="1"/>
  <c r="E3" i="46"/>
  <c r="C3" i="46"/>
  <c r="C2" i="46"/>
  <c r="N23" i="74"/>
  <c r="O23" i="25"/>
  <c r="U23" i="74"/>
  <c r="M23" i="74"/>
  <c r="N23" i="25"/>
  <c r="T23" i="74"/>
  <c r="U23" i="25"/>
  <c r="M23" i="25"/>
  <c r="S23" i="74"/>
  <c r="T23" i="25"/>
  <c r="R23" i="74"/>
  <c r="S23" i="25"/>
  <c r="Q23" i="74"/>
  <c r="R23" i="25"/>
  <c r="Q23" i="25"/>
  <c r="P23" i="25"/>
  <c r="P23" i="74"/>
  <c r="O23" i="74"/>
  <c r="V17" i="74" l="1"/>
  <c r="W17" i="74" s="1"/>
  <c r="X17" i="74" s="1"/>
  <c r="Y17" i="74" s="1"/>
  <c r="Z17" i="74" s="1"/>
  <c r="AA17" i="74" s="1"/>
  <c r="AB17" i="74" s="1"/>
  <c r="AC17" i="74" s="1"/>
  <c r="U14" i="59"/>
  <c r="V20" i="25"/>
  <c r="U19" i="25"/>
  <c r="U14" i="75" s="1"/>
  <c r="D112" i="55"/>
  <c r="D80" i="55"/>
  <c r="Y14" i="25"/>
  <c r="Y13" i="25" s="1"/>
  <c r="Z12" i="25"/>
  <c r="M14" i="75"/>
  <c r="M98" i="75" s="1"/>
  <c r="M14" i="59"/>
  <c r="AA17" i="30"/>
  <c r="I27" i="76"/>
  <c r="J27" i="76" s="1"/>
  <c r="E124" i="55"/>
  <c r="E92" i="55"/>
  <c r="G125" i="55"/>
  <c r="G93" i="55"/>
  <c r="I126" i="55"/>
  <c r="I94" i="55"/>
  <c r="E79" i="55"/>
  <c r="D125" i="55"/>
  <c r="H14" i="75"/>
  <c r="H14" i="59"/>
  <c r="H90" i="59" s="1"/>
  <c r="H89" i="59" s="1"/>
  <c r="P20" i="25"/>
  <c r="N13" i="25"/>
  <c r="V13" i="25"/>
  <c r="Z15" i="25"/>
  <c r="AA15" i="25" s="1"/>
  <c r="AB15" i="25" s="1"/>
  <c r="AC15" i="25" s="1"/>
  <c r="AD15" i="25" s="1"/>
  <c r="L20" i="74"/>
  <c r="L19" i="74" s="1"/>
  <c r="T20" i="74"/>
  <c r="T19" i="74" s="1"/>
  <c r="E20" i="74"/>
  <c r="E19" i="74"/>
  <c r="V15" i="74"/>
  <c r="W15" i="74" s="1"/>
  <c r="X15" i="74" s="1"/>
  <c r="Y15" i="74" s="1"/>
  <c r="Z15" i="74" s="1"/>
  <c r="AA15" i="74" s="1"/>
  <c r="AB15" i="74" s="1"/>
  <c r="AC15" i="74" s="1"/>
  <c r="Q45" i="75"/>
  <c r="Q37" i="59"/>
  <c r="Q38" i="59" s="1"/>
  <c r="D70" i="55"/>
  <c r="G14" i="75"/>
  <c r="G14" i="59"/>
  <c r="G90" i="59" s="1"/>
  <c r="G89" i="59" s="1"/>
  <c r="G92" i="59" s="1"/>
  <c r="G101" i="59" s="1"/>
  <c r="G29" i="59" s="1"/>
  <c r="F124" i="55"/>
  <c r="F92" i="55"/>
  <c r="T14" i="59"/>
  <c r="U20" i="74"/>
  <c r="V20" i="74" s="1"/>
  <c r="W20" i="74" s="1"/>
  <c r="X20" i="74" s="1"/>
  <c r="Y20" i="74" s="1"/>
  <c r="Z20" i="74" s="1"/>
  <c r="AA20" i="74" s="1"/>
  <c r="AB20" i="74" s="1"/>
  <c r="AC20" i="74" s="1"/>
  <c r="U19" i="74"/>
  <c r="D121" i="55"/>
  <c r="D89" i="55"/>
  <c r="E127" i="55"/>
  <c r="E95" i="55"/>
  <c r="H113" i="55"/>
  <c r="F126" i="55"/>
  <c r="J20" i="25"/>
  <c r="J19" i="25" s="1"/>
  <c r="R20" i="25"/>
  <c r="R19" i="25"/>
  <c r="X13" i="25"/>
  <c r="F20" i="74"/>
  <c r="F19" i="74"/>
  <c r="N20" i="74"/>
  <c r="N19" i="74" s="1"/>
  <c r="R13" i="74"/>
  <c r="J11" i="26"/>
  <c r="J20" i="26" s="1"/>
  <c r="J80" i="26" s="1"/>
  <c r="R11" i="26"/>
  <c r="J48" i="20"/>
  <c r="AC106" i="26"/>
  <c r="U106" i="26"/>
  <c r="C9" i="50"/>
  <c r="R106" i="26"/>
  <c r="J26" i="49"/>
  <c r="J12" i="49"/>
  <c r="C18" i="49" s="1"/>
  <c r="C19" i="49" s="1"/>
  <c r="R26" i="49"/>
  <c r="R12" i="49"/>
  <c r="O14" i="75"/>
  <c r="O98" i="75" s="1"/>
  <c r="D127" i="55"/>
  <c r="D95" i="55"/>
  <c r="M20" i="74"/>
  <c r="M19" i="74" s="1"/>
  <c r="AJ13" i="26"/>
  <c r="I45" i="75"/>
  <c r="I37" i="59"/>
  <c r="I38" i="59" s="1"/>
  <c r="E121" i="55"/>
  <c r="E89" i="55"/>
  <c r="K20" i="25"/>
  <c r="K19" i="25"/>
  <c r="S20" i="25"/>
  <c r="S19" i="25" s="1"/>
  <c r="D14" i="75"/>
  <c r="D14" i="59"/>
  <c r="AH33" i="26"/>
  <c r="Z106" i="26"/>
  <c r="AD13" i="33"/>
  <c r="AC13" i="33"/>
  <c r="AB13" i="33"/>
  <c r="AG13" i="33"/>
  <c r="AF13" i="33"/>
  <c r="AE13" i="33"/>
  <c r="E114" i="55"/>
  <c r="E82" i="55"/>
  <c r="H111" i="55"/>
  <c r="H79" i="55"/>
  <c r="H80" i="55"/>
  <c r="AE30" i="72"/>
  <c r="AF30" i="72" s="1"/>
  <c r="T19" i="25"/>
  <c r="T14" i="75" s="1"/>
  <c r="E14" i="59"/>
  <c r="E14" i="75"/>
  <c r="AH19" i="26"/>
  <c r="H125" i="55"/>
  <c r="H93" i="55"/>
  <c r="D120" i="55"/>
  <c r="D88" i="55"/>
  <c r="D86" i="55"/>
  <c r="Z17" i="25"/>
  <c r="AA17" i="25" s="1"/>
  <c r="AB17" i="25" s="1"/>
  <c r="AC17" i="25" s="1"/>
  <c r="AD17" i="25" s="1"/>
  <c r="Q19" i="74"/>
  <c r="V12" i="74"/>
  <c r="V16" i="74"/>
  <c r="W16" i="74" s="1"/>
  <c r="X16" i="74" s="1"/>
  <c r="Y16" i="74" s="1"/>
  <c r="Z16" i="74" s="1"/>
  <c r="AA16" i="74" s="1"/>
  <c r="AB16" i="74" s="1"/>
  <c r="AC16" i="74" s="1"/>
  <c r="D109" i="55"/>
  <c r="D77" i="55"/>
  <c r="E128" i="55"/>
  <c r="E96" i="55"/>
  <c r="D111" i="55"/>
  <c r="H121" i="55"/>
  <c r="G114" i="55"/>
  <c r="G82" i="55"/>
  <c r="N20" i="25"/>
  <c r="L13" i="25"/>
  <c r="L20" i="25" s="1"/>
  <c r="F19" i="25"/>
  <c r="F14" i="75" s="1"/>
  <c r="R20" i="74"/>
  <c r="R19" i="74" s="1"/>
  <c r="AH14" i="26"/>
  <c r="U34" i="26"/>
  <c r="U16" i="26" s="1"/>
  <c r="U79" i="26" s="1"/>
  <c r="M34" i="26"/>
  <c r="T34" i="26"/>
  <c r="T16" i="26" s="1"/>
  <c r="T79" i="26" s="1"/>
  <c r="S34" i="26"/>
  <c r="S16" i="26" s="1"/>
  <c r="S79" i="26" s="1"/>
  <c r="R34" i="26"/>
  <c r="R16" i="26" s="1"/>
  <c r="R79" i="26" s="1"/>
  <c r="C58" i="26"/>
  <c r="X34" i="26"/>
  <c r="X16" i="26" s="1"/>
  <c r="X79" i="26" s="1"/>
  <c r="P34" i="26"/>
  <c r="P16" i="26" s="1"/>
  <c r="P79" i="26" s="1"/>
  <c r="W34" i="26"/>
  <c r="W16" i="26" s="1"/>
  <c r="W79" i="26" s="1"/>
  <c r="O34" i="26"/>
  <c r="O16" i="26" s="1"/>
  <c r="O79" i="26" s="1"/>
  <c r="V34" i="26"/>
  <c r="V16" i="26" s="1"/>
  <c r="V79" i="26" s="1"/>
  <c r="Q34" i="26"/>
  <c r="Q16" i="26" s="1"/>
  <c r="Q79" i="26" s="1"/>
  <c r="N34" i="26"/>
  <c r="N16" i="26" s="1"/>
  <c r="N79" i="26" s="1"/>
  <c r="C51" i="26"/>
  <c r="K12" i="30"/>
  <c r="K45" i="75"/>
  <c r="K46" i="75" s="1"/>
  <c r="K29" i="49"/>
  <c r="G19" i="25"/>
  <c r="O19" i="25"/>
  <c r="O14" i="59" s="1"/>
  <c r="O90" i="59" s="1"/>
  <c r="AA106" i="26"/>
  <c r="K15" i="30"/>
  <c r="K13" i="30"/>
  <c r="J15" i="30"/>
  <c r="J13" i="30"/>
  <c r="J12" i="30" s="1"/>
  <c r="F82" i="55"/>
  <c r="H19" i="25"/>
  <c r="P19" i="25"/>
  <c r="D47" i="26"/>
  <c r="J83" i="26"/>
  <c r="J77" i="26"/>
  <c r="J75" i="26" s="1"/>
  <c r="D48" i="26"/>
  <c r="E48" i="26" s="1"/>
  <c r="E47" i="26"/>
  <c r="C45" i="26"/>
  <c r="Y27" i="20"/>
  <c r="X30" i="20"/>
  <c r="AH38" i="20"/>
  <c r="AH40" i="20" s="1"/>
  <c r="L28" i="49"/>
  <c r="F18" i="49"/>
  <c r="F19" i="49" s="1"/>
  <c r="F20" i="49" s="1"/>
  <c r="S45" i="75"/>
  <c r="S46" i="75" s="1"/>
  <c r="S28" i="49"/>
  <c r="S29" i="49"/>
  <c r="S37" i="59"/>
  <c r="S38" i="59" s="1"/>
  <c r="I79" i="55"/>
  <c r="K75" i="26"/>
  <c r="AH25" i="26"/>
  <c r="AH32" i="26"/>
  <c r="C53" i="26"/>
  <c r="N12" i="30"/>
  <c r="N46" i="30"/>
  <c r="E45" i="75"/>
  <c r="E37" i="59"/>
  <c r="E29" i="49"/>
  <c r="M37" i="59"/>
  <c r="M45" i="75"/>
  <c r="M29" i="49"/>
  <c r="U45" i="75"/>
  <c r="U37" i="59"/>
  <c r="U29" i="49"/>
  <c r="V28" i="49"/>
  <c r="I14" i="75"/>
  <c r="I14" i="59"/>
  <c r="Q14" i="75"/>
  <c r="Q98" i="75" s="1"/>
  <c r="Q14" i="59"/>
  <c r="Q90" i="59" s="1"/>
  <c r="L75" i="26"/>
  <c r="V106" i="26"/>
  <c r="AD106" i="26"/>
  <c r="H28" i="49"/>
  <c r="H29" i="49" s="1"/>
  <c r="S13" i="33"/>
  <c r="R13" i="33"/>
  <c r="Q13" i="33"/>
  <c r="P13" i="33"/>
  <c r="G30" i="59"/>
  <c r="G91" i="59"/>
  <c r="AG106" i="26"/>
  <c r="W30" i="20"/>
  <c r="AK37" i="20"/>
  <c r="G45" i="75"/>
  <c r="G37" i="59"/>
  <c r="G38" i="59" s="1"/>
  <c r="O45" i="75"/>
  <c r="O37" i="59"/>
  <c r="O38" i="59" s="1"/>
  <c r="W45" i="75"/>
  <c r="W37" i="59"/>
  <c r="W28" i="49"/>
  <c r="W29" i="49" s="1"/>
  <c r="V13" i="33"/>
  <c r="U13" i="33"/>
  <c r="T13" i="33"/>
  <c r="E46" i="26"/>
  <c r="I50" i="20"/>
  <c r="I28" i="20" s="1"/>
  <c r="L27" i="20"/>
  <c r="T27" i="20"/>
  <c r="T26" i="20"/>
  <c r="T15" i="30"/>
  <c r="H45" i="75"/>
  <c r="H37" i="59"/>
  <c r="P45" i="75"/>
  <c r="P37" i="59"/>
  <c r="P29" i="49"/>
  <c r="X45" i="75"/>
  <c r="X37" i="59"/>
  <c r="X28" i="49"/>
  <c r="C10" i="35" s="1"/>
  <c r="D12" i="55" s="1"/>
  <c r="X29" i="49"/>
  <c r="E18" i="49"/>
  <c r="E19" i="49" s="1"/>
  <c r="P28" i="49"/>
  <c r="D17" i="75"/>
  <c r="D101" i="75" s="1"/>
  <c r="D39" i="75" s="1"/>
  <c r="D17" i="59"/>
  <c r="D93" i="59" s="1"/>
  <c r="D31" i="59" s="1"/>
  <c r="D134" i="75"/>
  <c r="D131" i="75"/>
  <c r="D132" i="75" s="1"/>
  <c r="L17" i="75"/>
  <c r="D126" i="59"/>
  <c r="D123" i="59"/>
  <c r="D124" i="59" s="1"/>
  <c r="L17" i="59"/>
  <c r="E22" i="33"/>
  <c r="E25" i="33"/>
  <c r="F134" i="75"/>
  <c r="F131" i="75"/>
  <c r="T17" i="75"/>
  <c r="F126" i="59"/>
  <c r="F123" i="59"/>
  <c r="G22" i="33"/>
  <c r="T17" i="59"/>
  <c r="T18" i="33"/>
  <c r="S106" i="26"/>
  <c r="Q26" i="20"/>
  <c r="H27" i="20"/>
  <c r="P27" i="20"/>
  <c r="AA12" i="30"/>
  <c r="I13" i="30"/>
  <c r="I12" i="30" s="1"/>
  <c r="L46" i="30"/>
  <c r="D26" i="49"/>
  <c r="L26" i="49"/>
  <c r="T26" i="49"/>
  <c r="F46" i="49"/>
  <c r="G46" i="49" s="1"/>
  <c r="H46" i="49" s="1"/>
  <c r="I46" i="49" s="1"/>
  <c r="D25" i="33"/>
  <c r="H17" i="59"/>
  <c r="J91" i="59"/>
  <c r="D91" i="59"/>
  <c r="T106" i="26"/>
  <c r="AB106" i="26"/>
  <c r="AB12" i="30"/>
  <c r="AA12" i="49"/>
  <c r="G18" i="49" s="1"/>
  <c r="G19" i="49" s="1"/>
  <c r="G20" i="49" s="1"/>
  <c r="Y26" i="49" s="1"/>
  <c r="G28" i="49"/>
  <c r="G29" i="49" s="1"/>
  <c r="O28" i="49"/>
  <c r="O29" i="49" s="1"/>
  <c r="U18" i="33"/>
  <c r="I17" i="59"/>
  <c r="Q17" i="59"/>
  <c r="K91" i="59"/>
  <c r="V77" i="59"/>
  <c r="V26" i="59" s="1"/>
  <c r="N77" i="59"/>
  <c r="N26" i="59" s="1"/>
  <c r="Q77" i="59"/>
  <c r="Q26" i="59" s="1"/>
  <c r="I77" i="59"/>
  <c r="I26" i="59" s="1"/>
  <c r="I91" i="59" s="1"/>
  <c r="O77" i="59"/>
  <c r="O26" i="59" s="1"/>
  <c r="O79" i="59"/>
  <c r="W77" i="59"/>
  <c r="W26" i="59" s="1"/>
  <c r="W79" i="59"/>
  <c r="AC12" i="30"/>
  <c r="F45" i="75"/>
  <c r="F37" i="59"/>
  <c r="F38" i="59" s="1"/>
  <c r="F40" i="59" s="1"/>
  <c r="N45" i="75"/>
  <c r="N37" i="59"/>
  <c r="N38" i="59" s="1"/>
  <c r="V45" i="75"/>
  <c r="V37" i="59"/>
  <c r="J17" i="59"/>
  <c r="R17" i="59"/>
  <c r="E38" i="59"/>
  <c r="M38" i="59"/>
  <c r="Y97" i="59"/>
  <c r="Y96" i="59"/>
  <c r="Y98" i="59" s="1"/>
  <c r="I46" i="75"/>
  <c r="Q46" i="75"/>
  <c r="M34" i="75"/>
  <c r="M24" i="75"/>
  <c r="K27" i="20"/>
  <c r="H48" i="20"/>
  <c r="H50" i="20" s="1"/>
  <c r="H12" i="20" s="1"/>
  <c r="AD12" i="30"/>
  <c r="AD54" i="30"/>
  <c r="D12" i="49"/>
  <c r="D28" i="49" s="1"/>
  <c r="L12" i="49"/>
  <c r="D18" i="49" s="1"/>
  <c r="D19" i="49" s="1"/>
  <c r="I28" i="49"/>
  <c r="I29" i="49" s="1"/>
  <c r="Q28" i="49"/>
  <c r="Q29" i="49" s="1"/>
  <c r="E134" i="75"/>
  <c r="E131" i="75"/>
  <c r="E132" i="75" s="1"/>
  <c r="E123" i="59"/>
  <c r="E124" i="59" s="1"/>
  <c r="E126" i="59"/>
  <c r="P17" i="75"/>
  <c r="X17" i="75"/>
  <c r="O18" i="33"/>
  <c r="W18" i="33"/>
  <c r="K17" i="59"/>
  <c r="S17" i="59"/>
  <c r="X26" i="59"/>
  <c r="Y77" i="59"/>
  <c r="H99" i="75"/>
  <c r="M30" i="26"/>
  <c r="W106" i="26"/>
  <c r="AE106" i="26"/>
  <c r="Y11" i="20"/>
  <c r="M26" i="20"/>
  <c r="U26" i="20"/>
  <c r="AE12" i="30"/>
  <c r="H46" i="30"/>
  <c r="P18" i="33"/>
  <c r="H26" i="33"/>
  <c r="J79" i="59"/>
  <c r="J77" i="59"/>
  <c r="J26" i="59" s="1"/>
  <c r="R79" i="59"/>
  <c r="R77" i="59"/>
  <c r="R26" i="59" s="1"/>
  <c r="X106" i="26"/>
  <c r="AF106" i="26"/>
  <c r="N26" i="20"/>
  <c r="V26" i="20"/>
  <c r="M27" i="20"/>
  <c r="H12" i="30"/>
  <c r="AF12" i="30"/>
  <c r="I46" i="30"/>
  <c r="Q18" i="33"/>
  <c r="F22" i="33"/>
  <c r="G93" i="59"/>
  <c r="G31" i="59" s="1"/>
  <c r="E17" i="59"/>
  <c r="E93" i="59" s="1"/>
  <c r="E31" i="59" s="1"/>
  <c r="M17" i="59"/>
  <c r="U17" i="59"/>
  <c r="E30" i="59"/>
  <c r="E91" i="59"/>
  <c r="H38" i="59"/>
  <c r="H40" i="59" s="1"/>
  <c r="P38" i="59"/>
  <c r="P40" i="59" s="1"/>
  <c r="H92" i="59"/>
  <c r="Y106" i="26"/>
  <c r="Y12" i="30"/>
  <c r="F29" i="49"/>
  <c r="N29" i="49"/>
  <c r="V29" i="49"/>
  <c r="R18" i="33"/>
  <c r="E125" i="59"/>
  <c r="E129" i="59" s="1"/>
  <c r="F17" i="59"/>
  <c r="N17" i="59"/>
  <c r="V17" i="59"/>
  <c r="H91" i="59"/>
  <c r="F91" i="59"/>
  <c r="L77" i="59"/>
  <c r="L26" i="59" s="1"/>
  <c r="L91" i="59" s="1"/>
  <c r="T77" i="59"/>
  <c r="T26" i="59" s="1"/>
  <c r="L79" i="59"/>
  <c r="T79" i="59"/>
  <c r="O27" i="75"/>
  <c r="N85" i="75"/>
  <c r="S85" i="75"/>
  <c r="K85" i="75"/>
  <c r="R85" i="75"/>
  <c r="J85" i="75"/>
  <c r="O87" i="75"/>
  <c r="O85" i="75"/>
  <c r="X104" i="75"/>
  <c r="X106" i="75" s="1"/>
  <c r="X105" i="75" s="1"/>
  <c r="U34" i="75"/>
  <c r="U24" i="75"/>
  <c r="V87" i="75"/>
  <c r="N87" i="75"/>
  <c r="P87" i="75"/>
  <c r="P85" i="75"/>
  <c r="K87" i="75"/>
  <c r="D133" i="75"/>
  <c r="D137" i="75" s="1"/>
  <c r="Q27" i="75"/>
  <c r="V85" i="75"/>
  <c r="Q87" i="75"/>
  <c r="R87" i="75"/>
  <c r="N27" i="48"/>
  <c r="E46" i="75"/>
  <c r="M46" i="75"/>
  <c r="S87" i="75"/>
  <c r="F27" i="48"/>
  <c r="F46" i="75"/>
  <c r="F48" i="75" s="1"/>
  <c r="N46" i="75"/>
  <c r="N48" i="75" s="1"/>
  <c r="G101" i="75"/>
  <c r="G39" i="75" s="1"/>
  <c r="G46" i="75"/>
  <c r="O46" i="75"/>
  <c r="L85" i="75"/>
  <c r="T85" i="75"/>
  <c r="M27" i="75"/>
  <c r="H46" i="75"/>
  <c r="H48" i="75" s="1"/>
  <c r="P46" i="75"/>
  <c r="Q85" i="75"/>
  <c r="M87" i="75"/>
  <c r="U87" i="75"/>
  <c r="I63" i="48"/>
  <c r="I70" i="48" s="1"/>
  <c r="J32" i="48"/>
  <c r="H101" i="75"/>
  <c r="D38" i="75"/>
  <c r="L87" i="75"/>
  <c r="T87" i="75"/>
  <c r="AD128" i="48"/>
  <c r="AC22" i="48"/>
  <c r="AD130" i="48"/>
  <c r="AC25" i="48"/>
  <c r="Z131" i="48"/>
  <c r="Y26" i="48"/>
  <c r="D22" i="35" s="1"/>
  <c r="E24" i="55" s="1"/>
  <c r="I101" i="75"/>
  <c r="E38" i="75"/>
  <c r="W112" i="48"/>
  <c r="E87" i="48"/>
  <c r="E72" i="48"/>
  <c r="F124" i="59"/>
  <c r="F38" i="75"/>
  <c r="I85" i="75"/>
  <c r="H112" i="48"/>
  <c r="G32" i="48"/>
  <c r="G63" i="48" s="1"/>
  <c r="G70" i="48" s="1"/>
  <c r="H9" i="48"/>
  <c r="H27" i="48" s="1"/>
  <c r="P9" i="48"/>
  <c r="X112" i="48"/>
  <c r="Y112" i="48" s="1"/>
  <c r="Z112" i="48" s="1"/>
  <c r="AA112" i="48" s="1"/>
  <c r="AB112" i="48" s="1"/>
  <c r="AC112" i="48" s="1"/>
  <c r="AD112" i="48" s="1"/>
  <c r="AE112" i="48" s="1"/>
  <c r="AF112" i="48" s="1"/>
  <c r="AG112" i="48" s="1"/>
  <c r="X9" i="48"/>
  <c r="L114" i="48"/>
  <c r="H33" i="48"/>
  <c r="H115" i="48"/>
  <c r="G34" i="48"/>
  <c r="G65" i="48" s="1"/>
  <c r="G72" i="48" s="1"/>
  <c r="P115" i="48"/>
  <c r="I34" i="48"/>
  <c r="X115" i="48"/>
  <c r="Y115" i="48" s="1"/>
  <c r="Z115" i="48" s="1"/>
  <c r="AA115" i="48" s="1"/>
  <c r="AB115" i="48" s="1"/>
  <c r="AC115" i="48" s="1"/>
  <c r="AD115" i="48" s="1"/>
  <c r="AE115" i="48" s="1"/>
  <c r="AF115" i="48" s="1"/>
  <c r="AG115" i="48" s="1"/>
  <c r="L116" i="48"/>
  <c r="H35" i="48"/>
  <c r="P28" i="38"/>
  <c r="Q28" i="38" s="1"/>
  <c r="O28" i="38"/>
  <c r="G38" i="75"/>
  <c r="X150" i="48"/>
  <c r="Y150" i="48" s="1"/>
  <c r="Z150" i="48" s="1"/>
  <c r="AA150" i="48" s="1"/>
  <c r="AB150" i="48" s="1"/>
  <c r="AC150" i="48" s="1"/>
  <c r="N137" i="48"/>
  <c r="J119" i="48"/>
  <c r="J137" i="48" s="1"/>
  <c r="J124" i="48"/>
  <c r="J142" i="48" s="1"/>
  <c r="J138" i="48"/>
  <c r="R119" i="48"/>
  <c r="R124" i="48"/>
  <c r="R142" i="48" s="1"/>
  <c r="R138" i="48"/>
  <c r="L119" i="48"/>
  <c r="L137" i="48" s="1"/>
  <c r="L140" i="48"/>
  <c r="I141" i="48"/>
  <c r="I119" i="48"/>
  <c r="Q141" i="48"/>
  <c r="Q119" i="48"/>
  <c r="R141" i="48"/>
  <c r="F132" i="75"/>
  <c r="L128" i="48"/>
  <c r="L20" i="48"/>
  <c r="L27" i="48" s="1"/>
  <c r="T20" i="48"/>
  <c r="T27" i="48" s="1"/>
  <c r="Z129" i="48"/>
  <c r="Y24" i="48"/>
  <c r="E101" i="75"/>
  <c r="E39" i="75" s="1"/>
  <c r="M128" i="48"/>
  <c r="I95" i="48"/>
  <c r="P20" i="48"/>
  <c r="G96" i="48"/>
  <c r="J141" i="48"/>
  <c r="I112" i="48"/>
  <c r="S137" i="48"/>
  <c r="H139" i="48"/>
  <c r="P139" i="48"/>
  <c r="M140" i="48"/>
  <c r="G142" i="48"/>
  <c r="R39" i="38"/>
  <c r="Q39" i="38"/>
  <c r="P39" i="38"/>
  <c r="J112" i="48"/>
  <c r="R112" i="48"/>
  <c r="J129" i="48"/>
  <c r="I35" i="48"/>
  <c r="G95" i="48"/>
  <c r="N142" i="48"/>
  <c r="G128" i="48"/>
  <c r="O128" i="48"/>
  <c r="H34" i="48"/>
  <c r="R37" i="38"/>
  <c r="I30" i="76"/>
  <c r="J30" i="76"/>
  <c r="L112" i="48"/>
  <c r="H128" i="48"/>
  <c r="G33" i="48"/>
  <c r="G64" i="48" s="1"/>
  <c r="G71" i="48" s="1"/>
  <c r="E93" i="48"/>
  <c r="E94" i="48"/>
  <c r="L143" i="48"/>
  <c r="I144" i="48"/>
  <c r="Q144" i="48"/>
  <c r="AB48" i="70"/>
  <c r="AB16" i="70"/>
  <c r="AB25" i="70" s="1"/>
  <c r="F4" i="71" s="1"/>
  <c r="C14" i="76"/>
  <c r="D13" i="76"/>
  <c r="K28" i="76"/>
  <c r="M112" i="48"/>
  <c r="I128" i="48"/>
  <c r="Y22" i="48"/>
  <c r="Y25" i="48"/>
  <c r="J95" i="48"/>
  <c r="K95" i="48" s="1"/>
  <c r="L95" i="48" s="1"/>
  <c r="F93" i="48"/>
  <c r="F94" i="48"/>
  <c r="W119" i="48"/>
  <c r="W128" i="48" s="1"/>
  <c r="T119" i="48"/>
  <c r="T112" i="48" s="1"/>
  <c r="J114" i="48"/>
  <c r="R114" i="48"/>
  <c r="F20" i="48"/>
  <c r="N20" i="48"/>
  <c r="V20" i="48"/>
  <c r="V27" i="48" s="1"/>
  <c r="J128" i="48"/>
  <c r="Z22" i="48"/>
  <c r="F129" i="48"/>
  <c r="Z25" i="48"/>
  <c r="I33" i="48"/>
  <c r="G93" i="48"/>
  <c r="G94" i="48"/>
  <c r="E96" i="48"/>
  <c r="S31" i="38"/>
  <c r="O30" i="38"/>
  <c r="N14" i="40"/>
  <c r="V14" i="40" s="1"/>
  <c r="P14" i="40"/>
  <c r="P17" i="40" s="1"/>
  <c r="AA22" i="48"/>
  <c r="AA25" i="48"/>
  <c r="H32" i="48"/>
  <c r="I36" i="48" s="1"/>
  <c r="F72" i="48"/>
  <c r="F95" i="48" s="1"/>
  <c r="F96" i="48"/>
  <c r="X158" i="48"/>
  <c r="Y158" i="48" s="1"/>
  <c r="Z158" i="48" s="1"/>
  <c r="AA158" i="48" s="1"/>
  <c r="AB158" i="48" s="1"/>
  <c r="AC158" i="48" s="1"/>
  <c r="S25" i="38"/>
  <c r="M24" i="38"/>
  <c r="O24" i="38" s="1"/>
  <c r="T42" i="38"/>
  <c r="P41" i="38"/>
  <c r="K56" i="38"/>
  <c r="O15" i="40"/>
  <c r="Q14" i="40"/>
  <c r="G119" i="48"/>
  <c r="G137" i="48" s="1"/>
  <c r="O119" i="48"/>
  <c r="O137" i="48" s="1"/>
  <c r="H124" i="48"/>
  <c r="H142" i="48" s="1"/>
  <c r="P124" i="48"/>
  <c r="P142" i="48" s="1"/>
  <c r="K138" i="48"/>
  <c r="S138" i="48"/>
  <c r="Z16" i="70"/>
  <c r="Z25" i="70" s="1"/>
  <c r="D4" i="71" s="1"/>
  <c r="Z48" i="70"/>
  <c r="M16" i="40"/>
  <c r="J17" i="40"/>
  <c r="R17" i="40"/>
  <c r="R15" i="40"/>
  <c r="I41" i="76"/>
  <c r="J41" i="76" s="1"/>
  <c r="H119" i="48"/>
  <c r="H137" i="48" s="1"/>
  <c r="P119" i="48"/>
  <c r="P137" i="48" s="1"/>
  <c r="L138" i="48"/>
  <c r="AA16" i="70"/>
  <c r="AA25" i="70" s="1"/>
  <c r="E4" i="71" s="1"/>
  <c r="AA48" i="70"/>
  <c r="AC18" i="70"/>
  <c r="AC26" i="70" s="1"/>
  <c r="G5" i="71" s="1"/>
  <c r="AC49" i="70"/>
  <c r="M19" i="38"/>
  <c r="N22" i="38"/>
  <c r="K14" i="40"/>
  <c r="K17" i="40" s="1"/>
  <c r="S14" i="40"/>
  <c r="S17" i="40" s="1"/>
  <c r="M138" i="48"/>
  <c r="AD18" i="70"/>
  <c r="AD26" i="70" s="1"/>
  <c r="H5" i="71" s="1"/>
  <c r="AD49" i="70"/>
  <c r="AD20" i="70" s="1"/>
  <c r="AD27" i="70" s="1"/>
  <c r="H6" i="71" s="1"/>
  <c r="AA45" i="70"/>
  <c r="AD46" i="70"/>
  <c r="AD14" i="70" s="1"/>
  <c r="AD24" i="70" s="1"/>
  <c r="H3" i="71" s="1"/>
  <c r="AC46" i="70"/>
  <c r="AF47" i="70"/>
  <c r="AE47" i="70"/>
  <c r="S16" i="38"/>
  <c r="L15" i="38"/>
  <c r="O23" i="38"/>
  <c r="N23" i="38"/>
  <c r="P32" i="38"/>
  <c r="Q43" i="38"/>
  <c r="N55" i="38"/>
  <c r="N56" i="38"/>
  <c r="J65" i="38"/>
  <c r="O55" i="38"/>
  <c r="K67" i="38" s="1"/>
  <c r="L14" i="40"/>
  <c r="T14" i="40"/>
  <c r="J29" i="76"/>
  <c r="L39" i="76"/>
  <c r="K39" i="76"/>
  <c r="M39" i="76" s="1"/>
  <c r="G43" i="76"/>
  <c r="H42" i="76"/>
  <c r="F12" i="5"/>
  <c r="K124" i="48"/>
  <c r="K142" i="48" s="1"/>
  <c r="S124" i="48"/>
  <c r="M16" i="38"/>
  <c r="O56" i="38"/>
  <c r="K65" i="38"/>
  <c r="K70" i="38" s="1"/>
  <c r="K15" i="40"/>
  <c r="S15" i="40"/>
  <c r="M5" i="21"/>
  <c r="L5" i="21"/>
  <c r="K5" i="21"/>
  <c r="J5" i="21"/>
  <c r="P36" i="38"/>
  <c r="P56" i="38"/>
  <c r="L66" i="38"/>
  <c r="L71" i="38" s="1"/>
  <c r="R41" i="38"/>
  <c r="I69" i="38"/>
  <c r="I66" i="38"/>
  <c r="O14" i="40"/>
  <c r="L32" i="76"/>
  <c r="AD45" i="70"/>
  <c r="AD12" i="70" s="1"/>
  <c r="AD23" i="70" s="1"/>
  <c r="H2" i="71" s="1"/>
  <c r="J40" i="76"/>
  <c r="O48" i="21"/>
  <c r="G48" i="21"/>
  <c r="G47" i="21" s="1"/>
  <c r="V48" i="21"/>
  <c r="N48" i="21"/>
  <c r="F48" i="21"/>
  <c r="F47" i="21" s="1"/>
  <c r="P85" i="26" s="1"/>
  <c r="U48" i="21"/>
  <c r="M48" i="21"/>
  <c r="E48" i="21"/>
  <c r="E47" i="21" s="1"/>
  <c r="O85" i="26" s="1"/>
  <c r="T48" i="21"/>
  <c r="L48" i="21"/>
  <c r="D48" i="21"/>
  <c r="D47" i="21" s="1"/>
  <c r="N85" i="26" s="1"/>
  <c r="S48" i="21"/>
  <c r="K48" i="21"/>
  <c r="R48" i="21"/>
  <c r="J48" i="21"/>
  <c r="H8" i="21"/>
  <c r="Q48" i="21"/>
  <c r="P48" i="21"/>
  <c r="I48" i="21"/>
  <c r="H48" i="21"/>
  <c r="U41" i="21"/>
  <c r="T41" i="21"/>
  <c r="Q41" i="21"/>
  <c r="P41" i="21"/>
  <c r="T6" i="21"/>
  <c r="AD45" i="30" s="1"/>
  <c r="I7" i="35" s="1"/>
  <c r="S6" i="21"/>
  <c r="AC45" i="30" s="1"/>
  <c r="H7" i="35" s="1"/>
  <c r="I9" i="55" s="1"/>
  <c r="R6" i="21"/>
  <c r="F10" i="5"/>
  <c r="V5" i="21" s="1"/>
  <c r="AF24" i="59" s="1"/>
  <c r="D21" i="21"/>
  <c r="D11" i="21"/>
  <c r="D9" i="21"/>
  <c r="D12" i="21"/>
  <c r="D7" i="21"/>
  <c r="D10" i="21"/>
  <c r="N39" i="26" s="1"/>
  <c r="D5" i="21"/>
  <c r="E1" i="21"/>
  <c r="C14" i="21"/>
  <c r="C83" i="21"/>
  <c r="J36" i="76"/>
  <c r="K38" i="76"/>
  <c r="M38" i="76" s="1"/>
  <c r="D47" i="76"/>
  <c r="B48" i="76"/>
  <c r="Q10" i="21"/>
  <c r="AA39" i="26" s="1"/>
  <c r="AA17" i="26" s="1"/>
  <c r="P10" i="21"/>
  <c r="Z39" i="26" s="1"/>
  <c r="Z17" i="26" s="1"/>
  <c r="O10" i="21"/>
  <c r="Y39" i="26" s="1"/>
  <c r="Y17" i="26" s="1"/>
  <c r="N10" i="21"/>
  <c r="U7" i="21"/>
  <c r="T7" i="21"/>
  <c r="S7" i="21"/>
  <c r="R7" i="21"/>
  <c r="G77" i="21" s="1"/>
  <c r="C16" i="5"/>
  <c r="M16" i="5"/>
  <c r="G16" i="5"/>
  <c r="P3" i="21"/>
  <c r="U6" i="21"/>
  <c r="AE45" i="30" s="1"/>
  <c r="J7" i="35" s="1"/>
  <c r="C5" i="21"/>
  <c r="F16" i="5"/>
  <c r="L20" i="21"/>
  <c r="V38" i="30" s="1"/>
  <c r="K18" i="21"/>
  <c r="L6" i="21"/>
  <c r="L24" i="21" s="1"/>
  <c r="K23" i="21"/>
  <c r="U41" i="30" s="1"/>
  <c r="K20" i="21"/>
  <c r="U38" i="30" s="1"/>
  <c r="AD75" i="30" s="1"/>
  <c r="J18" i="21"/>
  <c r="K6" i="21"/>
  <c r="K24" i="21"/>
  <c r="J23" i="21"/>
  <c r="T41" i="30" s="1"/>
  <c r="T24" i="30" s="1"/>
  <c r="T13" i="30" s="1"/>
  <c r="T12" i="30" s="1"/>
  <c r="J20" i="21"/>
  <c r="T38" i="30" s="1"/>
  <c r="J6" i="21"/>
  <c r="J24" i="21"/>
  <c r="M6" i="21"/>
  <c r="M19" i="21" s="1"/>
  <c r="W37" i="30" s="1"/>
  <c r="W20" i="30" s="1"/>
  <c r="P5" i="21"/>
  <c r="O5" i="21"/>
  <c r="N5" i="21"/>
  <c r="O12" i="21"/>
  <c r="N12" i="21"/>
  <c r="Q12" i="21"/>
  <c r="P12" i="21"/>
  <c r="Q3" i="21"/>
  <c r="V16" i="6"/>
  <c r="O27" i="38"/>
  <c r="I10" i="21"/>
  <c r="S39" i="26" s="1"/>
  <c r="S17" i="26" s="1"/>
  <c r="H10" i="21"/>
  <c r="R39" i="26" s="1"/>
  <c r="R17" i="26" s="1"/>
  <c r="G10" i="21"/>
  <c r="Q39" i="26" s="1"/>
  <c r="Q17" i="26" s="1"/>
  <c r="F10" i="21"/>
  <c r="M7" i="21"/>
  <c r="L7" i="21"/>
  <c r="K7" i="21"/>
  <c r="J7" i="21"/>
  <c r="M15" i="38"/>
  <c r="M22" i="38"/>
  <c r="P27" i="38"/>
  <c r="P30" i="38"/>
  <c r="Q30" i="38" s="1"/>
  <c r="P34" i="38"/>
  <c r="Q41" i="38"/>
  <c r="Q45" i="38"/>
  <c r="C7" i="21"/>
  <c r="H16" i="5"/>
  <c r="H5" i="21"/>
  <c r="G5" i="21"/>
  <c r="F5" i="21"/>
  <c r="I5" i="21"/>
  <c r="G12" i="21"/>
  <c r="F12" i="21"/>
  <c r="I12" i="21"/>
  <c r="H12" i="21"/>
  <c r="Q33" i="21"/>
  <c r="I33" i="21"/>
  <c r="M33" i="21"/>
  <c r="T33" i="21"/>
  <c r="D18" i="21"/>
  <c r="I37" i="76"/>
  <c r="J37" i="76" s="1"/>
  <c r="C8" i="21"/>
  <c r="I16" i="5"/>
  <c r="U5" i="21"/>
  <c r="AE24" i="59" s="1"/>
  <c r="T5" i="21"/>
  <c r="AD24" i="59" s="1"/>
  <c r="S5" i="21"/>
  <c r="G75" i="21" s="1"/>
  <c r="I13" i="21"/>
  <c r="I14" i="21" s="1"/>
  <c r="H13" i="21"/>
  <c r="H14" i="21" s="1"/>
  <c r="G13" i="21"/>
  <c r="G14" i="21" s="1"/>
  <c r="F13" i="21"/>
  <c r="T51" i="21"/>
  <c r="T50" i="21"/>
  <c r="H7" i="21"/>
  <c r="O9" i="21"/>
  <c r="K13" i="21"/>
  <c r="K14" i="21" s="1"/>
  <c r="L19" i="21"/>
  <c r="V37" i="30" s="1"/>
  <c r="V20" i="30" s="1"/>
  <c r="K19" i="21"/>
  <c r="U37" i="30" s="1"/>
  <c r="M9" i="21"/>
  <c r="L9" i="21"/>
  <c r="K9" i="21"/>
  <c r="J9" i="21"/>
  <c r="U9" i="21"/>
  <c r="T9" i="21"/>
  <c r="AD37" i="26" s="1"/>
  <c r="S9" i="21"/>
  <c r="R9" i="21"/>
  <c r="R17" i="6"/>
  <c r="F4" i="21"/>
  <c r="L13" i="21"/>
  <c r="L14" i="21" s="1"/>
  <c r="V51" i="21"/>
  <c r="H19" i="21"/>
  <c r="R37" i="30" s="1"/>
  <c r="I6" i="21"/>
  <c r="I24" i="21"/>
  <c r="G18" i="21"/>
  <c r="H6" i="21"/>
  <c r="H24" i="21" s="1"/>
  <c r="G20" i="21"/>
  <c r="Q38" i="30" s="1"/>
  <c r="F18" i="21"/>
  <c r="G6" i="21"/>
  <c r="G23" i="21" s="1"/>
  <c r="Q41" i="30" s="1"/>
  <c r="Q24" i="30" s="1"/>
  <c r="M10" i="21"/>
  <c r="W39" i="26" s="1"/>
  <c r="W17" i="26" s="1"/>
  <c r="L10" i="21"/>
  <c r="V39" i="26" s="1"/>
  <c r="V17" i="26" s="1"/>
  <c r="Q23" i="21"/>
  <c r="Q6" i="21"/>
  <c r="AA45" i="30" s="1"/>
  <c r="F7" i="35" s="1"/>
  <c r="G9" i="55" s="1"/>
  <c r="P6" i="21"/>
  <c r="Z45" i="30" s="1"/>
  <c r="E7" i="35" s="1"/>
  <c r="F9" i="55" s="1"/>
  <c r="O6" i="21"/>
  <c r="Y45" i="30" s="1"/>
  <c r="D7" i="35" s="1"/>
  <c r="E9" i="55" s="1"/>
  <c r="U10" i="21"/>
  <c r="T10" i="21"/>
  <c r="AD39" i="26" s="1"/>
  <c r="AD17" i="26" s="1"/>
  <c r="G4" i="21"/>
  <c r="S13" i="21"/>
  <c r="S14" i="21" s="1"/>
  <c r="D46" i="76"/>
  <c r="G33" i="76" s="1"/>
  <c r="H33" i="76" s="1"/>
  <c r="E5" i="5"/>
  <c r="G7" i="21"/>
  <c r="F7" i="21"/>
  <c r="D77" i="21" s="1"/>
  <c r="M12" i="21"/>
  <c r="L12" i="21"/>
  <c r="K12" i="21"/>
  <c r="J12" i="21"/>
  <c r="E82" i="21" s="1"/>
  <c r="O7" i="21"/>
  <c r="N7" i="21"/>
  <c r="U12" i="21"/>
  <c r="T12" i="21"/>
  <c r="S12" i="21"/>
  <c r="R12" i="21"/>
  <c r="H4" i="21"/>
  <c r="F6" i="21"/>
  <c r="F19" i="21" s="1"/>
  <c r="P37" i="30" s="1"/>
  <c r="Q7" i="21"/>
  <c r="J19" i="21"/>
  <c r="T37" i="30" s="1"/>
  <c r="O24" i="21"/>
  <c r="M4" i="21"/>
  <c r="L4" i="21"/>
  <c r="J4" i="21"/>
  <c r="R13" i="21"/>
  <c r="J13" i="21"/>
  <c r="Q13" i="21"/>
  <c r="Q14" i="21" s="1"/>
  <c r="P13" i="21"/>
  <c r="P14" i="21" s="1"/>
  <c r="O13" i="21"/>
  <c r="O14" i="21" s="1"/>
  <c r="V13" i="21"/>
  <c r="V14" i="21" s="1"/>
  <c r="V15" i="21" s="1"/>
  <c r="N13" i="21"/>
  <c r="U13" i="21"/>
  <c r="U14" i="21" s="1"/>
  <c r="U15" i="21" s="1"/>
  <c r="M13" i="21"/>
  <c r="M14" i="21" s="1"/>
  <c r="U4" i="21"/>
  <c r="AE25" i="59" s="1"/>
  <c r="AE30" i="59" s="1"/>
  <c r="J16" i="35" s="1"/>
  <c r="T4" i="21"/>
  <c r="AD25" i="59" s="1"/>
  <c r="AD30" i="59" s="1"/>
  <c r="I16" i="35" s="1"/>
  <c r="S4" i="21"/>
  <c r="R4" i="21"/>
  <c r="F3" i="21"/>
  <c r="N3" i="21"/>
  <c r="V3" i="21"/>
  <c r="V17" i="6"/>
  <c r="K4" i="21"/>
  <c r="J10" i="21"/>
  <c r="D23" i="21"/>
  <c r="N41" i="30" s="1"/>
  <c r="D20" i="21"/>
  <c r="N38" i="30" s="1"/>
  <c r="D24" i="21"/>
  <c r="N42" i="30" s="1"/>
  <c r="C23" i="21"/>
  <c r="M41" i="30" s="1"/>
  <c r="C20" i="21"/>
  <c r="M38" i="30" s="1"/>
  <c r="C6" i="21"/>
  <c r="C24" i="21"/>
  <c r="M42" i="30" s="1"/>
  <c r="D19" i="21"/>
  <c r="N37" i="30" s="1"/>
  <c r="C19" i="21"/>
  <c r="M37" i="30" s="1"/>
  <c r="F9" i="21"/>
  <c r="I9" i="21"/>
  <c r="N9" i="21"/>
  <c r="Q9" i="21"/>
  <c r="B16" i="5"/>
  <c r="J16" i="5"/>
  <c r="G3" i="21"/>
  <c r="O3" i="21"/>
  <c r="N4" i="21"/>
  <c r="N6" i="21"/>
  <c r="K10" i="21"/>
  <c r="U39" i="26" s="1"/>
  <c r="U17" i="26" s="1"/>
  <c r="E81" i="21"/>
  <c r="G81" i="21"/>
  <c r="T98" i="75" l="1"/>
  <c r="T27" i="75"/>
  <c r="F27" i="75"/>
  <c r="F26" i="75" s="1"/>
  <c r="F29" i="75" s="1"/>
  <c r="F98" i="75"/>
  <c r="F97" i="75" s="1"/>
  <c r="F100" i="75" s="1"/>
  <c r="F109" i="75" s="1"/>
  <c r="F37" i="75" s="1"/>
  <c r="F101" i="75"/>
  <c r="F39" i="75" s="1"/>
  <c r="L37" i="76"/>
  <c r="L38" i="76"/>
  <c r="Q46" i="48"/>
  <c r="T46" i="48"/>
  <c r="S46" i="48"/>
  <c r="R46" i="48"/>
  <c r="Q13" i="30"/>
  <c r="Q12" i="30" s="1"/>
  <c r="Q15" i="30"/>
  <c r="Y45" i="75"/>
  <c r="Y37" i="59"/>
  <c r="Z26" i="49"/>
  <c r="Y28" i="49"/>
  <c r="Y29" i="49"/>
  <c r="D11" i="35"/>
  <c r="E13" i="55" s="1"/>
  <c r="K27" i="76"/>
  <c r="L28" i="76"/>
  <c r="U98" i="75"/>
  <c r="U27" i="75"/>
  <c r="Y104" i="75"/>
  <c r="Y106" i="75" s="1"/>
  <c r="Y105" i="75" s="1"/>
  <c r="L41" i="76"/>
  <c r="K41" i="76"/>
  <c r="S15" i="21"/>
  <c r="AC38" i="26"/>
  <c r="C78" i="21"/>
  <c r="W8" i="21"/>
  <c r="AA131" i="48"/>
  <c r="Z26" i="48"/>
  <c r="E22" i="35" s="1"/>
  <c r="F24" i="55" s="1"/>
  <c r="AE48" i="20"/>
  <c r="J3" i="35"/>
  <c r="Z96" i="59"/>
  <c r="Z98" i="59" s="1"/>
  <c r="Z97" i="59" s="1"/>
  <c r="O15" i="21"/>
  <c r="Y38" i="26"/>
  <c r="I21" i="21"/>
  <c r="S45" i="30"/>
  <c r="G15" i="21"/>
  <c r="Q38" i="26"/>
  <c r="Q35" i="26" s="1"/>
  <c r="Q32" i="75"/>
  <c r="Q99" i="75" s="1"/>
  <c r="Q97" i="75" s="1"/>
  <c r="Q100" i="75" s="1"/>
  <c r="Q24" i="59"/>
  <c r="L32" i="21"/>
  <c r="H32" i="21"/>
  <c r="F82" i="21"/>
  <c r="AD78" i="30"/>
  <c r="U24" i="30"/>
  <c r="AD61" i="30" s="1"/>
  <c r="M32" i="75"/>
  <c r="M24" i="59"/>
  <c r="E9" i="21"/>
  <c r="E12" i="21"/>
  <c r="E7" i="21"/>
  <c r="E10" i="21"/>
  <c r="E5" i="21"/>
  <c r="C75" i="21" s="1"/>
  <c r="E11" i="21"/>
  <c r="C81" i="21" s="1"/>
  <c r="E4" i="21"/>
  <c r="D22" i="21"/>
  <c r="N40" i="30" s="1"/>
  <c r="N39" i="30"/>
  <c r="O47" i="21"/>
  <c r="Y85" i="26" s="1"/>
  <c r="P48" i="38"/>
  <c r="J67" i="38"/>
  <c r="S17" i="38"/>
  <c r="L16" i="38"/>
  <c r="N16" i="38" s="1"/>
  <c r="M23" i="21"/>
  <c r="W41" i="30" s="1"/>
  <c r="W24" i="30" s="1"/>
  <c r="W13" i="30" s="1"/>
  <c r="W12" i="30" s="1"/>
  <c r="N15" i="40"/>
  <c r="Y20" i="48"/>
  <c r="D20" i="35" s="1"/>
  <c r="E22" i="55" s="1"/>
  <c r="L30" i="76"/>
  <c r="K30" i="76"/>
  <c r="AA129" i="48"/>
  <c r="Z24" i="48"/>
  <c r="Q137" i="48"/>
  <c r="R137" i="48"/>
  <c r="O112" i="48"/>
  <c r="Q34" i="75"/>
  <c r="Q24" i="75"/>
  <c r="O48" i="75"/>
  <c r="P34" i="75"/>
  <c r="P24" i="75"/>
  <c r="O34" i="75"/>
  <c r="O24" i="75"/>
  <c r="H93" i="59"/>
  <c r="W48" i="20"/>
  <c r="P9" i="50"/>
  <c r="G3" i="35"/>
  <c r="H5" i="55" s="1"/>
  <c r="AB48" i="20"/>
  <c r="AG48" i="20"/>
  <c r="L3" i="35"/>
  <c r="AD48" i="20"/>
  <c r="I3" i="35"/>
  <c r="J49" i="20"/>
  <c r="J50" i="20" s="1"/>
  <c r="C2" i="50"/>
  <c r="D90" i="59"/>
  <c r="D89" i="59" s="1"/>
  <c r="D92" i="59" s="1"/>
  <c r="D101" i="59" s="1"/>
  <c r="D29" i="59" s="1"/>
  <c r="D33" i="59" s="1"/>
  <c r="J28" i="49"/>
  <c r="R14" i="75"/>
  <c r="R14" i="59"/>
  <c r="R90" i="59" s="1"/>
  <c r="G27" i="75"/>
  <c r="G26" i="75" s="1"/>
  <c r="G29" i="75" s="1"/>
  <c r="G98" i="75"/>
  <c r="G97" i="75" s="1"/>
  <c r="G100" i="75" s="1"/>
  <c r="G109" i="75" s="1"/>
  <c r="G37" i="75" s="1"/>
  <c r="H27" i="75"/>
  <c r="H26" i="75" s="1"/>
  <c r="H29" i="75" s="1"/>
  <c r="H98" i="75"/>
  <c r="H97" i="75" s="1"/>
  <c r="H100" i="75" s="1"/>
  <c r="H109" i="75" s="1"/>
  <c r="H37" i="75" s="1"/>
  <c r="W33" i="75"/>
  <c r="W38" i="75" s="1"/>
  <c r="W23" i="75"/>
  <c r="W25" i="59"/>
  <c r="W30" i="59" s="1"/>
  <c r="P5" i="50" s="1"/>
  <c r="C15" i="21"/>
  <c r="C84" i="21"/>
  <c r="G74" i="21"/>
  <c r="AB33" i="75"/>
  <c r="AB25" i="59"/>
  <c r="AB23" i="75"/>
  <c r="W11" i="21"/>
  <c r="T39" i="21"/>
  <c r="S39" i="21"/>
  <c r="R39" i="21"/>
  <c r="Q39" i="21"/>
  <c r="F79" i="21"/>
  <c r="P39" i="21"/>
  <c r="O39" i="21"/>
  <c r="V39" i="21"/>
  <c r="U39" i="21"/>
  <c r="N39" i="21"/>
  <c r="X37" i="26"/>
  <c r="C21" i="21"/>
  <c r="M39" i="30" s="1"/>
  <c r="M45" i="30"/>
  <c r="AC25" i="59"/>
  <c r="AC30" i="59" s="1"/>
  <c r="AC33" i="75"/>
  <c r="AC38" i="75" s="1"/>
  <c r="AC23" i="75"/>
  <c r="P15" i="21"/>
  <c r="Z38" i="26"/>
  <c r="Z35" i="26" s="1"/>
  <c r="F77" i="21"/>
  <c r="Q33" i="75"/>
  <c r="Q38" i="75" s="1"/>
  <c r="Q23" i="75"/>
  <c r="Q25" i="59"/>
  <c r="Q30" i="59" s="1"/>
  <c r="J5" i="50" s="1"/>
  <c r="Q24" i="21"/>
  <c r="Q25" i="21" s="1"/>
  <c r="AA43" i="30" s="1"/>
  <c r="H18" i="21"/>
  <c r="F24" i="21"/>
  <c r="H15" i="21"/>
  <c r="R38" i="26"/>
  <c r="R35" i="26" s="1"/>
  <c r="D25" i="21"/>
  <c r="N36" i="30"/>
  <c r="U33" i="21"/>
  <c r="R32" i="75"/>
  <c r="R99" i="75" s="1"/>
  <c r="R24" i="59"/>
  <c r="T32" i="21"/>
  <c r="P32" i="21"/>
  <c r="E76" i="21"/>
  <c r="J21" i="21"/>
  <c r="T45" i="30"/>
  <c r="N32" i="75"/>
  <c r="N24" i="59"/>
  <c r="R41" i="21"/>
  <c r="U52" i="21"/>
  <c r="M52" i="21"/>
  <c r="T52" i="21"/>
  <c r="T47" i="21" s="1"/>
  <c r="AD85" i="26" s="1"/>
  <c r="L52" i="21"/>
  <c r="S52" i="21"/>
  <c r="K52" i="21"/>
  <c r="K47" i="21" s="1"/>
  <c r="U85" i="26" s="1"/>
  <c r="D78" i="21"/>
  <c r="R52" i="21"/>
  <c r="J52" i="21"/>
  <c r="Q52" i="21"/>
  <c r="Q47" i="21" s="1"/>
  <c r="AA85" i="26" s="1"/>
  <c r="I52" i="21"/>
  <c r="P52" i="21"/>
  <c r="P47" i="21" s="1"/>
  <c r="Z85" i="26" s="1"/>
  <c r="H52" i="21"/>
  <c r="H47" i="21" s="1"/>
  <c r="V52" i="21"/>
  <c r="V47" i="21" s="1"/>
  <c r="AF85" i="26" s="1"/>
  <c r="O52" i="21"/>
  <c r="N52" i="21"/>
  <c r="L40" i="76"/>
  <c r="K40" i="76"/>
  <c r="M40" i="76" s="1"/>
  <c r="P16" i="40"/>
  <c r="S142" i="48"/>
  <c r="AE16" i="70"/>
  <c r="AE25" i="70" s="1"/>
  <c r="I4" i="71" s="1"/>
  <c r="AE48" i="70"/>
  <c r="P15" i="40"/>
  <c r="S114" i="48"/>
  <c r="Z20" i="48"/>
  <c r="E20" i="35" s="1"/>
  <c r="F22" i="55" s="1"/>
  <c r="L31" i="76"/>
  <c r="Q128" i="48"/>
  <c r="K137" i="48"/>
  <c r="P129" i="48"/>
  <c r="X27" i="48"/>
  <c r="C19" i="35"/>
  <c r="D21" i="55" s="1"/>
  <c r="AE130" i="48"/>
  <c r="AD25" i="48"/>
  <c r="P48" i="75"/>
  <c r="G48" i="75"/>
  <c r="AF48" i="20"/>
  <c r="K3" i="35"/>
  <c r="N30" i="26"/>
  <c r="M15" i="26"/>
  <c r="M29" i="26"/>
  <c r="M78" i="26"/>
  <c r="D20" i="49"/>
  <c r="N40" i="59"/>
  <c r="T48" i="20"/>
  <c r="M9" i="50"/>
  <c r="V48" i="20"/>
  <c r="O9" i="50"/>
  <c r="I90" i="59"/>
  <c r="I89" i="59" s="1"/>
  <c r="I92" i="59" s="1"/>
  <c r="I93" i="59"/>
  <c r="H28" i="20"/>
  <c r="N19" i="25"/>
  <c r="N14" i="75" s="1"/>
  <c r="W12" i="74"/>
  <c r="V14" i="74"/>
  <c r="V13" i="74" s="1"/>
  <c r="V11" i="74"/>
  <c r="V19" i="74" s="1"/>
  <c r="D27" i="75"/>
  <c r="D26" i="75" s="1"/>
  <c r="D29" i="75" s="1"/>
  <c r="D98" i="75"/>
  <c r="D97" i="75" s="1"/>
  <c r="D100" i="75" s="1"/>
  <c r="D109" i="75" s="1"/>
  <c r="D37" i="75" s="1"/>
  <c r="D41" i="75" s="1"/>
  <c r="J45" i="75"/>
  <c r="J46" i="75" s="1"/>
  <c r="J48" i="75" s="1"/>
  <c r="J37" i="59"/>
  <c r="J38" i="59" s="1"/>
  <c r="J29" i="49"/>
  <c r="M21" i="21"/>
  <c r="M20" i="21"/>
  <c r="W38" i="30" s="1"/>
  <c r="W45" i="30"/>
  <c r="E13" i="76"/>
  <c r="D14" i="76"/>
  <c r="AA48" i="20"/>
  <c r="F3" i="35"/>
  <c r="G5" i="55" s="1"/>
  <c r="V42" i="21"/>
  <c r="U42" i="21"/>
  <c r="T42" i="21"/>
  <c r="S42" i="21"/>
  <c r="R42" i="21"/>
  <c r="Q42" i="21"/>
  <c r="AA37" i="26"/>
  <c r="P23" i="21"/>
  <c r="AD35" i="26"/>
  <c r="AD13" i="26"/>
  <c r="F76" i="21"/>
  <c r="N23" i="21"/>
  <c r="X41" i="30" s="1"/>
  <c r="X24" i="30" s="1"/>
  <c r="X45" i="30"/>
  <c r="N19" i="21"/>
  <c r="E80" i="21"/>
  <c r="T39" i="26"/>
  <c r="T17" i="26" s="1"/>
  <c r="Q15" i="21"/>
  <c r="AA38" i="26"/>
  <c r="G73" i="55"/>
  <c r="G105" i="55"/>
  <c r="I20" i="21"/>
  <c r="S38" i="30" s="1"/>
  <c r="V35" i="21"/>
  <c r="N35" i="21"/>
  <c r="U35" i="21"/>
  <c r="M35" i="21"/>
  <c r="T35" i="21"/>
  <c r="L35" i="21"/>
  <c r="S35" i="21"/>
  <c r="K35" i="21"/>
  <c r="R35" i="21"/>
  <c r="J35" i="21"/>
  <c r="E79" i="21"/>
  <c r="Q35" i="21"/>
  <c r="P35" i="21"/>
  <c r="O35" i="21"/>
  <c r="T37" i="26"/>
  <c r="K15" i="21"/>
  <c r="U38" i="26"/>
  <c r="I15" i="21"/>
  <c r="S38" i="26"/>
  <c r="J33" i="21"/>
  <c r="N33" i="21"/>
  <c r="M32" i="21"/>
  <c r="E77" i="21"/>
  <c r="F75" i="21"/>
  <c r="X32" i="75"/>
  <c r="X24" i="59"/>
  <c r="L21" i="21"/>
  <c r="V45" i="30"/>
  <c r="E6" i="21"/>
  <c r="N17" i="26"/>
  <c r="K15" i="35"/>
  <c r="S41" i="21"/>
  <c r="J47" i="21"/>
  <c r="T85" i="26" s="1"/>
  <c r="M47" i="21"/>
  <c r="W85" i="26" s="1"/>
  <c r="Q27" i="38"/>
  <c r="E75" i="21"/>
  <c r="L29" i="76"/>
  <c r="K29" i="76"/>
  <c r="M29" i="76" s="1"/>
  <c r="AF48" i="70"/>
  <c r="AF16" i="70"/>
  <c r="AF25" i="70" s="1"/>
  <c r="J4" i="71" s="1"/>
  <c r="N15" i="38"/>
  <c r="R32" i="21"/>
  <c r="Z18" i="70"/>
  <c r="Z26" i="70" s="1"/>
  <c r="D5" i="71" s="1"/>
  <c r="Z49" i="70"/>
  <c r="F31" i="55"/>
  <c r="E3" i="21"/>
  <c r="W3" i="21" s="1"/>
  <c r="Q142" i="48"/>
  <c r="K114" i="48"/>
  <c r="S32" i="38"/>
  <c r="O31" i="38"/>
  <c r="Q31" i="38" s="1"/>
  <c r="R128" i="48"/>
  <c r="P128" i="48"/>
  <c r="L142" i="48"/>
  <c r="H129" i="48"/>
  <c r="I137" i="48"/>
  <c r="I65" i="48"/>
  <c r="I72" i="48" s="1"/>
  <c r="J34" i="48"/>
  <c r="I39" i="48"/>
  <c r="V103" i="75"/>
  <c r="U103" i="75"/>
  <c r="U102" i="75" s="1"/>
  <c r="H39" i="75"/>
  <c r="H41" i="75" s="1"/>
  <c r="V34" i="75"/>
  <c r="V24" i="75"/>
  <c r="W85" i="75"/>
  <c r="J24" i="75"/>
  <c r="J28" i="75" s="1"/>
  <c r="J34" i="75"/>
  <c r="J99" i="75" s="1"/>
  <c r="X48" i="20"/>
  <c r="Q9" i="50"/>
  <c r="C3" i="35"/>
  <c r="D5" i="55" s="1"/>
  <c r="E20" i="49"/>
  <c r="I12" i="20"/>
  <c r="O40" i="59"/>
  <c r="V15" i="30"/>
  <c r="I98" i="75"/>
  <c r="I27" i="75"/>
  <c r="F14" i="59"/>
  <c r="E98" i="75"/>
  <c r="E97" i="75" s="1"/>
  <c r="E100" i="75" s="1"/>
  <c r="E109" i="75" s="1"/>
  <c r="E37" i="75" s="1"/>
  <c r="E27" i="75"/>
  <c r="E26" i="75" s="1"/>
  <c r="E29" i="75" s="1"/>
  <c r="R48" i="20"/>
  <c r="K9" i="50"/>
  <c r="J14" i="75"/>
  <c r="J14" i="59"/>
  <c r="J90" i="59" s="1"/>
  <c r="J89" i="59" s="1"/>
  <c r="J92" i="59" s="1"/>
  <c r="M90" i="59"/>
  <c r="D75" i="21"/>
  <c r="P32" i="75"/>
  <c r="P24" i="59"/>
  <c r="O32" i="21"/>
  <c r="L47" i="21"/>
  <c r="V85" i="26" s="1"/>
  <c r="F74" i="21"/>
  <c r="X33" i="75"/>
  <c r="X38" i="75" s="1"/>
  <c r="X23" i="75"/>
  <c r="X25" i="59"/>
  <c r="X30" i="59" s="1"/>
  <c r="U25" i="59"/>
  <c r="U30" i="59" s="1"/>
  <c r="N5" i="50" s="1"/>
  <c r="U23" i="75"/>
  <c r="U28" i="75" s="1"/>
  <c r="U33" i="75"/>
  <c r="U38" i="75" s="1"/>
  <c r="E83" i="21"/>
  <c r="J14" i="21"/>
  <c r="AA41" i="30"/>
  <c r="AA24" i="30" s="1"/>
  <c r="H21" i="21"/>
  <c r="R45" i="30"/>
  <c r="I23" i="21"/>
  <c r="S41" i="30" s="1"/>
  <c r="S24" i="30" s="1"/>
  <c r="L15" i="21"/>
  <c r="V38" i="26"/>
  <c r="R36" i="21"/>
  <c r="Q36" i="21"/>
  <c r="P36" i="21"/>
  <c r="O36" i="21"/>
  <c r="V36" i="21"/>
  <c r="N36" i="21"/>
  <c r="U36" i="21"/>
  <c r="M36" i="21"/>
  <c r="T36" i="21"/>
  <c r="S36" i="21"/>
  <c r="L36" i="21"/>
  <c r="K36" i="21"/>
  <c r="U37" i="26"/>
  <c r="T40" i="21"/>
  <c r="S40" i="21"/>
  <c r="R40" i="21"/>
  <c r="Q40" i="21"/>
  <c r="P40" i="21"/>
  <c r="O40" i="21"/>
  <c r="V40" i="21"/>
  <c r="U40" i="21"/>
  <c r="Y37" i="26"/>
  <c r="AC32" i="75"/>
  <c r="AC24" i="59"/>
  <c r="K33" i="21"/>
  <c r="V33" i="21"/>
  <c r="W7" i="21"/>
  <c r="C77" i="21"/>
  <c r="U32" i="21"/>
  <c r="Y32" i="75"/>
  <c r="Y24" i="59"/>
  <c r="U36" i="30"/>
  <c r="AD73" i="30" s="1"/>
  <c r="F80" i="21"/>
  <c r="X39" i="26"/>
  <c r="X17" i="26" s="1"/>
  <c r="K36" i="76"/>
  <c r="G76" i="21"/>
  <c r="AB45" i="30"/>
  <c r="G7" i="35" s="1"/>
  <c r="H9" i="55" s="1"/>
  <c r="R47" i="21"/>
  <c r="AB85" i="26" s="1"/>
  <c r="U24" i="59"/>
  <c r="U32" i="75"/>
  <c r="G80" i="21"/>
  <c r="T15" i="40"/>
  <c r="T17" i="40"/>
  <c r="AC14" i="70"/>
  <c r="AC24" i="70" s="1"/>
  <c r="G3" i="71" s="1"/>
  <c r="I29" i="55"/>
  <c r="AC20" i="70"/>
  <c r="AC27" i="70" s="1"/>
  <c r="G6" i="71" s="1"/>
  <c r="I32" i="55"/>
  <c r="Q16" i="40"/>
  <c r="Q15" i="40"/>
  <c r="T43" i="38"/>
  <c r="P42" i="38"/>
  <c r="R42" i="38" s="1"/>
  <c r="I142" i="48"/>
  <c r="AB18" i="70"/>
  <c r="AB26" i="70" s="1"/>
  <c r="F5" i="71" s="1"/>
  <c r="AB49" i="70"/>
  <c r="H31" i="55"/>
  <c r="H65" i="48"/>
  <c r="H72" i="48" s="1"/>
  <c r="H39" i="48"/>
  <c r="Q112" i="48"/>
  <c r="P27" i="48"/>
  <c r="AE128" i="48"/>
  <c r="AD22" i="48"/>
  <c r="J63" i="48"/>
  <c r="J70" i="48" s="1"/>
  <c r="K32" i="48"/>
  <c r="J36" i="48"/>
  <c r="R34" i="75"/>
  <c r="R24" i="75"/>
  <c r="Z77" i="59"/>
  <c r="Y26" i="59"/>
  <c r="T45" i="75"/>
  <c r="T46" i="75" s="1"/>
  <c r="T37" i="59"/>
  <c r="T38" i="59" s="1"/>
  <c r="T28" i="49"/>
  <c r="T29" i="49"/>
  <c r="S40" i="59"/>
  <c r="E90" i="59"/>
  <c r="E89" i="59" s="1"/>
  <c r="E92" i="59" s="1"/>
  <c r="E101" i="59" s="1"/>
  <c r="E29" i="59" s="1"/>
  <c r="E33" i="59" s="1"/>
  <c r="S14" i="75"/>
  <c r="S14" i="59"/>
  <c r="S90" i="59" s="1"/>
  <c r="I40" i="59"/>
  <c r="T90" i="59"/>
  <c r="AA15" i="30"/>
  <c r="AA13" i="30"/>
  <c r="AA11" i="30" s="1"/>
  <c r="AA46" i="30" s="1"/>
  <c r="F6" i="35" s="1"/>
  <c r="G8" i="55" s="1"/>
  <c r="AB17" i="30"/>
  <c r="V16" i="75"/>
  <c r="V14" i="75" s="1"/>
  <c r="V16" i="59"/>
  <c r="V14" i="59" s="1"/>
  <c r="V90" i="59" s="1"/>
  <c r="W20" i="25"/>
  <c r="F105" i="55"/>
  <c r="F73" i="55"/>
  <c r="D48" i="76"/>
  <c r="B49" i="76"/>
  <c r="L34" i="75"/>
  <c r="L99" i="75" s="1"/>
  <c r="L24" i="75"/>
  <c r="L28" i="75" s="1"/>
  <c r="G33" i="59"/>
  <c r="S34" i="21"/>
  <c r="K34" i="21"/>
  <c r="R34" i="21"/>
  <c r="J34" i="21"/>
  <c r="Q34" i="21"/>
  <c r="I34" i="21"/>
  <c r="P34" i="21"/>
  <c r="O34" i="21"/>
  <c r="V34" i="21"/>
  <c r="N34" i="21"/>
  <c r="M34" i="21"/>
  <c r="L34" i="21"/>
  <c r="U34" i="21"/>
  <c r="T34" i="21"/>
  <c r="S37" i="26"/>
  <c r="S35" i="26" s="1"/>
  <c r="R14" i="21"/>
  <c r="G83" i="21"/>
  <c r="E105" i="55"/>
  <c r="E73" i="55"/>
  <c r="Q36" i="30"/>
  <c r="D74" i="21"/>
  <c r="P33" i="75"/>
  <c r="P38" i="75" s="1"/>
  <c r="P23" i="75"/>
  <c r="P28" i="75" s="1"/>
  <c r="P25" i="59"/>
  <c r="P30" i="59" s="1"/>
  <c r="I5" i="50" s="1"/>
  <c r="O37" i="21"/>
  <c r="V37" i="21"/>
  <c r="N37" i="21"/>
  <c r="U37" i="21"/>
  <c r="M37" i="21"/>
  <c r="T37" i="21"/>
  <c r="L37" i="21"/>
  <c r="S37" i="21"/>
  <c r="R37" i="21"/>
  <c r="Q37" i="21"/>
  <c r="P37" i="21"/>
  <c r="V37" i="26"/>
  <c r="I15" i="35"/>
  <c r="R33" i="21"/>
  <c r="O33" i="21"/>
  <c r="D82" i="21"/>
  <c r="I32" i="21"/>
  <c r="N32" i="21"/>
  <c r="Z32" i="75"/>
  <c r="Z24" i="59"/>
  <c r="Q32" i="21"/>
  <c r="I105" i="55"/>
  <c r="I73" i="55"/>
  <c r="V24" i="59"/>
  <c r="V32" i="75"/>
  <c r="L15" i="40"/>
  <c r="L17" i="40"/>
  <c r="Q17" i="40"/>
  <c r="P114" i="48"/>
  <c r="S129" i="48"/>
  <c r="I40" i="48"/>
  <c r="I66" i="48"/>
  <c r="I73" i="48" s="1"/>
  <c r="J35" i="48"/>
  <c r="T128" i="48"/>
  <c r="P112" i="48"/>
  <c r="I34" i="75"/>
  <c r="I99" i="75" s="1"/>
  <c r="I24" i="75"/>
  <c r="I28" i="75" s="1"/>
  <c r="K34" i="75"/>
  <c r="K99" i="75" s="1"/>
  <c r="K24" i="75"/>
  <c r="K28" i="75" s="1"/>
  <c r="Q48" i="75"/>
  <c r="L37" i="59"/>
  <c r="L38" i="59" s="1"/>
  <c r="L40" i="59" s="1"/>
  <c r="L29" i="49"/>
  <c r="L45" i="75"/>
  <c r="L46" i="75" s="1"/>
  <c r="L48" i="75" s="1"/>
  <c r="D108" i="55"/>
  <c r="D76" i="55"/>
  <c r="G40" i="59"/>
  <c r="K48" i="75"/>
  <c r="Z48" i="20"/>
  <c r="E3" i="35"/>
  <c r="F5" i="55" s="1"/>
  <c r="U48" i="20"/>
  <c r="N9" i="50"/>
  <c r="Q40" i="59"/>
  <c r="Z14" i="25"/>
  <c r="Z13" i="25" s="1"/>
  <c r="AA12" i="25"/>
  <c r="U90" i="59"/>
  <c r="P36" i="30"/>
  <c r="D83" i="21"/>
  <c r="F14" i="21"/>
  <c r="S32" i="21"/>
  <c r="H101" i="59"/>
  <c r="H29" i="59" s="1"/>
  <c r="E16" i="5"/>
  <c r="C4" i="21"/>
  <c r="P31" i="21"/>
  <c r="H31" i="21"/>
  <c r="O31" i="21"/>
  <c r="G31" i="21"/>
  <c r="V31" i="21"/>
  <c r="N31" i="21"/>
  <c r="F31" i="21"/>
  <c r="U31" i="21"/>
  <c r="M31" i="21"/>
  <c r="T31" i="21"/>
  <c r="L31" i="21"/>
  <c r="S31" i="21"/>
  <c r="K31" i="21"/>
  <c r="D79" i="21"/>
  <c r="R31" i="21"/>
  <c r="Q31" i="21"/>
  <c r="J31" i="21"/>
  <c r="I31" i="21"/>
  <c r="P37" i="26"/>
  <c r="M15" i="21"/>
  <c r="W38" i="26"/>
  <c r="F23" i="21"/>
  <c r="P41" i="30" s="1"/>
  <c r="P24" i="30" s="1"/>
  <c r="C18" i="21"/>
  <c r="E74" i="21"/>
  <c r="T33" i="75"/>
  <c r="T23" i="75"/>
  <c r="T25" i="59"/>
  <c r="G82" i="21"/>
  <c r="N24" i="21"/>
  <c r="O23" i="21"/>
  <c r="H20" i="21"/>
  <c r="R38" i="30" s="1"/>
  <c r="U50" i="21"/>
  <c r="U47" i="21" s="1"/>
  <c r="AE85" i="26" s="1"/>
  <c r="U51" i="21"/>
  <c r="U38" i="21"/>
  <c r="M38" i="21"/>
  <c r="T38" i="21"/>
  <c r="S38" i="21"/>
  <c r="R38" i="21"/>
  <c r="Q38" i="21"/>
  <c r="P38" i="21"/>
  <c r="V38" i="21"/>
  <c r="O38" i="21"/>
  <c r="N38" i="21"/>
  <c r="W37" i="26"/>
  <c r="J15" i="35"/>
  <c r="S33" i="21"/>
  <c r="H33" i="21"/>
  <c r="J32" i="21"/>
  <c r="V32" i="21"/>
  <c r="L18" i="21"/>
  <c r="K21" i="21"/>
  <c r="U45" i="30"/>
  <c r="L23" i="21"/>
  <c r="V41" i="30" s="1"/>
  <c r="V24" i="30" s="1"/>
  <c r="V13" i="30" s="1"/>
  <c r="V12" i="30" s="1"/>
  <c r="W13" i="21"/>
  <c r="D4" i="21"/>
  <c r="S47" i="21"/>
  <c r="AC85" i="26" s="1"/>
  <c r="N47" i="21"/>
  <c r="X85" i="26" s="1"/>
  <c r="O17" i="40"/>
  <c r="O16" i="40"/>
  <c r="W32" i="75"/>
  <c r="W24" i="59"/>
  <c r="K69" i="38"/>
  <c r="K66" i="38"/>
  <c r="AA12" i="70"/>
  <c r="AA23" i="70" s="1"/>
  <c r="E2" i="71" s="1"/>
  <c r="G28" i="55"/>
  <c r="AA49" i="70"/>
  <c r="AA18" i="70"/>
  <c r="AA26" i="70" s="1"/>
  <c r="E5" i="71" s="1"/>
  <c r="G31" i="55"/>
  <c r="T16" i="40"/>
  <c r="S16" i="40"/>
  <c r="M28" i="76"/>
  <c r="H114" i="48"/>
  <c r="K129" i="48"/>
  <c r="R129" i="48"/>
  <c r="M137" i="48"/>
  <c r="E95" i="48"/>
  <c r="J101" i="75"/>
  <c r="I39" i="75"/>
  <c r="S34" i="75"/>
  <c r="S24" i="75"/>
  <c r="S28" i="75" s="1"/>
  <c r="AA13" i="33"/>
  <c r="Z13" i="33"/>
  <c r="Y13" i="33"/>
  <c r="Y10" i="33" s="1"/>
  <c r="X13" i="33"/>
  <c r="I48" i="75"/>
  <c r="AB12" i="49"/>
  <c r="D45" i="75"/>
  <c r="D46" i="75" s="1"/>
  <c r="E48" i="75" s="1"/>
  <c r="D37" i="59"/>
  <c r="D38" i="59" s="1"/>
  <c r="E40" i="59" s="1"/>
  <c r="D29" i="49"/>
  <c r="K49" i="20"/>
  <c r="K50" i="20" s="1"/>
  <c r="D2" i="50"/>
  <c r="M16" i="26"/>
  <c r="AH34" i="26"/>
  <c r="L19" i="25"/>
  <c r="L14" i="75" s="1"/>
  <c r="K14" i="75"/>
  <c r="K14" i="59"/>
  <c r="K90" i="59" s="1"/>
  <c r="K89" i="59" s="1"/>
  <c r="K92" i="59" s="1"/>
  <c r="AC48" i="20"/>
  <c r="H3" i="35"/>
  <c r="I5" i="55" s="1"/>
  <c r="V44" i="21"/>
  <c r="U44" i="21"/>
  <c r="T44" i="21"/>
  <c r="S44" i="21"/>
  <c r="AC37" i="26"/>
  <c r="Q85" i="26"/>
  <c r="G44" i="76"/>
  <c r="H43" i="76"/>
  <c r="N17" i="40"/>
  <c r="N16" i="40"/>
  <c r="F21" i="21"/>
  <c r="D76" i="21"/>
  <c r="P45" i="30"/>
  <c r="R33" i="75"/>
  <c r="R38" i="75" s="1"/>
  <c r="R23" i="75"/>
  <c r="R28" i="75" s="1"/>
  <c r="R25" i="59"/>
  <c r="R30" i="59" s="1"/>
  <c r="K5" i="50" s="1"/>
  <c r="I33" i="76"/>
  <c r="J33" i="76"/>
  <c r="L33" i="76" s="1"/>
  <c r="I18" i="21"/>
  <c r="F20" i="21"/>
  <c r="P38" i="30" s="1"/>
  <c r="F83" i="21"/>
  <c r="N14" i="21"/>
  <c r="V33" i="75"/>
  <c r="V38" i="75" s="1"/>
  <c r="V23" i="75"/>
  <c r="V28" i="75" s="1"/>
  <c r="V25" i="59"/>
  <c r="V30" i="59" s="1"/>
  <c r="O5" i="50" s="1"/>
  <c r="I19" i="21"/>
  <c r="S37" i="30" s="1"/>
  <c r="P24" i="21"/>
  <c r="G21" i="21"/>
  <c r="Q45" i="30"/>
  <c r="H23" i="21"/>
  <c r="R41" i="30" s="1"/>
  <c r="R24" i="30" s="1"/>
  <c r="G19" i="21"/>
  <c r="Q37" i="30" s="1"/>
  <c r="R43" i="21"/>
  <c r="G79" i="21"/>
  <c r="V43" i="21"/>
  <c r="U43" i="21"/>
  <c r="T43" i="21"/>
  <c r="S43" i="21"/>
  <c r="AB37" i="26"/>
  <c r="AD74" i="30"/>
  <c r="U20" i="30"/>
  <c r="L33" i="21"/>
  <c r="P33" i="21"/>
  <c r="S32" i="75"/>
  <c r="S24" i="59"/>
  <c r="K32" i="21"/>
  <c r="G32" i="21"/>
  <c r="D80" i="21"/>
  <c r="P39" i="26"/>
  <c r="P17" i="26" s="1"/>
  <c r="M18" i="21"/>
  <c r="T36" i="30"/>
  <c r="M24" i="21"/>
  <c r="S29" i="21"/>
  <c r="K29" i="21"/>
  <c r="R29" i="21"/>
  <c r="J29" i="21"/>
  <c r="Q29" i="21"/>
  <c r="I29" i="21"/>
  <c r="P29" i="21"/>
  <c r="H29" i="21"/>
  <c r="O29" i="21"/>
  <c r="G29" i="21"/>
  <c r="V29" i="21"/>
  <c r="N29" i="21"/>
  <c r="F29" i="21"/>
  <c r="U29" i="21"/>
  <c r="T29" i="21"/>
  <c r="M29" i="21"/>
  <c r="L29" i="21"/>
  <c r="E29" i="21"/>
  <c r="D29" i="21"/>
  <c r="D28" i="21" s="1"/>
  <c r="N37" i="26"/>
  <c r="V41" i="21"/>
  <c r="I47" i="21"/>
  <c r="S85" i="26" s="1"/>
  <c r="I71" i="38"/>
  <c r="I73" i="38"/>
  <c r="G24" i="21"/>
  <c r="I42" i="76"/>
  <c r="J42" i="76" s="1"/>
  <c r="J70" i="38"/>
  <c r="L16" i="40"/>
  <c r="S26" i="38"/>
  <c r="M26" i="38" s="1"/>
  <c r="O26" i="38" s="1"/>
  <c r="M25" i="38"/>
  <c r="O25" i="38" s="1"/>
  <c r="H36" i="48"/>
  <c r="H63" i="48"/>
  <c r="H70" i="48" s="1"/>
  <c r="K16" i="40"/>
  <c r="J33" i="48"/>
  <c r="I38" i="48"/>
  <c r="I64" i="48"/>
  <c r="I71" i="48" s="1"/>
  <c r="E41" i="75"/>
  <c r="H40" i="48"/>
  <c r="H66" i="48"/>
  <c r="H73" i="48" s="1"/>
  <c r="H64" i="48"/>
  <c r="H71" i="48" s="1"/>
  <c r="H38" i="48"/>
  <c r="E88" i="55"/>
  <c r="E120" i="55"/>
  <c r="T34" i="75"/>
  <c r="T24" i="75"/>
  <c r="G41" i="75"/>
  <c r="N34" i="75"/>
  <c r="N24" i="75"/>
  <c r="Y48" i="20"/>
  <c r="D3" i="35"/>
  <c r="E5" i="55" s="1"/>
  <c r="Z11" i="20"/>
  <c r="D4" i="35"/>
  <c r="E6" i="55" s="1"/>
  <c r="S48" i="20"/>
  <c r="L9" i="50"/>
  <c r="L49" i="20"/>
  <c r="L50" i="20" s="1"/>
  <c r="E2" i="50"/>
  <c r="Z27" i="20"/>
  <c r="D5" i="35"/>
  <c r="E7" i="55" s="1"/>
  <c r="AE8" i="72"/>
  <c r="R45" i="75"/>
  <c r="R46" i="75" s="1"/>
  <c r="R48" i="75" s="1"/>
  <c r="R37" i="59"/>
  <c r="R38" i="59" s="1"/>
  <c r="R40" i="59" s="1"/>
  <c r="R28" i="49"/>
  <c r="R29" i="49" s="1"/>
  <c r="P14" i="75"/>
  <c r="P14" i="59"/>
  <c r="P90" i="59" s="1"/>
  <c r="Z104" i="75" l="1"/>
  <c r="Z106" i="75" s="1"/>
  <c r="Z105" i="75" s="1"/>
  <c r="G104" i="55"/>
  <c r="G72" i="55"/>
  <c r="L98" i="75"/>
  <c r="L97" i="75" s="1"/>
  <c r="L100" i="75" s="1"/>
  <c r="L27" i="75"/>
  <c r="L26" i="75" s="1"/>
  <c r="L29" i="75" s="1"/>
  <c r="R85" i="26"/>
  <c r="W47" i="21"/>
  <c r="J12" i="20"/>
  <c r="J28" i="20"/>
  <c r="AA96" i="59"/>
  <c r="AA98" i="59" s="1"/>
  <c r="AA97" i="59"/>
  <c r="L42" i="76"/>
  <c r="K42" i="76"/>
  <c r="M42" i="76" s="1"/>
  <c r="N98" i="75"/>
  <c r="N27" i="75"/>
  <c r="P98" i="75"/>
  <c r="P97" i="75" s="1"/>
  <c r="P100" i="75" s="1"/>
  <c r="P27" i="75"/>
  <c r="P26" i="75" s="1"/>
  <c r="P29" i="75" s="1"/>
  <c r="M79" i="26"/>
  <c r="AH16" i="26"/>
  <c r="R15" i="30"/>
  <c r="R13" i="30"/>
  <c r="R12" i="30" s="1"/>
  <c r="Q50" i="48"/>
  <c r="T50" i="48"/>
  <c r="S50" i="48"/>
  <c r="R50" i="48"/>
  <c r="P46" i="48"/>
  <c r="O46" i="48"/>
  <c r="N46" i="48"/>
  <c r="M46" i="48"/>
  <c r="AC12" i="49"/>
  <c r="AD12" i="49" s="1"/>
  <c r="AE12" i="49" s="1"/>
  <c r="AF12" i="49" s="1"/>
  <c r="AG12" i="49" s="1"/>
  <c r="H18" i="49"/>
  <c r="H19" i="49" s="1"/>
  <c r="H20" i="49" s="1"/>
  <c r="H73" i="55"/>
  <c r="H105" i="55"/>
  <c r="Y35" i="26"/>
  <c r="Y13" i="26"/>
  <c r="T49" i="48"/>
  <c r="S49" i="48"/>
  <c r="R49" i="48"/>
  <c r="Q49" i="48"/>
  <c r="C85" i="21"/>
  <c r="C87" i="21" s="1"/>
  <c r="O39" i="26"/>
  <c r="W10" i="21"/>
  <c r="C80" i="21"/>
  <c r="W5" i="21"/>
  <c r="S48" i="75"/>
  <c r="E102" i="55"/>
  <c r="E70" i="55"/>
  <c r="J6" i="50"/>
  <c r="Q46" i="30"/>
  <c r="N15" i="21"/>
  <c r="F85" i="21" s="1"/>
  <c r="F84" i="21"/>
  <c r="X38" i="26"/>
  <c r="X35" i="26" s="1"/>
  <c r="G45" i="76"/>
  <c r="H44" i="76"/>
  <c r="I101" i="55"/>
  <c r="I69" i="55"/>
  <c r="K28" i="20"/>
  <c r="K12" i="20"/>
  <c r="K71" i="38"/>
  <c r="K73" i="38"/>
  <c r="V36" i="30"/>
  <c r="T30" i="59"/>
  <c r="M5" i="50" s="1"/>
  <c r="T91" i="59"/>
  <c r="F15" i="21"/>
  <c r="D85" i="21" s="1"/>
  <c r="D84" i="21"/>
  <c r="P38" i="26"/>
  <c r="AH38" i="26" s="1"/>
  <c r="AI14" i="26" s="1"/>
  <c r="W14" i="75"/>
  <c r="W16" i="59"/>
  <c r="W14" i="59" s="1"/>
  <c r="W90" i="59" s="1"/>
  <c r="X20" i="25"/>
  <c r="T44" i="38"/>
  <c r="P43" i="38"/>
  <c r="R43" i="38" s="1"/>
  <c r="M37" i="76"/>
  <c r="U13" i="26"/>
  <c r="U35" i="26"/>
  <c r="K6" i="50"/>
  <c r="R46" i="30"/>
  <c r="J65" i="48"/>
  <c r="J72" i="48" s="1"/>
  <c r="K34" i="48"/>
  <c r="J39" i="48"/>
  <c r="O6" i="50"/>
  <c r="V46" i="30"/>
  <c r="M22" i="21"/>
  <c r="W40" i="30" s="1"/>
  <c r="W39" i="30"/>
  <c r="I101" i="59"/>
  <c r="I29" i="59" s="1"/>
  <c r="M48" i="75"/>
  <c r="J22" i="21"/>
  <c r="T39" i="30"/>
  <c r="H16" i="35"/>
  <c r="I18" i="55" s="1"/>
  <c r="R98" i="75"/>
  <c r="R97" i="75" s="1"/>
  <c r="R100" i="75" s="1"/>
  <c r="R27" i="75"/>
  <c r="R26" i="75" s="1"/>
  <c r="R29" i="75" s="1"/>
  <c r="H31" i="59"/>
  <c r="H33" i="59" s="1"/>
  <c r="W95" i="59"/>
  <c r="V95" i="59"/>
  <c r="V94" i="59" s="1"/>
  <c r="U95" i="59"/>
  <c r="U94" i="59" s="1"/>
  <c r="M46" i="38"/>
  <c r="M47" i="38" s="1"/>
  <c r="O4" i="50"/>
  <c r="V91" i="59"/>
  <c r="D15" i="35"/>
  <c r="E17" i="55" s="1"/>
  <c r="Y91" i="59"/>
  <c r="J27" i="75"/>
  <c r="J26" i="75" s="1"/>
  <c r="J29" i="75" s="1"/>
  <c r="J98" i="75"/>
  <c r="J97" i="75" s="1"/>
  <c r="J100" i="75" s="1"/>
  <c r="J109" i="75" s="1"/>
  <c r="J37" i="75" s="1"/>
  <c r="Z20" i="70"/>
  <c r="Z27" i="70" s="1"/>
  <c r="D6" i="71" s="1"/>
  <c r="F32" i="55"/>
  <c r="W35" i="26"/>
  <c r="W13" i="26"/>
  <c r="M6" i="50"/>
  <c r="T46" i="30"/>
  <c r="AA11" i="20"/>
  <c r="E4" i="35"/>
  <c r="F6" i="55" s="1"/>
  <c r="L4" i="50"/>
  <c r="S91" i="59"/>
  <c r="G22" i="21"/>
  <c r="Q40" i="30" s="1"/>
  <c r="Q39" i="30"/>
  <c r="F87" i="21"/>
  <c r="I6" i="50"/>
  <c r="P46" i="30"/>
  <c r="N33" i="75"/>
  <c r="N38" i="75" s="1"/>
  <c r="N23" i="75"/>
  <c r="N28" i="75" s="1"/>
  <c r="N25" i="59"/>
  <c r="N30" i="59" s="1"/>
  <c r="G5" i="50" s="1"/>
  <c r="T28" i="75"/>
  <c r="T26" i="75" s="1"/>
  <c r="T29" i="75" s="1"/>
  <c r="D87" i="21"/>
  <c r="G84" i="21"/>
  <c r="G87" i="21" s="1"/>
  <c r="R15" i="21"/>
  <c r="G85" i="21" s="1"/>
  <c r="AB38" i="26"/>
  <c r="V89" i="59"/>
  <c r="V92" i="59" s="1"/>
  <c r="U38" i="59"/>
  <c r="V38" i="59" s="1"/>
  <c r="W38" i="59" s="1"/>
  <c r="X38" i="59" s="1"/>
  <c r="N49" i="48"/>
  <c r="M49" i="48"/>
  <c r="P49" i="48"/>
  <c r="O49" i="48"/>
  <c r="H22" i="21"/>
  <c r="R40" i="30" s="1"/>
  <c r="R39" i="30"/>
  <c r="I4" i="50"/>
  <c r="P91" i="59"/>
  <c r="S33" i="38"/>
  <c r="O32" i="38"/>
  <c r="Q32" i="38" s="1"/>
  <c r="L22" i="21"/>
  <c r="V40" i="30" s="1"/>
  <c r="V39" i="30"/>
  <c r="X12" i="74"/>
  <c r="W14" i="74"/>
  <c r="W13" i="74" s="1"/>
  <c r="W11" i="74"/>
  <c r="W19" i="74" s="1"/>
  <c r="Q28" i="75"/>
  <c r="Q26" i="75" s="1"/>
  <c r="Q29" i="75" s="1"/>
  <c r="F6" i="50"/>
  <c r="M46" i="30"/>
  <c r="C82" i="21"/>
  <c r="W12" i="21"/>
  <c r="L6" i="50"/>
  <c r="S46" i="30"/>
  <c r="H25" i="21"/>
  <c r="R36" i="30"/>
  <c r="W34" i="75"/>
  <c r="W24" i="75"/>
  <c r="W28" i="75" s="1"/>
  <c r="W26" i="75" s="1"/>
  <c r="X85" i="75"/>
  <c r="S99" i="75"/>
  <c r="Y17" i="75"/>
  <c r="Z10" i="33"/>
  <c r="Y17" i="59"/>
  <c r="D12" i="35"/>
  <c r="E14" i="55" s="1"/>
  <c r="K101" i="75"/>
  <c r="J39" i="75"/>
  <c r="J41" i="75" s="1"/>
  <c r="P4" i="50"/>
  <c r="W91" i="59"/>
  <c r="T38" i="75"/>
  <c r="T99" i="75"/>
  <c r="T97" i="75" s="1"/>
  <c r="T100" i="75" s="1"/>
  <c r="V98" i="75"/>
  <c r="V27" i="75"/>
  <c r="V26" i="75" s="1"/>
  <c r="V29" i="75" s="1"/>
  <c r="V42" i="75"/>
  <c r="S89" i="59"/>
  <c r="S92" i="59" s="1"/>
  <c r="U46" i="75"/>
  <c r="V46" i="75" s="1"/>
  <c r="W46" i="75" s="1"/>
  <c r="X46" i="75" s="1"/>
  <c r="Y46" i="75" s="1"/>
  <c r="Z46" i="75" s="1"/>
  <c r="AA46" i="75" s="1"/>
  <c r="AB46" i="75" s="1"/>
  <c r="AC46" i="75" s="1"/>
  <c r="X46" i="48"/>
  <c r="W46" i="48"/>
  <c r="V46" i="48"/>
  <c r="U46" i="48"/>
  <c r="U99" i="75"/>
  <c r="U97" i="75" s="1"/>
  <c r="U100" i="75" s="1"/>
  <c r="C16" i="35"/>
  <c r="D18" i="55" s="1"/>
  <c r="Q5" i="50"/>
  <c r="P99" i="75"/>
  <c r="D101" i="55"/>
  <c r="D69" i="55"/>
  <c r="P25" i="21"/>
  <c r="Z43" i="30" s="1"/>
  <c r="Z41" i="30"/>
  <c r="Z24" i="30" s="1"/>
  <c r="G69" i="55"/>
  <c r="G101" i="55"/>
  <c r="N43" i="30"/>
  <c r="D26" i="21"/>
  <c r="AB30" i="59"/>
  <c r="Q30" i="21"/>
  <c r="I30" i="21"/>
  <c r="P30" i="21"/>
  <c r="P28" i="21" s="1"/>
  <c r="Z83" i="26" s="1"/>
  <c r="H30" i="21"/>
  <c r="H28" i="21" s="1"/>
  <c r="O30" i="21"/>
  <c r="O28" i="21" s="1"/>
  <c r="Y83" i="26" s="1"/>
  <c r="G30" i="21"/>
  <c r="V30" i="21"/>
  <c r="N30" i="21"/>
  <c r="F30" i="21"/>
  <c r="F28" i="21" s="1"/>
  <c r="U30" i="21"/>
  <c r="M30" i="21"/>
  <c r="M28" i="21" s="1"/>
  <c r="E30" i="21"/>
  <c r="E28" i="21" s="1"/>
  <c r="T30" i="21"/>
  <c r="T28" i="21" s="1"/>
  <c r="AD83" i="26" s="1"/>
  <c r="L30" i="21"/>
  <c r="L28" i="21" s="1"/>
  <c r="K30" i="21"/>
  <c r="K28" i="21" s="1"/>
  <c r="J30" i="21"/>
  <c r="S30" i="21"/>
  <c r="R30" i="21"/>
  <c r="O37" i="26"/>
  <c r="O35" i="26" s="1"/>
  <c r="W9" i="21"/>
  <c r="E109" i="55"/>
  <c r="E77" i="55"/>
  <c r="AF128" i="48"/>
  <c r="AE22" i="48"/>
  <c r="P6" i="50"/>
  <c r="W46" i="30"/>
  <c r="AE49" i="70"/>
  <c r="AE20" i="70" s="1"/>
  <c r="AE27" i="70" s="1"/>
  <c r="I6" i="71" s="1"/>
  <c r="AE18" i="70"/>
  <c r="AE26" i="70" s="1"/>
  <c r="I5" i="71" s="1"/>
  <c r="P50" i="48"/>
  <c r="O50" i="48"/>
  <c r="N50" i="48"/>
  <c r="M50" i="48"/>
  <c r="AB35" i="26"/>
  <c r="AB13" i="26"/>
  <c r="E21" i="21"/>
  <c r="E18" i="21"/>
  <c r="O45" i="30"/>
  <c r="E23" i="21"/>
  <c r="O41" i="30" s="1"/>
  <c r="E24" i="21"/>
  <c r="O42" i="30" s="1"/>
  <c r="E20" i="21"/>
  <c r="O38" i="30" s="1"/>
  <c r="E19" i="21"/>
  <c r="O37" i="30" s="1"/>
  <c r="S48" i="48"/>
  <c r="R48" i="48"/>
  <c r="Q48" i="48"/>
  <c r="T48" i="48"/>
  <c r="U28" i="21"/>
  <c r="AE83" i="26" s="1"/>
  <c r="J38" i="48"/>
  <c r="J64" i="48"/>
  <c r="J71" i="48" s="1"/>
  <c r="K33" i="48"/>
  <c r="Q28" i="21"/>
  <c r="AA83" i="26" s="1"/>
  <c r="S36" i="30"/>
  <c r="F22" i="21"/>
  <c r="P40" i="30" s="1"/>
  <c r="P39" i="30"/>
  <c r="AC13" i="26"/>
  <c r="AC35" i="26"/>
  <c r="K98" i="75"/>
  <c r="K97" i="75" s="1"/>
  <c r="K100" i="75" s="1"/>
  <c r="K109" i="75" s="1"/>
  <c r="K37" i="75" s="1"/>
  <c r="K27" i="75"/>
  <c r="K26" i="75" s="1"/>
  <c r="K29" i="75" s="1"/>
  <c r="G95" i="55"/>
  <c r="G127" i="55"/>
  <c r="W99" i="75"/>
  <c r="C74" i="21"/>
  <c r="W4" i="21"/>
  <c r="M25" i="59"/>
  <c r="M30" i="59" s="1"/>
  <c r="F5" i="50" s="1"/>
  <c r="M33" i="75"/>
  <c r="M38" i="75" s="1"/>
  <c r="M23" i="75"/>
  <c r="M28" i="75" s="1"/>
  <c r="M26" i="75" s="1"/>
  <c r="M29" i="75" s="1"/>
  <c r="F101" i="55"/>
  <c r="F69" i="55"/>
  <c r="E15" i="35"/>
  <c r="F17" i="55" s="1"/>
  <c r="Z91" i="59"/>
  <c r="S98" i="75"/>
  <c r="S97" i="75" s="1"/>
  <c r="S100" i="75" s="1"/>
  <c r="S27" i="75"/>
  <c r="S26" i="75" s="1"/>
  <c r="S29" i="75" s="1"/>
  <c r="M40" i="59"/>
  <c r="K63" i="48"/>
  <c r="K70" i="48" s="1"/>
  <c r="L32" i="48"/>
  <c r="K36" i="48"/>
  <c r="H95" i="55"/>
  <c r="H127" i="55"/>
  <c r="I96" i="55"/>
  <c r="I128" i="55"/>
  <c r="N4" i="50"/>
  <c r="U91" i="59"/>
  <c r="F90" i="59"/>
  <c r="F89" i="59" s="1"/>
  <c r="F92" i="59" s="1"/>
  <c r="F93" i="59"/>
  <c r="F31" i="59" s="1"/>
  <c r="AF49" i="70"/>
  <c r="AF20" i="70" s="1"/>
  <c r="AF27" i="70" s="1"/>
  <c r="J6" i="71" s="1"/>
  <c r="AF18" i="70"/>
  <c r="AF26" i="70" s="1"/>
  <c r="J5" i="71" s="1"/>
  <c r="Q4" i="50"/>
  <c r="C15" i="35"/>
  <c r="D17" i="55" s="1"/>
  <c r="X91" i="59"/>
  <c r="AA35" i="26"/>
  <c r="AA13" i="26"/>
  <c r="J40" i="59"/>
  <c r="K40" i="59"/>
  <c r="N14" i="59"/>
  <c r="N90" i="59" s="1"/>
  <c r="D49" i="26"/>
  <c r="M20" i="26"/>
  <c r="M80" i="26" s="1"/>
  <c r="M75" i="26" s="1"/>
  <c r="F118" i="55"/>
  <c r="F86" i="55"/>
  <c r="C76" i="21"/>
  <c r="AB38" i="75"/>
  <c r="L14" i="59"/>
  <c r="L90" i="59" s="1"/>
  <c r="L89" i="59" s="1"/>
  <c r="L92" i="59" s="1"/>
  <c r="I22" i="21"/>
  <c r="S40" i="30" s="1"/>
  <c r="S39" i="30"/>
  <c r="F88" i="55"/>
  <c r="F120" i="55"/>
  <c r="M41" i="76"/>
  <c r="W15" i="30"/>
  <c r="AA27" i="20"/>
  <c r="E5" i="35"/>
  <c r="F7" i="55" s="1"/>
  <c r="G124" i="55"/>
  <c r="G92" i="55"/>
  <c r="J93" i="59"/>
  <c r="I31" i="59"/>
  <c r="I33" i="59" s="1"/>
  <c r="O32" i="75"/>
  <c r="O24" i="59"/>
  <c r="S28" i="21"/>
  <c r="AC83" i="26" s="1"/>
  <c r="I43" i="76"/>
  <c r="J43" i="76" s="1"/>
  <c r="T89" i="59"/>
  <c r="T92" i="59" s="1"/>
  <c r="S13" i="30"/>
  <c r="S12" i="30" s="1"/>
  <c r="S15" i="30"/>
  <c r="E118" i="55"/>
  <c r="E86" i="55"/>
  <c r="L12" i="20"/>
  <c r="L28" i="20"/>
  <c r="AF8" i="72"/>
  <c r="AB46" i="72"/>
  <c r="AB51" i="72" s="1"/>
  <c r="N35" i="26"/>
  <c r="AH37" i="26"/>
  <c r="AI13" i="26" s="1"/>
  <c r="N28" i="21"/>
  <c r="J28" i="21"/>
  <c r="M25" i="21"/>
  <c r="W36" i="30"/>
  <c r="I18" i="49"/>
  <c r="I19" i="49" s="1"/>
  <c r="C25" i="21"/>
  <c r="M43" i="30" s="1"/>
  <c r="M36" i="30"/>
  <c r="U89" i="59"/>
  <c r="U92" i="59" s="1"/>
  <c r="V35" i="26"/>
  <c r="V13" i="26"/>
  <c r="B50" i="76"/>
  <c r="D50" i="76" s="1"/>
  <c r="G35" i="76" s="1"/>
  <c r="H35" i="76" s="1"/>
  <c r="D49" i="76"/>
  <c r="G34" i="76" s="1"/>
  <c r="H34" i="76" s="1"/>
  <c r="AB15" i="30"/>
  <c r="AB13" i="30"/>
  <c r="AB11" i="30" s="1"/>
  <c r="AB46" i="30" s="1"/>
  <c r="G6" i="35" s="1"/>
  <c r="H8" i="55" s="1"/>
  <c r="AC17" i="30"/>
  <c r="AB20" i="70"/>
  <c r="AB27" i="70" s="1"/>
  <c r="F6" i="71" s="1"/>
  <c r="H32" i="55"/>
  <c r="M89" i="59"/>
  <c r="M92" i="59" s="1"/>
  <c r="I26" i="75"/>
  <c r="I29" i="75" s="1"/>
  <c r="N25" i="21"/>
  <c r="X43" i="30" s="1"/>
  <c r="X37" i="30"/>
  <c r="X20" i="30" s="1"/>
  <c r="O30" i="26"/>
  <c r="N78" i="26"/>
  <c r="N29" i="26"/>
  <c r="N15" i="26"/>
  <c r="N20" i="26" s="1"/>
  <c r="N80" i="26" s="1"/>
  <c r="AF130" i="48"/>
  <c r="AE25" i="48"/>
  <c r="W6" i="21"/>
  <c r="AB129" i="48"/>
  <c r="AA24" i="48"/>
  <c r="AA20" i="48" s="1"/>
  <c r="F20" i="35" s="1"/>
  <c r="G22" i="55" s="1"/>
  <c r="S18" i="38"/>
  <c r="L17" i="38"/>
  <c r="N17" i="38" s="1"/>
  <c r="O33" i="75"/>
  <c r="O38" i="75" s="1"/>
  <c r="O23" i="75"/>
  <c r="O28" i="75" s="1"/>
  <c r="O26" i="75" s="1"/>
  <c r="O29" i="75" s="1"/>
  <c r="O25" i="59"/>
  <c r="O30" i="59" s="1"/>
  <c r="H5" i="50" s="1"/>
  <c r="F4" i="50"/>
  <c r="M91" i="59"/>
  <c r="AB131" i="48"/>
  <c r="AA26" i="48"/>
  <c r="F22" i="35" s="1"/>
  <c r="G24" i="55" s="1"/>
  <c r="C79" i="21"/>
  <c r="Y10" i="26"/>
  <c r="D10" i="35"/>
  <c r="E12" i="55" s="1"/>
  <c r="G28" i="21"/>
  <c r="K22" i="21"/>
  <c r="U40" i="30" s="1"/>
  <c r="AD77" i="30" s="1"/>
  <c r="U39" i="30"/>
  <c r="AD76" i="30" s="1"/>
  <c r="AA14" i="25"/>
  <c r="AA13" i="25" s="1"/>
  <c r="AB12" i="25"/>
  <c r="K4" i="50"/>
  <c r="R91" i="59"/>
  <c r="R89" i="59" s="1"/>
  <c r="R92" i="59" s="1"/>
  <c r="I28" i="21"/>
  <c r="E101" i="55"/>
  <c r="E69" i="55"/>
  <c r="P48" i="48"/>
  <c r="O48" i="48"/>
  <c r="N48" i="48"/>
  <c r="M48" i="48"/>
  <c r="P89" i="59"/>
  <c r="P92" i="59" s="1"/>
  <c r="E103" i="55"/>
  <c r="E71" i="55"/>
  <c r="V28" i="21"/>
  <c r="AF83" i="26" s="1"/>
  <c r="R28" i="21"/>
  <c r="AB83" i="26" s="1"/>
  <c r="AD57" i="30"/>
  <c r="U15" i="30"/>
  <c r="AD52" i="30" s="1"/>
  <c r="U13" i="30"/>
  <c r="J18" i="49"/>
  <c r="J19" i="49" s="1"/>
  <c r="J20" i="49" s="1"/>
  <c r="AA20" i="70"/>
  <c r="AA27" i="70" s="1"/>
  <c r="E6" i="71" s="1"/>
  <c r="G32" i="55"/>
  <c r="AD82" i="30"/>
  <c r="N6" i="50"/>
  <c r="U46" i="30"/>
  <c r="AD83" i="30" s="1"/>
  <c r="O25" i="21"/>
  <c r="Y43" i="30" s="1"/>
  <c r="Y41" i="30"/>
  <c r="Y24" i="30" s="1"/>
  <c r="P15" i="30"/>
  <c r="P13" i="30"/>
  <c r="P12" i="30" s="1"/>
  <c r="J66" i="48"/>
  <c r="J73" i="48" s="1"/>
  <c r="K35" i="48"/>
  <c r="J40" i="48"/>
  <c r="V99" i="75"/>
  <c r="G25" i="21"/>
  <c r="AA77" i="59"/>
  <c r="Z26" i="59"/>
  <c r="I125" i="55"/>
  <c r="I93" i="55"/>
  <c r="K25" i="21"/>
  <c r="H15" i="35"/>
  <c r="I17" i="55" s="1"/>
  <c r="E84" i="21"/>
  <c r="E87" i="21" s="1"/>
  <c r="J15" i="21"/>
  <c r="E85" i="21" s="1"/>
  <c r="T38" i="26"/>
  <c r="T35" i="26" s="1"/>
  <c r="J101" i="59"/>
  <c r="J29" i="59" s="1"/>
  <c r="I97" i="75"/>
  <c r="I100" i="75" s="1"/>
  <c r="I109" i="75" s="1"/>
  <c r="I37" i="75" s="1"/>
  <c r="I41" i="75" s="1"/>
  <c r="V102" i="75"/>
  <c r="W103" i="75"/>
  <c r="F127" i="55"/>
  <c r="F95" i="55"/>
  <c r="Q6" i="50"/>
  <c r="C7" i="35"/>
  <c r="D9" i="55" s="1"/>
  <c r="X46" i="30"/>
  <c r="C6" i="35" s="1"/>
  <c r="D8" i="55" s="1"/>
  <c r="F13" i="76"/>
  <c r="E14" i="76"/>
  <c r="D117" i="55"/>
  <c r="D85" i="55"/>
  <c r="G4" i="50"/>
  <c r="N91" i="59"/>
  <c r="X13" i="26"/>
  <c r="W14" i="21"/>
  <c r="H69" i="55"/>
  <c r="H101" i="55"/>
  <c r="M31" i="76"/>
  <c r="M30" i="76"/>
  <c r="J69" i="38"/>
  <c r="J66" i="38"/>
  <c r="M99" i="75"/>
  <c r="M97" i="75" s="1"/>
  <c r="M100" i="75" s="1"/>
  <c r="J4" i="50"/>
  <c r="Q91" i="59"/>
  <c r="Q89" i="59" s="1"/>
  <c r="Q92" i="59" s="1"/>
  <c r="U26" i="75"/>
  <c r="U29" i="75" s="1"/>
  <c r="Z45" i="75"/>
  <c r="Z37" i="59"/>
  <c r="Z28" i="49"/>
  <c r="Z29" i="49"/>
  <c r="AA26" i="49"/>
  <c r="E11" i="35"/>
  <c r="F13" i="55" s="1"/>
  <c r="F41" i="75"/>
  <c r="L43" i="76" l="1"/>
  <c r="K43" i="76"/>
  <c r="M43" i="76" s="1"/>
  <c r="I34" i="76"/>
  <c r="J34" i="76"/>
  <c r="M49" i="20"/>
  <c r="M50" i="20" s="1"/>
  <c r="F2" i="50"/>
  <c r="AA104" i="75"/>
  <c r="AA106" i="75" s="1"/>
  <c r="AA105" i="75" s="1"/>
  <c r="X13" i="30"/>
  <c r="X12" i="30" s="1"/>
  <c r="X15" i="30"/>
  <c r="V49" i="48"/>
  <c r="U49" i="48"/>
  <c r="X49" i="48"/>
  <c r="W49" i="48"/>
  <c r="G13" i="76"/>
  <c r="F14" i="76"/>
  <c r="E76" i="55"/>
  <c r="E108" i="55"/>
  <c r="H104" i="55"/>
  <c r="H72" i="55"/>
  <c r="F101" i="59"/>
  <c r="F29" i="59" s="1"/>
  <c r="F33" i="59" s="1"/>
  <c r="Y46" i="48"/>
  <c r="AB46" i="48"/>
  <c r="AA46" i="48"/>
  <c r="Z46" i="48"/>
  <c r="Y10" i="48"/>
  <c r="O24" i="30"/>
  <c r="F102" i="55"/>
  <c r="F70" i="55"/>
  <c r="E113" i="55"/>
  <c r="E81" i="55"/>
  <c r="W94" i="59"/>
  <c r="X95" i="59"/>
  <c r="L34" i="48"/>
  <c r="K39" i="48"/>
  <c r="K65" i="48"/>
  <c r="K72" i="48" s="1"/>
  <c r="I113" i="55"/>
  <c r="I81" i="55"/>
  <c r="X50" i="48"/>
  <c r="W50" i="48"/>
  <c r="V50" i="48"/>
  <c r="U50" i="48"/>
  <c r="E10" i="35"/>
  <c r="F12" i="55" s="1"/>
  <c r="Z10" i="26"/>
  <c r="D104" i="55"/>
  <c r="D72" i="55"/>
  <c r="K66" i="48"/>
  <c r="K73" i="48" s="1"/>
  <c r="L35" i="48"/>
  <c r="K40" i="48"/>
  <c r="AG130" i="48"/>
  <c r="AG25" i="48" s="1"/>
  <c r="AF25" i="48"/>
  <c r="AH35" i="26"/>
  <c r="H4" i="50"/>
  <c r="O91" i="59"/>
  <c r="O89" i="59" s="1"/>
  <c r="O92" i="59" s="1"/>
  <c r="F103" i="55"/>
  <c r="F71" i="55"/>
  <c r="L63" i="48"/>
  <c r="L36" i="48"/>
  <c r="H6" i="50"/>
  <c r="O46" i="30"/>
  <c r="E110" i="55"/>
  <c r="E78" i="55"/>
  <c r="O33" i="38"/>
  <c r="S34" i="38"/>
  <c r="AB11" i="20"/>
  <c r="F4" i="35"/>
  <c r="G6" i="55" s="1"/>
  <c r="N26" i="75"/>
  <c r="N29" i="75" s="1"/>
  <c r="X34" i="75"/>
  <c r="X99" i="75" s="1"/>
  <c r="X24" i="75"/>
  <c r="X28" i="75" s="1"/>
  <c r="X26" i="75" s="1"/>
  <c r="Y85" i="75"/>
  <c r="X83" i="26"/>
  <c r="L109" i="75"/>
  <c r="L37" i="75" s="1"/>
  <c r="D105" i="55"/>
  <c r="D73" i="55"/>
  <c r="G128" i="55"/>
  <c r="G96" i="55"/>
  <c r="AB14" i="25"/>
  <c r="AB13" i="25" s="1"/>
  <c r="AC12" i="25"/>
  <c r="O99" i="75"/>
  <c r="O97" i="75" s="1"/>
  <c r="O100" i="75" s="1"/>
  <c r="AB27" i="20"/>
  <c r="F5" i="35"/>
  <c r="G7" i="55" s="1"/>
  <c r="E49" i="26"/>
  <c r="E45" i="26" s="1"/>
  <c r="D45" i="26"/>
  <c r="F25" i="21"/>
  <c r="I25" i="21"/>
  <c r="E25" i="21"/>
  <c r="O36" i="30"/>
  <c r="AG128" i="48"/>
  <c r="AG22" i="48" s="1"/>
  <c r="AF22" i="48"/>
  <c r="D114" i="55"/>
  <c r="D82" i="55"/>
  <c r="Y38" i="59"/>
  <c r="C18" i="35"/>
  <c r="D20" i="55" s="1"/>
  <c r="N99" i="75"/>
  <c r="N97" i="75" s="1"/>
  <c r="N100" i="75" s="1"/>
  <c r="P44" i="38"/>
  <c r="T45" i="38"/>
  <c r="P45" i="38" s="1"/>
  <c r="R45" i="38" s="1"/>
  <c r="P35" i="26"/>
  <c r="F109" i="55"/>
  <c r="F77" i="55"/>
  <c r="Q43" i="30"/>
  <c r="G26" i="21"/>
  <c r="U83" i="26"/>
  <c r="AH13" i="26"/>
  <c r="G46" i="76"/>
  <c r="H46" i="76" s="1"/>
  <c r="H45" i="76"/>
  <c r="AA45" i="75"/>
  <c r="AA28" i="49"/>
  <c r="AA37" i="59"/>
  <c r="AB26" i="49"/>
  <c r="F11" i="35"/>
  <c r="G13" i="55" s="1"/>
  <c r="W102" i="75"/>
  <c r="X103" i="75"/>
  <c r="AC13" i="30"/>
  <c r="AC11" i="30" s="1"/>
  <c r="AC46" i="30" s="1"/>
  <c r="H6" i="35" s="1"/>
  <c r="I8" i="55" s="1"/>
  <c r="AD17" i="30"/>
  <c r="AC15" i="30"/>
  <c r="X48" i="48"/>
  <c r="W48" i="48"/>
  <c r="V48" i="48"/>
  <c r="U48" i="48"/>
  <c r="G120" i="55"/>
  <c r="G88" i="55"/>
  <c r="S19" i="38"/>
  <c r="L18" i="38"/>
  <c r="N18" i="38" s="1"/>
  <c r="I35" i="76"/>
  <c r="J35" i="76" s="1"/>
  <c r="I20" i="49"/>
  <c r="D113" i="55"/>
  <c r="D81" i="55"/>
  <c r="E22" i="21"/>
  <c r="O40" i="30" s="1"/>
  <c r="O39" i="30"/>
  <c r="L101" i="75"/>
  <c r="K39" i="75"/>
  <c r="K41" i="75" s="1"/>
  <c r="Z17" i="75"/>
  <c r="AA10" i="33"/>
  <c r="G131" i="75" s="1"/>
  <c r="G132" i="75" s="1"/>
  <c r="Z17" i="59"/>
  <c r="E12" i="35"/>
  <c r="F14" i="55" s="1"/>
  <c r="R43" i="30"/>
  <c r="H26" i="21"/>
  <c r="F128" i="55"/>
  <c r="F96" i="55"/>
  <c r="X14" i="75"/>
  <c r="X16" i="59"/>
  <c r="C9" i="35"/>
  <c r="Y20" i="25"/>
  <c r="X19" i="25"/>
  <c r="W83" i="26"/>
  <c r="L25" i="21"/>
  <c r="F113" i="55"/>
  <c r="F81" i="55"/>
  <c r="T40" i="30"/>
  <c r="J25" i="21"/>
  <c r="J71" i="38"/>
  <c r="J73" i="38"/>
  <c r="AC131" i="48"/>
  <c r="AB26" i="48"/>
  <c r="G22" i="35" s="1"/>
  <c r="H24" i="55" s="1"/>
  <c r="G118" i="55"/>
  <c r="G86" i="55"/>
  <c r="N75" i="26"/>
  <c r="V83" i="26"/>
  <c r="K93" i="59"/>
  <c r="J31" i="59"/>
  <c r="J33" i="59" s="1"/>
  <c r="C3" i="50" s="1"/>
  <c r="N89" i="59"/>
  <c r="N92" i="59" s="1"/>
  <c r="Z15" i="30"/>
  <c r="Z13" i="30"/>
  <c r="Z11" i="30" s="1"/>
  <c r="Z46" i="30" s="1"/>
  <c r="E6" i="35" s="1"/>
  <c r="F8" i="55" s="1"/>
  <c r="V97" i="75"/>
  <c r="V100" i="75" s="1"/>
  <c r="Y12" i="74"/>
  <c r="X14" i="74"/>
  <c r="X13" i="74" s="1"/>
  <c r="X11" i="74" s="1"/>
  <c r="X19" i="74" s="1"/>
  <c r="I82" i="55"/>
  <c r="I114" i="55"/>
  <c r="W89" i="59"/>
  <c r="W92" i="59" s="1"/>
  <c r="O17" i="26"/>
  <c r="AH17" i="26" s="1"/>
  <c r="AH39" i="26"/>
  <c r="AI16" i="26" s="1"/>
  <c r="AB96" i="59"/>
  <c r="AB98" i="59" s="1"/>
  <c r="AB97" i="59" s="1"/>
  <c r="U43" i="30"/>
  <c r="AD80" i="30" s="1"/>
  <c r="K26" i="21"/>
  <c r="AB77" i="59"/>
  <c r="AA26" i="59"/>
  <c r="AA91" i="59" s="1"/>
  <c r="Y15" i="30"/>
  <c r="Y13" i="30"/>
  <c r="Y11" i="30" s="1"/>
  <c r="Y46" i="30" s="1"/>
  <c r="D6" i="35" s="1"/>
  <c r="E8" i="55" s="1"/>
  <c r="U12" i="30"/>
  <c r="AD49" i="30" s="1"/>
  <c r="AD50" i="30"/>
  <c r="AC129" i="48"/>
  <c r="AB24" i="48"/>
  <c r="AB20" i="48" s="1"/>
  <c r="G20" i="35" s="1"/>
  <c r="H22" i="55" s="1"/>
  <c r="O29" i="26"/>
  <c r="O78" i="26"/>
  <c r="P30" i="26"/>
  <c r="O15" i="26"/>
  <c r="O20" i="26" s="1"/>
  <c r="O80" i="26" s="1"/>
  <c r="H128" i="55"/>
  <c r="H96" i="55"/>
  <c r="W43" i="30"/>
  <c r="M26" i="21"/>
  <c r="K38" i="48"/>
  <c r="K64" i="48"/>
  <c r="K71" i="48" s="1"/>
  <c r="L33" i="48"/>
  <c r="G16" i="35"/>
  <c r="H18" i="55" s="1"/>
  <c r="J44" i="76"/>
  <c r="I44" i="76"/>
  <c r="W15" i="21"/>
  <c r="L35" i="76" l="1"/>
  <c r="K35" i="76"/>
  <c r="L36" i="76"/>
  <c r="AB104" i="75"/>
  <c r="AB106" i="75" s="1"/>
  <c r="AB105" i="75"/>
  <c r="AC96" i="59"/>
  <c r="AC98" i="59" s="1"/>
  <c r="AC97" i="59" s="1"/>
  <c r="S20" i="38"/>
  <c r="L20" i="38" s="1"/>
  <c r="L19" i="38"/>
  <c r="N19" i="38" s="1"/>
  <c r="AC11" i="20"/>
  <c r="G4" i="35"/>
  <c r="H6" i="55" s="1"/>
  <c r="H22" i="33"/>
  <c r="P29" i="26"/>
  <c r="P78" i="26"/>
  <c r="Q30" i="26"/>
  <c r="P15" i="26"/>
  <c r="P20" i="26" s="1"/>
  <c r="P80" i="26" s="1"/>
  <c r="Z12" i="74"/>
  <c r="Y14" i="74"/>
  <c r="Y13" i="74" s="1"/>
  <c r="Y11" i="74"/>
  <c r="Y19" i="74" s="1"/>
  <c r="AD13" i="30"/>
  <c r="AD11" i="30" s="1"/>
  <c r="AD46" i="30" s="1"/>
  <c r="I6" i="35" s="1"/>
  <c r="AE17" i="30"/>
  <c r="AD15" i="30"/>
  <c r="F10" i="35"/>
  <c r="G12" i="55" s="1"/>
  <c r="AA10" i="26"/>
  <c r="D116" i="55"/>
  <c r="D84" i="55"/>
  <c r="S43" i="30"/>
  <c r="I26" i="21"/>
  <c r="H13" i="76"/>
  <c r="G14" i="76"/>
  <c r="AA17" i="75"/>
  <c r="AA17" i="59"/>
  <c r="AB10" i="33"/>
  <c r="F12" i="35"/>
  <c r="G14" i="55" s="1"/>
  <c r="G134" i="75"/>
  <c r="G123" i="59"/>
  <c r="G124" i="59" s="1"/>
  <c r="G126" i="59"/>
  <c r="Z38" i="59"/>
  <c r="D18" i="35"/>
  <c r="E20" i="55" s="1"/>
  <c r="AG46" i="48"/>
  <c r="AF46" i="48"/>
  <c r="AE46" i="48"/>
  <c r="AD46" i="48"/>
  <c r="AC46" i="48"/>
  <c r="M36" i="48"/>
  <c r="L34" i="76"/>
  <c r="K34" i="76"/>
  <c r="AB26" i="59"/>
  <c r="AB91" i="59" s="1"/>
  <c r="AC77" i="59"/>
  <c r="N49" i="20"/>
  <c r="N50" i="20" s="1"/>
  <c r="G2" i="50"/>
  <c r="T43" i="30"/>
  <c r="J26" i="21"/>
  <c r="X15" i="59"/>
  <c r="X14" i="59" s="1"/>
  <c r="X90" i="59" s="1"/>
  <c r="X89" i="59" s="1"/>
  <c r="X92" i="59" s="1"/>
  <c r="C8" i="35"/>
  <c r="D10" i="55" s="1"/>
  <c r="M101" i="75"/>
  <c r="L39" i="75"/>
  <c r="Y103" i="75"/>
  <c r="X102" i="75"/>
  <c r="J45" i="76"/>
  <c r="J47" i="76" s="1"/>
  <c r="L47" i="76" s="1"/>
  <c r="I45" i="76"/>
  <c r="Y34" i="75"/>
  <c r="Y99" i="75" s="1"/>
  <c r="Y24" i="75"/>
  <c r="Y28" i="75" s="1"/>
  <c r="Y26" i="75" s="1"/>
  <c r="Z85" i="75"/>
  <c r="Q33" i="38"/>
  <c r="AB49" i="48"/>
  <c r="AA49" i="48"/>
  <c r="Z49" i="48"/>
  <c r="Y49" i="48"/>
  <c r="Y14" i="48"/>
  <c r="Z14" i="48" s="1"/>
  <c r="AA14" i="48" s="1"/>
  <c r="AB14" i="48" s="1"/>
  <c r="AC14" i="48" s="1"/>
  <c r="AD14" i="48" s="1"/>
  <c r="AE14" i="48" s="1"/>
  <c r="AF14" i="48" s="1"/>
  <c r="AG14" i="48" s="1"/>
  <c r="O13" i="30"/>
  <c r="O12" i="30" s="1"/>
  <c r="O15" i="30"/>
  <c r="K44" i="76"/>
  <c r="M44" i="76" s="1"/>
  <c r="L44" i="76"/>
  <c r="I104" i="55"/>
  <c r="I72" i="55"/>
  <c r="S35" i="38"/>
  <c r="O34" i="38"/>
  <c r="Q34" i="38" s="1"/>
  <c r="F76" i="55"/>
  <c r="F108" i="55"/>
  <c r="H118" i="55"/>
  <c r="H86" i="55"/>
  <c r="F72" i="55"/>
  <c r="F104" i="55"/>
  <c r="Y14" i="75"/>
  <c r="Z20" i="25"/>
  <c r="D9" i="35"/>
  <c r="E11" i="55" s="1"/>
  <c r="Y11" i="25"/>
  <c r="Y19" i="25" s="1"/>
  <c r="D8" i="35" s="1"/>
  <c r="E10" i="55" s="1"/>
  <c r="J46" i="76"/>
  <c r="I46" i="76"/>
  <c r="Y50" i="48"/>
  <c r="X16" i="48"/>
  <c r="AB50" i="48"/>
  <c r="AA50" i="48"/>
  <c r="Z50" i="48"/>
  <c r="L39" i="48"/>
  <c r="L65" i="48"/>
  <c r="Z10" i="48"/>
  <c r="M12" i="20"/>
  <c r="M28" i="20"/>
  <c r="E72" i="55"/>
  <c r="E104" i="55"/>
  <c r="O43" i="30"/>
  <c r="E26" i="21"/>
  <c r="AC14" i="25"/>
  <c r="AC13" i="25" s="1"/>
  <c r="AD12" i="25"/>
  <c r="L64" i="48"/>
  <c r="L38" i="48"/>
  <c r="AD129" i="48"/>
  <c r="AC24" i="48"/>
  <c r="AC20" i="48" s="1"/>
  <c r="H20" i="35" s="1"/>
  <c r="I22" i="55" s="1"/>
  <c r="D11" i="55"/>
  <c r="G77" i="55"/>
  <c r="G109" i="55"/>
  <c r="G103" i="55"/>
  <c r="G71" i="55"/>
  <c r="L66" i="48"/>
  <c r="L40" i="48"/>
  <c r="X94" i="59"/>
  <c r="Y95" i="59"/>
  <c r="K31" i="59"/>
  <c r="L93" i="59"/>
  <c r="K101" i="59"/>
  <c r="K29" i="59" s="1"/>
  <c r="AB45" i="75"/>
  <c r="AB37" i="59"/>
  <c r="AB28" i="49"/>
  <c r="AB29" i="49"/>
  <c r="AC26" i="49"/>
  <c r="G11" i="35"/>
  <c r="H13" i="55" s="1"/>
  <c r="AC27" i="20"/>
  <c r="G5" i="35"/>
  <c r="H7" i="55" s="1"/>
  <c r="H114" i="55"/>
  <c r="H82" i="55"/>
  <c r="O75" i="26"/>
  <c r="P43" i="30"/>
  <c r="F26" i="21"/>
  <c r="H120" i="55"/>
  <c r="H88" i="55"/>
  <c r="F110" i="55"/>
  <c r="F78" i="55"/>
  <c r="AA48" i="48"/>
  <c r="Z48" i="48"/>
  <c r="Y48" i="48"/>
  <c r="AB48" i="48"/>
  <c r="Y12" i="48"/>
  <c r="Z12" i="48" s="1"/>
  <c r="AA12" i="48" s="1"/>
  <c r="AB12" i="48" s="1"/>
  <c r="AC12" i="48" s="1"/>
  <c r="AD12" i="48" s="1"/>
  <c r="AE12" i="48" s="1"/>
  <c r="AF12" i="48" s="1"/>
  <c r="AG12" i="48" s="1"/>
  <c r="AD131" i="48"/>
  <c r="AC26" i="48"/>
  <c r="H22" i="35" s="1"/>
  <c r="I24" i="55" s="1"/>
  <c r="V43" i="30"/>
  <c r="L26" i="21"/>
  <c r="AA29" i="49"/>
  <c r="R44" i="38"/>
  <c r="R46" i="38" s="1"/>
  <c r="R47" i="38" s="1"/>
  <c r="P46" i="38"/>
  <c r="P47" i="38" s="1"/>
  <c r="G102" i="55"/>
  <c r="G70" i="55"/>
  <c r="AD96" i="59" l="1"/>
  <c r="AD98" i="59" s="1"/>
  <c r="AD97" i="59" s="1"/>
  <c r="I120" i="55"/>
  <c r="I88" i="55"/>
  <c r="G10" i="35"/>
  <c r="H12" i="55" s="1"/>
  <c r="AB10" i="26"/>
  <c r="D75" i="55"/>
  <c r="D107" i="55"/>
  <c r="AD14" i="25"/>
  <c r="AD13" i="25" s="1"/>
  <c r="Z9" i="48"/>
  <c r="AA10" i="48"/>
  <c r="S36" i="38"/>
  <c r="O36" i="38" s="1"/>
  <c r="O35" i="38"/>
  <c r="Q35" i="38" s="1"/>
  <c r="AD11" i="20"/>
  <c r="H4" i="35"/>
  <c r="I6" i="55" s="1"/>
  <c r="AE131" i="48"/>
  <c r="AD26" i="48"/>
  <c r="I22" i="35" s="1"/>
  <c r="H103" i="55"/>
  <c r="H71" i="55"/>
  <c r="AG50" i="48"/>
  <c r="AF50" i="48"/>
  <c r="AE50" i="48"/>
  <c r="AD50" i="48"/>
  <c r="AC50" i="48"/>
  <c r="S33" i="73"/>
  <c r="Y9" i="48"/>
  <c r="M34" i="76"/>
  <c r="E84" i="55"/>
  <c r="E116" i="55"/>
  <c r="Z14" i="74"/>
  <c r="Z13" i="74" s="1"/>
  <c r="Z11" i="74"/>
  <c r="Z19" i="74" s="1"/>
  <c r="AA12" i="74"/>
  <c r="Z95" i="59"/>
  <c r="Y94" i="59"/>
  <c r="X116" i="48"/>
  <c r="Y116" i="48" s="1"/>
  <c r="Z116" i="48" s="1"/>
  <c r="AA116" i="48" s="1"/>
  <c r="AB116" i="48" s="1"/>
  <c r="AC116" i="48" s="1"/>
  <c r="AD116" i="48" s="1"/>
  <c r="AE116" i="48" s="1"/>
  <c r="AF116" i="48" s="1"/>
  <c r="AG116" i="48" s="1"/>
  <c r="Y16" i="48"/>
  <c r="C21" i="35"/>
  <c r="D23" i="55" s="1"/>
  <c r="AD27" i="20"/>
  <c r="H5" i="35"/>
  <c r="I7" i="55" s="1"/>
  <c r="T33" i="79"/>
  <c r="L46" i="76"/>
  <c r="K46" i="76"/>
  <c r="M46" i="76" s="1"/>
  <c r="L45" i="76"/>
  <c r="K45" i="76"/>
  <c r="M45" i="76" s="1"/>
  <c r="AA38" i="59"/>
  <c r="E18" i="35"/>
  <c r="F20" i="55" s="1"/>
  <c r="G108" i="55"/>
  <c r="G76" i="55"/>
  <c r="M35" i="76"/>
  <c r="M36" i="76"/>
  <c r="H102" i="55"/>
  <c r="H70" i="55"/>
  <c r="I86" i="55"/>
  <c r="I118" i="55"/>
  <c r="AD49" i="48"/>
  <c r="AC49" i="48"/>
  <c r="AG49" i="48"/>
  <c r="AF49" i="48"/>
  <c r="AE49" i="48"/>
  <c r="E106" i="55"/>
  <c r="E74" i="55"/>
  <c r="I13" i="76"/>
  <c r="H14" i="76"/>
  <c r="Q29" i="26"/>
  <c r="Q78" i="26"/>
  <c r="Q75" i="26" s="1"/>
  <c r="R30" i="26"/>
  <c r="Q15" i="26"/>
  <c r="Q20" i="26" s="1"/>
  <c r="Q80" i="26" s="1"/>
  <c r="AC104" i="75"/>
  <c r="AC106" i="75" s="1"/>
  <c r="AC105" i="75" s="1"/>
  <c r="AE129" i="48"/>
  <c r="AD24" i="48"/>
  <c r="AD20" i="48" s="1"/>
  <c r="I20" i="35" s="1"/>
  <c r="E107" i="55"/>
  <c r="E75" i="55"/>
  <c r="Z103" i="75"/>
  <c r="Y102" i="75"/>
  <c r="N28" i="20"/>
  <c r="N12" i="20"/>
  <c r="AE13" i="30"/>
  <c r="AE11" i="30" s="1"/>
  <c r="AE46" i="30" s="1"/>
  <c r="J6" i="35" s="1"/>
  <c r="AF17" i="30"/>
  <c r="AE15" i="30"/>
  <c r="P75" i="26"/>
  <c r="N20" i="38"/>
  <c r="N46" i="38" s="1"/>
  <c r="N47" i="38" s="1"/>
  <c r="L46" i="38"/>
  <c r="L47" i="38" s="1"/>
  <c r="H77" i="55"/>
  <c r="H109" i="55"/>
  <c r="AG48" i="48"/>
  <c r="AF48" i="48"/>
  <c r="AE48" i="48"/>
  <c r="AD48" i="48"/>
  <c r="AC48" i="48"/>
  <c r="AA20" i="25"/>
  <c r="E9" i="35"/>
  <c r="F11" i="55" s="1"/>
  <c r="Z11" i="25"/>
  <c r="Z19" i="25" s="1"/>
  <c r="E8" i="35" s="1"/>
  <c r="F10" i="55" s="1"/>
  <c r="L41" i="75"/>
  <c r="D106" i="55"/>
  <c r="D74" i="55"/>
  <c r="AB17" i="75"/>
  <c r="AB17" i="59"/>
  <c r="AC10" i="33"/>
  <c r="G12" i="35"/>
  <c r="H14" i="55" s="1"/>
  <c r="O49" i="20"/>
  <c r="O50" i="20" s="1"/>
  <c r="H2" i="50"/>
  <c r="L31" i="59"/>
  <c r="M93" i="59"/>
  <c r="L101" i="59"/>
  <c r="L29" i="59" s="1"/>
  <c r="AC45" i="75"/>
  <c r="AC37" i="59"/>
  <c r="AD26" i="49"/>
  <c r="H11" i="35"/>
  <c r="I13" i="55" s="1"/>
  <c r="AC28" i="49"/>
  <c r="K33" i="59"/>
  <c r="D3" i="50" s="1"/>
  <c r="Y14" i="59"/>
  <c r="AA85" i="75"/>
  <c r="Z34" i="75"/>
  <c r="Z99" i="75" s="1"/>
  <c r="Z24" i="75"/>
  <c r="Z28" i="75" s="1"/>
  <c r="Z26" i="75" s="1"/>
  <c r="M39" i="75"/>
  <c r="M41" i="75" s="1"/>
  <c r="N101" i="75"/>
  <c r="M109" i="75"/>
  <c r="M37" i="75" s="1"/>
  <c r="AD77" i="59"/>
  <c r="AC26" i="59"/>
  <c r="AC91" i="59" s="1"/>
  <c r="G110" i="55"/>
  <c r="G78" i="55"/>
  <c r="AD104" i="75" l="1"/>
  <c r="AD106" i="75" s="1"/>
  <c r="AD105" i="75" s="1"/>
  <c r="AE96" i="59"/>
  <c r="AE98" i="59" s="1"/>
  <c r="AE97" i="59" s="1"/>
  <c r="AG17" i="30"/>
  <c r="AF15" i="30"/>
  <c r="AF13" i="30"/>
  <c r="AF11" i="30" s="1"/>
  <c r="AF46" i="30" s="1"/>
  <c r="K6" i="35" s="1"/>
  <c r="K47" i="76"/>
  <c r="M47" i="76" s="1"/>
  <c r="F107" i="55"/>
  <c r="F75" i="55"/>
  <c r="AF129" i="48"/>
  <c r="AE24" i="48"/>
  <c r="AE20" i="48" s="1"/>
  <c r="J20" i="35" s="1"/>
  <c r="AA95" i="59"/>
  <c r="Z94" i="59"/>
  <c r="Q49" i="20"/>
  <c r="Q50" i="20" s="1"/>
  <c r="J2" i="50"/>
  <c r="M31" i="59"/>
  <c r="N93" i="59"/>
  <c r="M101" i="59"/>
  <c r="M29" i="59" s="1"/>
  <c r="AA14" i="75"/>
  <c r="AA14" i="59"/>
  <c r="F9" i="35"/>
  <c r="G11" i="55" s="1"/>
  <c r="AB20" i="25"/>
  <c r="AA11" i="25"/>
  <c r="AA19" i="25" s="1"/>
  <c r="F8" i="35" s="1"/>
  <c r="G10" i="55" s="1"/>
  <c r="I103" i="55"/>
  <c r="I71" i="55"/>
  <c r="AA14" i="74"/>
  <c r="AA13" i="74" s="1"/>
  <c r="AA11" i="74"/>
  <c r="AA19" i="74" s="1"/>
  <c r="AB12" i="74"/>
  <c r="Y27" i="48"/>
  <c r="D19" i="35"/>
  <c r="E21" i="55" s="1"/>
  <c r="Q36" i="38"/>
  <c r="Q46" i="38" s="1"/>
  <c r="Q47" i="38" s="1"/>
  <c r="O46" i="38"/>
  <c r="O47" i="38" s="1"/>
  <c r="H108" i="55"/>
  <c r="H76" i="55"/>
  <c r="AC17" i="75"/>
  <c r="AC17" i="59"/>
  <c r="AD10" i="33"/>
  <c r="H12" i="35"/>
  <c r="I14" i="55" s="1"/>
  <c r="R29" i="26"/>
  <c r="R78" i="26"/>
  <c r="R15" i="26"/>
  <c r="S30" i="26"/>
  <c r="F106" i="55"/>
  <c r="F74" i="55"/>
  <c r="H10" i="35"/>
  <c r="I12" i="55" s="1"/>
  <c r="AC10" i="26"/>
  <c r="I14" i="76"/>
  <c r="J13" i="76"/>
  <c r="F84" i="55"/>
  <c r="F116" i="55"/>
  <c r="I5" i="35"/>
  <c r="AE27" i="20"/>
  <c r="AA9" i="48"/>
  <c r="AB10" i="48"/>
  <c r="AB85" i="75"/>
  <c r="AA24" i="75"/>
  <c r="AA28" i="75" s="1"/>
  <c r="AA26" i="75" s="1"/>
  <c r="AA34" i="75"/>
  <c r="AA99" i="75" s="1"/>
  <c r="AE77" i="59"/>
  <c r="AD26" i="59"/>
  <c r="AD91" i="59" s="1"/>
  <c r="L33" i="59"/>
  <c r="E3" i="50" s="1"/>
  <c r="Z14" i="59"/>
  <c r="O101" i="75"/>
  <c r="N39" i="75"/>
  <c r="N41" i="75" s="1"/>
  <c r="N109" i="75"/>
  <c r="N37" i="75" s="1"/>
  <c r="I109" i="55"/>
  <c r="I77" i="55"/>
  <c r="Z14" i="75"/>
  <c r="AB38" i="59"/>
  <c r="F18" i="35"/>
  <c r="G20" i="55" s="1"/>
  <c r="AF131" i="48"/>
  <c r="AE26" i="48"/>
  <c r="J22" i="35" s="1"/>
  <c r="Z27" i="48"/>
  <c r="E19" i="35"/>
  <c r="F21" i="55" s="1"/>
  <c r="O12" i="20"/>
  <c r="O28" i="20"/>
  <c r="AA103" i="75"/>
  <c r="Z102" i="75"/>
  <c r="D87" i="55"/>
  <c r="D119" i="55"/>
  <c r="I70" i="55"/>
  <c r="I102" i="55"/>
  <c r="AE26" i="49"/>
  <c r="AD28" i="49"/>
  <c r="I10" i="35" s="1"/>
  <c r="I11" i="35"/>
  <c r="AC29" i="49"/>
  <c r="H110" i="55"/>
  <c r="H78" i="55"/>
  <c r="P49" i="20"/>
  <c r="P50" i="20" s="1"/>
  <c r="I2" i="50"/>
  <c r="Z16" i="48"/>
  <c r="D21" i="35"/>
  <c r="E23" i="55" s="1"/>
  <c r="AE11" i="20"/>
  <c r="I4" i="35"/>
  <c r="AF96" i="59" l="1"/>
  <c r="AF98" i="59" s="1"/>
  <c r="AF97" i="59" s="1"/>
  <c r="AE104" i="75"/>
  <c r="AE106" i="75" s="1"/>
  <c r="AE105" i="75"/>
  <c r="AA94" i="59"/>
  <c r="AB95" i="59"/>
  <c r="F117" i="55"/>
  <c r="F85" i="55"/>
  <c r="AE26" i="59"/>
  <c r="AE91" i="59" s="1"/>
  <c r="AF77" i="59"/>
  <c r="S78" i="26"/>
  <c r="T30" i="26"/>
  <c r="S29" i="26"/>
  <c r="S15" i="26"/>
  <c r="S20" i="26" s="1"/>
  <c r="S80" i="26" s="1"/>
  <c r="AG15" i="30"/>
  <c r="AG13" i="30"/>
  <c r="AG11" i="30" s="1"/>
  <c r="AF27" i="20"/>
  <c r="K5" i="35" s="1"/>
  <c r="J5" i="35"/>
  <c r="AF11" i="20"/>
  <c r="J4" i="35"/>
  <c r="R20" i="26"/>
  <c r="R80" i="26" s="1"/>
  <c r="R75" i="26" s="1"/>
  <c r="O93" i="59"/>
  <c r="N31" i="59"/>
  <c r="N101" i="59"/>
  <c r="N29" i="59" s="1"/>
  <c r="AG129" i="48"/>
  <c r="AG24" i="48" s="1"/>
  <c r="AG20" i="48" s="1"/>
  <c r="L20" i="35" s="1"/>
  <c r="AF24" i="48"/>
  <c r="AF20" i="48" s="1"/>
  <c r="K20" i="35" s="1"/>
  <c r="AC12" i="74"/>
  <c r="AB14" i="74"/>
  <c r="AB13" i="74" s="1"/>
  <c r="AB11" i="74" s="1"/>
  <c r="AB19" i="74" s="1"/>
  <c r="J14" i="76"/>
  <c r="K13" i="76"/>
  <c r="M33" i="59"/>
  <c r="F3" i="50" s="1"/>
  <c r="E119" i="55"/>
  <c r="E87" i="55"/>
  <c r="AA16" i="48"/>
  <c r="E21" i="35"/>
  <c r="F23" i="55" s="1"/>
  <c r="AG131" i="48"/>
  <c r="AG26" i="48" s="1"/>
  <c r="L22" i="35" s="1"/>
  <c r="AF26" i="48"/>
  <c r="K22" i="35" s="1"/>
  <c r="P101" i="75"/>
  <c r="O39" i="75"/>
  <c r="O109" i="75"/>
  <c r="O37" i="75" s="1"/>
  <c r="AB34" i="75"/>
  <c r="AB99" i="75" s="1"/>
  <c r="AB24" i="75"/>
  <c r="AB28" i="75" s="1"/>
  <c r="AB26" i="75" s="1"/>
  <c r="AC85" i="75"/>
  <c r="G106" i="55"/>
  <c r="G74" i="55"/>
  <c r="G116" i="55"/>
  <c r="G84" i="55"/>
  <c r="AC10" i="48"/>
  <c r="AB9" i="48"/>
  <c r="I78" i="55"/>
  <c r="I110" i="55"/>
  <c r="E117" i="55"/>
  <c r="E85" i="55"/>
  <c r="AB14" i="75"/>
  <c r="AB14" i="59"/>
  <c r="G9" i="35"/>
  <c r="H11" i="55" s="1"/>
  <c r="AC20" i="25"/>
  <c r="AB11" i="25"/>
  <c r="AB19" i="25" s="1"/>
  <c r="G8" i="35" s="1"/>
  <c r="H10" i="55" s="1"/>
  <c r="Q28" i="20"/>
  <c r="Q12" i="20"/>
  <c r="AF26" i="49"/>
  <c r="AE28" i="49"/>
  <c r="J10" i="35" s="1"/>
  <c r="AE29" i="49"/>
  <c r="J11" i="35"/>
  <c r="AA102" i="75"/>
  <c r="AB103" i="75"/>
  <c r="P12" i="20"/>
  <c r="P28" i="20"/>
  <c r="AD29" i="49"/>
  <c r="AC38" i="59"/>
  <c r="G18" i="35"/>
  <c r="H20" i="55" s="1"/>
  <c r="AA27" i="48"/>
  <c r="F19" i="35"/>
  <c r="G21" i="55" s="1"/>
  <c r="I108" i="55"/>
  <c r="I76" i="55"/>
  <c r="AE10" i="33"/>
  <c r="I12" i="35"/>
  <c r="G107" i="55"/>
  <c r="G75" i="55"/>
  <c r="K2" i="50" l="1"/>
  <c r="R49" i="20"/>
  <c r="R50" i="20" s="1"/>
  <c r="F119" i="55"/>
  <c r="F87" i="55"/>
  <c r="AD10" i="48"/>
  <c r="AC9" i="48"/>
  <c r="AB16" i="48"/>
  <c r="F21" i="35"/>
  <c r="G23" i="55" s="1"/>
  <c r="AC11" i="74"/>
  <c r="AC19" i="74" s="1"/>
  <c r="AC14" i="74"/>
  <c r="AC13" i="74" s="1"/>
  <c r="AB94" i="59"/>
  <c r="AC95" i="59"/>
  <c r="O31" i="59"/>
  <c r="P93" i="59"/>
  <c r="O101" i="59"/>
  <c r="O29" i="59" s="1"/>
  <c r="H107" i="55"/>
  <c r="H75" i="55"/>
  <c r="AG26" i="49"/>
  <c r="AF28" i="49"/>
  <c r="K10" i="35" s="1"/>
  <c r="K11" i="35"/>
  <c r="AC34" i="75"/>
  <c r="AC99" i="75" s="1"/>
  <c r="AC24" i="75"/>
  <c r="AC28" i="75" s="1"/>
  <c r="AC26" i="75" s="1"/>
  <c r="AD85" i="75"/>
  <c r="AE85" i="75" s="1"/>
  <c r="AF85" i="75" s="1"/>
  <c r="AG85" i="75" s="1"/>
  <c r="AG11" i="20"/>
  <c r="L4" i="35" s="1"/>
  <c r="K4" i="35"/>
  <c r="U30" i="26"/>
  <c r="T15" i="26"/>
  <c r="T20" i="26" s="1"/>
  <c r="T80" i="26" s="1"/>
  <c r="T29" i="26"/>
  <c r="T78" i="26"/>
  <c r="T75" i="26" s="1"/>
  <c r="AF104" i="75"/>
  <c r="AF106" i="75" s="1"/>
  <c r="AF105" i="75" s="1"/>
  <c r="H116" i="55"/>
  <c r="H84" i="55"/>
  <c r="AD38" i="59"/>
  <c r="H18" i="35"/>
  <c r="I20" i="55" s="1"/>
  <c r="O41" i="75"/>
  <c r="D135" i="75"/>
  <c r="S75" i="26"/>
  <c r="H9" i="35"/>
  <c r="I11" i="55" s="1"/>
  <c r="AD20" i="25"/>
  <c r="AC11" i="25"/>
  <c r="AC19" i="25" s="1"/>
  <c r="H8" i="35" s="1"/>
  <c r="I10" i="55" s="1"/>
  <c r="AF10" i="33"/>
  <c r="J12" i="35"/>
  <c r="I22" i="33"/>
  <c r="AB102" i="75"/>
  <c r="AC103" i="75"/>
  <c r="Q101" i="75"/>
  <c r="P39" i="75"/>
  <c r="P109" i="75"/>
  <c r="P37" i="75" s="1"/>
  <c r="AF26" i="59"/>
  <c r="AF91" i="59" s="1"/>
  <c r="AG77" i="59"/>
  <c r="AG26" i="59" s="1"/>
  <c r="AG91" i="59" s="1"/>
  <c r="AB27" i="48"/>
  <c r="G19" i="35"/>
  <c r="H21" i="55" s="1"/>
  <c r="G85" i="55"/>
  <c r="G117" i="55"/>
  <c r="H106" i="55"/>
  <c r="H74" i="55"/>
  <c r="K14" i="76"/>
  <c r="L13" i="76"/>
  <c r="N33" i="59"/>
  <c r="G3" i="50" s="1"/>
  <c r="D127" i="59"/>
  <c r="AG10" i="33" l="1"/>
  <c r="L12" i="35" s="1"/>
  <c r="K12" i="35"/>
  <c r="AC16" i="48"/>
  <c r="G21" i="35"/>
  <c r="H23" i="55" s="1"/>
  <c r="AE38" i="59"/>
  <c r="I18" i="35"/>
  <c r="O33" i="59"/>
  <c r="H3" i="50" s="1"/>
  <c r="AE10" i="48"/>
  <c r="AD9" i="48"/>
  <c r="I74" i="55"/>
  <c r="I106" i="55"/>
  <c r="AC27" i="48"/>
  <c r="H19" i="35"/>
  <c r="I21" i="55" s="1"/>
  <c r="R101" i="75"/>
  <c r="Q39" i="75"/>
  <c r="Q109" i="75"/>
  <c r="Q37" i="75" s="1"/>
  <c r="I107" i="55"/>
  <c r="I75" i="55"/>
  <c r="V30" i="26"/>
  <c r="U15" i="26"/>
  <c r="U20" i="26" s="1"/>
  <c r="U80" i="26" s="1"/>
  <c r="U29" i="26"/>
  <c r="U78" i="26"/>
  <c r="AF29" i="49"/>
  <c r="AD95" i="59"/>
  <c r="AC94" i="59"/>
  <c r="I116" i="55"/>
  <c r="I84" i="55"/>
  <c r="P41" i="75"/>
  <c r="AC102" i="75"/>
  <c r="AD103" i="75"/>
  <c r="AC14" i="59"/>
  <c r="T49" i="20"/>
  <c r="T50" i="20" s="1"/>
  <c r="M2" i="50"/>
  <c r="P31" i="59"/>
  <c r="Q93" i="59"/>
  <c r="P101" i="59"/>
  <c r="P29" i="59" s="1"/>
  <c r="I9" i="35"/>
  <c r="AE20" i="25"/>
  <c r="AD11" i="25"/>
  <c r="AD19" i="25" s="1"/>
  <c r="I8" i="35" s="1"/>
  <c r="H85" i="55"/>
  <c r="H117" i="55"/>
  <c r="AC14" i="75"/>
  <c r="AG28" i="49"/>
  <c r="L10" i="35" s="1"/>
  <c r="L11" i="35"/>
  <c r="S49" i="20"/>
  <c r="S50" i="20" s="1"/>
  <c r="L2" i="50"/>
  <c r="R12" i="20"/>
  <c r="R28" i="20"/>
  <c r="M13" i="76"/>
  <c r="L14" i="76"/>
  <c r="G119" i="55"/>
  <c r="G87" i="55"/>
  <c r="AD102" i="75" l="1"/>
  <c r="AE103" i="75"/>
  <c r="Q41" i="75"/>
  <c r="U75" i="26"/>
  <c r="S101" i="75"/>
  <c r="R39" i="75"/>
  <c r="R41" i="75" s="1"/>
  <c r="R109" i="75"/>
  <c r="R37" i="75" s="1"/>
  <c r="J9" i="35"/>
  <c r="AF20" i="25"/>
  <c r="K9" i="35" s="1"/>
  <c r="AG29" i="49"/>
  <c r="I117" i="55"/>
  <c r="I85" i="55"/>
  <c r="AF38" i="59"/>
  <c r="J18" i="35"/>
  <c r="S28" i="20"/>
  <c r="S12" i="20"/>
  <c r="R93" i="59"/>
  <c r="Q31" i="59"/>
  <c r="Q101" i="59"/>
  <c r="Q29" i="59" s="1"/>
  <c r="H119" i="55"/>
  <c r="H87" i="55"/>
  <c r="AE9" i="48"/>
  <c r="AF10" i="48"/>
  <c r="N13" i="76"/>
  <c r="M14" i="76"/>
  <c r="P33" i="59"/>
  <c r="I3" i="50" s="1"/>
  <c r="W30" i="26"/>
  <c r="V78" i="26"/>
  <c r="V15" i="26"/>
  <c r="V20" i="26" s="1"/>
  <c r="V80" i="26" s="1"/>
  <c r="V29" i="26"/>
  <c r="AD16" i="48"/>
  <c r="H21" i="35"/>
  <c r="I23" i="55" s="1"/>
  <c r="AD94" i="59"/>
  <c r="AE95" i="59"/>
  <c r="T12" i="20"/>
  <c r="T28" i="20"/>
  <c r="AD27" i="48"/>
  <c r="I19" i="35"/>
  <c r="V75" i="26" l="1"/>
  <c r="AE27" i="48"/>
  <c r="J19" i="35"/>
  <c r="E135" i="75"/>
  <c r="S39" i="75"/>
  <c r="T101" i="75"/>
  <c r="S109" i="75"/>
  <c r="S37" i="75" s="1"/>
  <c r="AG38" i="59"/>
  <c r="L18" i="35" s="1"/>
  <c r="K18" i="35"/>
  <c r="U49" i="20"/>
  <c r="U50" i="20" s="1"/>
  <c r="N2" i="50"/>
  <c r="AE94" i="59"/>
  <c r="AF95" i="59"/>
  <c r="AF94" i="59" s="1"/>
  <c r="Q33" i="59"/>
  <c r="J3" i="50" s="1"/>
  <c r="W15" i="26"/>
  <c r="W20" i="26" s="1"/>
  <c r="W80" i="26" s="1"/>
  <c r="W29" i="26"/>
  <c r="W78" i="26"/>
  <c r="X30" i="26"/>
  <c r="O13" i="76"/>
  <c r="O14" i="76" s="1"/>
  <c r="N14" i="76"/>
  <c r="AE102" i="75"/>
  <c r="AF103" i="75"/>
  <c r="AF102" i="75" s="1"/>
  <c r="I119" i="55"/>
  <c r="I87" i="55"/>
  <c r="AE16" i="48"/>
  <c r="I21" i="35"/>
  <c r="S93" i="59"/>
  <c r="R31" i="59"/>
  <c r="R101" i="59"/>
  <c r="R29" i="59" s="1"/>
  <c r="AF9" i="48"/>
  <c r="AG10" i="48"/>
  <c r="AG9" i="48" s="1"/>
  <c r="AF27" i="48" l="1"/>
  <c r="K19" i="35"/>
  <c r="U101" i="75"/>
  <c r="T39" i="75"/>
  <c r="T109" i="75"/>
  <c r="T37" i="75" s="1"/>
  <c r="S41" i="75"/>
  <c r="AG27" i="48"/>
  <c r="L19" i="35"/>
  <c r="R33" i="59"/>
  <c r="K3" i="50" s="1"/>
  <c r="E127" i="59"/>
  <c r="U12" i="20"/>
  <c r="U28" i="20"/>
  <c r="S31" i="59"/>
  <c r="T93" i="59"/>
  <c r="S101" i="59"/>
  <c r="S29" i="59" s="1"/>
  <c r="X29" i="26"/>
  <c r="AH29" i="26" s="1"/>
  <c r="X78" i="26"/>
  <c r="X15" i="26"/>
  <c r="AH30" i="26"/>
  <c r="AI15" i="26" s="1"/>
  <c r="AF16" i="48"/>
  <c r="J21" i="35"/>
  <c r="W75" i="26"/>
  <c r="V49" i="20"/>
  <c r="V50" i="20" s="1"/>
  <c r="O2" i="50"/>
  <c r="V12" i="20" l="1"/>
  <c r="V28" i="20"/>
  <c r="S33" i="59"/>
  <c r="L3" i="50" s="1"/>
  <c r="W49" i="20"/>
  <c r="W50" i="20" s="1"/>
  <c r="P2" i="50"/>
  <c r="AG16" i="48"/>
  <c r="L21" i="35" s="1"/>
  <c r="K21" i="35"/>
  <c r="T41" i="75"/>
  <c r="T31" i="59"/>
  <c r="U93" i="59"/>
  <c r="T101" i="59"/>
  <c r="T29" i="59" s="1"/>
  <c r="U39" i="75"/>
  <c r="V101" i="75"/>
  <c r="U109" i="75"/>
  <c r="U37" i="75" s="1"/>
  <c r="X20" i="26"/>
  <c r="AH15" i="26"/>
  <c r="U41" i="75" l="1"/>
  <c r="Y20" i="26"/>
  <c r="X80" i="26"/>
  <c r="X75" i="26" s="1"/>
  <c r="U31" i="59"/>
  <c r="V93" i="59"/>
  <c r="U101" i="59"/>
  <c r="U29" i="59" s="1"/>
  <c r="W12" i="20"/>
  <c r="W28" i="20"/>
  <c r="T33" i="59"/>
  <c r="M3" i="50" s="1"/>
  <c r="W101" i="75"/>
  <c r="V39" i="75"/>
  <c r="V109" i="75"/>
  <c r="W93" i="59" l="1"/>
  <c r="V31" i="59"/>
  <c r="V101" i="59"/>
  <c r="V29" i="59" s="1"/>
  <c r="U33" i="59"/>
  <c r="N3" i="50" s="1"/>
  <c r="W109" i="75"/>
  <c r="V37" i="75"/>
  <c r="X49" i="20"/>
  <c r="X50" i="20" s="1"/>
  <c r="Q2" i="50"/>
  <c r="C2" i="35"/>
  <c r="D4" i="55" s="1"/>
  <c r="Z20" i="26"/>
  <c r="Y80" i="26"/>
  <c r="Y75" i="26" s="1"/>
  <c r="Y11" i="26"/>
  <c r="Y9" i="26" s="1"/>
  <c r="V43" i="75"/>
  <c r="V41" i="75"/>
  <c r="V52" i="75"/>
  <c r="F135" i="75"/>
  <c r="X101" i="75"/>
  <c r="W39" i="75"/>
  <c r="X12" i="20" l="1"/>
  <c r="X28" i="20"/>
  <c r="X109" i="75"/>
  <c r="W37" i="75"/>
  <c r="W12" i="75" s="1"/>
  <c r="F133" i="75" s="1"/>
  <c r="F137" i="75" s="1"/>
  <c r="Y49" i="20"/>
  <c r="Y50" i="20" s="1"/>
  <c r="D2" i="35"/>
  <c r="E4" i="55" s="1"/>
  <c r="W41" i="75"/>
  <c r="AA20" i="26"/>
  <c r="Z80" i="26"/>
  <c r="Z75" i="26" s="1"/>
  <c r="Z11" i="26"/>
  <c r="Z9" i="26" s="1"/>
  <c r="Y101" i="75"/>
  <c r="X39" i="75"/>
  <c r="V33" i="59"/>
  <c r="O3" i="50" s="1"/>
  <c r="V44" i="59"/>
  <c r="D100" i="55"/>
  <c r="D68" i="55"/>
  <c r="W31" i="59"/>
  <c r="X93" i="59"/>
  <c r="W101" i="59"/>
  <c r="W29" i="59" s="1"/>
  <c r="AA80" i="26" l="1"/>
  <c r="AA75" i="26" s="1"/>
  <c r="AB20" i="26"/>
  <c r="AA11" i="26"/>
  <c r="AA9" i="26" s="1"/>
  <c r="W33" i="59"/>
  <c r="P3" i="50" s="1"/>
  <c r="F127" i="59"/>
  <c r="E2" i="35"/>
  <c r="F4" i="55" s="1"/>
  <c r="Z49" i="20"/>
  <c r="Z50" i="20" s="1"/>
  <c r="E68" i="55"/>
  <c r="E100" i="55"/>
  <c r="Y12" i="20"/>
  <c r="Y28" i="20"/>
  <c r="X41" i="75"/>
  <c r="Z101" i="75"/>
  <c r="Y39" i="75"/>
  <c r="Y109" i="75"/>
  <c r="X37" i="75"/>
  <c r="X12" i="75" s="1"/>
  <c r="X31" i="59"/>
  <c r="Y93" i="59"/>
  <c r="X101" i="59"/>
  <c r="Z109" i="75" l="1"/>
  <c r="Y37" i="75"/>
  <c r="Y12" i="75" s="1"/>
  <c r="Y41" i="75"/>
  <c r="Z12" i="20"/>
  <c r="Z28" i="20"/>
  <c r="AA101" i="75"/>
  <c r="Z39" i="75"/>
  <c r="Y101" i="59"/>
  <c r="X29" i="59"/>
  <c r="Z93" i="59"/>
  <c r="Y31" i="59"/>
  <c r="F68" i="55"/>
  <c r="F100" i="55"/>
  <c r="X33" i="59"/>
  <c r="AB80" i="26"/>
  <c r="AB75" i="26" s="1"/>
  <c r="AC20" i="26"/>
  <c r="AB11" i="26"/>
  <c r="AB9" i="26" s="1"/>
  <c r="AA49" i="20"/>
  <c r="AA50" i="20" s="1"/>
  <c r="F2" i="35"/>
  <c r="G4" i="55" s="1"/>
  <c r="Z101" i="59" l="1"/>
  <c r="Y29" i="59"/>
  <c r="Y12" i="59" s="1"/>
  <c r="AB101" i="75"/>
  <c r="AA39" i="75"/>
  <c r="C17" i="35"/>
  <c r="D19" i="55" s="1"/>
  <c r="Q3" i="50"/>
  <c r="G135" i="75"/>
  <c r="AA28" i="20"/>
  <c r="AA12" i="20"/>
  <c r="G100" i="55"/>
  <c r="G68" i="55"/>
  <c r="AD20" i="26"/>
  <c r="AC80" i="26"/>
  <c r="AC75" i="26" s="1"/>
  <c r="AC11" i="26"/>
  <c r="AC9" i="26" s="1"/>
  <c r="AA93" i="59"/>
  <c r="Z31" i="59"/>
  <c r="AB49" i="20"/>
  <c r="AB50" i="20" s="1"/>
  <c r="G2" i="35"/>
  <c r="H4" i="55" s="1"/>
  <c r="AA109" i="75"/>
  <c r="Z37" i="75"/>
  <c r="Z12" i="75" s="1"/>
  <c r="AC49" i="20" l="1"/>
  <c r="AC50" i="20" s="1"/>
  <c r="H2" i="35"/>
  <c r="I4" i="55" s="1"/>
  <c r="AB109" i="75"/>
  <c r="AA37" i="75"/>
  <c r="AA12" i="75" s="1"/>
  <c r="G133" i="75" s="1"/>
  <c r="G137" i="75" s="1"/>
  <c r="AA41" i="75"/>
  <c r="D83" i="55"/>
  <c r="D115" i="55"/>
  <c r="AC101" i="75"/>
  <c r="AB39" i="75"/>
  <c r="AD80" i="26"/>
  <c r="AD75" i="26" s="1"/>
  <c r="AE20" i="26"/>
  <c r="AD11" i="26"/>
  <c r="AD9" i="26" s="1"/>
  <c r="AB28" i="20"/>
  <c r="AB12" i="20"/>
  <c r="Z41" i="75"/>
  <c r="H100" i="55"/>
  <c r="H68" i="55"/>
  <c r="Z33" i="59"/>
  <c r="E17" i="35" s="1"/>
  <c r="F19" i="55" s="1"/>
  <c r="AA31" i="59"/>
  <c r="G127" i="59" s="1"/>
  <c r="AB93" i="59"/>
  <c r="Y33" i="59"/>
  <c r="D17" i="35" s="1"/>
  <c r="E19" i="55" s="1"/>
  <c r="Z29" i="59"/>
  <c r="Z12" i="59" s="1"/>
  <c r="AA101" i="59"/>
  <c r="E115" i="55" l="1"/>
  <c r="E83" i="55"/>
  <c r="AB31" i="59"/>
  <c r="AC93" i="59"/>
  <c r="AF20" i="26"/>
  <c r="AE80" i="26"/>
  <c r="AE75" i="26" s="1"/>
  <c r="AC109" i="75"/>
  <c r="AB37" i="75"/>
  <c r="AB12" i="75" s="1"/>
  <c r="AD49" i="20"/>
  <c r="AD50" i="20" s="1"/>
  <c r="I2" i="35"/>
  <c r="AB101" i="59"/>
  <c r="AA29" i="59"/>
  <c r="AA12" i="59" s="1"/>
  <c r="G125" i="59" s="1"/>
  <c r="G129" i="59" s="1"/>
  <c r="AB41" i="75"/>
  <c r="I100" i="55"/>
  <c r="I68" i="55"/>
  <c r="AA33" i="59"/>
  <c r="F17" i="35" s="1"/>
  <c r="G19" i="55" s="1"/>
  <c r="F115" i="55"/>
  <c r="F83" i="55"/>
  <c r="AC39" i="75"/>
  <c r="AD101" i="75"/>
  <c r="AE101" i="75" s="1"/>
  <c r="AF101" i="75" s="1"/>
  <c r="AC28" i="20"/>
  <c r="AC12" i="20"/>
  <c r="AE49" i="20" l="1"/>
  <c r="AE50" i="20" s="1"/>
  <c r="J2" i="35"/>
  <c r="AC31" i="59"/>
  <c r="AD93" i="59"/>
  <c r="AC41" i="75"/>
  <c r="AC101" i="59"/>
  <c r="AB29" i="59"/>
  <c r="AB12" i="59" s="1"/>
  <c r="AB33" i="59"/>
  <c r="G17" i="35" s="1"/>
  <c r="H19" i="55" s="1"/>
  <c r="AD109" i="75"/>
  <c r="AE109" i="75" s="1"/>
  <c r="AF109" i="75" s="1"/>
  <c r="AC37" i="75"/>
  <c r="AC12" i="75" s="1"/>
  <c r="AG20" i="26"/>
  <c r="AG80" i="26" s="1"/>
  <c r="AG75" i="26" s="1"/>
  <c r="AF80" i="26"/>
  <c r="AF75" i="26" s="1"/>
  <c r="G115" i="55"/>
  <c r="G83" i="55"/>
  <c r="AD101" i="59" l="1"/>
  <c r="AC29" i="59"/>
  <c r="AC12" i="59" s="1"/>
  <c r="AF49" i="20"/>
  <c r="AF50" i="20" s="1"/>
  <c r="K2" i="35"/>
  <c r="AC33" i="59"/>
  <c r="H17" i="35" s="1"/>
  <c r="I19" i="55" s="1"/>
  <c r="AE93" i="59"/>
  <c r="AD31" i="59"/>
  <c r="H115" i="55"/>
  <c r="H83" i="55"/>
  <c r="AG49" i="20"/>
  <c r="AG50" i="20" s="1"/>
  <c r="L2" i="35"/>
  <c r="AE101" i="59" l="1"/>
  <c r="AD29" i="59"/>
  <c r="AD33" i="59" s="1"/>
  <c r="I17" i="35" s="1"/>
  <c r="AE31" i="59"/>
  <c r="AF93" i="59"/>
  <c r="AF31" i="59" s="1"/>
  <c r="I115" i="55"/>
  <c r="I83" i="55"/>
  <c r="AE33" i="59" l="1"/>
  <c r="J17" i="35" s="1"/>
  <c r="AF101" i="59"/>
  <c r="AF29" i="59" s="1"/>
  <c r="AE29" i="59"/>
  <c r="AF33" i="59"/>
  <c r="K17" i="3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tc={DB8891EA-C8F1-4E8A-A15A-BA0E165DAE45}</author>
    <author>tc={A9255604-416B-435E-8AA8-EA90E6827AC6}</author>
  </authors>
  <commentList>
    <comment ref="L2" authorId="0" shapeId="0" xr:uid="{00000000-0006-0000-0700-000001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 ref="L4" authorId="1" shapeId="0" xr:uid="{00000000-0006-0000-0700-000002000000}">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tc={344D7ABE-26E3-4303-8241-3B2D9BE19C4C}</author>
    <author>tc={581A763D-69E7-4316-A641-33877C6ED334}</author>
    <author>tc={62AD165D-7A82-4BF4-8868-C46B05D9A871}</author>
    <author>tc={88370A64-FBDF-4CF1-9910-136364F7D354}</author>
    <author>tc={9CD67460-E1CB-4B53-9C37-E18E4A204770}</author>
    <author>tc={A31EA57F-7996-44C1-AB78-CC91DB6F6574}</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26"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8"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77"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93"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93"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93"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3"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3"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06"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6"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6"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18"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00000000-0006-0000-17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00000000-0006-0000-1700-000003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00000000-0006-0000-1700-000004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0000000-0006-0000-1700-000005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0000000-0006-0000-1700-000006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00000000-0006-0000-1700-000007000000}">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00000000-0006-0000-1700-000008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00000000-0006-0000-1700-000009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00000000-0006-0000-1700-00000A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00000000-0006-0000-1700-00000B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00000000-0006-0000-1700-00000C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00000000-0006-0000-1700-00000D000000}">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00000000-0006-0000-1700-00000E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00000000-0006-0000-1700-00000F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00000000-0006-0000-1700-000010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00000000-0006-0000-1700-000011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00000000-0006-0000-1700-000012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00000000-0006-0000-1700-000013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00000000-0006-0000-1700-000014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00000000-0006-0000-1700-000015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00000000-0006-0000-1700-000016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tc={593AFA9A-8DC4-4E71-AAA8-0645166E3F25}</author>
    <author>tc={E6E2D78D-4384-4561-939B-9BC7331F8BE8}</author>
    <author>tc={9443444D-0A20-425F-9300-C411DBC65A0D}</author>
    <author>tc={8773E616-7533-4D96-8216-0F45303BCB01}</author>
    <author>tc={F4C081DF-9BF8-4221-BECE-CB42A30EB5BC}</author>
    <author>tc={1065F4CB-52AB-4B92-B793-654578199E67}</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tc={1B45073C-05DE-4E50-B57C-9DA43CA3E5DB}</author>
    <author>tc={1EFE3D94-A914-4335-ADA0-94B1C8F72E64}</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A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6" authorId="2" shapeId="0" xr:uid="{00000000-0006-0000-1A00-000003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the comment in the previous cell.</t>
      </text>
    </comment>
    <comment ref="X16" authorId="3" shapeId="0" xr:uid="{00000000-0006-0000-1A00-000004000000}">
      <text>
        <t>[Threaded comment]
Your version of Excel allows you to read this threaded comment; however, any edits to it will get removed if the file is opened in a newer version of Excel. Learn more: https://go.microsoft.com/fwlink/?linkid=870924
Comment:
    Drag this forward in February because we get Q4 data a month late.</t>
      </text>
    </comment>
    <comment ref="V26" authorId="4" shapeId="0" xr:uid="{00000000-0006-0000-1A00-000005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26" authorId="5" shapeId="0" xr:uid="{00000000-0006-0000-1A00-000006000000}">
      <text>
        <t>[Threaded comment]
Your version of Excel allows you to read this threaded comment; however, any edits to it will get removed if the file is opened in a newer version of Excel. Learn more: https://go.microsoft.com/fwlink/?linkid=870924
Comment:
    Drag this forward in November, by the same logic as in the previous cell.</t>
      </text>
    </comment>
    <comment ref="X26" authorId="6" shapeId="0" xr:uid="{00000000-0006-0000-1A00-000007000000}">
      <text>
        <t>[Threaded comment]
Your version of Excel allows you to read this threaded comment; however, any edits to it will get removed if the file is opened in a newer version of Excel. Learn more: https://go.microsoft.com/fwlink/?linkid=870924
Comment:
    Drag this forward in February because we get Q4 data one month late.</t>
      </text>
    </comment>
    <comment ref="K36" authorId="7" shapeId="0" xr:uid="{00000000-0006-0000-1A00-000008000000}">
      <text>
        <t>[Threaded comment]
Your version of Excel allows you to read this threaded comment; however, any edits to it will get removed if the file is opened in a newer version of Excel. Learn more: https://go.microsoft.com/fwlink/?linkid=870924
Comment:
    We adjusted these growth rates upward because CBO expected taxes to fall gradually but instead they fell quickly.</t>
      </text>
    </comment>
    <comment ref="D55" authorId="8" shapeId="0" xr:uid="{00000000-0006-0000-1A00-000009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t>
      </text>
    </comment>
    <comment ref="D56" authorId="9" shapeId="0" xr:uid="{00000000-0006-0000-1A00-00000A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t>
      </text>
    </comment>
    <comment ref="D58" authorId="10" shapeId="0" xr:uid="{00000000-0006-0000-1A00-00000B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9" authorId="11" shapeId="0" xr:uid="{00000000-0006-0000-1A00-00000C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60" authorId="12" shapeId="0" xr:uid="{00000000-0006-0000-1A00-00000D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t>
      </text>
    </comment>
    <comment ref="D78" authorId="13" shapeId="0" xr:uid="{00000000-0006-0000-1A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t>
      </text>
    </comment>
    <comment ref="D79" authorId="14" shapeId="0" xr:uid="{00000000-0006-0000-1A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t>
      </text>
    </comment>
    <comment ref="D80" authorId="15" shapeId="0" xr:uid="{00000000-0006-0000-1A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t>
      </text>
    </comment>
    <comment ref="D81" authorId="16" shapeId="0" xr:uid="{00000000-0006-0000-1A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t>
      </text>
    </comment>
    <comment ref="D102" authorId="17" shapeId="0" xr:uid="{00000000-0006-0000-1A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t>
      </text>
    </comment>
    <comment ref="D103" authorId="18" shapeId="0" xr:uid="{00000000-0006-0000-1A00-000013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t>
      </text>
    </comment>
    <comment ref="D104" authorId="19" shapeId="0" xr:uid="{00000000-0006-0000-1A00-000014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t>
      </text>
    </comment>
    <comment ref="D105" authorId="20" shapeId="0" xr:uid="{00000000-0006-0000-1A00-000015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t>
      </text>
    </comment>
    <comment ref="U128" authorId="21" shapeId="0" xr:uid="{00000000-0006-0000-1A00-000016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31" authorId="22" shapeId="0" xr:uid="{00000000-0006-0000-1A00-000017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W131" authorId="23" shapeId="0" xr:uid="{00000000-0006-0000-1A00-000018000000}">
      <text>
        <t>[Threaded comment]
Your version of Excel allows you to read this threaded comment; however, any edits to it will get removed if the file is opened in a newer version of Excel. Learn more: https://go.microsoft.com/fwlink/?linkid=870924
Comment:
    Drag forward in November by same logic as in previous cell.</t>
      </text>
    </comment>
    <comment ref="X131" authorId="24" shapeId="0" xr:uid="{00000000-0006-0000-1A00-000019000000}">
      <text>
        <t>[Threaded comment]
Your version of Excel allows you to read this threaded comment; however, any edits to it will get removed if the file is opened in a newer version of Excel. Learn more: https://go.microsoft.com/fwlink/?linkid=870924
Comment:
    Drag forward in February because we get Q4 Data 1 month late.</t>
      </text>
    </comment>
    <comment ref="D152" authorId="25" shapeId="0" xr:uid="{00000000-0006-0000-1A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54" authorId="26" shapeId="0" xr:uid="{00000000-0006-0000-1A00-00001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6" authorId="27" shapeId="0" xr:uid="{00000000-0006-0000-1A00-00001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8" authorId="28" shapeId="0" xr:uid="{00000000-0006-0000-1A00-00001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64" authorId="29" shapeId="0" xr:uid="{00000000-0006-0000-1A00-00001E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6" authorId="30" shapeId="0" xr:uid="{00000000-0006-0000-1A00-00001F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8" authorId="31" shapeId="0" xr:uid="{00000000-0006-0000-1A00-00002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70" authorId="32" shapeId="0" xr:uid="{00000000-0006-0000-1A00-00002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59" authorId="0" shapeId="0" xr:uid="{00000000-0006-0000-1B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61" authorId="1" shapeId="0" xr:uid="{00000000-0006-0000-1B00-000002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t>
      </text>
    </comment>
    <comment ref="B62" authorId="2" shapeId="0" xr:uid="{00000000-0006-0000-1B00-000003000000}">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t>
      </text>
    </comment>
    <comment ref="B63" authorId="3" shapeId="0" xr:uid="{00000000-0006-0000-1B00-000004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t>
      </text>
    </comment>
    <comment ref="B64" authorId="4" shapeId="0" xr:uid="{00000000-0006-0000-1B00-000005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t>
      </text>
    </comment>
    <comment ref="B65" authorId="5" shapeId="0" xr:uid="{00000000-0006-0000-1B00-000006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t>
      </text>
    </comment>
    <comment ref="B66" authorId="6" shapeId="0" xr:uid="{00000000-0006-0000-1B00-00000700000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tc={91113C3B-1C03-4C87-BD7C-A804D513BAAF}</author>
    <author>tc={9A81032B-E202-4D06-B8AF-1233277CB3E9}</author>
  </authors>
  <commentList>
    <comment ref="F12" authorId="0" shapeId="0" xr:uid="{00000000-0006-0000-1F00-000001000000}">
      <text>
        <t>[Threaded comment]
Your version of Excel allows you to read this threaded comment; however, any edits to it will get removed if the file is opened in a newer version of Excel. Learn more: https://go.microsoft.com/fwlink/?linkid=870924
Comment:
    Not smoothed anymore. Added 12 based on strong data from Goldman release. Added 3 to  2023 Q4</t>
      </text>
    </comment>
    <comment ref="K31" authorId="1" shapeId="0" xr:uid="{00000000-0006-0000-1F00-000002000000}">
      <text>
        <t>[Threaded comment]
Your version of Excel allows you to read this threaded comment; however, any edits to it will get removed if the file is opened in a newer version of Excel. Learn more: https://go.microsoft.com/fwlink/?linkid=870924
Comment:
    Not smoothed anymore. Added 12 based on strong data from Goldman release. Added 3 to  2023 Q4</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22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23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23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tc={E702D61C-4760-4164-BD3F-5AB302CA98ED}</author>
    <author>tc={776019CE-8128-450F-A25E-EF6C5707CFC6}</author>
    <author>tc={EF6EC7A7-A475-49DC-B77E-29BB35266C5E}</author>
  </authors>
  <commentList>
    <comment ref="J12"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27"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5"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4"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5" shapeId="0" xr:uid="{00000000-0006-0000-10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1" authorId="6" shapeId="0" xr:uid="{00000000-0006-0000-10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3" authorId="7" shapeId="0" xr:uid="{00000000-0006-0000-10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83" authorId="8" shapeId="0" xr:uid="{00000000-0006-0000-1000-000009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AG85" authorId="9" shapeId="0" xr:uid="{00000000-0006-0000-1000-00000A000000}">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R106" authorId="10" shapeId="0" xr:uid="{00000000-0006-0000-1000-00000B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06" authorId="11" shapeId="0" xr:uid="{00000000-0006-0000-1000-00000C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07" authorId="12" shapeId="0" xr:uid="{00000000-0006-0000-1000-00000D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tc={0ADCB210-D448-44DD-A5EE-5E6E7334408B}</author>
    <author>tc={3D5BBFAC-4E76-4F2A-B34F-264D54111B07}</author>
    <author>tc={C146291D-B06B-4D46-A30C-B289BA81D51C}</author>
  </authors>
  <commentList>
    <comment ref="B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t>
      </text>
    </comment>
    <comment ref="B10"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t>
      </text>
    </comment>
    <comment ref="AG11"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4"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t>
      </text>
    </comment>
    <comment ref="B32"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Start updating this chart again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200-000006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200-000007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7" shapeId="0" xr:uid="{00000000-0006-0000-1200-000008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tc={8A2A0363-6E26-43DA-8F9C-0DA70A3F65A0}</author>
    <author>tc={48FEC13E-DD87-4779-A443-42BF4F49FF37}</author>
    <author>tc={09188FF2-A127-4014-A01D-03DD2BF0FA2E}</author>
    <author>tc={5E6012FC-E5EC-49B2-9F3E-FF9BACB20939}</author>
  </authors>
  <commentList>
    <comment ref="V12"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00000000-0006-0000-1300-000002000000}">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3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t>
      </text>
    </comment>
    <comment ref="G20" authorId="3" shapeId="0" xr:uid="{00000000-0006-0000-1300-000004000000}">
      <text>
        <t>[Threaded comment]
Your version of Excel allows you to read this threaded comment; however, any edits to it will get removed if the file is opened in a newer version of Excel. Learn more: https://go.microsoft.com/fwlink/?linkid=870924
Comment:
    Higher growth than CBO predicts because we've already seen a large decrease</t>
      </text>
    </comment>
    <comment ref="H20" authorId="4" shapeId="0" xr:uid="{00000000-0006-0000-1300-000005000000}">
      <text>
        <t>[Threaded comment]
Your version of Excel allows you to read this threaded comment; however, any edits to it will get removed if the file is opened in a newer version of Excel. Learn more: https://go.microsoft.com/fwlink/?linkid=870924
Comment:
    Louise changed to 0.02</t>
      </text>
    </comment>
    <comment ref="W26" authorId="5" shapeId="0" xr:uid="{00000000-0006-0000-1300-000006000000}">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7" authorId="6" shapeId="0" xr:uid="{00000000-0006-0000-1300-000007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tc={8EBBDF8F-92CB-4DA7-AB0C-805F6924BC38}</author>
  </authors>
  <commentList>
    <comment ref="B21"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 ref="H26" authorId="1" shapeId="0" xr:uid="{00000000-0006-0000-1400-000002000000}">
      <text>
        <t>[Threaded comment]
Your version of Excel allows you to read this threaded comment; however, any edits to it will get removed if the file is opened in a newer version of Excel. Learn more: https://go.microsoft.com/fwlink/?linkid=870924
Comment:
    Bringing growth down because Medicare expenditures have been stagnant for 6 months on MPI</t>
      </text>
    </comment>
  </commentList>
</comments>
</file>

<file path=xl/sharedStrings.xml><?xml version="1.0" encoding="utf-8"?>
<sst xmlns="http://schemas.openxmlformats.org/spreadsheetml/2006/main" count="5214" uniqueCount="2325">
  <si>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</si>
  <si>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</si>
  <si>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</si>
  <si>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</si>
  <si>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</si>
  <si>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</si>
  <si>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</si>
  <si>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</si>
  <si>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</si>
  <si>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</si>
  <si>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</si>
  <si>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</si>
  <si>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</si>
  <si>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</si>
  <si>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</si>
  <si>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</si>
  <si>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</si>
  <si>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</si>
  <si>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</si>
  <si>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</si>
  <si>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</si>
  <si>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</si>
  <si>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</si>
  <si>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</si>
  <si>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</si>
  <si>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</si>
  <si>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</si>
  <si>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</si>
  <si>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</si>
  <si>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</si>
  <si>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</si>
  <si>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</si>
  <si>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</si>
  <si>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</si>
  <si>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</si>
  <si>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</si>
  <si>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</si>
  <si>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</si>
  <si>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</si>
  <si>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</si>
  <si>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</si>
  <si>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</si>
  <si>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</si>
  <si>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</si>
  <si>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</si>
  <si>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</si>
  <si>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</si>
  <si>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</si>
  <si>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</si>
  <si>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</si>
  <si>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</si>
  <si>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</si>
  <si>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</si>
  <si>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</si>
  <si>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</si>
  <si>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</si>
  <si>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</si>
  <si>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</si>
  <si>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</si>
  <si>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</si>
  <si>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</si>
  <si>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</si>
  <si>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</si>
  <si>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</si>
  <si>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</si>
  <si>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</si>
  <si>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</si>
  <si>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</si>
  <si>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</si>
  <si>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</si>
  <si>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</si>
  <si>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</si>
  <si>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</si>
  <si>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</si>
  <si>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</si>
  <si>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</si>
  <si>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</si>
  <si>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</si>
  <si>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</si>
  <si>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</si>
  <si>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</si>
  <si>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</si>
  <si>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</si>
  <si>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</si>
  <si>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</si>
  <si>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</si>
  <si>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</si>
  <si>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</si>
  <si>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</si>
  <si>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</si>
  <si>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</si>
  <si>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</si>
  <si>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</si>
  <si>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</si>
  <si>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</si>
  <si>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</si>
  <si>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</si>
  <si>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</si>
  <si>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</si>
  <si>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</si>
  <si>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</si>
  <si>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</si>
  <si>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</si>
  <si>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</si>
  <si>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</si>
  <si>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</si>
  <si>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</si>
  <si>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</si>
  <si>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</si>
  <si>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</si>
  <si>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</si>
  <si>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</si>
  <si>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</si>
  <si>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</si>
  <si>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</si>
  <si>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</si>
  <si>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</si>
  <si>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</si>
  <si>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</si>
  <si>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</si>
  <si>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</si>
  <si>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</si>
  <si>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</si>
  <si>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</si>
  <si>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</si>
  <si>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</si>
  <si>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</si>
  <si>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</si>
  <si>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</si>
  <si>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</si>
  <si>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</si>
  <si>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</si>
  <si>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</si>
  <si>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</si>
  <si>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</si>
  <si>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</si>
  <si>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</si>
  <si>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</si>
  <si>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</si>
  <si>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</si>
  <si>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</si>
  <si>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</si>
  <si>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</si>
  <si>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</si>
  <si>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</si>
  <si>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</si>
  <si>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</si>
  <si>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</si>
  <si>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</si>
  <si>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</si>
  <si>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</si>
  <si>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</si>
  <si>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</si>
  <si>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</si>
  <si>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</si>
  <si>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</si>
  <si>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</si>
  <si>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</si>
  <si>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</si>
  <si>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</si>
  <si>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</si>
  <si>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</si>
  <si>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</si>
  <si>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</si>
  <si>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</si>
  <si>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</si>
  <si>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</si>
  <si>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</si>
  <si>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</si>
  <si>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</si>
  <si>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</si>
  <si>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</si>
  <si>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</si>
  <si>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</si>
  <si>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</si>
  <si>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</si>
  <si>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</si>
  <si>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</si>
  <si>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</si>
  <si>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</si>
  <si>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</si>
  <si>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</si>
  <si>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</si>
  <si>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</si>
  <si>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</si>
  <si>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</si>
  <si>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</si>
  <si>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</si>
  <si>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</si>
  <si>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</si>
  <si>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</si>
  <si>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</si>
  <si>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</si>
  <si>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</si>
  <si>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</si>
  <si>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</si>
  <si>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</si>
  <si>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</si>
  <si>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</si>
  <si>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</si>
  <si>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</si>
  <si>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</si>
  <si>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</si>
  <si>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</si>
  <si>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</si>
  <si>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</si>
  <si>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</si>
  <si>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</si>
  <si>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</si>
  <si>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</si>
  <si>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</si>
  <si>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</si>
  <si>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</si>
  <si>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</si>
  <si>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</si>
  <si>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</si>
  <si>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</si>
  <si>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</si>
  <si>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</si>
  <si>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</si>
  <si>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</si>
  <si>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</si>
  <si>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</si>
  <si>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</si>
  <si>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</si>
  <si>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</si>
  <si>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</si>
  <si>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</si>
  <si>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</si>
  <si>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</si>
  <si>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</si>
  <si>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</si>
  <si>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</si>
  <si>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</si>
  <si>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</si>
  <si>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</si>
  <si>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</si>
  <si>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</si>
  <si>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</si>
  <si>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</si>
  <si>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</si>
  <si>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</si>
  <si>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</si>
  <si>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</si>
  <si>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</si>
  <si>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</si>
  <si>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</si>
  <si>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</si>
  <si>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</si>
  <si>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</si>
  <si>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</si>
  <si>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</si>
  <si>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</si>
  <si>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</si>
  <si>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</si>
  <si>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</si>
  <si>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</si>
  <si>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</si>
  <si>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</si>
  <si>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</si>
  <si>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</si>
  <si>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</si>
  <si>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</si>
  <si>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</si>
  <si>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</si>
  <si>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</si>
  <si>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</si>
  <si>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</si>
  <si>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</si>
  <si>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</si>
  <si>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</si>
  <si>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</si>
  <si>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</si>
  <si>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</si>
  <si>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</si>
  <si>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</si>
  <si>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</si>
  <si>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</si>
  <si>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</si>
  <si>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</si>
  <si>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</si>
  <si>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</si>
  <si>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</si>
  <si>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</si>
  <si>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</si>
  <si>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</si>
  <si>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</si>
  <si>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</si>
  <si>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</si>
  <si>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</si>
  <si>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</si>
  <si>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</si>
  <si>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</si>
  <si>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</si>
  <si>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</si>
  <si>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</si>
  <si>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</si>
  <si>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</si>
  <si>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</si>
  <si>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</si>
  <si>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</si>
  <si>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</si>
  <si>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</si>
  <si>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</si>
  <si>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</si>
  <si>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</si>
  <si>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</si>
  <si>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</si>
  <si>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</si>
  <si>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</si>
  <si>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</si>
  <si>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</si>
  <si>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</si>
  <si>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</si>
  <si>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</si>
  <si>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</si>
  <si>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</si>
  <si>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</si>
  <si>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</si>
  <si>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</si>
  <si>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</si>
  <si>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</si>
  <si>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</si>
  <si>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</si>
  <si>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</si>
  <si>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</si>
  <si>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</si>
  <si>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</si>
  <si>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</si>
  <si>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</si>
  <si>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</si>
  <si>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</si>
  <si>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</si>
  <si>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</si>
  <si>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</si>
  <si>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</si>
  <si>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</si>
  <si>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</si>
  <si>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</si>
  <si>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</si>
  <si>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</si>
  <si>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</si>
  <si>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</si>
  <si>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</si>
  <si>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</si>
  <si>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</si>
  <si>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</si>
  <si>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</si>
  <si>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</si>
  <si>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</si>
  <si>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</si>
  <si>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</si>
  <si>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</si>
  <si>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</si>
  <si>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</si>
  <si>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</si>
  <si>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</si>
  <si>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</si>
  <si>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</si>
  <si>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</si>
  <si>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</si>
  <si>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</si>
  <si>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</si>
  <si>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</si>
  <si>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</si>
  <si>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</si>
  <si>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</si>
  <si>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</si>
  <si>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</si>
  <si>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</si>
  <si>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</si>
  <si>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</si>
  <si>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</si>
  <si>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</si>
  <si>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</si>
  <si>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</si>
  <si>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</si>
  <si>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</si>
  <si>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</si>
  <si>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</si>
  <si>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</si>
  <si>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</si>
  <si>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</si>
  <si>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</si>
  <si>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</si>
  <si>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</si>
  <si>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</si>
  <si>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</si>
  <si>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</si>
  <si>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</si>
  <si>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</si>
  <si>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</si>
  <si>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</si>
  <si>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</si>
  <si>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</si>
  <si>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</si>
  <si>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</si>
  <si>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</si>
  <si>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</si>
  <si>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</si>
  <si>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</si>
  <si>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</si>
  <si>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</si>
  <si>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</si>
  <si>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</si>
  <si>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</si>
  <si>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</si>
  <si>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</si>
  <si>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</si>
  <si>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</si>
  <si>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</si>
  <si>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</si>
  <si>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</si>
  <si>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</si>
  <si>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</si>
  <si>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</si>
  <si>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</si>
  <si>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</si>
  <si>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</si>
  <si>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</si>
  <si>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</si>
  <si>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</si>
  <si>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</si>
  <si>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</si>
  <si>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</si>
  <si>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</si>
  <si>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</si>
  <si>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</si>
  <si>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</si>
  <si>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</si>
  <si>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</si>
  <si>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</si>
  <si>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</si>
  <si>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</si>
  <si>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</si>
  <si>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</si>
  <si>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</si>
  <si>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</si>
  <si>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</si>
  <si>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</si>
  <si>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</si>
  <si>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</si>
  <si>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</si>
  <si>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</si>
  <si>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</si>
  <si>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</si>
  <si>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</si>
  <si>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</si>
  <si>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</si>
  <si>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</si>
  <si>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</si>
  <si>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</si>
  <si>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</si>
  <si>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</si>
  <si>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</si>
  <si>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</si>
  <si>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</si>
  <si>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</si>
  <si>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</si>
  <si>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</si>
  <si>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</si>
  <si>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</si>
  <si>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</si>
  <si>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</si>
  <si>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</si>
  <si>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</si>
  <si>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</si>
  <si>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</si>
  <si>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</si>
  <si>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</si>
  <si>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</si>
  <si>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</si>
  <si>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</si>
  <si>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</si>
  <si>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</si>
  <si>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</si>
  <si>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</si>
  <si>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</si>
  <si>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</si>
  <si>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</si>
  <si>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</si>
  <si>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</si>
  <si>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</si>
  <si>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</si>
  <si>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</si>
  <si>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</si>
  <si>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</si>
  <si>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</si>
  <si>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</si>
  <si>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</si>
  <si>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</si>
  <si>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</si>
  <si>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</si>
  <si>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</si>
  <si>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</si>
  <si>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</si>
  <si>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</si>
  <si>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</si>
  <si>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</si>
  <si>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</si>
  <si>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</si>
  <si>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</si>
  <si>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</si>
  <si>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</si>
  <si>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</si>
  <si>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</si>
  <si>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</si>
  <si>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</si>
  <si>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</si>
  <si>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</si>
  <si>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</si>
  <si>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</si>
  <si>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</si>
  <si>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</si>
  <si>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</si>
  <si>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</si>
  <si>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</si>
  <si>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</si>
  <si>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</si>
  <si>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</si>
  <si>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</si>
  <si>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</si>
  <si>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</si>
  <si>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</si>
  <si>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</si>
  <si>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</si>
  <si>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</si>
  <si>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</si>
  <si>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</si>
  <si>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</si>
  <si>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</si>
  <si>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</si>
  <si>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</si>
  <si>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</si>
  <si>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</si>
  <si>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</si>
  <si>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</si>
  <si>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</si>
  <si>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</si>
  <si>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</si>
  <si>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</si>
  <si>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</si>
  <si>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</si>
  <si>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</si>
  <si>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</si>
  <si>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</si>
  <si>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</si>
  <si>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</si>
  <si>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</si>
  <si>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</si>
  <si>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</si>
  <si>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</si>
  <si>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</si>
  <si>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</si>
  <si>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</si>
  <si>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</si>
  <si>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</si>
  <si>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</si>
  <si>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</si>
  <si>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</si>
  <si>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</si>
  <si>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</si>
  <si>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</si>
  <si>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</si>
  <si>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</si>
  <si>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</si>
  <si>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</si>
  <si>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</si>
  <si>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</si>
  <si>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</si>
  <si>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</si>
  <si>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</si>
  <si>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</si>
  <si>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</si>
  <si>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</si>
  <si>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</si>
  <si>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</si>
  <si>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</si>
  <si>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</si>
  <si>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</si>
  <si>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</si>
  <si>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</si>
  <si>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</si>
  <si>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</si>
  <si>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</si>
  <si>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</si>
  <si>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</si>
  <si>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</si>
  <si>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</si>
  <si>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</si>
  <si>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</si>
  <si>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</si>
  <si>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</si>
  <si>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</si>
  <si>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</si>
  <si>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</si>
  <si>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</si>
  <si>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</si>
  <si>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</si>
  <si>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</si>
  <si>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</si>
  <si>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</si>
  <si>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</si>
  <si>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</si>
  <si>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</si>
  <si>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</si>
  <si>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</si>
  <si>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</si>
  <si>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</si>
  <si>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</si>
  <si>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</si>
  <si>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</si>
  <si>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</si>
  <si>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</si>
  <si>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</si>
  <si>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</si>
  <si>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</si>
  <si>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</si>
  <si>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</si>
  <si>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</si>
  <si>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</si>
  <si>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</si>
  <si>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</si>
  <si>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</si>
  <si>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</si>
  <si>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</si>
  <si>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</si>
  <si>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</si>
  <si>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</si>
  <si>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</si>
  <si>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</si>
  <si>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</si>
  <si>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</si>
  <si>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</si>
  <si>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</si>
  <si>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</si>
  <si>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</si>
  <si>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</si>
  <si>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</si>
  <si>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</si>
  <si>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</si>
  <si>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</si>
  <si>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</si>
  <si>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</si>
  <si>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</si>
  <si>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</si>
  <si>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</si>
  <si>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</si>
  <si>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</si>
  <si>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</si>
  <si>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</si>
  <si>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</si>
  <si>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</si>
  <si>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</si>
  <si>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</si>
  <si>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</si>
  <si>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</si>
  <si>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</si>
  <si>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</si>
  <si>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</si>
  <si>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</si>
  <si>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</si>
  <si>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</si>
  <si>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</si>
  <si>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</si>
  <si>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</si>
  <si>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</si>
  <si>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</si>
  <si>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</si>
  <si>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</si>
  <si>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</si>
  <si>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</si>
  <si>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</si>
  <si>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</si>
  <si>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</si>
  <si>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</si>
  <si>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</si>
  <si>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</si>
  <si>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</si>
  <si>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</si>
  <si>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</si>
  <si>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</si>
  <si>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</si>
  <si>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</si>
  <si>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</si>
  <si>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</si>
  <si>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</si>
  <si>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</si>
  <si>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</si>
  <si>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</si>
  <si>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</si>
  <si>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</si>
  <si>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</si>
  <si>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</si>
  <si>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</si>
  <si>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</si>
  <si>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</si>
  <si>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</si>
  <si>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</si>
  <si>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</si>
  <si>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</si>
  <si>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</si>
  <si>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</si>
  <si>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</si>
  <si>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</si>
  <si>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</si>
  <si>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</si>
  <si>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</si>
  <si>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</si>
  <si>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</si>
  <si>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</si>
  <si>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</si>
  <si>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</si>
  <si>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</si>
  <si>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</si>
  <si>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</si>
  <si>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</si>
  <si>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</si>
  <si>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</si>
  <si>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</si>
  <si>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</si>
  <si>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</si>
  <si>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</si>
  <si>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</si>
  <si>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</si>
  <si>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</si>
  <si>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</si>
  <si>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</si>
  <si>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</si>
  <si>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</si>
  <si>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</si>
  <si>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</si>
  <si>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</si>
  <si>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</si>
  <si>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</si>
  <si>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</si>
  <si>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</si>
  <si>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</si>
  <si>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</si>
  <si>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</si>
  <si>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</si>
  <si>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</si>
  <si>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</si>
  <si>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</si>
  <si>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</si>
  <si>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</si>
  <si>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</si>
  <si>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</si>
  <si>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</si>
  <si>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</si>
  <si>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</si>
  <si>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</si>
  <si>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</si>
  <si>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</si>
  <si>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</si>
  <si>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</si>
  <si>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</si>
  <si>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</si>
  <si>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</si>
  <si>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</si>
  <si>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</si>
  <si>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</si>
  <si>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</si>
  <si>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</si>
  <si>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</si>
  <si>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</si>
  <si>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</si>
  <si>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</si>
  <si>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</si>
  <si>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</si>
  <si>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</si>
  <si>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</si>
  <si>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</si>
  <si>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</si>
  <si>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</si>
  <si>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</si>
  <si>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</si>
  <si>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</si>
  <si>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</si>
  <si>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</si>
  <si>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</si>
  <si>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</si>
  <si>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</si>
  <si>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</si>
  <si>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</si>
  <si>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</si>
  <si>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</si>
  <si>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</si>
  <si>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</si>
  <si>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</si>
  <si>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</si>
  <si>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</si>
  <si>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</si>
  <si>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</si>
  <si>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</si>
  <si>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</si>
  <si>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</si>
  <si>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</si>
  <si>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</si>
  <si>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</si>
  <si>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</si>
  <si>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</si>
  <si>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</si>
  <si>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</si>
  <si>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</si>
  <si>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</si>
  <si>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</si>
  <si>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</si>
  <si>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</si>
  <si>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</si>
  <si>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</si>
  <si>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</si>
  <si>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</si>
  <si>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</si>
  <si>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</si>
  <si>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</si>
  <si>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</si>
  <si>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</si>
  <si>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</si>
  <si>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</si>
  <si>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</si>
  <si>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</si>
  <si>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</si>
  <si>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</si>
  <si>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</si>
  <si>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</si>
  <si>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</si>
  <si>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</si>
  <si>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</si>
  <si>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</si>
  <si>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</si>
  <si>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</si>
  <si>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</si>
  <si>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</si>
  <si>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</si>
  <si>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</si>
  <si>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</si>
  <si>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</si>
  <si>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</si>
  <si>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</si>
  <si>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</si>
  <si>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</si>
  <si>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</si>
  <si>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</si>
  <si>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</si>
  <si>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</si>
  <si>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</si>
  <si>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</si>
  <si>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</si>
  <si>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</si>
  <si>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</si>
  <si>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</si>
  <si>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</si>
  <si>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</si>
  <si>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</si>
  <si>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</si>
  <si>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</si>
  <si>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</si>
  <si>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</si>
  <si>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</si>
  <si>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</si>
  <si>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</si>
  <si>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</si>
  <si>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</si>
  <si>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</si>
  <si>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</si>
  <si>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</si>
  <si>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</si>
  <si>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</si>
  <si>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</si>
  <si>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</si>
  <si>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</si>
  <si>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</si>
  <si>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</si>
  <si>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</si>
  <si>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</si>
  <si>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</si>
  <si>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</si>
  <si>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</si>
  <si>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</si>
  <si>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</si>
  <si>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</si>
  <si>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</si>
  <si>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</si>
  <si>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</si>
  <si>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</si>
  <si>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</si>
  <si>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</si>
  <si>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</si>
  <si>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</si>
  <si>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</si>
  <si>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</si>
  <si>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</si>
  <si>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</si>
  <si>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</si>
  <si>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</si>
  <si>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</si>
  <si>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</si>
  <si>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</si>
  <si>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</si>
  <si>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</si>
  <si>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</si>
  <si>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</si>
  <si>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</si>
  <si>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</si>
  <si>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</si>
  <si>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</si>
  <si>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</si>
  <si>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</si>
  <si>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</si>
  <si>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</si>
  <si>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</si>
  <si>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</si>
  <si>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</si>
  <si>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</si>
  <si>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</si>
  <si>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</si>
  <si>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</si>
  <si>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</si>
  <si>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</si>
  <si>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</si>
  <si>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</si>
  <si>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</si>
  <si>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</si>
  <si>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</si>
  <si>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</si>
  <si>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</si>
  <si>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</si>
  <si>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</si>
  <si>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</si>
  <si>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</si>
  <si>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</si>
  <si>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</si>
  <si>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</si>
  <si>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</si>
  <si>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</si>
  <si>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</si>
  <si>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</si>
  <si>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</si>
  <si>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</si>
  <si>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</si>
  <si>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</si>
  <si>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</si>
  <si>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</si>
  <si>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</si>
  <si>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</si>
  <si>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</si>
  <si>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</si>
  <si>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</si>
  <si>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</si>
  <si>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</si>
  <si>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</si>
  <si>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</si>
  <si>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</si>
  <si>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</si>
  <si>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</si>
  <si>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</si>
  <si>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</si>
  <si>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</si>
  <si>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</si>
  <si>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</si>
  <si>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</si>
  <si>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</si>
  <si>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</si>
  <si>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</si>
  <si>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</si>
  <si>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</si>
  <si>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</si>
  <si>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</si>
  <si>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</si>
  <si>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</si>
  <si>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</si>
  <si>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</si>
  <si>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</si>
  <si>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</si>
  <si>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</si>
  <si>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</si>
  <si>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</si>
  <si>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</si>
  <si>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</si>
  <si>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</si>
  <si>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</si>
  <si>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</si>
  <si>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</si>
  <si>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</si>
  <si>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</si>
  <si>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</si>
  <si>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</si>
  <si>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</si>
  <si>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</si>
  <si>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</si>
  <si>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</si>
  <si>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</si>
  <si>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</si>
  <si>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</si>
  <si>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</si>
  <si>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</si>
  <si>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</si>
  <si>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</si>
  <si>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</si>
  <si>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</si>
  <si>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</si>
  <si>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</si>
  <si>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</si>
  <si>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</si>
  <si>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</si>
  <si>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</si>
  <si>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</si>
  <si>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</si>
  <si>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</si>
  <si>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</si>
  <si>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</si>
  <si>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</si>
  <si>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</si>
  <si>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</si>
  <si>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</si>
  <si>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</si>
  <si>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</si>
  <si>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</si>
  <si>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</si>
  <si>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</si>
  <si>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</si>
  <si>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</si>
  <si>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</si>
  <si>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</si>
  <si>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</si>
  <si>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</si>
  <si>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</si>
  <si>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</si>
  <si>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</si>
  <si>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</si>
  <si>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</si>
  <si>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</si>
  <si>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</si>
  <si>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</si>
  <si>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</si>
  <si>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</si>
  <si>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</si>
  <si>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</si>
  <si>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</si>
  <si>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</si>
  <si>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</si>
  <si>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</si>
  <si>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</si>
  <si>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</si>
  <si>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</si>
  <si>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</si>
  <si>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</si>
  <si>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</si>
  <si>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</si>
  <si>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</si>
  <si>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</si>
  <si>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</si>
  <si>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</si>
  <si>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</si>
  <si>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</si>
  <si>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</si>
  <si>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</si>
  <si>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</si>
  <si>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</si>
  <si>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</si>
  <si>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</si>
  <si>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</si>
  <si>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</si>
  <si>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</si>
  <si>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</si>
  <si>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</si>
  <si>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</si>
  <si>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</si>
  <si>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</si>
  <si>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</si>
  <si>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</si>
  <si>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</si>
  <si>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</si>
  <si>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</si>
  <si>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</si>
  <si>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</si>
  <si>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</si>
  <si>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</si>
  <si>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</si>
  <si>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</si>
  <si>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</si>
  <si>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</si>
  <si>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</si>
  <si>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</si>
  <si>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</si>
  <si>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</si>
  <si>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</si>
  <si>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</si>
  <si>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</si>
  <si>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</si>
  <si>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</si>
  <si>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</si>
  <si>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</si>
  <si>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</si>
  <si>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</si>
  <si>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</si>
  <si>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</si>
  <si>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</si>
  <si>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</si>
  <si>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</si>
  <si>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</si>
  <si>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</si>
  <si>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</si>
  <si>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</si>
  <si>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</si>
  <si>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</si>
  <si>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</si>
  <si>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</si>
  <si>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</si>
  <si>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</si>
  <si>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</si>
  <si>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</si>
  <si>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</si>
  <si>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</si>
  <si>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</si>
  <si>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</si>
  <si>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</si>
  <si>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</si>
  <si>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</si>
  <si>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</si>
  <si>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</si>
  <si>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</si>
  <si>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</si>
  <si>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</si>
  <si>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</si>
  <si>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</si>
  <si>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</si>
  <si>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</si>
  <si>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</si>
  <si>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</si>
  <si>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</si>
  <si>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</si>
  <si>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</si>
  <si>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</si>
  <si>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</si>
  <si>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</si>
  <si>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</si>
  <si>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</si>
  <si>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</si>
  <si>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</si>
  <si>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</si>
  <si>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</si>
  <si>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</si>
  <si>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</si>
  <si>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</si>
  <si>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</si>
  <si>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</si>
  <si>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</si>
  <si>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</si>
  <si>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</si>
  <si>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</si>
  <si>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</si>
  <si>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</si>
  <si>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</si>
  <si>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</si>
  <si>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</si>
  <si>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</si>
  <si>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</si>
  <si>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</si>
  <si>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</si>
  <si>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</si>
  <si>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</si>
  <si>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</si>
  <si>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</si>
  <si>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</si>
  <si>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</si>
  <si>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</si>
  <si>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</si>
  <si>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</si>
  <si>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</si>
  <si>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</si>
  <si>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</si>
  <si>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</si>
  <si>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</si>
  <si>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</si>
  <si>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</si>
  <si>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</si>
  <si>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</si>
  <si>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</si>
  <si>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</si>
  <si>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</si>
  <si>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</si>
  <si>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</si>
  <si>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</si>
  <si>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</si>
  <si>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</si>
  <si>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</si>
  <si>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</si>
  <si>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</si>
  <si>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</si>
  <si>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</si>
  <si>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</si>
  <si>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</si>
  <si>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</si>
  <si>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</si>
  <si>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</si>
  <si>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</si>
  <si>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</si>
  <si>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</si>
  <si>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</si>
  <si>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</si>
  <si>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</si>
  <si>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</si>
  <si>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</si>
  <si>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</si>
  <si>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</si>
  <si>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</si>
  <si>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</si>
  <si>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</si>
  <si>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</si>
  <si>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</si>
  <si>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</si>
  <si>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</si>
  <si>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</si>
  <si>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</si>
  <si>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</si>
  <si>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</si>
  <si>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</si>
  <si>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</si>
  <si>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</si>
  <si>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</si>
  <si>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</si>
  <si>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</si>
  <si>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</si>
  <si>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</si>
  <si>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</si>
  <si>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</si>
  <si>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</si>
  <si>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</si>
  <si>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</si>
  <si>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</si>
  <si>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</si>
  <si>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</si>
  <si>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</si>
  <si>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</si>
  <si>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</si>
  <si>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</si>
  <si>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</si>
  <si>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</si>
  <si>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</si>
  <si>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</si>
  <si>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</si>
  <si>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</si>
  <si>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</si>
  <si>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</si>
  <si>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</si>
  <si>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</si>
  <si>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</si>
  <si>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</si>
  <si>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</si>
  <si>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</si>
  <si>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</si>
  <si>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</si>
  <si>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</si>
  <si>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</si>
  <si>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</si>
  <si>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</si>
  <si>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</si>
  <si>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</si>
  <si>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</si>
  <si>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</si>
  <si>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</si>
  <si>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</si>
  <si>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</si>
  <si>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</si>
  <si>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</si>
  <si>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</si>
  <si>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</si>
  <si>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</si>
  <si>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</si>
  <si>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</si>
  <si>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</si>
  <si>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</si>
  <si>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</si>
  <si>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</si>
  <si>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</si>
  <si>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</si>
  <si>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</si>
  <si>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</si>
  <si>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</si>
  <si>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</si>
  <si>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</si>
  <si>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</si>
  <si>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</si>
  <si>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</si>
  <si>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</si>
  <si>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</si>
  <si>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</si>
  <si>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</si>
  <si>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</si>
  <si>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</si>
  <si>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</si>
  <si>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</si>
  <si>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</si>
  <si>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</si>
  <si>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</si>
  <si>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</si>
  <si>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</si>
  <si>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</si>
  <si>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</si>
  <si>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</si>
  <si>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</si>
  <si>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</si>
  <si>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</si>
  <si>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</si>
  <si>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</si>
  <si>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</si>
  <si>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</si>
  <si>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</si>
  <si>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</si>
  <si>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</si>
  <si>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</si>
  <si>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</si>
  <si>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</si>
  <si>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</si>
  <si>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</si>
  <si>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</si>
  <si>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</si>
  <si>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</si>
  <si>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</si>
  <si>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</si>
  <si>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</si>
  <si>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</si>
  <si>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</si>
  <si>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</si>
  <si>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</si>
  <si>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</si>
  <si>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</si>
  <si>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</si>
  <si>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</si>
  <si>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</si>
  <si>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</si>
  <si>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</si>
  <si>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</si>
  <si>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</si>
  <si>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</si>
  <si>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</si>
  <si>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</si>
  <si>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</si>
  <si>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</si>
  <si>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</si>
  <si>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</si>
  <si>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</si>
  <si>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</si>
  <si>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</si>
  <si>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</si>
  <si>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</si>
  <si>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</si>
  <si>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</si>
  <si>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</si>
  <si>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</si>
  <si>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</si>
  <si>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</si>
  <si>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</si>
  <si>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</si>
  <si>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</si>
  <si>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</si>
  <si>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</si>
  <si>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</si>
  <si>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</si>
  <si>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</si>
  <si>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</si>
  <si>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</si>
  <si>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</si>
  <si>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</si>
  <si>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</si>
  <si>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</si>
  <si>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</si>
  <si>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</si>
  <si>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</si>
  <si>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</si>
  <si>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</si>
  <si>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</si>
  <si>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</si>
  <si>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</si>
  <si>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</si>
  <si>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</si>
  <si>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</si>
  <si>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</si>
  <si>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</si>
  <si>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</si>
  <si>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</si>
  <si>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</si>
  <si>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</si>
  <si>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</si>
  <si>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</si>
  <si>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</si>
  <si>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</si>
  <si>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</si>
  <si>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</si>
  <si>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</si>
  <si>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</si>
  <si>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</si>
  <si>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</si>
  <si>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</si>
  <si>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</si>
  <si>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</si>
  <si>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</si>
  <si>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</si>
  <si>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</si>
  <si>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</si>
  <si>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</si>
  <si>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</si>
  <si>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</si>
  <si>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</si>
  <si>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</si>
  <si>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</si>
  <si>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</si>
  <si>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</si>
  <si>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</si>
  <si>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</si>
  <si>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</si>
  <si>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</si>
  <si>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</si>
  <si>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</si>
  <si>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</si>
  <si>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</si>
  <si>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</si>
  <si>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</si>
  <si>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</si>
  <si>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</si>
  <si>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</si>
  <si>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</si>
  <si>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</si>
  <si>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</si>
  <si>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</si>
  <si>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</si>
  <si>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</si>
  <si>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</si>
  <si>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</si>
  <si>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</si>
  <si>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</si>
  <si>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</si>
  <si>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</si>
  <si>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</si>
  <si>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</si>
  <si>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</si>
  <si>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</si>
  <si>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</si>
  <si>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</si>
  <si>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</si>
  <si>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</si>
  <si>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</si>
  <si>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</si>
  <si>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</si>
  <si>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</si>
  <si>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</si>
  <si>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</si>
  <si>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</si>
  <si>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</si>
  <si>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</si>
  <si>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</si>
  <si>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</si>
  <si>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</si>
  <si>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</si>
  <si>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</si>
  <si>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</si>
  <si>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</si>
  <si>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</si>
  <si>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</si>
  <si>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</si>
  <si>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</si>
  <si>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</si>
  <si>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</si>
  <si>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</si>
  <si>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</si>
  <si>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</si>
  <si>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</si>
  <si>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</si>
  <si>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</si>
  <si>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</si>
  <si>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</si>
  <si>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</si>
  <si>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</si>
  <si>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</si>
  <si>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</si>
  <si>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</si>
  <si>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</si>
  <si>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</si>
  <si>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</si>
  <si>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</si>
  <si>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</si>
  <si>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</si>
  <si>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</si>
  <si>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</si>
  <si>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</si>
  <si>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</si>
  <si>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</si>
  <si>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</si>
  <si>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</si>
  <si>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</si>
  <si>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</si>
  <si>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</si>
  <si>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</si>
  <si>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</si>
  <si>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</si>
  <si>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</si>
  <si>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</si>
  <si>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</si>
  <si>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</si>
  <si>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</si>
  <si>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</si>
  <si>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</si>
  <si>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</si>
  <si>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</si>
  <si>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</si>
  <si>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</si>
  <si>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</si>
  <si>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</si>
  <si>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</si>
  <si>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</si>
  <si>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</si>
  <si>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</si>
  <si>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</si>
  <si>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</si>
  <si>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</si>
  <si>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</si>
  <si>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</si>
  <si>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</si>
  <si>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</si>
  <si>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</si>
  <si>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</si>
  <si>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</si>
  <si>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</si>
  <si>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</si>
  <si>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</si>
  <si>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</si>
  <si>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</si>
  <si>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</si>
  <si>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</si>
  <si>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</si>
  <si>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</si>
  <si>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</si>
  <si>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</si>
  <si>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</si>
  <si>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</si>
  <si>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</si>
  <si>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</si>
  <si>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</si>
  <si>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</si>
  <si>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</si>
  <si>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</si>
  <si>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</si>
  <si>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</si>
  <si>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</si>
  <si>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</si>
  <si>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</si>
  <si>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</si>
  <si>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</si>
  <si>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</si>
  <si>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</si>
  <si>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</si>
  <si>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</si>
  <si>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</si>
  <si>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</si>
  <si>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</si>
  <si>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</si>
  <si>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</si>
  <si>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</si>
  <si>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</si>
  <si>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</si>
  <si>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</si>
  <si>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</si>
  <si>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</si>
  <si>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</si>
  <si>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</si>
  <si>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</si>
  <si>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</si>
  <si>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</si>
  <si>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</si>
  <si>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</si>
  <si>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</si>
  <si>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</si>
  <si>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</si>
  <si>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</si>
  <si>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</si>
  <si>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</si>
  <si>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</si>
  <si>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</si>
  <si>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</si>
  <si>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</si>
  <si>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</si>
  <si>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</si>
  <si>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</si>
  <si>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</si>
  <si>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</si>
  <si>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</si>
  <si>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</si>
  <si>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</si>
  <si>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</si>
  <si>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</si>
  <si>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</si>
  <si>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</si>
  <si>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</si>
  <si>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</si>
  <si>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</si>
  <si>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</si>
  <si>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</si>
  <si>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</si>
  <si>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</si>
  <si>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</si>
  <si>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</si>
  <si>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</si>
  <si>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</si>
  <si>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</si>
  <si>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</si>
  <si>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</si>
  <si>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</si>
  <si>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</si>
  <si>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</si>
  <si>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</si>
  <si>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</si>
  <si>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</si>
  <si>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</si>
  <si>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</si>
  <si>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</si>
  <si>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</si>
  <si>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</si>
  <si>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</si>
  <si>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</si>
  <si>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</si>
  <si>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</si>
  <si>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</si>
  <si>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</si>
  <si>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</si>
  <si>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</si>
  <si>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</si>
  <si>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</si>
  <si>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</si>
  <si>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</si>
  <si>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</si>
  <si>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</si>
  <si>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</si>
  <si>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</si>
  <si>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</si>
  <si>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</si>
  <si>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</si>
  <si>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</si>
  <si>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</si>
  <si>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</si>
  <si>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</si>
  <si>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</si>
  <si>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</si>
  <si>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</si>
  <si>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</si>
  <si>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</si>
  <si>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</si>
  <si>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</si>
  <si>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</si>
  <si>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</si>
  <si>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</si>
  <si>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</si>
  <si>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</si>
  <si>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</si>
  <si>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</si>
  <si>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</si>
  <si>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</si>
  <si>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</si>
  <si>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</si>
  <si>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</si>
  <si>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</si>
  <si>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</si>
  <si>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</si>
  <si>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</si>
  <si>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</si>
  <si>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</si>
  <si>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</si>
  <si>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</si>
  <si>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</si>
  <si>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</si>
  <si>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</si>
  <si>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</si>
  <si>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</si>
  <si>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</si>
  <si>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</si>
  <si>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</si>
  <si>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</si>
  <si>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</si>
  <si>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</si>
  <si>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</si>
  <si>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</si>
  <si>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</si>
  <si>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</si>
  <si>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</si>
  <si>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</si>
  <si>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</si>
  <si>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</si>
  <si>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</si>
  <si>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</si>
  <si>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</si>
  <si>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</si>
  <si>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</si>
  <si>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</si>
  <si>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</si>
  <si>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</si>
  <si>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</si>
  <si>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</si>
  <si>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</si>
  <si>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</si>
  <si>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</si>
  <si>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</si>
  <si>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</si>
  <si>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</si>
  <si>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</si>
  <si>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</si>
  <si>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</si>
  <si>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</si>
  <si>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</si>
  <si>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</si>
  <si>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</si>
  <si>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</si>
  <si>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</si>
  <si>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</si>
  <si>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</si>
  <si>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</si>
  <si>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</si>
  <si>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</si>
  <si>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</si>
  <si>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</si>
  <si>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</si>
  <si>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</si>
  <si>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</si>
  <si>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</si>
  <si>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</si>
  <si>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</si>
  <si>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</si>
  <si>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</si>
  <si>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</si>
  <si>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</si>
  <si>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</si>
  <si>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</si>
  <si>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</si>
  <si>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</si>
  <si>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</si>
  <si>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</si>
  <si>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</si>
  <si>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</si>
  <si>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</si>
  <si>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</si>
  <si>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</si>
  <si>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</si>
  <si>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</si>
  <si>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</si>
  <si>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</si>
  <si>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</si>
  <si>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</si>
  <si>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</si>
  <si>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</si>
  <si>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</si>
  <si>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</si>
  <si>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</si>
  <si>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</si>
  <si>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</si>
  <si>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</si>
  <si>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</si>
  <si>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</si>
  <si>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</si>
  <si>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</si>
  <si>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</si>
  <si>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</si>
  <si>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</si>
  <si>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</si>
  <si>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</si>
  <si>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</si>
  <si>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</si>
  <si>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</si>
  <si>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</si>
  <si>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</si>
  <si>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</si>
  <si>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</si>
  <si>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</si>
  <si>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</si>
  <si>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</si>
  <si>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</si>
  <si>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</si>
  <si>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</si>
  <si>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</si>
  <si>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</si>
  <si>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</si>
  <si>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</si>
  <si>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</si>
  <si>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</si>
  <si>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</si>
  <si>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</si>
  <si>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</si>
  <si>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</si>
  <si>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</si>
  <si>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</si>
  <si>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</si>
  <si>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</si>
  <si>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</si>
  <si>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</si>
  <si>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</si>
  <si>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</si>
  <si>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</si>
  <si>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</si>
  <si>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</si>
  <si>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</si>
  <si>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</si>
  <si>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</si>
  <si>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</si>
  <si>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</si>
  <si>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Excise</t>
  </si>
  <si>
    <t>February 2023 CBO Customs</t>
  </si>
  <si>
    <t>February 2023 Federal government consumption expenditures</t>
  </si>
  <si>
    <t>February 2023 state and local government consumption expenditures</t>
  </si>
  <si>
    <t>February 2023 State and local government consumption expenditures</t>
  </si>
  <si>
    <t>Add factor for corporate income tax</t>
  </si>
  <si>
    <t>NOT USED (DOES NOT INCLUDE PAYMENT DELAYS)</t>
  </si>
  <si>
    <t>Personal income add factor</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</si>
  <si>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</si>
  <si>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</si>
  <si>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</si>
  <si>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</si>
  <si>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</si>
  <si>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</si>
  <si>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</si>
  <si>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</si>
  <si>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</si>
  <si>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</si>
  <si>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</si>
  <si>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</si>
  <si>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</si>
  <si>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</si>
  <si>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</si>
  <si>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</si>
  <si>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</si>
  <si>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</si>
  <si>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</si>
  <si>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</si>
  <si>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</si>
  <si>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</si>
  <si>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</si>
  <si>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</si>
  <si>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</si>
  <si>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</si>
  <si>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</si>
  <si>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</si>
  <si>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</si>
  <si>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</si>
  <si>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</si>
  <si>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</si>
  <si>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</si>
  <si>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</si>
  <si>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</si>
  <si>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</si>
  <si>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</si>
  <si>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</si>
  <si>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</si>
  <si>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</si>
  <si>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</si>
  <si>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</si>
  <si>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</si>
  <si>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</si>
  <si>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</si>
  <si>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</si>
  <si>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</si>
  <si>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</si>
  <si>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</si>
  <si>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</si>
  <si>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</si>
  <si>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</si>
  <si>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</si>
  <si>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</si>
  <si>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</si>
  <si>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</si>
  <si>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</si>
  <si>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</si>
  <si>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</si>
  <si>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</si>
  <si>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</si>
  <si>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</si>
  <si>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</si>
  <si>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</si>
  <si>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</si>
  <si>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</si>
  <si>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</si>
  <si>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</si>
  <si>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</si>
  <si>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</si>
  <si>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</si>
  <si>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</si>
  <si>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</si>
  <si>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</si>
  <si>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</si>
  <si>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</si>
  <si>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</si>
  <si>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</si>
  <si>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</si>
  <si>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</si>
  <si>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</si>
  <si>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NA</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</si>
  <si>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</si>
  <si>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</si>
  <si>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</si>
  <si>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</si>
  <si>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</si>
  <si>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</si>
  <si>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</si>
  <si>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May 2023 CBO Projection of Federal Medicaid Outlays</t>
  </si>
  <si>
    <t>May 2023 CBO Annual Medicare Spending</t>
  </si>
  <si>
    <t xml:space="preserve"> 2023 Individual Income</t>
  </si>
  <si>
    <t>May 2023 CBO Projections of Federal Taxes (Fiscal Years)</t>
  </si>
  <si>
    <t>May 2023 Payroll</t>
  </si>
  <si>
    <t>May 2023 Corporate Taxes</t>
  </si>
  <si>
    <t>July 2023 CBO Projection of Federal Purchases</t>
  </si>
  <si>
    <t>July 2023 CBO Federal Purchases Growth</t>
  </si>
  <si>
    <t>July 2023 CBO Unemployment Rate Projection</t>
  </si>
  <si>
    <t>July 2023 CBO Projection of State and Local purchases</t>
  </si>
  <si>
    <t>July 2023 Taxable Personal Income</t>
  </si>
  <si>
    <t>July 2023 Wages and Salaries</t>
  </si>
  <si>
    <t>July 2023 Personal Consumption</t>
  </si>
  <si>
    <t>July 2023 Corporate Profits with IVA and CCAdj</t>
  </si>
  <si>
    <t>July 2023 Nonwage Income</t>
  </si>
  <si>
    <t>July 2023 Corporate Profits</t>
  </si>
  <si>
    <t>July 2023 CBO economic release</t>
  </si>
  <si>
    <t>July 2023 Personal Consumption Expenditures</t>
  </si>
  <si>
    <t>July 2023 Personal consumption expenditures</t>
  </si>
  <si>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</si>
  <si>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</si>
  <si>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</si>
  <si>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</si>
  <si>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</si>
  <si>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</si>
  <si>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</si>
  <si>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</si>
  <si>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</si>
  <si>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</si>
  <si>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</si>
  <si>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</si>
  <si>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</si>
  <si>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</si>
  <si>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</si>
  <si>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</si>
  <si>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Supply side effects of CHIPS/IRA</t>
  </si>
  <si>
    <t>Put it in tax category as lower taxes (higher FIM)</t>
  </si>
  <si>
    <t>Assume75% of increase over 2019 levels is due to legislation</t>
  </si>
  <si>
    <t xml:space="preserve">USE GS estimates (read from chart) </t>
  </si>
  <si>
    <t>https://publishing.gs.com/content/research/en/reports/2023/08/18/f5dffb24-0fd6-48a4-8b5b-724c33d4268b.html</t>
  </si>
  <si>
    <t>Add on for equipment using Goldman Sachs estimate - assume delay is 3 quarters</t>
  </si>
  <si>
    <t>Assume levels off after Q2 of 2025</t>
  </si>
  <si>
    <t>Quarterly Real Tax Change</t>
  </si>
  <si>
    <t>PCE Deflator</t>
  </si>
  <si>
    <t>Nominal Corporate Tax Change</t>
  </si>
  <si>
    <t>READ OFF GS Chart (Exhibit 1)</t>
  </si>
  <si>
    <t>Monthly Real 2022</t>
  </si>
  <si>
    <t xml:space="preserve">Use deflator from below </t>
  </si>
  <si>
    <t>Quarterly</t>
  </si>
  <si>
    <t>Reading from GS chart</t>
  </si>
  <si>
    <t>Incremental in 2022 dollars</t>
  </si>
  <si>
    <t>Real</t>
  </si>
  <si>
    <t>Use PCE Deflator to make nominal</t>
  </si>
  <si>
    <t>Federal Reserve Bank of St. Louis</t>
  </si>
  <si>
    <t>C307RX1Q020SBEA</t>
  </si>
  <si>
    <t>Real private fixed investment: Nonresidential: Structures: Manufacturing, Billions of Chained 2012 Dollars, Quarterly, Seasonally Adjusted Annual Rate</t>
  </si>
  <si>
    <t>Private fixed investment: Nonresidential: Structures: Manufacturing, Billions of Dollars, Quarterly, Seasonally Adjusted Annual Rate</t>
  </si>
  <si>
    <t>Frequency: Quarterly</t>
  </si>
  <si>
    <t>observation_date</t>
  </si>
  <si>
    <t>C307RC1Q027SBEA</t>
  </si>
  <si>
    <t>Deflator</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</si>
  <si>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</si>
  <si>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</si>
  <si>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</si>
  <si>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</si>
  <si>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</si>
  <si>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</si>
  <si>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</si>
  <si>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</si>
  <si>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</si>
  <si>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</si>
  <si>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</si>
  <si>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</si>
  <si>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</si>
  <si>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</si>
  <si>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</si>
  <si>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</si>
  <si>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</si>
  <si>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</si>
  <si>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</si>
  <si>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</si>
  <si>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</si>
  <si>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</si>
  <si>
    <r>
      <t xml:space="preserve">Methodology: </t>
    </r>
    <r>
      <rPr>
        <sz val="11"/>
        <color theme="1"/>
        <rFont val="Arial"/>
        <family val="2"/>
      </rPr>
      <t xml:space="preserve">																						
												</t>
    </r>
    <r>
      <rPr>
        <b/>
        <sz val="11"/>
        <color theme="1"/>
        <rFont val="Arial"/>
        <family val="2"/>
      </rPr>
      <t xml:space="preserve">											
																							</t>
    </r>
  </si>
  <si>
    <t>Data (Billions)</t>
  </si>
  <si>
    <t>Supply Side IRA Override</t>
  </si>
  <si>
    <t>supply_side_ira_override</t>
  </si>
  <si>
    <t>supply_side_ira</t>
  </si>
  <si>
    <t>Equipment</t>
  </si>
  <si>
    <t>Smoothed Total</t>
  </si>
  <si>
    <t>March</t>
  </si>
  <si>
    <t>40% from leg</t>
  </si>
  <si>
    <t>Federal Student Loans Override</t>
  </si>
  <si>
    <t>federal_student_loans_override</t>
  </si>
  <si>
    <t>revised down 25</t>
  </si>
  <si>
    <t>Personal add factor</t>
  </si>
  <si>
    <t>Individual income growth rate Hutchins Center adjustment</t>
  </si>
  <si>
    <t>July 2023 CBO Tax Base Quarterly Projections</t>
  </si>
  <si>
    <t>Federal + State Non-Corporate</t>
  </si>
  <si>
    <r>
      <t>Aug.</t>
    </r>
    <r>
      <rPr>
        <vertAlign val="superscript"/>
        <sz val="11"/>
        <rFont val="Calibri"/>
        <family val="2"/>
      </rPr>
      <t xml:space="preserve"> r</t>
    </r>
    <r>
      <rPr>
        <sz val="11"/>
        <rFont val="Calibri"/>
        <family val="2"/>
      </rPr>
      <t/>
    </r>
  </si>
  <si>
    <t>what we thought it would be</t>
  </si>
  <si>
    <t>what it actually was</t>
  </si>
  <si>
    <t>Our forecast for Q4</t>
  </si>
  <si>
    <t>July 2023 CBO State and Local Purchases Growth</t>
  </si>
  <si>
    <t>Actual/Judgmental Growth Rate</t>
  </si>
  <si>
    <r>
      <t>April</t>
    </r>
    <r>
      <rPr>
        <vertAlign val="superscript"/>
        <sz val="11"/>
        <rFont val="Calibri"/>
        <family val="2"/>
      </rPr>
      <t xml:space="preserve"> r</t>
    </r>
    <r>
      <rPr>
        <sz val="11"/>
        <rFont val="Calibri"/>
        <family val="2"/>
      </rPr>
      <t/>
    </r>
  </si>
  <si>
    <r>
      <t>May</t>
    </r>
    <r>
      <rPr>
        <vertAlign val="superscript"/>
        <sz val="11"/>
        <rFont val="Calibri"/>
        <family val="2"/>
      </rPr>
      <t xml:space="preserve"> r</t>
    </r>
    <r>
      <rPr>
        <sz val="11"/>
        <rFont val="Calibri"/>
        <family val="2"/>
      </rPr>
      <t/>
    </r>
  </si>
  <si>
    <r>
      <t>June</t>
    </r>
    <r>
      <rPr>
        <vertAlign val="superscript"/>
        <sz val="11"/>
        <rFont val="Calibri"/>
        <family val="2"/>
      </rPr>
      <t xml:space="preserve"> r</t>
    </r>
    <r>
      <rPr>
        <sz val="11"/>
        <rFont val="Calibri"/>
        <family val="2"/>
      </rPr>
      <t/>
    </r>
  </si>
  <si>
    <r>
      <t>Sept.</t>
    </r>
    <r>
      <rPr>
        <vertAlign val="superscript"/>
        <sz val="11"/>
        <rFont val="Calibri"/>
        <family val="2"/>
      </rPr>
      <t xml:space="preserve"> r</t>
    </r>
    <r>
      <rPr>
        <sz val="11"/>
        <rFont val="Calibri"/>
        <family val="2"/>
      </rPr>
      <t/>
    </r>
  </si>
  <si>
    <r>
      <t>Oct.</t>
    </r>
    <r>
      <rPr>
        <vertAlign val="superscript"/>
        <sz val="11"/>
        <rFont val="Calibri"/>
        <family val="2"/>
      </rPr>
      <t xml:space="preserve"> p</t>
    </r>
    <r>
      <rPr>
        <sz val="11"/>
        <rFont val="Calibri"/>
        <family val="2"/>
      </rPr>
      <t/>
    </r>
  </si>
  <si>
    <t>Deflators (annualized)</t>
  </si>
  <si>
    <t>these are measured as percentage point diffs</t>
  </si>
  <si>
    <t>state local</t>
  </si>
  <si>
    <t>No</t>
  </si>
  <si>
    <t xml:space="preserve">No </t>
  </si>
  <si>
    <t>2023 Q3 update (November 2023)</t>
  </si>
  <si>
    <t>2023 Q3 second revision (December 2023)</t>
  </si>
  <si>
    <r>
      <t>Nov.</t>
    </r>
    <r>
      <rPr>
        <vertAlign val="superscript"/>
        <sz val="11"/>
        <rFont val="Calibri"/>
        <family val="2"/>
      </rPr>
      <t xml:space="preserve"> p</t>
    </r>
    <r>
      <rPr>
        <sz val="11"/>
        <rFont val="Calibri"/>
        <family val="2"/>
      </rPr>
      <t/>
    </r>
  </si>
  <si>
    <t>2023 Q4 first revision</t>
  </si>
  <si>
    <t>2023 Q4 quarterly update</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</si>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</sst>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
    <numFmt numFmtId="174" formatCode="0.0000000000000"/>
    <numFmt numFmtId="175" formatCode="0_);\(0\)"/>
    <numFmt numFmtId="176" formatCode="0.00_);\(0.00\)"/>
    <numFmt numFmtId="177" formatCode="0.0000%"/>
    <numFmt numFmtId="178" formatCode="[$-409]mmm\-yy;@"/>
  </numFmts>
  <fonts count="69" x14ac:knownFonts="1">
    <font>
      <sz val="11"/>
      <color theme="1"/>
      <name val="Calibri"/>
      <family val="2"/>
      <scheme val="minor"/>
    </font>
    <font>
      <sz val="11"/>
      <color theme="1"/>
      <name val="Calibri"/>
      <family val="2"/>
    </font>
    <font>
      <b/>
      <sz val="11"/>
      <color theme="1"/>
      <name val="Calibri"/>
      <family val="2"/>
    </font>
    <font>
      <i/>
      <sz val="11"/>
      <color theme="1"/>
      <name val="Calibri"/>
      <family val="2"/>
    </font>
    <font>
      <sz val="11"/>
      <color theme="1"/>
      <name val="Arial"/>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sz val="11"/>
      <color theme="1"/>
      <name val="Calibri"/>
    </font>
    <font>
      <b/>
      <sz val="16"/>
      <color theme="1"/>
      <name val="Calibri"/>
      <family val="2"/>
    </font>
    <font>
      <u/>
      <sz val="11"/>
      <color theme="10"/>
      <name val="Calibri"/>
      <family val="2"/>
    </font>
    <font>
      <b/>
      <sz val="14"/>
      <color theme="1"/>
      <name val="Calibri"/>
      <family val="2"/>
    </font>
    <font>
      <sz val="11"/>
      <color indexed="8"/>
      <name val="Calibri"/>
      <family val="2"/>
    </font>
    <font>
      <sz val="13"/>
      <color theme="1"/>
      <name val="Calibri"/>
      <family val="2"/>
    </font>
    <font>
      <b/>
      <i/>
      <sz val="15"/>
      <color theme="1"/>
      <name val="Calibri"/>
      <family val="2"/>
    </font>
    <font>
      <b/>
      <sz val="11"/>
      <color indexed="9"/>
      <name val="Calibri"/>
      <family val="2"/>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sz val="11"/>
      <color rgb="FF0070C0"/>
      <name val="Arial"/>
      <family val="2"/>
    </font>
    <font>
      <sz val="11"/>
      <color theme="8" tint="-0.249977111117893"/>
      <name val="Arial"/>
      <family val="2"/>
    </font>
    <font>
      <b/>
      <sz val="11"/>
      <color rgb="FF000000"/>
      <name val="Arial"/>
      <family val="2"/>
    </font>
    <font>
      <b/>
      <sz val="11"/>
      <color theme="0"/>
      <name val="Arial"/>
      <family val="2"/>
    </font>
    <font>
      <i/>
      <sz val="11"/>
      <color rgb="FF000000"/>
      <name val="Arial"/>
      <family val="2"/>
    </font>
    <font>
      <sz val="11"/>
      <color rgb="FF242424"/>
      <name val="Arial"/>
      <family val="2"/>
    </font>
    <font>
      <sz val="10"/>
      <color theme="1"/>
      <name val="Arial"/>
      <family val="2"/>
    </font>
    <font>
      <i/>
      <sz val="10"/>
      <color theme="1"/>
      <name val="Arial"/>
      <family val="2"/>
    </font>
    <font>
      <sz val="10"/>
      <color theme="1"/>
      <name val="Calibri"/>
      <family val="2"/>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1"/>
      <color rgb="FF980000"/>
      <name val="Calibri"/>
      <family val="2"/>
    </font>
    <font>
      <b/>
      <sz val="11"/>
      <color theme="1"/>
      <name val="Calibri"/>
    </font>
    <font>
      <vertAlign val="superscript"/>
      <sz val="11"/>
      <color theme="1"/>
      <name val="Calibri"/>
      <family val="2"/>
      <scheme val="minor"/>
    </font>
    <font>
      <vertAlign val="superscript"/>
      <sz val="11"/>
      <name val="Arial"/>
      <family val="2"/>
    </font>
    <font>
      <b/>
      <sz val="11"/>
      <color theme="1"/>
      <name val="Calibri"/>
      <family val="2"/>
      <scheme val="minor"/>
    </font>
    <font>
      <b/>
      <sz val="11"/>
      <name val="Calibri"/>
      <family val="2"/>
      <scheme val="minor"/>
    </font>
    <font>
      <sz val="11"/>
      <name val="Calibri"/>
      <family val="2"/>
      <scheme val="minor"/>
    </font>
    <font>
      <u/>
      <sz val="11"/>
      <color theme="10"/>
      <name val="Calibri"/>
      <family val="2"/>
      <scheme val="minor"/>
    </font>
    <font>
      <vertAlign val="superscript"/>
      <sz val="11"/>
      <name val="Calibri"/>
      <family val="2"/>
    </font>
    <font>
      <sz val="11"/>
      <name val="Calibri"/>
      <family val="2"/>
    </font>
    <font>
      <sz val="8.5"/>
      <name val="Arial"/>
      <family val="2"/>
    </font>
  </fonts>
  <fills count="45">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rgb="FFFF000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rgb="FF00B0F0"/>
        <bgColor indexed="64"/>
      </patternFill>
    </fill>
    <fill>
      <patternFill patternType="solid">
        <fgColor theme="5"/>
        <bgColor indexed="64"/>
      </patternFill>
    </fill>
    <fill>
      <patternFill patternType="solid">
        <fgColor rgb="FFFDFDCB"/>
        <bgColor rgb="FF000000"/>
      </patternFill>
    </fill>
    <fill>
      <patternFill patternType="solid">
        <fgColor theme="8" tint="0.39997558519241921"/>
        <bgColor indexed="64"/>
      </patternFill>
    </fill>
    <fill>
      <patternFill patternType="solid">
        <fgColor rgb="FFFDFDCB"/>
        <bgColor indexed="64"/>
      </patternFill>
    </fill>
    <fill>
      <patternFill patternType="solid">
        <fgColor rgb="FFB0C4FE"/>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53">
    <border>
      <left/>
      <right/>
      <top/>
      <bottom/>
      <diagonal/>
    </border>
    <border>
      <left style="thin">
        <color indexed="64"/>
      </left>
      <right/>
      <top/>
      <bottom/>
      <diagonal/>
    </border>
    <border>
      <left style="thin">
        <color indexed="64"/>
      </left>
      <right/>
      <top style="thin">
        <color indexed="64"/>
      </top>
      <bottom/>
      <diagonal/>
    </border>
    <border>
      <left/>
      <right/>
      <top/>
      <bottom style="thin">
        <color indexed="64"/>
      </bottom>
      <diagonal/>
    </border>
    <border>
      <left/>
      <right style="thin">
        <color indexed="64"/>
      </right>
      <top/>
      <bottom/>
      <diagonal/>
    </border>
    <border>
      <left/>
      <right/>
      <top style="thin">
        <color auto="1"/>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indexed="64"/>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indexed="64"/>
      </bottom>
      <diagonal/>
    </border>
    <border>
      <left/>
      <right style="hair">
        <color auto="1"/>
      </right>
      <top/>
      <bottom style="hair">
        <color auto="1"/>
      </bottom>
      <diagonal/>
    </border>
    <border>
      <left/>
      <right/>
      <top/>
      <bottom style="medium">
        <color theme="0" tint="-0.499984740745262"/>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64"/>
      </right>
      <top style="thin">
        <color theme="0" tint="-0.14999847407452621"/>
      </top>
      <bottom style="thin">
        <color theme="0" tint="-0.14999847407452621"/>
      </bottom>
      <diagonal/>
    </border>
    <border>
      <left style="thin">
        <color indexed="9"/>
      </left>
      <right style="thin">
        <color indexed="9"/>
      </right>
      <top style="thin">
        <color indexed="9"/>
      </top>
      <bottom style="thin">
        <color indexed="9"/>
      </bottom>
      <diagonal/>
    </border>
    <border>
      <left/>
      <right/>
      <top style="thin">
        <color indexed="64"/>
      </top>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top style="hair">
        <color indexed="64"/>
      </top>
      <bottom/>
      <diagonal/>
    </border>
    <border>
      <left style="thin">
        <color indexed="64"/>
      </left>
      <right/>
      <top/>
      <bottom style="hair">
        <color indexed="64"/>
      </bottom>
      <diagonal/>
    </border>
    <border>
      <left style="thick">
        <color theme="9"/>
      </left>
      <right style="thick">
        <color theme="9"/>
      </right>
      <top style="thick">
        <color theme="9"/>
      </top>
      <bottom style="thick">
        <color theme="9"/>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1">
    <xf numFmtId="0" fontId="0" fillId="0" borderId="0"/>
  </cellStyleXfs>
  <cellXfs count="1455">
    <xf numFmtId="0" fontId="0" fillId="0" borderId="0" xfId="0"/>
    <xf numFmtId="0" fontId="1" fillId="2" borderId="1" xfId="0" applyFont="1" applyFill="1" applyBorder="1" applyAlignment="1">
      <alignment vertical="top" wrapText="1"/>
    </xf>
    <xf numFmtId="0" fontId="2" fillId="2" borderId="2" xfId="0" applyFont="1" applyFill="1" applyBorder="1" applyAlignment="1">
      <alignment vertical="top"/>
    </xf>
    <xf numFmtId="0" fontId="2" fillId="2" borderId="1" xfId="0" applyFont="1" applyFill="1" applyBorder="1" applyAlignment="1">
      <alignment vertical="top"/>
    </xf>
    <xf numFmtId="0" fontId="1" fillId="2" borderId="3"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0" fontId="1" fillId="2" borderId="7" xfId="0" applyFont="1" applyFill="1" applyBorder="1" applyAlignment="1">
      <alignment vertical="top"/>
    </xf>
    <xf numFmtId="0" fontId="1" fillId="2" borderId="1"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7" xfId="0" applyFont="1" applyBorder="1" applyAlignment="1">
      <alignment wrapText="1"/>
    </xf>
    <xf numFmtId="0" fontId="1" fillId="0" borderId="3"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3"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2" xfId="0" applyFont="1" applyBorder="1" applyAlignment="1">
      <alignment wrapText="1"/>
    </xf>
    <xf numFmtId="0" fontId="1" fillId="0" borderId="5" xfId="0" applyFont="1" applyBorder="1" applyAlignment="1">
      <alignment wrapText="1"/>
    </xf>
    <xf numFmtId="0" fontId="1" fillId="0" borderId="3" xfId="0" applyFont="1" applyBorder="1" applyAlignment="1">
      <alignment vertical="center"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6"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64" fontId="1" fillId="0" borderId="0" xfId="0" applyNumberFormat="1" applyFont="1" applyAlignment="1">
      <alignment horizontal="center"/>
    </xf>
    <xf numFmtId="164" fontId="13" fillId="0" borderId="0" xfId="0" applyNumberFormat="1" applyFont="1"/>
    <xf numFmtId="167" fontId="1" fillId="0" borderId="0" xfId="0" applyNumberFormat="1" applyFont="1" applyAlignment="1">
      <alignment horizontal="center"/>
    </xf>
    <xf numFmtId="10" fontId="1" fillId="0" borderId="0" xfId="0" applyNumberFormat="1" applyFont="1"/>
    <xf numFmtId="1" fontId="13" fillId="0" borderId="0" xfId="0" applyNumberFormat="1" applyFont="1"/>
    <xf numFmtId="1" fontId="1" fillId="0" borderId="0" xfId="0" applyNumberFormat="1" applyFont="1" applyAlignment="1">
      <alignment horizontal="center"/>
    </xf>
    <xf numFmtId="167" fontId="1" fillId="0" borderId="0" xfId="0" applyNumberFormat="1" applyFont="1"/>
    <xf numFmtId="0" fontId="2" fillId="0" borderId="0" xfId="0" applyFont="1"/>
    <xf numFmtId="1" fontId="1" fillId="7" borderId="0" xfId="0" applyNumberFormat="1" applyFont="1" applyFill="1" applyAlignment="1">
      <alignment horizontal="center"/>
    </xf>
    <xf numFmtId="10" fontId="1" fillId="0" borderId="1" xfId="0" applyNumberFormat="1" applyFont="1" applyBorder="1"/>
    <xf numFmtId="0" fontId="2" fillId="8" borderId="0" xfId="0" applyFont="1" applyFill="1" applyAlignment="1">
      <alignment horizontal="center"/>
    </xf>
    <xf numFmtId="168" fontId="1" fillId="0" borderId="0" xfId="0" applyNumberFormat="1" applyFont="1" applyAlignment="1">
      <alignment horizontal="left" indent="1"/>
    </xf>
    <xf numFmtId="168" fontId="1" fillId="0" borderId="15" xfId="0" applyNumberFormat="1" applyFont="1" applyBorder="1" applyAlignment="1">
      <alignment horizontal="center"/>
    </xf>
    <xf numFmtId="165" fontId="2" fillId="0" borderId="16" xfId="0" applyNumberFormat="1" applyFont="1" applyBorder="1" applyAlignment="1">
      <alignment horizontal="right"/>
    </xf>
    <xf numFmtId="165" fontId="2" fillId="0" borderId="17" xfId="0" applyNumberFormat="1" applyFont="1" applyBorder="1" applyAlignment="1">
      <alignment horizontal="right"/>
    </xf>
    <xf numFmtId="165" fontId="2" fillId="0" borderId="18" xfId="0" applyNumberFormat="1" applyFont="1" applyBorder="1" applyAlignment="1">
      <alignment horizontal="right"/>
    </xf>
    <xf numFmtId="165" fontId="2" fillId="0" borderId="19" xfId="0" applyNumberFormat="1" applyFont="1" applyBorder="1" applyAlignment="1">
      <alignment horizontal="right"/>
    </xf>
    <xf numFmtId="165" fontId="2" fillId="0" borderId="0" xfId="0" applyNumberFormat="1" applyFont="1" applyAlignment="1">
      <alignment horizontal="right"/>
    </xf>
    <xf numFmtId="165" fontId="2" fillId="0" borderId="20" xfId="0" applyNumberFormat="1" applyFont="1" applyBorder="1" applyAlignment="1">
      <alignment horizontal="right"/>
    </xf>
    <xf numFmtId="165" fontId="1" fillId="0" borderId="19" xfId="0" applyNumberFormat="1" applyFont="1" applyBorder="1" applyAlignment="1">
      <alignment horizontal="right"/>
    </xf>
    <xf numFmtId="165" fontId="1" fillId="0" borderId="0" xfId="0" applyNumberFormat="1" applyFont="1" applyAlignment="1">
      <alignment horizontal="right"/>
    </xf>
    <xf numFmtId="165" fontId="1" fillId="0" borderId="20" xfId="0" applyNumberFormat="1" applyFont="1" applyBorder="1" applyAlignment="1">
      <alignment horizontal="right"/>
    </xf>
    <xf numFmtId="3" fontId="1" fillId="0" borderId="19" xfId="0" applyNumberFormat="1" applyFont="1" applyBorder="1" applyAlignment="1">
      <alignment horizontal="right"/>
    </xf>
    <xf numFmtId="3" fontId="1" fillId="0" borderId="0" xfId="0" applyNumberFormat="1" applyFont="1" applyAlignment="1">
      <alignment horizontal="right"/>
    </xf>
    <xf numFmtId="3" fontId="1" fillId="0" borderId="20" xfId="0" applyNumberFormat="1" applyFont="1" applyBorder="1" applyAlignment="1">
      <alignment horizontal="right"/>
    </xf>
    <xf numFmtId="3" fontId="1" fillId="0" borderId="21" xfId="0" applyNumberFormat="1" applyFont="1" applyBorder="1" applyAlignment="1">
      <alignment horizontal="right"/>
    </xf>
    <xf numFmtId="3" fontId="1" fillId="0" borderId="22" xfId="0" applyNumberFormat="1" applyFont="1" applyBorder="1" applyAlignment="1">
      <alignment horizontal="right"/>
    </xf>
    <xf numFmtId="3" fontId="1" fillId="0" borderId="23" xfId="0" applyNumberFormat="1" applyFont="1" applyBorder="1" applyAlignment="1">
      <alignment horizontal="right"/>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 fillId="0" borderId="0" xfId="0" applyFont="1" applyAlignment="1">
      <alignment horizontal="left" indent="1"/>
    </xf>
    <xf numFmtId="168" fontId="14" fillId="0" borderId="0" xfId="0" applyNumberFormat="1" applyFont="1" applyAlignment="1">
      <alignment horizontal="center"/>
    </xf>
    <xf numFmtId="0" fontId="2" fillId="0" borderId="0" xfId="0" applyFont="1" applyAlignment="1">
      <alignment horizontal="center"/>
    </xf>
    <xf numFmtId="2" fontId="13" fillId="0" borderId="0" xfId="0" applyNumberFormat="1" applyFont="1"/>
    <xf numFmtId="1" fontId="1" fillId="9" borderId="20" xfId="0" applyNumberFormat="1" applyFont="1" applyFill="1" applyBorder="1" applyAlignment="1">
      <alignment horizontal="center"/>
    </xf>
    <xf numFmtId="165" fontId="13" fillId="0" borderId="0" xfId="0" applyNumberFormat="1" applyFont="1"/>
    <xf numFmtId="0" fontId="1" fillId="9" borderId="0" xfId="0" applyFont="1" applyFill="1" applyAlignment="1">
      <alignment horizontal="left" indent="3"/>
    </xf>
    <xf numFmtId="165" fontId="1" fillId="9" borderId="19" xfId="0" applyNumberFormat="1" applyFont="1" applyFill="1" applyBorder="1" applyAlignment="1">
      <alignment horizontal="right"/>
    </xf>
    <xf numFmtId="165" fontId="1" fillId="9" borderId="0" xfId="0" applyNumberFormat="1" applyFont="1" applyFill="1" applyAlignment="1">
      <alignment horizontal="right"/>
    </xf>
    <xf numFmtId="2" fontId="1" fillId="9" borderId="4" xfId="0" applyNumberFormat="1" applyFont="1" applyFill="1" applyBorder="1"/>
    <xf numFmtId="168" fontId="1" fillId="0" borderId="26" xfId="0" applyNumberFormat="1" applyFont="1" applyBorder="1" applyAlignment="1">
      <alignment horizontal="center"/>
    </xf>
    <xf numFmtId="2" fontId="1" fillId="9" borderId="31" xfId="0" applyNumberFormat="1" applyFont="1" applyFill="1" applyBorder="1"/>
    <xf numFmtId="2" fontId="1" fillId="9" borderId="0" xfId="0" applyNumberFormat="1" applyFont="1" applyFill="1"/>
    <xf numFmtId="0" fontId="2" fillId="9" borderId="0" xfId="0" applyFont="1" applyFill="1" applyAlignment="1">
      <alignment horizontal="left" wrapText="1" indent="1"/>
    </xf>
    <xf numFmtId="165" fontId="2" fillId="9" borderId="19" xfId="0" applyNumberFormat="1" applyFont="1" applyFill="1" applyBorder="1" applyAlignment="1">
      <alignment horizontal="right"/>
    </xf>
    <xf numFmtId="165" fontId="2" fillId="9" borderId="0" xfId="0" applyNumberFormat="1" applyFont="1" applyFill="1" applyAlignment="1">
      <alignment horizontal="right"/>
    </xf>
    <xf numFmtId="0" fontId="2" fillId="9" borderId="0" xfId="0" applyFont="1" applyFill="1" applyAlignment="1">
      <alignment horizontal="left"/>
    </xf>
    <xf numFmtId="0" fontId="1" fillId="0" borderId="0" xfId="0" applyFont="1" applyAlignment="1">
      <alignment horizontal="left" vertical="center" indent="2"/>
    </xf>
    <xf numFmtId="168" fontId="1" fillId="0" borderId="19" xfId="0" applyNumberFormat="1" applyFont="1" applyBorder="1" applyAlignment="1">
      <alignment horizontal="center"/>
    </xf>
    <xf numFmtId="0" fontId="15" fillId="0" borderId="0" xfId="0" applyFont="1"/>
    <xf numFmtId="165" fontId="1" fillId="0" borderId="0" xfId="0" applyNumberFormat="1" applyFont="1"/>
    <xf numFmtId="0" fontId="2" fillId="0" borderId="0" xfId="0" applyFont="1" applyAlignment="1">
      <alignment horizontal="left" indent="1"/>
    </xf>
    <xf numFmtId="0" fontId="2"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0" fontId="1" fillId="0" borderId="0" xfId="0" applyFont="1" applyAlignment="1">
      <alignment horizontal="left" wrapText="1" indent="5"/>
    </xf>
    <xf numFmtId="0" fontId="2" fillId="0" borderId="0" xfId="0" applyFont="1" applyAlignment="1">
      <alignment horizontal="left" wrapText="1" indent="1"/>
    </xf>
    <xf numFmtId="0" fontId="1" fillId="0" borderId="0" xfId="0" applyFont="1" applyAlignment="1">
      <alignment horizontal="left" wrapText="1" indent="3"/>
    </xf>
    <xf numFmtId="1" fontId="1" fillId="0" borderId="18" xfId="0" applyNumberFormat="1" applyFont="1" applyBorder="1" applyAlignment="1">
      <alignment horizontal="center"/>
    </xf>
    <xf numFmtId="1" fontId="1" fillId="0" borderId="20" xfId="0" applyNumberFormat="1" applyFont="1" applyBorder="1" applyAlignment="1">
      <alignment horizontal="center"/>
    </xf>
    <xf numFmtId="1" fontId="1" fillId="0" borderId="20" xfId="0" applyNumberFormat="1" applyFont="1" applyBorder="1" applyAlignment="1">
      <alignment horizontal="center" vertical="top"/>
    </xf>
    <xf numFmtId="1" fontId="1" fillId="0" borderId="23"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0" fontId="17" fillId="0" borderId="0" xfId="0" applyFont="1"/>
    <xf numFmtId="0" fontId="1" fillId="10" borderId="0" xfId="0" applyFont="1" applyFill="1" applyAlignment="1">
      <alignment horizontal="center"/>
    </xf>
    <xf numFmtId="0" fontId="3" fillId="0" borderId="0" xfId="0" applyFont="1" applyAlignment="1">
      <alignment wrapText="1"/>
    </xf>
    <xf numFmtId="0" fontId="20" fillId="0" borderId="32" xfId="0" applyFont="1" applyBorder="1" applyAlignment="1">
      <alignment horizontal="center" vertical="center"/>
    </xf>
    <xf numFmtId="0" fontId="20" fillId="11" borderId="32" xfId="0" applyFont="1" applyFill="1" applyBorder="1" applyAlignment="1">
      <alignment horizontal="center" vertical="center"/>
    </xf>
    <xf numFmtId="0" fontId="1" fillId="0" borderId="0" xfId="0" applyFont="1" applyAlignment="1">
      <alignment horizontal="center"/>
    </xf>
    <xf numFmtId="0" fontId="4" fillId="10" borderId="2" xfId="0" applyFont="1" applyFill="1" applyBorder="1" applyAlignment="1">
      <alignment horizontal="center"/>
    </xf>
    <xf numFmtId="0" fontId="4" fillId="10" borderId="33" xfId="0" applyFont="1" applyFill="1" applyBorder="1" applyAlignment="1">
      <alignment horizontal="center"/>
    </xf>
    <xf numFmtId="0" fontId="4" fillId="10" borderId="0" xfId="0" applyFont="1" applyFill="1" applyAlignment="1">
      <alignment horizontal="center"/>
    </xf>
    <xf numFmtId="0" fontId="4" fillId="10" borderId="4" xfId="0" applyFont="1" applyFill="1" applyBorder="1" applyAlignment="1">
      <alignment horizontal="center"/>
    </xf>
    <xf numFmtId="0" fontId="20" fillId="0" borderId="34" xfId="0" applyFont="1" applyBorder="1" applyAlignment="1">
      <alignment horizontal="center" vertical="center"/>
    </xf>
    <xf numFmtId="0" fontId="4" fillId="12" borderId="0" xfId="0" applyFont="1" applyFill="1" applyAlignment="1">
      <alignment horizontal="center"/>
    </xf>
    <xf numFmtId="0" fontId="4" fillId="10" borderId="1" xfId="0" applyFont="1" applyFill="1" applyBorder="1" applyAlignment="1">
      <alignment horizontal="center"/>
    </xf>
    <xf numFmtId="0" fontId="20" fillId="0" borderId="35" xfId="0" applyFont="1" applyBorder="1" applyAlignment="1">
      <alignment horizontal="center" vertical="center"/>
    </xf>
    <xf numFmtId="0" fontId="3" fillId="0" borderId="0" xfId="0" applyFont="1"/>
    <xf numFmtId="0" fontId="20" fillId="0" borderId="36" xfId="0" applyFont="1" applyBorder="1" applyAlignment="1">
      <alignment horizontal="center" vertical="center"/>
    </xf>
    <xf numFmtId="0" fontId="1" fillId="0" borderId="4" xfId="0" applyFont="1" applyBorder="1"/>
    <xf numFmtId="0" fontId="1" fillId="0" borderId="7" xfId="0" applyFont="1" applyBorder="1"/>
    <xf numFmtId="0" fontId="1" fillId="0" borderId="8" xfId="0" applyFont="1" applyBorder="1"/>
    <xf numFmtId="164" fontId="1" fillId="0" borderId="0" xfId="0" applyNumberFormat="1" applyFont="1"/>
    <xf numFmtId="0" fontId="1" fillId="12" borderId="0" xfId="0" applyFont="1" applyFill="1"/>
    <xf numFmtId="9" fontId="1" fillId="9" borderId="37" xfId="0" applyNumberFormat="1" applyFont="1" applyFill="1" applyBorder="1"/>
    <xf numFmtId="167" fontId="1" fillId="0" borderId="3" xfId="0" applyNumberFormat="1" applyFont="1" applyBorder="1" applyAlignment="1">
      <alignment wrapText="1"/>
    </xf>
    <xf numFmtId="167" fontId="1" fillId="0" borderId="8" xfId="0" applyNumberFormat="1" applyFont="1" applyBorder="1" applyAlignment="1">
      <alignment wrapText="1"/>
    </xf>
    <xf numFmtId="0" fontId="1" fillId="11" borderId="9" xfId="0" applyFont="1" applyFill="1" applyBorder="1"/>
    <xf numFmtId="0" fontId="1" fillId="11" borderId="10" xfId="0" applyFont="1" applyFill="1" applyBorder="1"/>
    <xf numFmtId="0" fontId="1" fillId="11" borderId="11" xfId="0" applyFont="1" applyFill="1" applyBorder="1"/>
    <xf numFmtId="0" fontId="1" fillId="10" borderId="0" xfId="0" applyFont="1" applyFill="1"/>
    <xf numFmtId="3" fontId="1" fillId="10" borderId="0" xfId="0" applyNumberFormat="1" applyFont="1" applyFill="1"/>
    <xf numFmtId="1" fontId="1" fillId="10" borderId="0" xfId="0" applyNumberFormat="1" applyFont="1" applyFill="1"/>
    <xf numFmtId="0" fontId="13" fillId="10" borderId="0" xfId="0" applyFont="1" applyFill="1"/>
    <xf numFmtId="1" fontId="1" fillId="0" borderId="0" xfId="0" applyNumberFormat="1" applyFont="1"/>
    <xf numFmtId="0" fontId="12" fillId="0" borderId="0" xfId="0" applyFont="1" applyAlignment="1">
      <alignment horizontal="center"/>
    </xf>
    <xf numFmtId="3" fontId="1" fillId="0" borderId="0" xfId="0" applyNumberFormat="1" applyFont="1"/>
    <xf numFmtId="167" fontId="1" fillId="10" borderId="0" xfId="0" applyNumberFormat="1" applyFont="1" applyFill="1" applyAlignment="1">
      <alignment horizontal="center"/>
    </xf>
    <xf numFmtId="0" fontId="22" fillId="0" borderId="0" xfId="0" applyFont="1"/>
    <xf numFmtId="0" fontId="21" fillId="0" borderId="0" xfId="0" applyFont="1" applyAlignment="1">
      <alignment horizontal="left" indent="1"/>
    </xf>
    <xf numFmtId="0" fontId="21" fillId="0" borderId="0" xfId="0" applyFont="1" applyAlignment="1">
      <alignment horizontal="left" wrapText="1" indent="1"/>
    </xf>
    <xf numFmtId="0" fontId="21" fillId="0" borderId="0" xfId="0" applyFont="1" applyAlignment="1">
      <alignment horizontal="left" indent="2"/>
    </xf>
    <xf numFmtId="0" fontId="21" fillId="0" borderId="0" xfId="0" applyFont="1" applyAlignment="1">
      <alignment horizontal="center" wrapText="1"/>
    </xf>
    <xf numFmtId="9" fontId="21" fillId="0" borderId="0" xfId="0" applyNumberFormat="1" applyFont="1" applyAlignment="1">
      <alignment horizontal="center"/>
    </xf>
    <xf numFmtId="0" fontId="22" fillId="0" borderId="0" xfId="0" applyFont="1" applyAlignment="1">
      <alignment horizontal="center"/>
    </xf>
    <xf numFmtId="167" fontId="21"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8" borderId="33" xfId="0" applyFont="1" applyFill="1" applyBorder="1" applyAlignment="1">
      <alignment horizontal="center"/>
    </xf>
    <xf numFmtId="0" fontId="4" fillId="8" borderId="6" xfId="0" applyFont="1" applyFill="1" applyBorder="1" applyAlignment="1">
      <alignment horizontal="center"/>
    </xf>
    <xf numFmtId="0" fontId="4" fillId="10" borderId="5" xfId="0" applyFont="1" applyFill="1" applyBorder="1" applyAlignment="1">
      <alignment horizontal="center"/>
    </xf>
    <xf numFmtId="0" fontId="4" fillId="10" borderId="6" xfId="0" applyFont="1" applyFill="1" applyBorder="1" applyAlignment="1">
      <alignment horizontal="center"/>
    </xf>
    <xf numFmtId="165" fontId="4" fillId="0" borderId="0" xfId="0" applyNumberFormat="1" applyFont="1" applyAlignment="1">
      <alignment horizontal="center"/>
    </xf>
    <xf numFmtId="168" fontId="4" fillId="0" borderId="0" xfId="0" applyNumberFormat="1" applyFont="1"/>
    <xf numFmtId="165" fontId="4" fillId="0" borderId="4" xfId="0" applyNumberFormat="1" applyFont="1" applyBorder="1" applyAlignment="1">
      <alignment horizontal="center"/>
    </xf>
    <xf numFmtId="165" fontId="23" fillId="0" borderId="0" xfId="0" applyNumberFormat="1" applyFont="1" applyAlignment="1">
      <alignment horizontal="center"/>
    </xf>
    <xf numFmtId="3" fontId="23" fillId="0" borderId="0" xfId="0" applyNumberFormat="1" applyFont="1" applyAlignment="1">
      <alignment horizontal="center"/>
    </xf>
    <xf numFmtId="0" fontId="4" fillId="0" borderId="0" xfId="0" applyFont="1" applyAlignment="1">
      <alignment horizontal="center" wrapText="1"/>
    </xf>
    <xf numFmtId="3" fontId="4" fillId="0" borderId="0" xfId="0" applyNumberFormat="1" applyFont="1" applyAlignment="1">
      <alignment horizontal="center"/>
    </xf>
    <xf numFmtId="165" fontId="4" fillId="7" borderId="0" xfId="0" applyNumberFormat="1" applyFont="1" applyFill="1" applyAlignment="1">
      <alignment horizontal="center"/>
    </xf>
    <xf numFmtId="165" fontId="23" fillId="7" borderId="0" xfId="0" applyNumberFormat="1" applyFont="1" applyFill="1" applyAlignment="1">
      <alignment horizontal="center"/>
    </xf>
    <xf numFmtId="168" fontId="4" fillId="7" borderId="0" xfId="0" applyNumberFormat="1" applyFont="1" applyFill="1"/>
    <xf numFmtId="0" fontId="4" fillId="0" borderId="0" xfId="0" applyFont="1" applyAlignment="1">
      <alignment horizontal="center"/>
    </xf>
    <xf numFmtId="0" fontId="4" fillId="10" borderId="0" xfId="0" applyFont="1" applyFill="1" applyAlignment="1">
      <alignment horizontal="center" wrapText="1"/>
    </xf>
    <xf numFmtId="165" fontId="4" fillId="8" borderId="0" xfId="0" applyNumberFormat="1" applyFont="1" applyFill="1" applyAlignment="1">
      <alignment horizontal="center"/>
    </xf>
    <xf numFmtId="165" fontId="23" fillId="8" borderId="0" xfId="0" applyNumberFormat="1" applyFont="1" applyFill="1" applyAlignment="1">
      <alignment horizontal="center"/>
    </xf>
    <xf numFmtId="168" fontId="4" fillId="8" borderId="0" xfId="0" applyNumberFormat="1" applyFont="1" applyFill="1"/>
    <xf numFmtId="0" fontId="12" fillId="8" borderId="0" xfId="0" applyFont="1" applyFill="1" applyAlignment="1">
      <alignment horizontal="center"/>
    </xf>
    <xf numFmtId="0" fontId="4" fillId="10" borderId="2" xfId="0" applyFont="1" applyFill="1" applyBorder="1"/>
    <xf numFmtId="0" fontId="4" fillId="0" borderId="0" xfId="0" applyFont="1"/>
    <xf numFmtId="168" fontId="4" fillId="9" borderId="0" xfId="0" applyNumberFormat="1" applyFont="1" applyFill="1"/>
    <xf numFmtId="2" fontId="1" fillId="3" borderId="2" xfId="0" applyNumberFormat="1" applyFont="1" applyFill="1" applyBorder="1"/>
    <xf numFmtId="0" fontId="4" fillId="3" borderId="33" xfId="0" applyFont="1" applyFill="1" applyBorder="1"/>
    <xf numFmtId="0" fontId="4" fillId="3" borderId="33" xfId="0" applyFont="1" applyFill="1" applyBorder="1" applyAlignment="1">
      <alignment horizontal="center"/>
    </xf>
    <xf numFmtId="0" fontId="4" fillId="3" borderId="6"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1" xfId="0" applyFont="1" applyBorder="1" applyAlignment="1">
      <alignment horizontal="left" wrapText="1"/>
    </xf>
    <xf numFmtId="0" fontId="4" fillId="0" borderId="0" xfId="0" applyFont="1" applyAlignment="1">
      <alignment horizontal="left" wrapText="1"/>
    </xf>
    <xf numFmtId="0" fontId="4" fillId="0" borderId="2" xfId="0" applyFont="1" applyBorder="1" applyAlignment="1">
      <alignment horizontal="left"/>
    </xf>
    <xf numFmtId="0" fontId="4" fillId="8" borderId="14" xfId="0" applyFont="1" applyFill="1" applyBorder="1" applyAlignment="1">
      <alignment horizontal="center"/>
    </xf>
    <xf numFmtId="4" fontId="4" fillId="0" borderId="0" xfId="0" applyNumberFormat="1" applyFont="1" applyAlignment="1">
      <alignment horizontal="center"/>
    </xf>
    <xf numFmtId="0" fontId="4" fillId="0" borderId="2" xfId="0" applyFont="1" applyBorder="1" applyAlignment="1">
      <alignment horizontal="center"/>
    </xf>
    <xf numFmtId="0" fontId="4" fillId="0" borderId="0" xfId="0" applyFont="1" applyAlignment="1">
      <alignment horizontal="left" vertical="top"/>
    </xf>
    <xf numFmtId="0" fontId="23" fillId="0" borderId="0" xfId="0" applyFont="1" applyAlignment="1">
      <alignment horizontal="left" wrapText="1"/>
    </xf>
    <xf numFmtId="0" fontId="1" fillId="3" borderId="7" xfId="0" applyFont="1" applyFill="1" applyBorder="1"/>
    <xf numFmtId="0" fontId="4" fillId="3" borderId="3" xfId="0" applyFont="1" applyFill="1" applyBorder="1"/>
    <xf numFmtId="0" fontId="4" fillId="3" borderId="3" xfId="0" applyFont="1" applyFill="1" applyBorder="1" applyAlignment="1">
      <alignment horizontal="center"/>
    </xf>
    <xf numFmtId="0" fontId="4" fillId="3" borderId="8" xfId="0" applyFont="1" applyFill="1" applyBorder="1" applyAlignment="1">
      <alignment horizontal="center"/>
    </xf>
    <xf numFmtId="0" fontId="4" fillId="8" borderId="6" xfId="0" applyFont="1" applyFill="1" applyBorder="1"/>
    <xf numFmtId="0" fontId="4" fillId="10" borderId="0" xfId="0" applyFont="1" applyFill="1"/>
    <xf numFmtId="165" fontId="23" fillId="0" borderId="1" xfId="0" applyNumberFormat="1" applyFont="1" applyBorder="1" applyAlignment="1">
      <alignment horizontal="center"/>
    </xf>
    <xf numFmtId="0" fontId="23" fillId="0" borderId="0" xfId="0" applyFont="1"/>
    <xf numFmtId="0" fontId="4" fillId="0" borderId="1" xfId="0" applyFont="1" applyBorder="1" applyAlignment="1">
      <alignment horizontal="left" vertical="top"/>
    </xf>
    <xf numFmtId="0" fontId="4" fillId="0" borderId="0" xfId="0" applyFont="1" applyAlignment="1">
      <alignment horizontal="left" indent="1"/>
    </xf>
    <xf numFmtId="3" fontId="4" fillId="0" borderId="0" xfId="0" applyNumberFormat="1" applyFont="1" applyAlignment="1">
      <alignment horizontal="right"/>
    </xf>
    <xf numFmtId="3" fontId="4" fillId="8" borderId="3" xfId="0" applyNumberFormat="1" applyFont="1" applyFill="1" applyBorder="1" applyAlignment="1">
      <alignment horizontal="center"/>
    </xf>
    <xf numFmtId="0" fontId="23" fillId="0" borderId="1" xfId="0" applyFont="1" applyBorder="1" applyAlignment="1">
      <alignment horizontal="left" wrapText="1"/>
    </xf>
    <xf numFmtId="0" fontId="4" fillId="8" borderId="7" xfId="0" applyFont="1" applyFill="1" applyBorder="1" applyAlignment="1">
      <alignment horizontal="center"/>
    </xf>
    <xf numFmtId="0" fontId="4" fillId="8" borderId="3" xfId="0" applyFont="1" applyFill="1" applyBorder="1" applyAlignment="1">
      <alignment horizontal="center"/>
    </xf>
    <xf numFmtId="0" fontId="4" fillId="8" borderId="8" xfId="0" applyFont="1" applyFill="1" applyBorder="1" applyAlignment="1">
      <alignment horizontal="center"/>
    </xf>
    <xf numFmtId="0" fontId="4" fillId="8" borderId="12" xfId="0" applyFont="1" applyFill="1" applyBorder="1" applyAlignment="1">
      <alignment horizontal="center"/>
    </xf>
    <xf numFmtId="0" fontId="4" fillId="0" borderId="5" xfId="0" applyFont="1" applyBorder="1" applyAlignment="1">
      <alignment horizontal="left"/>
    </xf>
    <xf numFmtId="0" fontId="4" fillId="0" borderId="1" xfId="0" applyFont="1" applyBorder="1" applyAlignment="1">
      <alignment horizontal="center" wrapText="1"/>
    </xf>
    <xf numFmtId="0" fontId="4" fillId="0" borderId="1" xfId="0" applyFont="1" applyBorder="1" applyAlignment="1">
      <alignment horizontal="center"/>
    </xf>
    <xf numFmtId="14" fontId="1" fillId="0" borderId="1" xfId="0" applyNumberFormat="1" applyFont="1" applyBorder="1"/>
    <xf numFmtId="14" fontId="1" fillId="0" borderId="7" xfId="0" applyNumberFormat="1" applyFont="1" applyBorder="1"/>
    <xf numFmtId="165" fontId="4" fillId="8" borderId="5" xfId="0" applyNumberFormat="1" applyFont="1" applyFill="1" applyBorder="1" applyAlignment="1">
      <alignment horizontal="center"/>
    </xf>
    <xf numFmtId="0" fontId="2" fillId="0" borderId="0" xfId="0" applyFont="1" applyAlignment="1">
      <alignment horizontal="center" wrapText="1"/>
    </xf>
    <xf numFmtId="169" fontId="1" fillId="0" borderId="0" xfId="0" applyNumberFormat="1" applyFont="1"/>
    <xf numFmtId="0" fontId="2" fillId="3" borderId="2" xfId="0" applyFont="1" applyFill="1" applyBorder="1" applyAlignment="1">
      <alignment horizontal="center" wrapText="1"/>
    </xf>
    <xf numFmtId="0" fontId="2" fillId="3" borderId="6" xfId="0" applyFont="1" applyFill="1" applyBorder="1" applyAlignment="1">
      <alignment wrapText="1"/>
    </xf>
    <xf numFmtId="0" fontId="4" fillId="0" borderId="0" xfId="0" applyFont="1" applyAlignment="1">
      <alignment wrapText="1"/>
    </xf>
    <xf numFmtId="0" fontId="4" fillId="0" borderId="1" xfId="0" applyFont="1" applyBorder="1"/>
    <xf numFmtId="0" fontId="4" fillId="10" borderId="8" xfId="0" applyFont="1" applyFill="1" applyBorder="1" applyAlignment="1">
      <alignment horizontal="center"/>
    </xf>
    <xf numFmtId="0" fontId="4" fillId="10" borderId="7" xfId="0" applyFont="1" applyFill="1" applyBorder="1" applyAlignment="1">
      <alignment horizontal="center"/>
    </xf>
    <xf numFmtId="0" fontId="4" fillId="10" borderId="3" xfId="0" applyFont="1" applyFill="1" applyBorder="1" applyAlignment="1">
      <alignment horizontal="center"/>
    </xf>
    <xf numFmtId="0" fontId="4" fillId="0" borderId="5" xfId="0" applyFont="1" applyBorder="1" applyAlignment="1">
      <alignment horizontal="center"/>
    </xf>
    <xf numFmtId="0" fontId="4" fillId="10" borderId="33" xfId="0" applyFont="1" applyFill="1" applyBorder="1"/>
    <xf numFmtId="165" fontId="4" fillId="8" borderId="33" xfId="0" applyNumberFormat="1" applyFont="1" applyFill="1" applyBorder="1" applyAlignment="1">
      <alignment horizontal="center"/>
    </xf>
    <xf numFmtId="0" fontId="4" fillId="8" borderId="33" xfId="0" applyFont="1" applyFill="1" applyBorder="1"/>
    <xf numFmtId="0" fontId="4" fillId="8" borderId="5" xfId="0" applyFont="1" applyFill="1" applyBorder="1" applyAlignment="1">
      <alignment horizontal="center"/>
    </xf>
    <xf numFmtId="3" fontId="4" fillId="10" borderId="0" xfId="0" applyNumberFormat="1" applyFont="1" applyFill="1" applyAlignment="1">
      <alignment horizontal="center"/>
    </xf>
    <xf numFmtId="3" fontId="23" fillId="10" borderId="0" xfId="0" applyNumberFormat="1" applyFont="1" applyFill="1" applyAlignment="1">
      <alignment horizontal="center"/>
    </xf>
    <xf numFmtId="165" fontId="4" fillId="8" borderId="6" xfId="0" applyNumberFormat="1" applyFont="1" applyFill="1" applyBorder="1" applyAlignment="1">
      <alignment horizontal="center"/>
    </xf>
    <xf numFmtId="0" fontId="4" fillId="10" borderId="6" xfId="0" applyFont="1" applyFill="1" applyBorder="1"/>
    <xf numFmtId="0" fontId="4" fillId="3" borderId="0" xfId="0" applyFont="1" applyFill="1"/>
    <xf numFmtId="0" fontId="4" fillId="3" borderId="0" xfId="0" applyFont="1" applyFill="1" applyAlignment="1">
      <alignment horizontal="center"/>
    </xf>
    <xf numFmtId="165" fontId="23" fillId="8" borderId="4" xfId="0" applyNumberFormat="1" applyFont="1" applyFill="1" applyBorder="1" applyAlignment="1">
      <alignment horizontal="center"/>
    </xf>
    <xf numFmtId="3" fontId="23" fillId="10" borderId="4" xfId="0" applyNumberFormat="1" applyFont="1" applyFill="1" applyBorder="1" applyAlignment="1">
      <alignment horizontal="center"/>
    </xf>
    <xf numFmtId="0" fontId="4" fillId="10" borderId="4" xfId="0" applyFont="1" applyFill="1" applyBorder="1" applyAlignment="1">
      <alignment horizontal="center" wrapText="1"/>
    </xf>
    <xf numFmtId="165" fontId="4" fillId="8" borderId="4" xfId="0" applyNumberFormat="1" applyFont="1" applyFill="1" applyBorder="1" applyAlignment="1">
      <alignment horizontal="center"/>
    </xf>
    <xf numFmtId="3" fontId="4" fillId="10" borderId="4" xfId="0" applyNumberFormat="1" applyFont="1" applyFill="1" applyBorder="1" applyAlignment="1">
      <alignment horizontal="center"/>
    </xf>
    <xf numFmtId="0" fontId="4" fillId="0" borderId="39" xfId="0" applyFont="1" applyBorder="1"/>
    <xf numFmtId="0" fontId="4" fillId="0" borderId="40" xfId="0" applyFont="1" applyBorder="1" applyAlignment="1">
      <alignment horizontal="center"/>
    </xf>
    <xf numFmtId="0" fontId="4" fillId="0" borderId="39" xfId="0" applyFont="1" applyBorder="1" applyAlignment="1">
      <alignment horizontal="center"/>
    </xf>
    <xf numFmtId="165" fontId="4" fillId="0" borderId="39" xfId="0" applyNumberFormat="1" applyFont="1" applyBorder="1" applyAlignment="1">
      <alignment horizontal="center"/>
    </xf>
    <xf numFmtId="0" fontId="4" fillId="0" borderId="33" xfId="0" applyFont="1" applyBorder="1" applyAlignment="1">
      <alignment horizontal="center"/>
    </xf>
    <xf numFmtId="2" fontId="1" fillId="3" borderId="0" xfId="0" applyNumberFormat="1" applyFont="1" applyFill="1"/>
    <xf numFmtId="0" fontId="1" fillId="3" borderId="0" xfId="0" applyFont="1" applyFill="1"/>
    <xf numFmtId="4" fontId="4" fillId="0" borderId="4" xfId="0" applyNumberFormat="1" applyFont="1" applyBorder="1" applyAlignment="1">
      <alignment horizontal="center"/>
    </xf>
    <xf numFmtId="168" fontId="4" fillId="8" borderId="39" xfId="0" applyNumberFormat="1" applyFont="1" applyFill="1" applyBorder="1"/>
    <xf numFmtId="168" fontId="4" fillId="8" borderId="41" xfId="0" applyNumberFormat="1" applyFont="1" applyFill="1" applyBorder="1"/>
    <xf numFmtId="165" fontId="4" fillId="0" borderId="0" xfId="0" applyNumberFormat="1" applyFont="1" applyAlignment="1">
      <alignment horizontal="center" wrapText="1"/>
    </xf>
    <xf numFmtId="165" fontId="4" fillId="0" borderId="3" xfId="0" applyNumberFormat="1" applyFont="1" applyBorder="1" applyAlignment="1">
      <alignment horizontal="center" wrapText="1"/>
    </xf>
    <xf numFmtId="165" fontId="12" fillId="0" borderId="0" xfId="0" applyNumberFormat="1" applyFont="1" applyAlignment="1">
      <alignment horizontal="center" vertical="top" wrapText="1"/>
    </xf>
    <xf numFmtId="165" fontId="23" fillId="0" borderId="33" xfId="0" applyNumberFormat="1" applyFont="1" applyBorder="1" applyAlignment="1">
      <alignment horizontal="center"/>
    </xf>
    <xf numFmtId="2" fontId="4" fillId="0" borderId="3" xfId="0" applyNumberFormat="1" applyFont="1" applyBorder="1"/>
    <xf numFmtId="165" fontId="4" fillId="7" borderId="0" xfId="0" applyNumberFormat="1" applyFont="1" applyFill="1" applyAlignment="1">
      <alignment horizontal="center" wrapText="1"/>
    </xf>
    <xf numFmtId="0" fontId="4" fillId="8" borderId="0" xfId="0" applyFont="1" applyFill="1" applyAlignment="1">
      <alignment horizontal="center"/>
    </xf>
    <xf numFmtId="165" fontId="4" fillId="8" borderId="0" xfId="0" applyNumberFormat="1" applyFont="1" applyFill="1" applyAlignment="1">
      <alignment horizontal="center" wrapText="1"/>
    </xf>
    <xf numFmtId="165" fontId="4" fillId="14" borderId="0" xfId="0" applyNumberFormat="1" applyFont="1" applyFill="1" applyAlignment="1">
      <alignment horizontal="center" wrapText="1"/>
    </xf>
    <xf numFmtId="165" fontId="4" fillId="14" borderId="0" xfId="0" applyNumberFormat="1" applyFont="1" applyFill="1" applyAlignment="1">
      <alignment horizontal="center" vertical="top" wrapText="1"/>
    </xf>
    <xf numFmtId="1" fontId="4" fillId="10" borderId="0" xfId="0" applyNumberFormat="1" applyFont="1" applyFill="1" applyAlignment="1">
      <alignment horizontal="center" wrapText="1"/>
    </xf>
    <xf numFmtId="1" fontId="4" fillId="10" borderId="0" xfId="0" applyNumberFormat="1" applyFont="1" applyFill="1" applyAlignment="1">
      <alignment horizontal="center"/>
    </xf>
    <xf numFmtId="3" fontId="4" fillId="9" borderId="0" xfId="0" applyNumberFormat="1" applyFont="1" applyFill="1" applyAlignment="1">
      <alignment horizontal="center" wrapText="1"/>
    </xf>
    <xf numFmtId="3" fontId="4" fillId="10" borderId="0" xfId="0" applyNumberFormat="1" applyFont="1" applyFill="1" applyAlignment="1">
      <alignment horizontal="center" vertical="top" wrapText="1"/>
    </xf>
    <xf numFmtId="3" fontId="4" fillId="8" borderId="0" xfId="0" applyNumberFormat="1" applyFont="1" applyFill="1" applyAlignment="1">
      <alignment horizontal="center"/>
    </xf>
    <xf numFmtId="3" fontId="4" fillId="8" borderId="0" xfId="0" applyNumberFormat="1" applyFont="1" applyFill="1" applyAlignment="1">
      <alignment horizontal="center" wrapText="1"/>
    </xf>
    <xf numFmtId="0" fontId="4" fillId="10" borderId="2" xfId="0" applyFont="1" applyFill="1" applyBorder="1" applyAlignment="1">
      <alignment wrapText="1"/>
    </xf>
    <xf numFmtId="0" fontId="4" fillId="10" borderId="33" xfId="0" applyFont="1" applyFill="1" applyBorder="1" applyAlignment="1">
      <alignment wrapText="1"/>
    </xf>
    <xf numFmtId="0" fontId="4" fillId="8" borderId="33" xfId="0" applyFont="1" applyFill="1" applyBorder="1" applyAlignment="1">
      <alignment wrapText="1"/>
    </xf>
    <xf numFmtId="0" fontId="4" fillId="8" borderId="6" xfId="0" applyFont="1" applyFill="1" applyBorder="1" applyAlignment="1">
      <alignment wrapText="1"/>
    </xf>
    <xf numFmtId="165" fontId="23" fillId="0" borderId="0" xfId="0" applyNumberFormat="1" applyFont="1" applyAlignment="1">
      <alignment horizontal="center" wrapText="1"/>
    </xf>
    <xf numFmtId="0" fontId="4" fillId="8" borderId="14" xfId="0" applyFont="1" applyFill="1" applyBorder="1"/>
    <xf numFmtId="3" fontId="4" fillId="8" borderId="12" xfId="0" applyNumberFormat="1" applyFont="1" applyFill="1" applyBorder="1" applyAlignment="1">
      <alignment horizontal="center"/>
    </xf>
    <xf numFmtId="0" fontId="4" fillId="0" borderId="0" xfId="0" applyFont="1" applyAlignment="1">
      <alignment horizontal="left" vertical="top" wrapText="1" indent="2"/>
    </xf>
    <xf numFmtId="3" fontId="4" fillId="8" borderId="13" xfId="0" applyNumberFormat="1" applyFont="1" applyFill="1" applyBorder="1" applyAlignment="1">
      <alignment horizontal="center"/>
    </xf>
    <xf numFmtId="165" fontId="12" fillId="8" borderId="0" xfId="0" applyNumberFormat="1" applyFont="1" applyFill="1" applyAlignment="1">
      <alignment horizontal="center" vertical="top" wrapText="1"/>
    </xf>
    <xf numFmtId="165" fontId="4" fillId="8" borderId="33" xfId="0" applyNumberFormat="1" applyFont="1" applyFill="1" applyBorder="1" applyAlignment="1">
      <alignment horizontal="center" wrapText="1"/>
    </xf>
    <xf numFmtId="168" fontId="4" fillId="8" borderId="0" xfId="0" applyNumberFormat="1" applyFont="1" applyFill="1" applyAlignment="1">
      <alignment horizontal="center" wrapText="1"/>
    </xf>
    <xf numFmtId="0" fontId="4" fillId="3" borderId="43" xfId="0" applyFont="1" applyFill="1" applyBorder="1" applyAlignment="1">
      <alignment horizontal="center" vertical="center" wrapText="1"/>
    </xf>
    <xf numFmtId="0" fontId="12" fillId="13" borderId="0" xfId="0" applyFont="1" applyFill="1" applyAlignment="1">
      <alignment horizontal="center" vertical="center" wrapText="1"/>
    </xf>
    <xf numFmtId="165" fontId="4" fillId="9" borderId="0" xfId="0" applyNumberFormat="1" applyFont="1" applyFill="1" applyAlignment="1">
      <alignment horizontal="center" vertical="top" wrapText="1"/>
    </xf>
    <xf numFmtId="165" fontId="4" fillId="2" borderId="0" xfId="0" applyNumberFormat="1" applyFont="1" applyFill="1" applyAlignment="1">
      <alignment horizontal="center" wrapText="1"/>
    </xf>
    <xf numFmtId="0" fontId="4" fillId="0" borderId="2" xfId="0" applyFont="1" applyBorder="1" applyAlignment="1">
      <alignment horizontal="left" wrapText="1"/>
    </xf>
    <xf numFmtId="0" fontId="4" fillId="0" borderId="2" xfId="0" applyFont="1" applyBorder="1" applyAlignment="1">
      <alignment horizontal="center" wrapText="1"/>
    </xf>
    <xf numFmtId="0" fontId="4" fillId="0" borderId="33" xfId="0" applyFont="1" applyBorder="1" applyAlignment="1">
      <alignment horizontal="center" wrapText="1"/>
    </xf>
    <xf numFmtId="165" fontId="4" fillId="0" borderId="33" xfId="0" applyNumberFormat="1" applyFont="1" applyBorder="1" applyAlignment="1">
      <alignment horizontal="center" wrapText="1"/>
    </xf>
    <xf numFmtId="165" fontId="4" fillId="0" borderId="6" xfId="0" applyNumberFormat="1" applyFont="1" applyBorder="1" applyAlignment="1">
      <alignment horizontal="center" wrapText="1"/>
    </xf>
    <xf numFmtId="165" fontId="4" fillId="10" borderId="0" xfId="0" applyNumberFormat="1" applyFont="1" applyFill="1" applyAlignment="1">
      <alignment horizontal="center" wrapText="1"/>
    </xf>
    <xf numFmtId="3" fontId="4" fillId="0" borderId="4" xfId="0" applyNumberFormat="1" applyFont="1" applyBorder="1" applyAlignment="1">
      <alignment horizontal="center" wrapText="1"/>
    </xf>
    <xf numFmtId="165" fontId="4" fillId="0" borderId="4" xfId="0" applyNumberFormat="1" applyFont="1" applyBorder="1" applyAlignment="1">
      <alignment horizontal="center" wrapText="1"/>
    </xf>
    <xf numFmtId="0" fontId="4" fillId="0" borderId="7" xfId="0" applyFont="1" applyBorder="1"/>
    <xf numFmtId="0" fontId="4" fillId="0" borderId="3" xfId="0" applyFont="1" applyBorder="1"/>
    <xf numFmtId="3" fontId="4" fillId="0" borderId="1" xfId="0" applyNumberFormat="1" applyFont="1" applyBorder="1" applyAlignment="1">
      <alignment horizontal="center" vertical="top" wrapText="1"/>
    </xf>
    <xf numFmtId="2" fontId="4" fillId="8" borderId="3" xfId="0" applyNumberFormat="1" applyFont="1" applyFill="1" applyBorder="1"/>
    <xf numFmtId="165" fontId="23" fillId="8" borderId="33" xfId="0" applyNumberFormat="1" applyFont="1" applyFill="1" applyBorder="1" applyAlignment="1">
      <alignment horizontal="center"/>
    </xf>
    <xf numFmtId="2" fontId="4" fillId="8" borderId="8" xfId="0" applyNumberFormat="1" applyFont="1" applyFill="1" applyBorder="1"/>
    <xf numFmtId="0" fontId="4" fillId="0" borderId="1" xfId="0" applyFont="1" applyBorder="1" applyAlignment="1">
      <alignment horizontal="left" vertical="top" wrapText="1" indent="2"/>
    </xf>
    <xf numFmtId="3" fontId="4" fillId="0" borderId="4" xfId="0" applyNumberFormat="1" applyFont="1" applyBorder="1" applyAlignment="1">
      <alignment horizontal="center"/>
    </xf>
    <xf numFmtId="3" fontId="4" fillId="10" borderId="3" xfId="0" applyNumberFormat="1" applyFont="1" applyFill="1" applyBorder="1" applyAlignment="1">
      <alignment horizontal="center" vertical="top" wrapText="1"/>
    </xf>
    <xf numFmtId="1" fontId="4" fillId="0" borderId="2" xfId="0" applyNumberFormat="1" applyFont="1" applyBorder="1" applyAlignment="1">
      <alignment horizontal="center"/>
    </xf>
    <xf numFmtId="1" fontId="4" fillId="0" borderId="33" xfId="0" applyNumberFormat="1" applyFont="1" applyBorder="1" applyAlignment="1">
      <alignment horizontal="center"/>
    </xf>
    <xf numFmtId="1" fontId="4" fillId="10" borderId="33" xfId="0" applyNumberFormat="1" applyFont="1" applyFill="1" applyBorder="1" applyAlignment="1">
      <alignment horizontal="center"/>
    </xf>
    <xf numFmtId="0" fontId="23" fillId="0" borderId="0" xfId="0" applyFont="1" applyAlignment="1">
      <alignment horizontal="left"/>
    </xf>
    <xf numFmtId="0" fontId="23" fillId="0" borderId="2" xfId="0" applyFont="1" applyBorder="1" applyAlignment="1">
      <alignment horizontal="left"/>
    </xf>
    <xf numFmtId="0" fontId="23" fillId="0" borderId="33" xfId="0" applyFont="1" applyBorder="1" applyAlignment="1">
      <alignment horizontal="left"/>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165" fontId="4" fillId="15" borderId="0" xfId="0" applyNumberFormat="1" applyFont="1" applyFill="1" applyAlignment="1">
      <alignment horizontal="center" wrapText="1"/>
    </xf>
    <xf numFmtId="165" fontId="4" fillId="0" borderId="0" xfId="0" applyNumberFormat="1" applyFont="1" applyAlignment="1">
      <alignment vertical="top" wrapText="1"/>
    </xf>
    <xf numFmtId="0" fontId="4" fillId="0" borderId="7" xfId="0" applyFont="1" applyBorder="1" applyAlignment="1">
      <alignment horizontal="left" vertical="top" wrapText="1" indent="2"/>
    </xf>
    <xf numFmtId="0" fontId="4" fillId="0" borderId="4"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0" fontId="4" fillId="0" borderId="42" xfId="0" applyFont="1" applyBorder="1" applyAlignment="1">
      <alignment wrapText="1"/>
    </xf>
    <xf numFmtId="0" fontId="4" fillId="0" borderId="38"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6" xfId="0" applyNumberFormat="1" applyFont="1" applyBorder="1" applyAlignment="1">
      <alignment horizontal="center"/>
    </xf>
    <xf numFmtId="3" fontId="4" fillId="0" borderId="7" xfId="0" applyNumberFormat="1" applyFont="1" applyBorder="1" applyAlignment="1">
      <alignment horizontal="center" vertical="top" wrapText="1"/>
    </xf>
    <xf numFmtId="0" fontId="4" fillId="0" borderId="0" xfId="0" applyFont="1" applyAlignment="1">
      <alignment horizontal="left" wrapText="1" indent="2"/>
    </xf>
    <xf numFmtId="3" fontId="4" fillId="0" borderId="3" xfId="0" applyNumberFormat="1" applyFont="1" applyBorder="1" applyAlignment="1">
      <alignment horizontal="center" vertical="top" wrapText="1"/>
    </xf>
    <xf numFmtId="0" fontId="4" fillId="0" borderId="0" xfId="0" applyFont="1" applyAlignment="1">
      <alignment horizontal="left" wrapText="1" indent="4"/>
    </xf>
    <xf numFmtId="0" fontId="4" fillId="0" borderId="4" xfId="0" applyFont="1" applyBorder="1" applyAlignment="1">
      <alignment wrapText="1"/>
    </xf>
    <xf numFmtId="0" fontId="4" fillId="0" borderId="7" xfId="0" applyFont="1" applyBorder="1" applyAlignment="1">
      <alignment horizontal="left" wrapText="1" indent="4"/>
    </xf>
    <xf numFmtId="3" fontId="24" fillId="0" borderId="0" xfId="0" applyNumberFormat="1" applyFont="1" applyAlignment="1">
      <alignment horizontal="center" wrapText="1"/>
    </xf>
    <xf numFmtId="3" fontId="4" fillId="0" borderId="3"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7" xfId="0" applyNumberFormat="1" applyFont="1" applyBorder="1" applyAlignment="1">
      <alignment horizontal="center" wrapText="1"/>
    </xf>
    <xf numFmtId="0" fontId="25" fillId="0" borderId="0" xfId="0" applyFont="1"/>
    <xf numFmtId="165" fontId="4" fillId="8" borderId="3"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168" fontId="4" fillId="0" borderId="0" xfId="0" applyNumberFormat="1" applyFont="1" applyAlignment="1">
      <alignment horizontal="center" wrapText="1"/>
    </xf>
    <xf numFmtId="165" fontId="4"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43" xfId="0" applyNumberFormat="1" applyFont="1" applyBorder="1" applyAlignment="1">
      <alignment horizontal="left" wrapText="1"/>
    </xf>
    <xf numFmtId="165" fontId="4" fillId="0" borderId="13" xfId="0" applyNumberFormat="1" applyFont="1" applyBorder="1" applyAlignment="1">
      <alignment horizontal="center" wrapText="1"/>
    </xf>
    <xf numFmtId="168" fontId="4" fillId="0" borderId="13" xfId="0" applyNumberFormat="1" applyFont="1" applyBorder="1" applyAlignment="1">
      <alignment horizontal="center" wrapText="1"/>
    </xf>
    <xf numFmtId="3" fontId="4" fillId="0" borderId="12" xfId="0" applyNumberFormat="1" applyFont="1" applyBorder="1" applyAlignment="1">
      <alignment horizontal="center" vertical="top"/>
    </xf>
    <xf numFmtId="0" fontId="12" fillId="0" borderId="0" xfId="0" applyFont="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8"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4" borderId="3" xfId="0" applyNumberFormat="1" applyFont="1" applyFill="1" applyBorder="1" applyAlignment="1">
      <alignment horizontal="center" wrapText="1"/>
    </xf>
    <xf numFmtId="0" fontId="4" fillId="0" borderId="1" xfId="0" applyFont="1" applyBorder="1" applyAlignment="1">
      <alignment horizontal="left" wrapText="1" indent="2"/>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0" fontId="4" fillId="0" borderId="14" xfId="0" applyFont="1" applyBorder="1" applyAlignment="1">
      <alignment horizontal="center"/>
    </xf>
    <xf numFmtId="0" fontId="12" fillId="0" borderId="42" xfId="0" applyFont="1" applyBorder="1" applyAlignment="1">
      <alignment horizontal="center" wrapText="1"/>
    </xf>
    <xf numFmtId="0" fontId="12" fillId="0" borderId="42" xfId="0" applyFont="1" applyBorder="1" applyAlignment="1">
      <alignment wrapText="1"/>
    </xf>
    <xf numFmtId="3" fontId="12" fillId="0" borderId="38" xfId="0" applyNumberFormat="1" applyFont="1" applyBorder="1" applyAlignment="1">
      <alignment horizontal="center" wrapText="1"/>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2" xfId="0" applyNumberFormat="1" applyFont="1" applyBorder="1" applyAlignment="1">
      <alignment horizontal="center" vertical="top" wrapText="1"/>
    </xf>
    <xf numFmtId="168" fontId="4" fillId="0" borderId="4" xfId="0" applyNumberFormat="1" applyFont="1" applyBorder="1" applyAlignment="1">
      <alignment horizontal="center" wrapText="1"/>
    </xf>
    <xf numFmtId="3" fontId="4" fillId="0" borderId="1" xfId="0" applyNumberFormat="1" applyFont="1" applyBorder="1" applyAlignment="1">
      <alignment horizontal="center" wrapText="1"/>
    </xf>
    <xf numFmtId="0" fontId="23" fillId="0" borderId="1" xfId="0" applyFont="1" applyBorder="1" applyAlignment="1">
      <alignment wrapText="1"/>
    </xf>
    <xf numFmtId="165" fontId="4" fillId="0" borderId="1" xfId="0" applyNumberFormat="1" applyFont="1" applyBorder="1" applyAlignment="1">
      <alignment horizontal="center" vertical="top" wrapText="1"/>
    </xf>
    <xf numFmtId="0" fontId="4" fillId="0" borderId="8" xfId="0" applyFont="1" applyBorder="1"/>
    <xf numFmtId="0" fontId="4" fillId="8" borderId="4" xfId="0" applyFont="1" applyFill="1" applyBorder="1" applyAlignment="1">
      <alignment horizontal="center"/>
    </xf>
    <xf numFmtId="0" fontId="4" fillId="8" borderId="1" xfId="0" applyFont="1" applyFill="1" applyBorder="1" applyAlignment="1">
      <alignment horizontal="center"/>
    </xf>
    <xf numFmtId="0" fontId="4" fillId="10" borderId="2" xfId="0" applyFont="1" applyFill="1" applyBorder="1" applyAlignment="1">
      <alignment horizontal="center" vertical="center"/>
    </xf>
    <xf numFmtId="165" fontId="4" fillId="10" borderId="0" xfId="0" applyNumberFormat="1" applyFont="1" applyFill="1" applyAlignment="1">
      <alignment horizontal="center"/>
    </xf>
    <xf numFmtId="0" fontId="4" fillId="0" borderId="5" xfId="0" applyFont="1" applyBorder="1"/>
    <xf numFmtId="17" fontId="12" fillId="3" borderId="44" xfId="0" applyNumberFormat="1" applyFont="1" applyFill="1" applyBorder="1" applyAlignment="1">
      <alignment horizontal="left" wrapText="1"/>
    </xf>
    <xf numFmtId="17" fontId="12" fillId="3" borderId="43" xfId="0" applyNumberFormat="1" applyFont="1" applyFill="1" applyBorder="1" applyAlignment="1">
      <alignment horizontal="left" wrapText="1"/>
    </xf>
    <xf numFmtId="0" fontId="12" fillId="3" borderId="2" xfId="0" applyFont="1" applyFill="1" applyBorder="1" applyAlignment="1">
      <alignment horizontal="left" wrapText="1"/>
    </xf>
    <xf numFmtId="17" fontId="12" fillId="3" borderId="42" xfId="0" applyNumberFormat="1"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1" fillId="0" borderId="6" xfId="0" applyFont="1" applyBorder="1"/>
    <xf numFmtId="0" fontId="1" fillId="0" borderId="5" xfId="0" applyFont="1" applyBorder="1"/>
    <xf numFmtId="3" fontId="4" fillId="0" borderId="5" xfId="0" applyNumberFormat="1" applyFont="1" applyBorder="1" applyAlignment="1">
      <alignment horizontal="center"/>
    </xf>
    <xf numFmtId="0" fontId="7" fillId="0" borderId="0" xfId="0" applyFont="1" applyAlignment="1">
      <alignment horizontal="right" vertical="center" wrapText="1"/>
    </xf>
    <xf numFmtId="168" fontId="4" fillId="6" borderId="0" xfId="0" applyNumberFormat="1" applyFont="1" applyFill="1"/>
    <xf numFmtId="3" fontId="4" fillId="0" borderId="3" xfId="0" applyNumberFormat="1" applyFont="1" applyBorder="1" applyAlignment="1">
      <alignment horizontal="center" vertical="center"/>
    </xf>
    <xf numFmtId="3" fontId="4" fillId="0" borderId="0" xfId="0" applyNumberFormat="1" applyFont="1" applyAlignment="1">
      <alignment horizontal="center" vertical="center"/>
    </xf>
    <xf numFmtId="1" fontId="4" fillId="0" borderId="0" xfId="0" applyNumberFormat="1" applyFont="1"/>
    <xf numFmtId="168" fontId="4" fillId="0" borderId="0" xfId="0" applyNumberFormat="1" applyFont="1" applyAlignment="1">
      <alignment horizontal="center" vertical="center"/>
    </xf>
    <xf numFmtId="1" fontId="4" fillId="8" borderId="0" xfId="0" applyNumberFormat="1" applyFont="1" applyFill="1"/>
    <xf numFmtId="1" fontId="4" fillId="7" borderId="0" xfId="0" applyNumberFormat="1" applyFont="1" applyFill="1"/>
    <xf numFmtId="3" fontId="23" fillId="7" borderId="0" xfId="0" applyNumberFormat="1" applyFont="1" applyFill="1" applyAlignment="1">
      <alignment horizontal="center"/>
    </xf>
    <xf numFmtId="1" fontId="4" fillId="8" borderId="0" xfId="0" applyNumberFormat="1" applyFont="1" applyFill="1" applyAlignment="1">
      <alignment horizontal="center" vertical="center"/>
    </xf>
    <xf numFmtId="168" fontId="4" fillId="8" borderId="0" xfId="0" applyNumberFormat="1" applyFont="1" applyFill="1" applyAlignment="1">
      <alignment horizontal="center" vertical="center"/>
    </xf>
    <xf numFmtId="3" fontId="4" fillId="8" borderId="0" xfId="0" applyNumberFormat="1" applyFont="1" applyFill="1" applyAlignment="1">
      <alignment horizontal="center" vertical="center"/>
    </xf>
    <xf numFmtId="1" fontId="23" fillId="8" borderId="0" xfId="0" applyNumberFormat="1" applyFont="1" applyFill="1" applyAlignment="1">
      <alignment horizontal="center" vertical="center"/>
    </xf>
    <xf numFmtId="165" fontId="4" fillId="9" borderId="0" xfId="0" applyNumberFormat="1" applyFont="1" applyFill="1" applyAlignment="1">
      <alignment horizontal="center"/>
    </xf>
    <xf numFmtId="0" fontId="4" fillId="10" borderId="0" xfId="0" applyFont="1" applyFill="1" applyAlignment="1">
      <alignment horizontal="center" vertical="center"/>
    </xf>
    <xf numFmtId="3" fontId="23" fillId="8" borderId="0" xfId="0" applyNumberFormat="1" applyFont="1" applyFill="1" applyAlignment="1">
      <alignment horizontal="center"/>
    </xf>
    <xf numFmtId="0" fontId="4" fillId="0" borderId="1" xfId="0" applyFont="1" applyBorder="1" applyAlignment="1">
      <alignment horizontal="left"/>
    </xf>
    <xf numFmtId="3" fontId="4" fillId="0" borderId="33" xfId="0" applyNumberFormat="1" applyFont="1" applyBorder="1" applyAlignment="1">
      <alignment horizontal="center"/>
    </xf>
    <xf numFmtId="165" fontId="4" fillId="0" borderId="5" xfId="0" applyNumberFormat="1" applyFont="1" applyBorder="1" applyAlignment="1">
      <alignment horizontal="center"/>
    </xf>
    <xf numFmtId="165" fontId="4" fillId="0" borderId="3" xfId="0" applyNumberFormat="1" applyFont="1" applyBorder="1" applyAlignment="1">
      <alignment horizontal="center"/>
    </xf>
    <xf numFmtId="0" fontId="4" fillId="0" borderId="0" xfId="0" applyFont="1" applyAlignment="1">
      <alignment horizontal="center" vertical="center" wrapText="1"/>
    </xf>
    <xf numFmtId="165" fontId="4" fillId="0" borderId="0" xfId="0" applyNumberFormat="1" applyFont="1" applyAlignment="1">
      <alignment horizontal="center" vertical="center"/>
    </xf>
    <xf numFmtId="168" fontId="4" fillId="10" borderId="0" xfId="0" applyNumberFormat="1" applyFont="1" applyFill="1" applyAlignment="1">
      <alignment horizontal="center" vertical="center"/>
    </xf>
    <xf numFmtId="0" fontId="26" fillId="0" borderId="2" xfId="0" applyFont="1" applyBorder="1" applyAlignment="1">
      <alignment horizontal="center" vertical="center" wrapText="1"/>
    </xf>
    <xf numFmtId="0" fontId="4" fillId="0" borderId="33" xfId="0" applyFont="1" applyBorder="1" applyAlignment="1">
      <alignment horizontal="center" vertical="center"/>
    </xf>
    <xf numFmtId="3" fontId="4" fillId="0" borderId="33" xfId="0" applyNumberFormat="1" applyFont="1" applyBorder="1" applyAlignment="1">
      <alignment horizontal="center" vertical="center"/>
    </xf>
    <xf numFmtId="165" fontId="4" fillId="0" borderId="33" xfId="0" applyNumberFormat="1" applyFont="1" applyBorder="1" applyAlignment="1">
      <alignment horizontal="center"/>
    </xf>
    <xf numFmtId="0" fontId="4" fillId="0" borderId="0" xfId="0" applyFont="1" applyAlignment="1">
      <alignment horizontal="left"/>
    </xf>
    <xf numFmtId="3" fontId="4" fillId="10" borderId="33" xfId="0" applyNumberFormat="1" applyFont="1" applyFill="1" applyBorder="1" applyAlignment="1">
      <alignment horizontal="center"/>
    </xf>
    <xf numFmtId="0" fontId="26" fillId="0" borderId="1" xfId="0" applyFont="1" applyBorder="1" applyAlignment="1">
      <alignment horizontal="center" vertical="center" wrapText="1"/>
    </xf>
    <xf numFmtId="0" fontId="4" fillId="10" borderId="1" xfId="0" applyFont="1" applyFill="1" applyBorder="1" applyAlignment="1">
      <alignment horizontal="center" vertical="center"/>
    </xf>
    <xf numFmtId="0" fontId="4" fillId="10" borderId="4" xfId="0" applyFont="1" applyFill="1" applyBorder="1" applyAlignment="1">
      <alignment horizontal="center" vertical="center"/>
    </xf>
    <xf numFmtId="0" fontId="4" fillId="0" borderId="7" xfId="0" applyFont="1" applyBorder="1" applyAlignment="1">
      <alignment horizontal="center" vertical="center" wrapText="1"/>
    </xf>
    <xf numFmtId="0" fontId="4" fillId="0" borderId="3" xfId="0" applyFont="1" applyBorder="1" applyAlignment="1">
      <alignment horizontal="center" vertical="center" wrapText="1"/>
    </xf>
    <xf numFmtId="3" fontId="4" fillId="8" borderId="3" xfId="0" applyNumberFormat="1" applyFont="1" applyFill="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7" xfId="0" applyFont="1" applyBorder="1" applyAlignment="1">
      <alignment horizontal="left" wrapText="1"/>
    </xf>
    <xf numFmtId="0" fontId="4" fillId="0" borderId="3" xfId="0" applyFont="1" applyBorder="1" applyAlignment="1">
      <alignment horizontal="left" wrapText="1"/>
    </xf>
    <xf numFmtId="0" fontId="4" fillId="0" borderId="33" xfId="0" applyFont="1" applyBorder="1" applyAlignment="1">
      <alignment horizontal="left"/>
    </xf>
    <xf numFmtId="165" fontId="4" fillId="2" borderId="33" xfId="0" applyNumberFormat="1" applyFont="1" applyFill="1" applyBorder="1" applyAlignment="1">
      <alignment horizontal="center"/>
    </xf>
    <xf numFmtId="168" fontId="12" fillId="0" borderId="0" xfId="0" applyNumberFormat="1" applyFont="1"/>
    <xf numFmtId="171" fontId="4" fillId="0" borderId="0" xfId="0" applyNumberFormat="1" applyFont="1" applyAlignment="1">
      <alignment horizontal="center"/>
    </xf>
    <xf numFmtId="3" fontId="4" fillId="0" borderId="3" xfId="0" applyNumberFormat="1" applyFont="1" applyBorder="1" applyAlignment="1">
      <alignment horizontal="center"/>
    </xf>
    <xf numFmtId="165" fontId="4" fillId="0" borderId="0" xfId="0" applyNumberFormat="1" applyFont="1"/>
    <xf numFmtId="0" fontId="4" fillId="0" borderId="2" xfId="0" applyFont="1" applyBorder="1" applyAlignment="1">
      <alignment wrapText="1"/>
    </xf>
    <xf numFmtId="0" fontId="4" fillId="0" borderId="7" xfId="0" applyFont="1" applyBorder="1" applyAlignment="1">
      <alignment vertical="top" wrapText="1"/>
    </xf>
    <xf numFmtId="0" fontId="23" fillId="0" borderId="1" xfId="0" applyFont="1" applyBorder="1" applyAlignment="1">
      <alignment horizontal="left" vertical="top" wrapText="1"/>
    </xf>
    <xf numFmtId="0" fontId="26" fillId="0" borderId="1" xfId="0" applyFont="1" applyBorder="1" applyAlignment="1">
      <alignment wrapText="1"/>
    </xf>
    <xf numFmtId="0" fontId="12" fillId="0" borderId="2" xfId="0" applyFont="1" applyBorder="1" applyAlignment="1">
      <alignment horizontal="center" vertical="top"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0" fontId="1" fillId="0" borderId="33" xfId="0" applyFont="1" applyBorder="1"/>
    <xf numFmtId="168" fontId="12" fillId="0" borderId="0" xfId="0" applyNumberFormat="1" applyFont="1" applyAlignment="1">
      <alignment horizontal="center" wrapText="1"/>
    </xf>
    <xf numFmtId="168" fontId="12" fillId="0" borderId="3" xfId="0" applyNumberFormat="1" applyFont="1" applyBorder="1" applyAlignment="1">
      <alignment horizontal="center" wrapText="1"/>
    </xf>
    <xf numFmtId="3" fontId="12" fillId="0" borderId="0" xfId="0" applyNumberFormat="1" applyFont="1" applyAlignment="1">
      <alignment horizontal="center" wrapText="1"/>
    </xf>
    <xf numFmtId="3" fontId="12" fillId="0" borderId="3" xfId="0" applyNumberFormat="1" applyFont="1" applyBorder="1" applyAlignment="1">
      <alignment horizontal="center" wrapText="1"/>
    </xf>
    <xf numFmtId="0" fontId="1" fillId="7" borderId="0" xfId="0" applyFont="1" applyFill="1"/>
    <xf numFmtId="0" fontId="3" fillId="7" borderId="0" xfId="0" applyFont="1" applyFill="1"/>
    <xf numFmtId="0" fontId="4" fillId="8" borderId="2" xfId="0" applyFont="1" applyFill="1" applyBorder="1"/>
    <xf numFmtId="0" fontId="1" fillId="8" borderId="33" xfId="0" applyFont="1" applyFill="1" applyBorder="1"/>
    <xf numFmtId="0" fontId="1" fillId="8" borderId="0" xfId="0" applyFont="1" applyFill="1"/>
    <xf numFmtId="3" fontId="23" fillId="8" borderId="0" xfId="0" applyNumberFormat="1" applyFont="1" applyFill="1" applyAlignment="1">
      <alignment horizontal="center" wrapText="1"/>
    </xf>
    <xf numFmtId="3" fontId="4" fillId="0" borderId="33" xfId="0" applyNumberFormat="1" applyFont="1" applyBorder="1" applyAlignment="1">
      <alignment horizontal="center" wrapText="1"/>
    </xf>
    <xf numFmtId="3" fontId="23" fillId="0" borderId="0" xfId="0" applyNumberFormat="1" applyFont="1" applyAlignment="1">
      <alignment horizontal="center" wrapText="1"/>
    </xf>
    <xf numFmtId="1" fontId="23" fillId="0" borderId="3" xfId="0" applyNumberFormat="1" applyFont="1" applyBorder="1" applyAlignment="1">
      <alignment horizontal="center"/>
    </xf>
    <xf numFmtId="3" fontId="4" fillId="8" borderId="33" xfId="0" applyNumberFormat="1" applyFont="1" applyFill="1" applyBorder="1" applyAlignment="1">
      <alignment horizontal="center" wrapText="1"/>
    </xf>
    <xf numFmtId="1" fontId="4" fillId="8" borderId="0" xfId="0" applyNumberFormat="1" applyFont="1" applyFill="1" applyAlignment="1">
      <alignment horizontal="center" wrapText="1"/>
    </xf>
    <xf numFmtId="3" fontId="12" fillId="8" borderId="0" xfId="0" applyNumberFormat="1" applyFont="1" applyFill="1" applyAlignment="1">
      <alignment horizontal="center" wrapText="1"/>
    </xf>
    <xf numFmtId="1" fontId="1" fillId="8" borderId="0" xfId="0" applyNumberFormat="1" applyFont="1" applyFill="1"/>
    <xf numFmtId="0" fontId="12" fillId="0" borderId="0" xfId="0" applyFont="1"/>
    <xf numFmtId="1" fontId="12" fillId="0" borderId="0" xfId="0" applyNumberFormat="1" applyFont="1"/>
    <xf numFmtId="3" fontId="12" fillId="0" borderId="0" xfId="0" applyNumberFormat="1" applyFont="1"/>
    <xf numFmtId="168" fontId="1" fillId="0" borderId="0" xfId="0" applyNumberFormat="1" applyFont="1"/>
    <xf numFmtId="1" fontId="1" fillId="9" borderId="0" xfId="0" applyNumberFormat="1" applyFont="1" applyFill="1"/>
    <xf numFmtId="3" fontId="23" fillId="9" borderId="0" xfId="0" applyNumberFormat="1" applyFont="1" applyFill="1" applyAlignment="1">
      <alignment horizontal="center"/>
    </xf>
    <xf numFmtId="0" fontId="23" fillId="0" borderId="0" xfId="0" applyFont="1" applyAlignment="1">
      <alignment horizontal="center" wrapText="1"/>
    </xf>
    <xf numFmtId="0" fontId="27" fillId="0" borderId="1" xfId="0" applyFont="1" applyBorder="1" applyAlignment="1">
      <alignment horizontal="left" indent="2"/>
    </xf>
    <xf numFmtId="0" fontId="4" fillId="0" borderId="3" xfId="0" applyFont="1" applyBorder="1" applyAlignment="1">
      <alignment horizontal="center" wrapText="1"/>
    </xf>
    <xf numFmtId="3" fontId="12" fillId="8" borderId="3"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7" xfId="0" applyFont="1" applyBorder="1" applyAlignment="1">
      <alignment wrapText="1"/>
    </xf>
    <xf numFmtId="0" fontId="4" fillId="0" borderId="3" xfId="0" applyFont="1" applyBorder="1" applyAlignment="1">
      <alignment wrapText="1"/>
    </xf>
    <xf numFmtId="170" fontId="4" fillId="0" borderId="0" xfId="0" applyNumberFormat="1" applyFont="1" applyAlignment="1">
      <alignment horizontal="center" wrapText="1"/>
    </xf>
    <xf numFmtId="0" fontId="23" fillId="0" borderId="0" xfId="0" applyFont="1" applyAlignment="1">
      <alignment wrapText="1"/>
    </xf>
    <xf numFmtId="170" fontId="23" fillId="0" borderId="0" xfId="0" applyNumberFormat="1" applyFont="1" applyAlignment="1">
      <alignment wrapText="1"/>
    </xf>
    <xf numFmtId="0" fontId="12" fillId="0" borderId="33" xfId="0" applyFont="1" applyBorder="1" applyAlignment="1">
      <alignment horizontal="center" vertical="top" wrapText="1"/>
    </xf>
    <xf numFmtId="170" fontId="4" fillId="0" borderId="3"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28" fillId="0" borderId="0" xfId="0" applyFont="1"/>
    <xf numFmtId="1" fontId="4" fillId="0" borderId="33" xfId="0" applyNumberFormat="1" applyFont="1" applyBorder="1" applyAlignment="1">
      <alignment horizontal="center" wrapText="1"/>
    </xf>
    <xf numFmtId="1" fontId="4" fillId="10" borderId="33" xfId="0" applyNumberFormat="1" applyFont="1" applyFill="1" applyBorder="1" applyAlignment="1">
      <alignment horizontal="center" wrapText="1"/>
    </xf>
    <xf numFmtId="0" fontId="23" fillId="0" borderId="7" xfId="0" applyFont="1" applyBorder="1"/>
    <xf numFmtId="0" fontId="23" fillId="0" borderId="3" xfId="0" applyFont="1" applyBorder="1"/>
    <xf numFmtId="3" fontId="1" fillId="8" borderId="0" xfId="0" applyNumberFormat="1" applyFont="1" applyFill="1"/>
    <xf numFmtId="1" fontId="23" fillId="0" borderId="0" xfId="0" applyNumberFormat="1" applyFont="1" applyAlignment="1">
      <alignment horizontal="center"/>
    </xf>
    <xf numFmtId="1" fontId="23" fillId="8" borderId="3" xfId="0" applyNumberFormat="1" applyFont="1" applyFill="1" applyBorder="1" applyAlignment="1">
      <alignment horizontal="center"/>
    </xf>
    <xf numFmtId="0" fontId="27" fillId="0" borderId="1" xfId="0" applyFont="1" applyBorder="1" applyAlignment="1">
      <alignment horizontal="left" indent="5"/>
    </xf>
    <xf numFmtId="0" fontId="4" fillId="0" borderId="1" xfId="0" applyFont="1" applyBorder="1" applyAlignment="1">
      <alignment horizontal="left" vertical="top" wrapText="1" indent="5"/>
    </xf>
    <xf numFmtId="3" fontId="4" fillId="8" borderId="5" xfId="0" applyNumberFormat="1" applyFont="1" applyFill="1" applyBorder="1" applyAlignment="1">
      <alignment horizontal="center" wrapText="1"/>
    </xf>
    <xf numFmtId="168" fontId="4" fillId="10" borderId="0" xfId="0" applyNumberFormat="1" applyFont="1" applyFill="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168" fontId="23" fillId="0" borderId="0" xfId="0" applyNumberFormat="1" applyFont="1" applyAlignment="1">
      <alignment horizontal="center"/>
    </xf>
    <xf numFmtId="168" fontId="23" fillId="15" borderId="33" xfId="0" applyNumberFormat="1" applyFont="1" applyFill="1" applyBorder="1" applyAlignment="1">
      <alignment horizontal="center"/>
    </xf>
    <xf numFmtId="168" fontId="4" fillId="0" borderId="3" xfId="0" applyNumberFormat="1" applyFont="1" applyBorder="1" applyAlignment="1">
      <alignment horizontal="center"/>
    </xf>
    <xf numFmtId="168" fontId="4" fillId="0" borderId="0" xfId="0" applyNumberFormat="1" applyFont="1" applyAlignment="1">
      <alignment horizontal="center"/>
    </xf>
    <xf numFmtId="0" fontId="4" fillId="8" borderId="5" xfId="0" applyFont="1" applyFill="1" applyBorder="1"/>
    <xf numFmtId="168" fontId="23" fillId="8" borderId="0" xfId="0" applyNumberFormat="1" applyFont="1" applyFill="1" applyAlignment="1">
      <alignment horizontal="center"/>
    </xf>
    <xf numFmtId="168" fontId="4" fillId="10" borderId="0" xfId="0" applyNumberFormat="1" applyFont="1" applyFill="1" applyAlignment="1">
      <alignment horizontal="center"/>
    </xf>
    <xf numFmtId="169" fontId="4" fillId="0" borderId="0" xfId="0" applyNumberFormat="1" applyFont="1" applyAlignment="1">
      <alignment horizontal="center"/>
    </xf>
    <xf numFmtId="0" fontId="4" fillId="10" borderId="5" xfId="0" applyFont="1" applyFill="1" applyBorder="1"/>
    <xf numFmtId="3" fontId="4" fillId="10" borderId="3" xfId="0" applyNumberFormat="1" applyFont="1" applyFill="1" applyBorder="1" applyAlignment="1">
      <alignment horizontal="center"/>
    </xf>
    <xf numFmtId="168" fontId="23" fillId="8" borderId="33" xfId="0" applyNumberFormat="1" applyFont="1" applyFill="1" applyBorder="1" applyAlignment="1">
      <alignment horizontal="center"/>
    </xf>
    <xf numFmtId="168" fontId="4" fillId="10" borderId="5" xfId="0" applyNumberFormat="1" applyFont="1" applyFill="1" applyBorder="1" applyAlignment="1">
      <alignment horizontal="center"/>
    </xf>
    <xf numFmtId="168" fontId="23" fillId="10" borderId="5" xfId="0" applyNumberFormat="1" applyFont="1" applyFill="1" applyBorder="1" applyAlignment="1">
      <alignment horizontal="center"/>
    </xf>
    <xf numFmtId="0" fontId="4" fillId="0" borderId="2" xfId="0" applyFont="1" applyBorder="1"/>
    <xf numFmtId="0" fontId="4" fillId="0" borderId="3" xfId="0" applyFont="1" applyBorder="1" applyAlignment="1">
      <alignment horizontal="center"/>
    </xf>
    <xf numFmtId="0" fontId="4" fillId="13" borderId="33" xfId="0" applyFont="1" applyFill="1" applyBorder="1" applyAlignment="1">
      <alignment horizontal="center"/>
    </xf>
    <xf numFmtId="0" fontId="4" fillId="13" borderId="6" xfId="0" applyFont="1" applyFill="1" applyBorder="1" applyAlignment="1">
      <alignment horizontal="center"/>
    </xf>
    <xf numFmtId="0" fontId="12" fillId="13" borderId="2" xfId="0" applyFont="1" applyFill="1" applyBorder="1"/>
    <xf numFmtId="168" fontId="23" fillId="15" borderId="5" xfId="0" applyNumberFormat="1" applyFont="1" applyFill="1" applyBorder="1" applyAlignment="1">
      <alignment horizontal="center"/>
    </xf>
    <xf numFmtId="0" fontId="1" fillId="15" borderId="0" xfId="0" applyFont="1" applyFill="1"/>
    <xf numFmtId="0" fontId="4" fillId="0" borderId="4" xfId="0" applyFont="1" applyBorder="1" applyAlignment="1">
      <alignment horizontal="center"/>
    </xf>
    <xf numFmtId="0" fontId="4" fillId="0" borderId="8" xfId="0" applyFont="1" applyBorder="1" applyAlignment="1">
      <alignment horizontal="center"/>
    </xf>
    <xf numFmtId="168" fontId="4" fillId="0" borderId="2" xfId="0" applyNumberFormat="1" applyFont="1" applyBorder="1" applyAlignment="1">
      <alignment horizontal="center"/>
    </xf>
    <xf numFmtId="168" fontId="4" fillId="0" borderId="33" xfId="0" applyNumberFormat="1" applyFont="1" applyBorder="1" applyAlignment="1">
      <alignment horizontal="center"/>
    </xf>
    <xf numFmtId="168" fontId="4" fillId="10" borderId="33" xfId="0" applyNumberFormat="1" applyFont="1" applyFill="1" applyBorder="1" applyAlignment="1">
      <alignment horizontal="center"/>
    </xf>
    <xf numFmtId="169" fontId="4" fillId="10" borderId="3" xfId="0" applyNumberFormat="1" applyFont="1" applyFill="1" applyBorder="1" applyAlignment="1">
      <alignment horizontal="center"/>
    </xf>
    <xf numFmtId="168" fontId="23" fillId="0" borderId="2" xfId="0" applyNumberFormat="1" applyFont="1" applyBorder="1" applyAlignment="1">
      <alignment horizontal="center"/>
    </xf>
    <xf numFmtId="168" fontId="23" fillId="0" borderId="33" xfId="0" applyNumberFormat="1" applyFont="1" applyBorder="1" applyAlignment="1">
      <alignment horizontal="center"/>
    </xf>
    <xf numFmtId="168" fontId="23" fillId="10" borderId="33" xfId="0" applyNumberFormat="1" applyFont="1" applyFill="1" applyBorder="1" applyAlignment="1">
      <alignment horizontal="center"/>
    </xf>
    <xf numFmtId="169" fontId="4" fillId="0" borderId="4" xfId="0" applyNumberFormat="1" applyFont="1" applyBorder="1" applyAlignment="1">
      <alignment horizontal="center"/>
    </xf>
    <xf numFmtId="169" fontId="4" fillId="0" borderId="3" xfId="0" applyNumberFormat="1" applyFont="1" applyBorder="1" applyAlignment="1">
      <alignment horizontal="center"/>
    </xf>
    <xf numFmtId="0" fontId="23" fillId="0" borderId="1" xfId="0" applyFont="1" applyBorder="1"/>
    <xf numFmtId="172" fontId="4" fillId="0" borderId="0" xfId="0" applyNumberFormat="1" applyFont="1"/>
    <xf numFmtId="0" fontId="12" fillId="3" borderId="42" xfId="0" applyFont="1" applyFill="1" applyBorder="1"/>
    <xf numFmtId="0" fontId="12" fillId="3" borderId="38" xfId="0" applyFont="1" applyFill="1" applyBorder="1"/>
    <xf numFmtId="0" fontId="12" fillId="3" borderId="43" xfId="0" applyFont="1" applyFill="1" applyBorder="1"/>
    <xf numFmtId="0" fontId="12" fillId="3" borderId="38" xfId="0" applyFont="1" applyFill="1" applyBorder="1" applyAlignment="1">
      <alignment horizontal="center"/>
    </xf>
    <xf numFmtId="0" fontId="12" fillId="3" borderId="43" xfId="0" applyFont="1" applyFill="1" applyBorder="1" applyAlignment="1">
      <alignment horizontal="center"/>
    </xf>
    <xf numFmtId="168" fontId="4" fillId="8" borderId="3" xfId="0" applyNumberFormat="1" applyFont="1" applyFill="1" applyBorder="1" applyAlignment="1">
      <alignment horizontal="center"/>
    </xf>
    <xf numFmtId="168" fontId="23" fillId="8" borderId="5" xfId="0" applyNumberFormat="1" applyFont="1" applyFill="1" applyBorder="1" applyAlignment="1">
      <alignment horizontal="center"/>
    </xf>
    <xf numFmtId="0" fontId="23" fillId="0" borderId="2" xfId="0" applyFont="1" applyBorder="1"/>
    <xf numFmtId="0" fontId="23" fillId="0" borderId="5" xfId="0" applyFont="1" applyBorder="1"/>
    <xf numFmtId="168" fontId="23"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7" xfId="0" applyNumberFormat="1" applyFont="1" applyBorder="1" applyAlignment="1">
      <alignment horizontal="center"/>
    </xf>
    <xf numFmtId="0" fontId="30" fillId="0" borderId="1" xfId="0" applyFont="1" applyBorder="1" applyAlignment="1">
      <alignment horizontal="left" wrapText="1"/>
    </xf>
    <xf numFmtId="169" fontId="4" fillId="0" borderId="7"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8" borderId="3" xfId="0" applyNumberFormat="1" applyFont="1" applyFill="1" applyBorder="1" applyAlignment="1">
      <alignment horizontal="center"/>
    </xf>
    <xf numFmtId="168" fontId="23" fillId="10" borderId="0" xfId="0" applyNumberFormat="1" applyFont="1" applyFill="1" applyAlignment="1">
      <alignment horizontal="center"/>
    </xf>
    <xf numFmtId="173" fontId="4" fillId="0" borderId="0" xfId="0" applyNumberFormat="1" applyFont="1" applyAlignment="1">
      <alignment horizontal="center" wrapText="1"/>
    </xf>
    <xf numFmtId="0" fontId="23" fillId="0" borderId="1" xfId="0" applyFont="1" applyBorder="1" applyAlignment="1">
      <alignment horizontal="left"/>
    </xf>
    <xf numFmtId="169" fontId="4" fillId="0" borderId="0" xfId="0" applyNumberFormat="1" applyFont="1"/>
    <xf numFmtId="168" fontId="4" fillId="12" borderId="0" xfId="0" applyNumberFormat="1" applyFont="1" applyFill="1" applyAlignment="1">
      <alignment horizontal="center" wrapText="1"/>
    </xf>
    <xf numFmtId="169" fontId="4" fillId="15" borderId="3" xfId="0" applyNumberFormat="1" applyFont="1" applyFill="1" applyBorder="1" applyAlignment="1">
      <alignment horizontal="center"/>
    </xf>
    <xf numFmtId="2" fontId="4" fillId="0" borderId="0" xfId="0" applyNumberFormat="1" applyFont="1"/>
    <xf numFmtId="2" fontId="4" fillId="0" borderId="0" xfId="0" applyNumberFormat="1" applyFont="1" applyAlignment="1">
      <alignment horizontal="right"/>
    </xf>
    <xf numFmtId="2" fontId="4" fillId="0" borderId="5" xfId="0" applyNumberFormat="1" applyFont="1" applyBorder="1"/>
    <xf numFmtId="2" fontId="4" fillId="0" borderId="5" xfId="0" applyNumberFormat="1" applyFont="1" applyBorder="1" applyAlignment="1">
      <alignment horizontal="right"/>
    </xf>
    <xf numFmtId="0" fontId="12" fillId="0" borderId="14" xfId="0" applyFont="1" applyBorder="1"/>
    <xf numFmtId="0" fontId="12" fillId="0" borderId="13" xfId="0" applyFont="1" applyBorder="1"/>
    <xf numFmtId="0" fontId="4" fillId="0" borderId="13" xfId="0" applyFont="1" applyBorder="1" applyAlignment="1">
      <alignment horizontal="right"/>
    </xf>
    <xf numFmtId="0" fontId="4" fillId="0" borderId="12" xfId="0" applyFont="1" applyBorder="1"/>
    <xf numFmtId="168" fontId="4" fillId="16" borderId="0" xfId="0" applyNumberFormat="1" applyFont="1" applyFill="1" applyAlignment="1">
      <alignment horizontal="center"/>
    </xf>
    <xf numFmtId="168" fontId="4" fillId="16" borderId="0" xfId="0" applyNumberFormat="1" applyFont="1" applyFill="1" applyAlignment="1">
      <alignment horizontal="center" wrapText="1"/>
    </xf>
    <xf numFmtId="169" fontId="4" fillId="17" borderId="3" xfId="0" applyNumberFormat="1" applyFont="1" applyFill="1" applyBorder="1" applyAlignment="1">
      <alignment horizontal="center"/>
    </xf>
    <xf numFmtId="0" fontId="1" fillId="16" borderId="0" xfId="0" applyFont="1" applyFill="1"/>
    <xf numFmtId="0" fontId="4" fillId="0" borderId="0" xfId="0" applyFont="1" applyAlignment="1">
      <alignment horizontal="left" indent="4"/>
    </xf>
    <xf numFmtId="169" fontId="4" fillId="0" borderId="3" xfId="0" applyNumberFormat="1" applyFont="1" applyBorder="1"/>
    <xf numFmtId="0" fontId="4" fillId="0" borderId="7" xfId="0" applyFont="1" applyBorder="1" applyAlignment="1">
      <alignment horizontal="left" indent="4"/>
    </xf>
    <xf numFmtId="3" fontId="32" fillId="0" borderId="0" xfId="0" applyNumberFormat="1" applyFont="1"/>
    <xf numFmtId="0" fontId="4" fillId="0" borderId="4" xfId="0" applyFont="1" applyBorder="1"/>
    <xf numFmtId="174" fontId="4" fillId="0" borderId="0" xfId="0" applyNumberFormat="1" applyFont="1"/>
    <xf numFmtId="0" fontId="4" fillId="18" borderId="2" xfId="0" applyFont="1" applyFill="1" applyBorder="1"/>
    <xf numFmtId="0" fontId="4" fillId="18" borderId="5" xfId="0" applyFont="1" applyFill="1" applyBorder="1"/>
    <xf numFmtId="0" fontId="4" fillId="18" borderId="6" xfId="0" applyFont="1" applyFill="1" applyBorder="1"/>
    <xf numFmtId="0" fontId="4" fillId="16" borderId="1" xfId="0" applyFont="1" applyFill="1" applyBorder="1" applyAlignment="1">
      <alignment horizontal="left" vertical="top" wrapText="1" indent="3"/>
    </xf>
    <xf numFmtId="168" fontId="4" fillId="16" borderId="1" xfId="0" applyNumberFormat="1" applyFont="1" applyFill="1" applyBorder="1" applyAlignment="1">
      <alignment horizontal="center"/>
    </xf>
    <xf numFmtId="0" fontId="4" fillId="0" borderId="13" xfId="0" applyFont="1" applyBorder="1"/>
    <xf numFmtId="3" fontId="4" fillId="0" borderId="5" xfId="0" applyNumberFormat="1" applyFont="1" applyBorder="1" applyAlignment="1">
      <alignment horizontal="right"/>
    </xf>
    <xf numFmtId="0" fontId="23" fillId="0" borderId="0" xfId="0" applyFont="1" applyAlignment="1">
      <alignment horizontal="center"/>
    </xf>
    <xf numFmtId="10" fontId="4" fillId="0" borderId="0" xfId="0" applyNumberFormat="1" applyFont="1" applyAlignment="1">
      <alignment horizontal="center"/>
    </xf>
    <xf numFmtId="10" fontId="1" fillId="0" borderId="0" xfId="0" applyNumberFormat="1" applyFont="1" applyAlignment="1">
      <alignment horizontal="center"/>
    </xf>
    <xf numFmtId="10" fontId="1" fillId="0" borderId="33" xfId="0" applyNumberFormat="1" applyFont="1" applyBorder="1" applyAlignment="1">
      <alignment horizontal="center"/>
    </xf>
    <xf numFmtId="10" fontId="1" fillId="16" borderId="33" xfId="0" applyNumberFormat="1" applyFont="1" applyFill="1" applyBorder="1" applyAlignment="1">
      <alignment horizontal="center"/>
    </xf>
    <xf numFmtId="0" fontId="1" fillId="16" borderId="0" xfId="0" applyFont="1" applyFill="1" applyAlignment="1">
      <alignment horizontal="center"/>
    </xf>
    <xf numFmtId="10" fontId="1" fillId="16" borderId="0" xfId="0" applyNumberFormat="1" applyFont="1" applyFill="1" applyAlignment="1">
      <alignment horizontal="center"/>
    </xf>
    <xf numFmtId="10" fontId="4" fillId="16" borderId="5" xfId="0" applyNumberFormat="1" applyFont="1" applyFill="1" applyBorder="1"/>
    <xf numFmtId="10" fontId="4" fillId="16" borderId="2" xfId="0" applyNumberFormat="1" applyFont="1" applyFill="1" applyBorder="1"/>
    <xf numFmtId="10" fontId="4" fillId="16" borderId="5" xfId="0" applyNumberFormat="1" applyFont="1" applyFill="1" applyBorder="1" applyAlignment="1">
      <alignment horizontal="center"/>
    </xf>
    <xf numFmtId="10" fontId="1" fillId="16" borderId="5" xfId="0" applyNumberFormat="1" applyFont="1" applyFill="1" applyBorder="1" applyAlignment="1">
      <alignment horizontal="center"/>
    </xf>
    <xf numFmtId="0" fontId="23" fillId="16" borderId="0" xfId="0" applyFont="1" applyFill="1"/>
    <xf numFmtId="0" fontId="23" fillId="16" borderId="1" xfId="0" applyFont="1" applyFill="1" applyBorder="1"/>
    <xf numFmtId="0" fontId="23" fillId="16" borderId="0" xfId="0" applyFont="1" applyFill="1" applyAlignment="1">
      <alignment horizontal="center"/>
    </xf>
    <xf numFmtId="0" fontId="23" fillId="16" borderId="3" xfId="0" applyFont="1" applyFill="1" applyBorder="1"/>
    <xf numFmtId="0" fontId="23" fillId="16" borderId="7" xfId="0" applyFont="1" applyFill="1" applyBorder="1"/>
    <xf numFmtId="0" fontId="23" fillId="16" borderId="3" xfId="0" applyFont="1" applyFill="1" applyBorder="1" applyAlignment="1">
      <alignment horizontal="center"/>
    </xf>
    <xf numFmtId="0" fontId="1" fillId="16" borderId="3" xfId="0" applyFont="1" applyFill="1" applyBorder="1" applyAlignment="1">
      <alignment horizontal="center"/>
    </xf>
    <xf numFmtId="1" fontId="1" fillId="16" borderId="3" xfId="0" applyNumberFormat="1" applyFont="1" applyFill="1" applyBorder="1" applyAlignment="1">
      <alignment horizontal="center"/>
    </xf>
    <xf numFmtId="0" fontId="1" fillId="0" borderId="3" xfId="0" applyFont="1" applyBorder="1" applyAlignment="1">
      <alignment horizontal="center"/>
    </xf>
    <xf numFmtId="0" fontId="23" fillId="0" borderId="3" xfId="0" applyFont="1" applyBorder="1" applyAlignment="1">
      <alignment horizontal="center"/>
    </xf>
    <xf numFmtId="10" fontId="4" fillId="0" borderId="5" xfId="0" applyNumberFormat="1" applyFont="1" applyBorder="1"/>
    <xf numFmtId="10" fontId="4" fillId="0" borderId="2" xfId="0" applyNumberFormat="1" applyFont="1" applyBorder="1"/>
    <xf numFmtId="10" fontId="4" fillId="0" borderId="5" xfId="0" applyNumberFormat="1" applyFont="1" applyBorder="1" applyAlignment="1">
      <alignment horizontal="center"/>
    </xf>
    <xf numFmtId="1" fontId="1" fillId="0" borderId="3" xfId="0" applyNumberFormat="1" applyFont="1" applyBorder="1" applyAlignment="1">
      <alignment horizontal="center"/>
    </xf>
    <xf numFmtId="0" fontId="12" fillId="0" borderId="2" xfId="0" applyFont="1" applyBorder="1" applyAlignment="1">
      <alignment horizontal="center"/>
    </xf>
    <xf numFmtId="0" fontId="12" fillId="0" borderId="5" xfId="0" applyFont="1" applyBorder="1" applyAlignment="1">
      <alignment horizontal="center"/>
    </xf>
    <xf numFmtId="0" fontId="4" fillId="0" borderId="3" xfId="0" applyFont="1" applyBorder="1" applyAlignment="1">
      <alignment horizontal="left" vertical="top" wrapText="1"/>
    </xf>
    <xf numFmtId="168" fontId="12" fillId="0" borderId="0" xfId="0" applyNumberFormat="1" applyFont="1" applyAlignment="1">
      <alignment horizontal="center"/>
    </xf>
    <xf numFmtId="1" fontId="4" fillId="0" borderId="17" xfId="0" applyNumberFormat="1" applyFont="1" applyBorder="1"/>
    <xf numFmtId="1" fontId="4" fillId="0" borderId="22" xfId="0" applyNumberFormat="1" applyFont="1" applyBorder="1"/>
    <xf numFmtId="167" fontId="4" fillId="0" borderId="22" xfId="0" applyNumberFormat="1" applyFont="1" applyBorder="1"/>
    <xf numFmtId="0" fontId="33" fillId="0" borderId="1" xfId="0" applyFont="1" applyBorder="1" applyAlignment="1">
      <alignment horizontal="left" wrapText="1" indent="1"/>
    </xf>
    <xf numFmtId="0" fontId="33" fillId="0" borderId="1" xfId="0" applyFont="1" applyBorder="1" applyAlignment="1">
      <alignment horizontal="left" indent="1"/>
    </xf>
    <xf numFmtId="0" fontId="4" fillId="0" borderId="1" xfId="0" applyFont="1" applyBorder="1" applyAlignment="1">
      <alignment horizontal="left" indent="2"/>
    </xf>
    <xf numFmtId="0" fontId="34" fillId="0" borderId="1" xfId="0" applyFont="1" applyBorder="1" applyAlignment="1">
      <alignment horizontal="left" indent="1"/>
    </xf>
    <xf numFmtId="0" fontId="4" fillId="19" borderId="1" xfId="0" applyFont="1" applyFill="1" applyBorder="1" applyAlignment="1">
      <alignment horizontal="left"/>
    </xf>
    <xf numFmtId="0" fontId="4" fillId="19" borderId="2" xfId="0" applyFont="1" applyFill="1" applyBorder="1"/>
    <xf numFmtId="168" fontId="4" fillId="8" borderId="0" xfId="0" applyNumberFormat="1" applyFont="1" applyFill="1" applyAlignment="1">
      <alignment horizontal="center"/>
    </xf>
    <xf numFmtId="0" fontId="4" fillId="7" borderId="0" xfId="0" applyFont="1" applyFill="1" applyAlignment="1">
      <alignment horizontal="left" wrapText="1" indent="1"/>
    </xf>
    <xf numFmtId="168" fontId="4" fillId="7" borderId="0" xfId="0" applyNumberFormat="1" applyFont="1" applyFill="1" applyAlignment="1">
      <alignment horizontal="center"/>
    </xf>
    <xf numFmtId="168" fontId="12" fillId="8" borderId="0" xfId="0" applyNumberFormat="1" applyFont="1" applyFill="1" applyAlignment="1">
      <alignment horizontal="center"/>
    </xf>
    <xf numFmtId="168" fontId="23" fillId="7" borderId="0" xfId="0" applyNumberFormat="1" applyFont="1" applyFill="1" applyAlignment="1">
      <alignment horizontal="center"/>
    </xf>
    <xf numFmtId="0" fontId="4" fillId="8" borderId="0" xfId="0" applyFont="1" applyFill="1"/>
    <xf numFmtId="0" fontId="4" fillId="0" borderId="0" xfId="0" applyFont="1" applyAlignment="1">
      <alignment horizontal="left" wrapText="1" indent="1"/>
    </xf>
    <xf numFmtId="0" fontId="4" fillId="0" borderId="0" xfId="0" applyFont="1" applyAlignment="1">
      <alignment horizontal="right"/>
    </xf>
    <xf numFmtId="1" fontId="4" fillId="10" borderId="0" xfId="0" applyNumberFormat="1" applyFont="1" applyFill="1"/>
    <xf numFmtId="1" fontId="4" fillId="3" borderId="0" xfId="0" applyNumberFormat="1" applyFont="1" applyFill="1"/>
    <xf numFmtId="167" fontId="4" fillId="10" borderId="22" xfId="0" applyNumberFormat="1" applyFont="1" applyFill="1" applyBorder="1"/>
    <xf numFmtId="167" fontId="4" fillId="0" borderId="0" xfId="0" applyNumberFormat="1" applyFont="1"/>
    <xf numFmtId="168" fontId="4" fillId="8" borderId="33" xfId="0" applyNumberFormat="1" applyFont="1" applyFill="1" applyBorder="1" applyAlignment="1">
      <alignment horizontal="center"/>
    </xf>
    <xf numFmtId="1" fontId="4" fillId="10" borderId="5" xfId="0" applyNumberFormat="1" applyFont="1" applyFill="1" applyBorder="1" applyAlignment="1">
      <alignment horizontal="center"/>
    </xf>
    <xf numFmtId="168" fontId="4" fillId="8" borderId="8" xfId="0" applyNumberFormat="1" applyFont="1" applyFill="1" applyBorder="1" applyAlignment="1">
      <alignment horizontal="center"/>
    </xf>
    <xf numFmtId="168" fontId="23" fillId="8" borderId="4" xfId="0" applyNumberFormat="1" applyFont="1" applyFill="1" applyBorder="1" applyAlignment="1">
      <alignment horizontal="center"/>
    </xf>
    <xf numFmtId="0" fontId="12" fillId="10" borderId="2" xfId="0" applyFont="1" applyFill="1" applyBorder="1" applyAlignment="1">
      <alignment horizontal="centerContinuous" vertical="center"/>
    </xf>
    <xf numFmtId="0" fontId="12" fillId="10" borderId="6" xfId="0" applyFont="1" applyFill="1" applyBorder="1" applyAlignment="1">
      <alignment horizontal="centerContinuous" vertical="center"/>
    </xf>
    <xf numFmtId="0" fontId="12" fillId="10" borderId="1" xfId="0" applyFont="1" applyFill="1" applyBorder="1" applyAlignment="1">
      <alignment horizontal="centerContinuous" vertical="center"/>
    </xf>
    <xf numFmtId="0" fontId="12" fillId="10" borderId="0" xfId="0" applyFont="1" applyFill="1" applyAlignment="1">
      <alignment horizontal="centerContinuous" vertical="center"/>
    </xf>
    <xf numFmtId="0" fontId="12" fillId="10" borderId="9" xfId="0" applyFont="1" applyFill="1" applyBorder="1" applyAlignment="1">
      <alignment horizontal="centerContinuous"/>
    </xf>
    <xf numFmtId="0" fontId="12" fillId="10" borderId="10" xfId="0" applyFont="1" applyFill="1" applyBorder="1" applyAlignment="1">
      <alignment horizontal="centerContinuous"/>
    </xf>
    <xf numFmtId="168" fontId="23" fillId="0" borderId="3" xfId="0" applyNumberFormat="1" applyFont="1" applyBorder="1" applyAlignment="1">
      <alignment horizontal="center"/>
    </xf>
    <xf numFmtId="1" fontId="4" fillId="8" borderId="5" xfId="0" applyNumberFormat="1" applyFont="1" applyFill="1" applyBorder="1"/>
    <xf numFmtId="0" fontId="4" fillId="0" borderId="16" xfId="0" applyFont="1" applyBorder="1"/>
    <xf numFmtId="0" fontId="4" fillId="0" borderId="17" xfId="0" applyFont="1" applyBorder="1"/>
    <xf numFmtId="1" fontId="4" fillId="8" borderId="17" xfId="0" applyNumberFormat="1" applyFont="1" applyFill="1" applyBorder="1"/>
    <xf numFmtId="0" fontId="4" fillId="0" borderId="19" xfId="0" applyFont="1" applyBorder="1" applyAlignment="1">
      <alignment horizontal="left" wrapText="1" indent="1"/>
    </xf>
    <xf numFmtId="0" fontId="4" fillId="0" borderId="19" xfId="0" applyFont="1" applyBorder="1" applyAlignment="1">
      <alignment horizontal="left" wrapText="1" indent="2"/>
    </xf>
    <xf numFmtId="0" fontId="4" fillId="0" borderId="21" xfId="0" applyFont="1" applyBorder="1" applyAlignment="1">
      <alignment horizontal="left" wrapText="1" indent="2"/>
    </xf>
    <xf numFmtId="0" fontId="4" fillId="0" borderId="22" xfId="0" applyFont="1" applyBorder="1"/>
    <xf numFmtId="1" fontId="4" fillId="0" borderId="45" xfId="0" applyNumberFormat="1" applyFont="1" applyBorder="1"/>
    <xf numFmtId="1" fontId="4" fillId="3" borderId="17" xfId="0" applyNumberFormat="1" applyFont="1" applyFill="1" applyBorder="1"/>
    <xf numFmtId="1" fontId="4" fillId="20" borderId="17" xfId="0" applyNumberFormat="1" applyFont="1" applyFill="1" applyBorder="1"/>
    <xf numFmtId="1" fontId="4" fillId="20" borderId="0" xfId="0" applyNumberFormat="1" applyFont="1" applyFill="1"/>
    <xf numFmtId="1" fontId="4" fillId="0" borderId="46" xfId="0" applyNumberFormat="1" applyFont="1" applyBorder="1"/>
    <xf numFmtId="1" fontId="4" fillId="3" borderId="22" xfId="0" applyNumberFormat="1" applyFont="1" applyFill="1" applyBorder="1"/>
    <xf numFmtId="1" fontId="4" fillId="20" borderId="22" xfId="0" applyNumberFormat="1" applyFont="1" applyFill="1" applyBorder="1"/>
    <xf numFmtId="1" fontId="4" fillId="8" borderId="22" xfId="0" applyNumberFormat="1" applyFont="1" applyFill="1" applyBorder="1"/>
    <xf numFmtId="1" fontId="4" fillId="10" borderId="22" xfId="0" applyNumberFormat="1" applyFont="1" applyFill="1" applyBorder="1"/>
    <xf numFmtId="167" fontId="4" fillId="8" borderId="22" xfId="0" applyNumberFormat="1" applyFont="1" applyFill="1" applyBorder="1"/>
    <xf numFmtId="1" fontId="4" fillId="0" borderId="1" xfId="0" applyNumberFormat="1" applyFont="1" applyBorder="1"/>
    <xf numFmtId="0" fontId="4" fillId="0" borderId="7" xfId="0" applyFont="1" applyBorder="1" applyAlignment="1">
      <alignment horizontal="right"/>
    </xf>
    <xf numFmtId="0" fontId="4" fillId="0" borderId="33" xfId="0" applyFont="1" applyBorder="1"/>
    <xf numFmtId="1" fontId="4" fillId="0" borderId="33" xfId="0" applyNumberFormat="1" applyFont="1" applyBorder="1"/>
    <xf numFmtId="168" fontId="4" fillId="0" borderId="6" xfId="0" applyNumberFormat="1" applyFont="1" applyBorder="1"/>
    <xf numFmtId="0" fontId="4" fillId="0" borderId="7" xfId="0" applyFont="1" applyBorder="1" applyAlignment="1">
      <alignment horizontal="center"/>
    </xf>
    <xf numFmtId="3" fontId="4" fillId="0" borderId="0" xfId="0" applyNumberFormat="1" applyFont="1"/>
    <xf numFmtId="168" fontId="4" fillId="8" borderId="4" xfId="0" applyNumberFormat="1" applyFont="1" applyFill="1" applyBorder="1" applyAlignment="1">
      <alignment horizontal="center"/>
    </xf>
    <xf numFmtId="0" fontId="12" fillId="0" borderId="33" xfId="0" applyFont="1" applyBorder="1" applyAlignment="1">
      <alignment horizontal="center"/>
    </xf>
    <xf numFmtId="0" fontId="23" fillId="0" borderId="1" xfId="0" applyFont="1" applyBorder="1" applyAlignment="1">
      <alignment horizontal="center"/>
    </xf>
    <xf numFmtId="168" fontId="4" fillId="8" borderId="5"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42" xfId="0" applyFont="1" applyBorder="1"/>
    <xf numFmtId="0" fontId="4" fillId="0" borderId="12" xfId="0" applyFont="1" applyBorder="1" applyAlignment="1">
      <alignment horizontal="left" wrapText="1" indent="8"/>
    </xf>
    <xf numFmtId="0" fontId="12" fillId="0" borderId="0" xfId="0" applyFont="1" applyAlignment="1">
      <alignment horizontal="left" indent="1"/>
    </xf>
    <xf numFmtId="0" fontId="12" fillId="0" borderId="38" xfId="0" applyFont="1" applyBorder="1"/>
    <xf numFmtId="0" fontId="12" fillId="0" borderId="43" xfId="0" applyFont="1" applyBorder="1"/>
    <xf numFmtId="169" fontId="4" fillId="9" borderId="3" xfId="0" applyNumberFormat="1" applyFont="1" applyFill="1" applyBorder="1"/>
    <xf numFmtId="4" fontId="4" fillId="0" borderId="0" xfId="0" applyNumberFormat="1" applyFont="1"/>
    <xf numFmtId="0" fontId="4" fillId="8" borderId="4" xfId="0" applyFont="1" applyFill="1" applyBorder="1"/>
    <xf numFmtId="3" fontId="4" fillId="0" borderId="4" xfId="0" applyNumberFormat="1" applyFont="1" applyBorder="1"/>
    <xf numFmtId="169" fontId="4" fillId="9" borderId="8" xfId="0" applyNumberFormat="1" applyFont="1" applyFill="1" applyBorder="1"/>
    <xf numFmtId="3" fontId="4" fillId="0" borderId="2" xfId="0" applyNumberFormat="1" applyFont="1" applyBorder="1"/>
    <xf numFmtId="1" fontId="4" fillId="8" borderId="33" xfId="0" applyNumberFormat="1" applyFont="1" applyFill="1" applyBorder="1"/>
    <xf numFmtId="168" fontId="4" fillId="9" borderId="0" xfId="0" applyNumberFormat="1" applyFont="1" applyFill="1" applyAlignment="1">
      <alignment horizontal="center"/>
    </xf>
    <xf numFmtId="168" fontId="4" fillId="21" borderId="0" xfId="0" applyNumberFormat="1" applyFont="1" applyFill="1" applyAlignment="1">
      <alignment horizontal="center"/>
    </xf>
    <xf numFmtId="168" fontId="23" fillId="22" borderId="0" xfId="0" applyNumberFormat="1" applyFont="1" applyFill="1" applyAlignment="1">
      <alignment horizontal="center"/>
    </xf>
    <xf numFmtId="0" fontId="4" fillId="19" borderId="1" xfId="0" applyFont="1" applyFill="1" applyBorder="1" applyAlignment="1">
      <alignment horizontal="left" wrapText="1"/>
    </xf>
    <xf numFmtId="0" fontId="4" fillId="0" borderId="47" xfId="0" applyFont="1" applyBorder="1" applyAlignment="1">
      <alignment horizontal="left" indent="1"/>
    </xf>
    <xf numFmtId="0" fontId="12" fillId="0" borderId="47" xfId="0" applyFont="1" applyBorder="1" applyAlignment="1">
      <alignment horizontal="left"/>
    </xf>
    <xf numFmtId="168" fontId="12" fillId="8" borderId="4" xfId="0" applyNumberFormat="1" applyFont="1" applyFill="1" applyBorder="1" applyAlignment="1">
      <alignment horizontal="center"/>
    </xf>
    <xf numFmtId="0" fontId="1" fillId="0" borderId="2" xfId="0" applyFont="1" applyBorder="1"/>
    <xf numFmtId="0" fontId="1" fillId="0" borderId="1" xfId="0" applyFont="1" applyBorder="1" applyAlignment="1">
      <alignment horizontal="left" indent="1"/>
    </xf>
    <xf numFmtId="0" fontId="1" fillId="0" borderId="4" xfId="0" applyFont="1" applyBorder="1" applyAlignment="1">
      <alignment horizontal="left" indent="1"/>
    </xf>
    <xf numFmtId="0" fontId="1" fillId="0" borderId="7" xfId="0" applyFont="1" applyBorder="1" applyAlignment="1">
      <alignment horizontal="left"/>
    </xf>
    <xf numFmtId="0" fontId="1" fillId="0" borderId="2" xfId="0" applyFont="1" applyBorder="1" applyAlignment="1">
      <alignment horizontal="left"/>
    </xf>
    <xf numFmtId="0" fontId="7" fillId="0" borderId="0" xfId="0" applyFont="1"/>
    <xf numFmtId="0" fontId="7" fillId="23" borderId="0" xfId="0" applyFont="1" applyFill="1" applyAlignment="1">
      <alignment horizontal="center"/>
    </xf>
    <xf numFmtId="2" fontId="7" fillId="0" borderId="0" xfId="0" applyNumberFormat="1" applyFont="1"/>
    <xf numFmtId="2" fontId="7" fillId="7" borderId="0" xfId="0" applyNumberFormat="1" applyFont="1" applyFill="1"/>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168" fontId="23" fillId="24" borderId="0" xfId="0" applyNumberFormat="1" applyFont="1" applyFill="1" applyAlignment="1">
      <alignment horizontal="center" vertical="top" wrapText="1"/>
    </xf>
    <xf numFmtId="2" fontId="4" fillId="0" borderId="0" xfId="0" applyNumberFormat="1" applyFont="1" applyAlignment="1">
      <alignment horizontal="center"/>
    </xf>
    <xf numFmtId="0" fontId="12" fillId="14" borderId="0" xfId="0" applyFont="1" applyFill="1" applyAlignment="1">
      <alignment horizontal="center"/>
    </xf>
    <xf numFmtId="9" fontId="13" fillId="0" borderId="0" xfId="0" applyNumberFormat="1" applyFont="1"/>
    <xf numFmtId="1" fontId="4" fillId="15" borderId="0" xfId="0" applyNumberFormat="1" applyFont="1" applyFill="1" applyAlignment="1">
      <alignment horizontal="center" vertical="top" wrapText="1"/>
    </xf>
    <xf numFmtId="0" fontId="26" fillId="0" borderId="0" xfId="0" applyFont="1" applyAlignment="1">
      <alignment horizontal="left" vertical="top" wrapText="1"/>
    </xf>
    <xf numFmtId="10" fontId="13" fillId="0" borderId="0" xfId="0" applyNumberFormat="1" applyFont="1"/>
    <xf numFmtId="1" fontId="23" fillId="0" borderId="0" xfId="0" applyNumberFormat="1" applyFont="1" applyAlignment="1">
      <alignment horizontal="center" vertical="top" wrapText="1"/>
    </xf>
    <xf numFmtId="1" fontId="4" fillId="0" borderId="22" xfId="0" applyNumberFormat="1" applyFont="1" applyBorder="1" applyAlignment="1">
      <alignment horizontal="center" vertical="top" wrapText="1"/>
    </xf>
    <xf numFmtId="168" fontId="23" fillId="0" borderId="0" xfId="0" applyNumberFormat="1" applyFont="1" applyAlignment="1">
      <alignment horizontal="center" vertical="top" wrapText="1"/>
    </xf>
    <xf numFmtId="168" fontId="4" fillId="0" borderId="0" xfId="0" applyNumberFormat="1" applyFont="1" applyAlignment="1">
      <alignment horizontal="center" vertical="top" wrapText="1"/>
    </xf>
    <xf numFmtId="168" fontId="4" fillId="0" borderId="33" xfId="0" applyNumberFormat="1" applyFont="1" applyBorder="1" applyAlignment="1">
      <alignment horizontal="right" vertical="top" wrapText="1"/>
    </xf>
    <xf numFmtId="10" fontId="4" fillId="0" borderId="0" xfId="0" applyNumberFormat="1" applyFont="1"/>
    <xf numFmtId="0" fontId="4" fillId="0" borderId="7" xfId="0" applyFont="1" applyBorder="1" applyAlignment="1">
      <alignment horizontal="left" indent="1"/>
    </xf>
    <xf numFmtId="9" fontId="4" fillId="0" borderId="3" xfId="0" applyNumberFormat="1" applyFont="1" applyBorder="1"/>
    <xf numFmtId="9" fontId="4" fillId="0" borderId="8" xfId="0" applyNumberFormat="1" applyFont="1" applyBorder="1"/>
    <xf numFmtId="2" fontId="4" fillId="0" borderId="1" xfId="0" applyNumberFormat="1" applyFont="1" applyBorder="1" applyAlignment="1">
      <alignment horizontal="center"/>
    </xf>
    <xf numFmtId="2" fontId="4" fillId="0" borderId="7" xfId="0" applyNumberFormat="1" applyFont="1" applyBorder="1" applyAlignment="1">
      <alignment horizontal="center"/>
    </xf>
    <xf numFmtId="2" fontId="4" fillId="0" borderId="3" xfId="0" applyNumberFormat="1" applyFont="1" applyBorder="1" applyAlignment="1">
      <alignment horizontal="center"/>
    </xf>
    <xf numFmtId="167" fontId="4" fillId="0" borderId="7" xfId="0" applyNumberFormat="1" applyFont="1" applyBorder="1" applyAlignment="1">
      <alignment horizontal="center"/>
    </xf>
    <xf numFmtId="167" fontId="4" fillId="0" borderId="3" xfId="0" applyNumberFormat="1" applyFont="1" applyBorder="1" applyAlignment="1">
      <alignment horizontal="center"/>
    </xf>
    <xf numFmtId="167" fontId="4" fillId="0" borderId="8" xfId="0" applyNumberFormat="1" applyFont="1" applyBorder="1" applyAlignment="1">
      <alignment horizontal="center"/>
    </xf>
    <xf numFmtId="1" fontId="4" fillId="8" borderId="4" xfId="0" applyNumberFormat="1" applyFont="1" applyFill="1" applyBorder="1" applyAlignment="1">
      <alignment horizontal="center"/>
    </xf>
    <xf numFmtId="1" fontId="4" fillId="0" borderId="1" xfId="0" applyNumberFormat="1" applyFont="1" applyBorder="1" applyAlignment="1">
      <alignment horizontal="center"/>
    </xf>
    <xf numFmtId="1" fontId="4" fillId="0" borderId="4" xfId="0" applyNumberFormat="1" applyFont="1" applyBorder="1" applyAlignment="1">
      <alignment horizontal="center"/>
    </xf>
    <xf numFmtId="167" fontId="4" fillId="0" borderId="6" xfId="0" applyNumberFormat="1" applyFont="1" applyBorder="1" applyAlignment="1">
      <alignment horizontal="center"/>
    </xf>
    <xf numFmtId="167" fontId="4" fillId="0" borderId="5" xfId="0" applyNumberFormat="1" applyFont="1" applyBorder="1" applyAlignment="1">
      <alignment horizontal="center"/>
    </xf>
    <xf numFmtId="167" fontId="4" fillId="8" borderId="5" xfId="0" applyNumberFormat="1" applyFont="1" applyFill="1" applyBorder="1" applyAlignment="1">
      <alignment horizontal="center"/>
    </xf>
    <xf numFmtId="167" fontId="4" fillId="8" borderId="6" xfId="0" applyNumberFormat="1" applyFont="1" applyFill="1" applyBorder="1" applyAlignment="1">
      <alignment horizontal="center"/>
    </xf>
    <xf numFmtId="167" fontId="4" fillId="8" borderId="4" xfId="0" applyNumberFormat="1" applyFont="1" applyFill="1" applyBorder="1" applyAlignment="1">
      <alignment horizontal="center"/>
    </xf>
    <xf numFmtId="167" fontId="4" fillId="8" borderId="3" xfId="0" applyNumberFormat="1" applyFont="1" applyFill="1" applyBorder="1" applyAlignment="1">
      <alignment horizontal="center"/>
    </xf>
    <xf numFmtId="167" fontId="4" fillId="8" borderId="8" xfId="0" applyNumberFormat="1" applyFont="1" applyFill="1" applyBorder="1" applyAlignment="1">
      <alignment horizontal="center"/>
    </xf>
    <xf numFmtId="167" fontId="4" fillId="10" borderId="4" xfId="0" applyNumberFormat="1" applyFont="1" applyFill="1" applyBorder="1" applyAlignment="1">
      <alignment horizontal="center"/>
    </xf>
    <xf numFmtId="167" fontId="4" fillId="10" borderId="3" xfId="0" applyNumberFormat="1" applyFont="1" applyFill="1" applyBorder="1" applyAlignment="1">
      <alignment horizontal="center"/>
    </xf>
    <xf numFmtId="1" fontId="4" fillId="0" borderId="3" xfId="0" applyNumberFormat="1" applyFont="1" applyBorder="1" applyAlignment="1">
      <alignment horizontal="center"/>
    </xf>
    <xf numFmtId="167" fontId="4" fillId="0" borderId="1" xfId="0" applyNumberFormat="1" applyFont="1" applyBorder="1" applyAlignment="1">
      <alignment horizontal="center"/>
    </xf>
    <xf numFmtId="1" fontId="4" fillId="8" borderId="3" xfId="0" applyNumberFormat="1" applyFont="1" applyFill="1" applyBorder="1" applyAlignment="1">
      <alignment horizontal="center"/>
    </xf>
    <xf numFmtId="1" fontId="4" fillId="8" borderId="8" xfId="0" applyNumberFormat="1" applyFont="1" applyFill="1" applyBorder="1" applyAlignment="1">
      <alignment horizontal="center"/>
    </xf>
    <xf numFmtId="0" fontId="23" fillId="0" borderId="0" xfId="0" applyFont="1" applyAlignment="1">
      <alignment horizontal="center" vertical="top" wrapText="1"/>
    </xf>
    <xf numFmtId="3" fontId="23" fillId="0" borderId="0" xfId="0" applyNumberFormat="1" applyFont="1" applyAlignment="1">
      <alignment horizontal="center" vertical="top" wrapText="1"/>
    </xf>
    <xf numFmtId="2" fontId="4" fillId="0" borderId="2"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2" xfId="0" applyNumberFormat="1" applyFont="1" applyBorder="1" applyAlignment="1">
      <alignment horizontal="center"/>
    </xf>
    <xf numFmtId="0" fontId="23" fillId="0" borderId="0" xfId="0" applyFont="1" applyAlignment="1">
      <alignment horizontal="left" vertical="top" wrapText="1"/>
    </xf>
    <xf numFmtId="0" fontId="27" fillId="0" borderId="46" xfId="0" applyFont="1" applyBorder="1" applyAlignment="1">
      <alignment horizontal="left" indent="2"/>
    </xf>
    <xf numFmtId="165" fontId="4" fillId="0" borderId="22" xfId="0" applyNumberFormat="1" applyFont="1" applyBorder="1" applyAlignment="1">
      <alignment horizontal="center" vertical="top" wrapText="1"/>
    </xf>
    <xf numFmtId="175" fontId="27" fillId="0" borderId="0" xfId="0" applyNumberFormat="1" applyFont="1" applyAlignment="1">
      <alignment horizontal="center"/>
    </xf>
    <xf numFmtId="0" fontId="4" fillId="0" borderId="2" xfId="0" applyFont="1" applyBorder="1" applyAlignment="1">
      <alignment horizontal="left" indent="1"/>
    </xf>
    <xf numFmtId="0" fontId="35" fillId="0" borderId="1" xfId="0" applyFont="1" applyBorder="1" applyAlignment="1">
      <alignment horizontal="left" wrapText="1"/>
    </xf>
    <xf numFmtId="0" fontId="36" fillId="0" borderId="0" xfId="0" applyFont="1"/>
    <xf numFmtId="0" fontId="27" fillId="0" borderId="0" xfId="0" applyFont="1"/>
    <xf numFmtId="0" fontId="35" fillId="0" borderId="0" xfId="0" applyFont="1"/>
    <xf numFmtId="0" fontId="37" fillId="0" borderId="1" xfId="0" applyFont="1" applyBorder="1" applyAlignment="1">
      <alignment horizontal="left"/>
    </xf>
    <xf numFmtId="175" fontId="27" fillId="0" borderId="4" xfId="0" applyNumberFormat="1" applyFont="1" applyBorder="1" applyAlignment="1">
      <alignment horizontal="center"/>
    </xf>
    <xf numFmtId="167" fontId="23" fillId="0" borderId="0" xfId="0" applyNumberFormat="1" applyFont="1"/>
    <xf numFmtId="0" fontId="23" fillId="0" borderId="7" xfId="0" applyFont="1" applyBorder="1" applyAlignment="1">
      <alignment horizontal="left" vertical="top" wrapText="1"/>
    </xf>
    <xf numFmtId="0" fontId="12" fillId="0" borderId="44" xfId="0" applyFont="1" applyBorder="1"/>
    <xf numFmtId="0" fontId="4" fillId="0" borderId="12" xfId="0" applyFont="1" applyBorder="1" applyAlignment="1">
      <alignment horizontal="left" indent="1"/>
    </xf>
    <xf numFmtId="0" fontId="4" fillId="0" borderId="13" xfId="0" applyFont="1" applyBorder="1" applyAlignment="1">
      <alignment horizontal="left" indent="1"/>
    </xf>
    <xf numFmtId="0" fontId="27" fillId="0" borderId="13" xfId="0" applyFont="1" applyBorder="1" applyAlignment="1">
      <alignment horizontal="left" indent="1"/>
    </xf>
    <xf numFmtId="0" fontId="27" fillId="0" borderId="12" xfId="0" applyFont="1" applyBorder="1" applyAlignment="1">
      <alignment horizontal="left" indent="1"/>
    </xf>
    <xf numFmtId="0" fontId="4" fillId="0" borderId="34" xfId="0" applyFont="1" applyBorder="1"/>
    <xf numFmtId="168" fontId="23" fillId="0" borderId="0" xfId="0" applyNumberFormat="1" applyFont="1" applyAlignment="1">
      <alignment horizontal="right" vertical="top" wrapText="1"/>
    </xf>
    <xf numFmtId="175" fontId="35" fillId="0" borderId="0" xfId="0" applyNumberFormat="1" applyFont="1" applyAlignment="1">
      <alignment horizontal="center"/>
    </xf>
    <xf numFmtId="1" fontId="4" fillId="0" borderId="0" xfId="0" applyNumberFormat="1" applyFont="1" applyAlignment="1">
      <alignment horizontal="center" vertical="top" wrapText="1"/>
    </xf>
    <xf numFmtId="1" fontId="4" fillId="0" borderId="0" xfId="0" applyNumberFormat="1" applyFont="1" applyAlignment="1">
      <alignment horizontal="center" vertical="center"/>
    </xf>
    <xf numFmtId="1" fontId="4" fillId="0" borderId="33" xfId="0" applyNumberFormat="1" applyFont="1" applyBorder="1" applyAlignment="1">
      <alignment horizontal="center" vertical="center"/>
    </xf>
    <xf numFmtId="168" fontId="4" fillId="10" borderId="0" xfId="0" applyNumberFormat="1" applyFont="1" applyFill="1" applyAlignment="1">
      <alignment horizontal="center" vertical="top" wrapText="1"/>
    </xf>
    <xf numFmtId="1" fontId="23" fillId="8" borderId="0" xfId="0" applyNumberFormat="1" applyFont="1" applyFill="1" applyAlignment="1">
      <alignment horizontal="center" vertical="top" wrapText="1"/>
    </xf>
    <xf numFmtId="1" fontId="4" fillId="8" borderId="0" xfId="0" applyNumberFormat="1" applyFont="1" applyFill="1" applyAlignment="1">
      <alignment horizontal="center" vertical="top" wrapText="1"/>
    </xf>
    <xf numFmtId="168" fontId="23" fillId="24" borderId="3" xfId="0" applyNumberFormat="1" applyFont="1" applyFill="1" applyBorder="1" applyAlignment="1">
      <alignment horizontal="center" vertical="top" wrapText="1"/>
    </xf>
    <xf numFmtId="168" fontId="23" fillId="14" borderId="0" xfId="0" applyNumberFormat="1" applyFont="1" applyFill="1" applyAlignment="1">
      <alignment horizontal="center" vertical="top" wrapText="1"/>
    </xf>
    <xf numFmtId="168" fontId="4" fillId="15" borderId="0" xfId="0" applyNumberFormat="1" applyFont="1" applyFill="1" applyAlignment="1">
      <alignment horizontal="center" vertical="top" wrapText="1"/>
    </xf>
    <xf numFmtId="167" fontId="4" fillId="10" borderId="0" xfId="0" applyNumberFormat="1" applyFont="1" applyFill="1" applyAlignment="1">
      <alignment horizontal="center"/>
    </xf>
    <xf numFmtId="167" fontId="4" fillId="8" borderId="0" xfId="0" applyNumberFormat="1" applyFont="1" applyFill="1" applyAlignment="1">
      <alignment horizontal="center"/>
    </xf>
    <xf numFmtId="167" fontId="4" fillId="0" borderId="0" xfId="0" applyNumberFormat="1" applyFont="1" applyAlignment="1">
      <alignment horizontal="center"/>
    </xf>
    <xf numFmtId="167" fontId="4" fillId="24" borderId="8" xfId="0" applyNumberFormat="1" applyFont="1" applyFill="1" applyBorder="1" applyAlignment="1">
      <alignment horizontal="center"/>
    </xf>
    <xf numFmtId="1" fontId="4" fillId="19" borderId="5" xfId="0" applyNumberFormat="1" applyFont="1" applyFill="1" applyBorder="1" applyAlignment="1">
      <alignment horizontal="center"/>
    </xf>
    <xf numFmtId="1" fontId="4" fillId="19" borderId="0" xfId="0" applyNumberFormat="1" applyFont="1" applyFill="1" applyAlignment="1">
      <alignment horizontal="center"/>
    </xf>
    <xf numFmtId="1" fontId="4" fillId="19" borderId="3" xfId="0" applyNumberFormat="1" applyFont="1" applyFill="1" applyBorder="1" applyAlignment="1">
      <alignment horizontal="center"/>
    </xf>
    <xf numFmtId="167" fontId="4" fillId="19" borderId="5" xfId="0" applyNumberFormat="1" applyFont="1" applyFill="1" applyBorder="1" applyAlignment="1">
      <alignment horizontal="center"/>
    </xf>
    <xf numFmtId="167" fontId="4" fillId="19" borderId="0" xfId="0" applyNumberFormat="1" applyFont="1" applyFill="1" applyAlignment="1">
      <alignment horizontal="center"/>
    </xf>
    <xf numFmtId="167" fontId="4" fillId="19" borderId="3" xfId="0" applyNumberFormat="1" applyFont="1" applyFill="1" applyBorder="1" applyAlignment="1">
      <alignment horizontal="center"/>
    </xf>
    <xf numFmtId="168" fontId="4" fillId="8" borderId="33" xfId="0" applyNumberFormat="1" applyFont="1" applyFill="1" applyBorder="1" applyAlignment="1">
      <alignment horizontal="right" vertical="top" wrapText="1"/>
    </xf>
    <xf numFmtId="168" fontId="4" fillId="0" borderId="0" xfId="0" applyNumberFormat="1" applyFont="1" applyAlignment="1">
      <alignment horizontal="right" vertical="top" wrapText="1"/>
    </xf>
    <xf numFmtId="0" fontId="4" fillId="0" borderId="1" xfId="0" applyFont="1" applyBorder="1" applyAlignment="1">
      <alignment horizontal="left" indent="1"/>
    </xf>
    <xf numFmtId="0" fontId="4" fillId="0" borderId="6" xfId="0" applyFont="1" applyBorder="1" applyAlignment="1">
      <alignment horizontal="center"/>
    </xf>
    <xf numFmtId="1" fontId="4" fillId="0" borderId="3" xfId="0" applyNumberFormat="1" applyFont="1" applyBorder="1"/>
    <xf numFmtId="1" fontId="4" fillId="8" borderId="3" xfId="0" applyNumberFormat="1" applyFont="1" applyFill="1" applyBorder="1"/>
    <xf numFmtId="1" fontId="35" fillId="0" borderId="0" xfId="0" applyNumberFormat="1" applyFont="1" applyAlignment="1">
      <alignment horizontal="center"/>
    </xf>
    <xf numFmtId="175" fontId="35" fillId="0" borderId="0" xfId="0" applyNumberFormat="1" applyFont="1"/>
    <xf numFmtId="0" fontId="35" fillId="0" borderId="0" xfId="0" applyFont="1" applyAlignment="1">
      <alignment horizontal="left" indent="2"/>
    </xf>
    <xf numFmtId="176" fontId="35" fillId="0" borderId="0" xfId="0" applyNumberFormat="1" applyFont="1" applyAlignment="1">
      <alignment horizontal="center"/>
    </xf>
    <xf numFmtId="1" fontId="12" fillId="0" borderId="0" xfId="0" applyNumberFormat="1" applyFont="1" applyAlignment="1">
      <alignment horizontal="center"/>
    </xf>
    <xf numFmtId="175" fontId="35" fillId="14" borderId="5" xfId="0" applyNumberFormat="1" applyFont="1" applyFill="1" applyBorder="1" applyAlignment="1">
      <alignment horizontal="center"/>
    </xf>
    <xf numFmtId="168" fontId="4" fillId="0" borderId="1" xfId="0" applyNumberFormat="1" applyFont="1" applyBorder="1" applyAlignment="1">
      <alignment horizontal="right" vertical="top" wrapText="1"/>
    </xf>
    <xf numFmtId="3" fontId="23" fillId="0" borderId="3" xfId="0" applyNumberFormat="1" applyFont="1" applyBorder="1" applyAlignment="1">
      <alignment horizontal="center" vertical="top" wrapText="1"/>
    </xf>
    <xf numFmtId="176" fontId="27" fillId="0" borderId="0" xfId="0" applyNumberFormat="1" applyFont="1" applyAlignment="1">
      <alignment horizontal="center"/>
    </xf>
    <xf numFmtId="0" fontId="12" fillId="14" borderId="38" xfId="0" applyFont="1" applyFill="1" applyBorder="1" applyAlignment="1">
      <alignment horizontal="center"/>
    </xf>
    <xf numFmtId="0" fontId="12" fillId="14" borderId="43" xfId="0" applyFont="1" applyFill="1" applyBorder="1" applyAlignment="1">
      <alignment horizontal="center"/>
    </xf>
    <xf numFmtId="0" fontId="12" fillId="14" borderId="5" xfId="0" applyFont="1" applyFill="1" applyBorder="1" applyAlignment="1">
      <alignment horizontal="center"/>
    </xf>
    <xf numFmtId="0" fontId="12" fillId="14" borderId="6" xfId="0" applyFont="1" applyFill="1" applyBorder="1" applyAlignment="1">
      <alignment horizontal="center"/>
    </xf>
    <xf numFmtId="0" fontId="27" fillId="0" borderId="1" xfId="0" applyFont="1" applyBorder="1"/>
    <xf numFmtId="175" fontId="35" fillId="14" borderId="6" xfId="0" applyNumberFormat="1" applyFont="1" applyFill="1" applyBorder="1" applyAlignment="1">
      <alignment horizontal="center"/>
    </xf>
    <xf numFmtId="175" fontId="35" fillId="14" borderId="38" xfId="0" applyNumberFormat="1" applyFont="1" applyFill="1" applyBorder="1" applyAlignment="1">
      <alignment horizontal="center"/>
    </xf>
    <xf numFmtId="175" fontId="35" fillId="14" borderId="43" xfId="0" applyNumberFormat="1" applyFont="1" applyFill="1" applyBorder="1" applyAlignment="1">
      <alignment horizontal="center"/>
    </xf>
    <xf numFmtId="175" fontId="27" fillId="0" borderId="0" xfId="0" applyNumberFormat="1" applyFont="1" applyAlignment="1">
      <alignment horizontal="left"/>
    </xf>
    <xf numFmtId="0" fontId="27" fillId="0" borderId="1" xfId="0" applyFont="1" applyBorder="1" applyAlignment="1">
      <alignment horizontal="left" indent="1"/>
    </xf>
    <xf numFmtId="0" fontId="27" fillId="0" borderId="7"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8"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3" fillId="0" borderId="1" xfId="0" applyNumberFormat="1" applyFont="1" applyBorder="1" applyAlignment="1">
      <alignment horizontal="center" vertical="top" wrapText="1"/>
    </xf>
    <xf numFmtId="168" fontId="23" fillId="0" borderId="7" xfId="0" applyNumberFormat="1" applyFont="1" applyBorder="1" applyAlignment="1">
      <alignment horizontal="center" vertical="top" wrapText="1"/>
    </xf>
    <xf numFmtId="0" fontId="12" fillId="0" borderId="44" xfId="0" applyFont="1" applyBorder="1" applyAlignment="1">
      <alignment horizontal="left" indent="1"/>
    </xf>
    <xf numFmtId="0" fontId="4" fillId="0" borderId="2" xfId="0" applyFont="1" applyBorder="1" applyAlignment="1">
      <alignment horizontal="left" indent="2"/>
    </xf>
    <xf numFmtId="0" fontId="4" fillId="0" borderId="0" xfId="0" applyFont="1" applyAlignment="1">
      <alignment horizontal="left" indent="2"/>
    </xf>
    <xf numFmtId="175" fontId="27" fillId="0" borderId="8" xfId="0" applyNumberFormat="1" applyFont="1" applyBorder="1" applyAlignment="1">
      <alignment horizontal="center"/>
    </xf>
    <xf numFmtId="10" fontId="23" fillId="0" borderId="0" xfId="0" applyNumberFormat="1" applyFont="1" applyAlignment="1">
      <alignment horizontal="center" vertical="top" wrapText="1"/>
    </xf>
    <xf numFmtId="0" fontId="1" fillId="16" borderId="1" xfId="0" applyFont="1" applyFill="1" applyBorder="1"/>
    <xf numFmtId="0" fontId="1" fillId="16" borderId="7" xfId="0" applyFont="1" applyFill="1" applyBorder="1"/>
    <xf numFmtId="167" fontId="4" fillId="0" borderId="4" xfId="0" applyNumberFormat="1" applyFont="1" applyBorder="1" applyAlignment="1">
      <alignment horizontal="center"/>
    </xf>
    <xf numFmtId="1" fontId="4" fillId="0" borderId="0" xfId="0" applyNumberFormat="1" applyFont="1" applyAlignment="1">
      <alignment horizontal="center"/>
    </xf>
    <xf numFmtId="0" fontId="35" fillId="0" borderId="2" xfId="0" applyFont="1" applyBorder="1" applyAlignment="1">
      <alignment horizontal="left"/>
    </xf>
    <xf numFmtId="1" fontId="4" fillId="8" borderId="22" xfId="0" applyNumberFormat="1" applyFont="1" applyFill="1" applyBorder="1" applyAlignment="1">
      <alignment horizontal="center" vertical="top" wrapText="1"/>
    </xf>
    <xf numFmtId="168" fontId="4" fillId="0" borderId="2" xfId="0" applyNumberFormat="1" applyFont="1" applyBorder="1" applyAlignment="1">
      <alignment horizontal="right" vertical="top" wrapText="1"/>
    </xf>
    <xf numFmtId="168" fontId="4" fillId="0" borderId="5" xfId="0" applyNumberFormat="1" applyFont="1" applyBorder="1" applyAlignment="1">
      <alignment horizontal="right" vertical="top" wrapText="1"/>
    </xf>
    <xf numFmtId="168" fontId="4" fillId="8" borderId="5" xfId="0" applyNumberFormat="1" applyFont="1" applyFill="1" applyBorder="1" applyAlignment="1">
      <alignment horizontal="right" vertical="top" wrapText="1"/>
    </xf>
    <xf numFmtId="168" fontId="4" fillId="0" borderId="22" xfId="0" applyNumberFormat="1" applyFont="1" applyBorder="1" applyAlignment="1">
      <alignment horizontal="center" vertical="top" wrapText="1"/>
    </xf>
    <xf numFmtId="168" fontId="4" fillId="0" borderId="46" xfId="0" applyNumberFormat="1" applyFont="1" applyBorder="1" applyAlignment="1">
      <alignment horizontal="center" vertical="top" wrapText="1"/>
    </xf>
    <xf numFmtId="0" fontId="26" fillId="0" borderId="0" xfId="0" applyFont="1" applyAlignment="1">
      <alignment horizontal="center" vertical="top" wrapText="1"/>
    </xf>
    <xf numFmtId="0" fontId="12" fillId="0" borderId="2" xfId="0" applyFont="1" applyBorder="1" applyAlignment="1">
      <alignment horizontal="left" vertical="top" wrapText="1"/>
    </xf>
    <xf numFmtId="168" fontId="23" fillId="0" borderId="3" xfId="0" applyNumberFormat="1" applyFont="1" applyBorder="1" applyAlignment="1">
      <alignment horizontal="center" vertical="top" wrapText="1"/>
    </xf>
    <xf numFmtId="168" fontId="38" fillId="8" borderId="3" xfId="0" applyNumberFormat="1" applyFont="1" applyFill="1" applyBorder="1" applyAlignment="1">
      <alignment horizontal="center"/>
    </xf>
    <xf numFmtId="168" fontId="23" fillId="24" borderId="8" xfId="0" applyNumberFormat="1" applyFont="1" applyFill="1" applyBorder="1" applyAlignment="1">
      <alignment horizontal="center" vertical="top" wrapText="1"/>
    </xf>
    <xf numFmtId="1" fontId="4" fillId="0" borderId="5" xfId="0" applyNumberFormat="1" applyFont="1" applyBorder="1" applyAlignment="1">
      <alignment horizontal="center"/>
    </xf>
    <xf numFmtId="167" fontId="4" fillId="10" borderId="8" xfId="0" applyNumberFormat="1" applyFont="1" applyFill="1" applyBorder="1" applyAlignment="1">
      <alignment horizontal="center"/>
    </xf>
    <xf numFmtId="0" fontId="4" fillId="16" borderId="1" xfId="0" applyFont="1" applyFill="1" applyBorder="1" applyAlignment="1">
      <alignment horizontal="left" indent="2"/>
    </xf>
    <xf numFmtId="0" fontId="1" fillId="16" borderId="4" xfId="0" applyFont="1" applyFill="1" applyBorder="1"/>
    <xf numFmtId="167" fontId="4" fillId="16" borderId="0" xfId="0" applyNumberFormat="1" applyFont="1" applyFill="1" applyAlignment="1">
      <alignment horizontal="center"/>
    </xf>
    <xf numFmtId="0" fontId="4" fillId="16" borderId="0" xfId="0" applyFont="1" applyFill="1" applyAlignment="1">
      <alignment horizontal="center"/>
    </xf>
    <xf numFmtId="0" fontId="4" fillId="16" borderId="1" xfId="0" applyFont="1" applyFill="1" applyBorder="1" applyAlignment="1">
      <alignment horizontal="left" indent="4"/>
    </xf>
    <xf numFmtId="0" fontId="4" fillId="16" borderId="4" xfId="0" applyFont="1" applyFill="1" applyBorder="1"/>
    <xf numFmtId="0" fontId="4" fillId="16" borderId="7" xfId="0" applyFont="1" applyFill="1" applyBorder="1" applyAlignment="1">
      <alignment horizontal="left" indent="2"/>
    </xf>
    <xf numFmtId="0" fontId="4" fillId="16" borderId="8" xfId="0" applyFont="1" applyFill="1" applyBorder="1"/>
    <xf numFmtId="167" fontId="4" fillId="16" borderId="3" xfId="0" applyNumberFormat="1" applyFont="1" applyFill="1" applyBorder="1" applyAlignment="1">
      <alignment horizontal="center"/>
    </xf>
    <xf numFmtId="0" fontId="4" fillId="16" borderId="3" xfId="0" applyFont="1" applyFill="1" applyBorder="1" applyAlignment="1">
      <alignment horizontal="center"/>
    </xf>
    <xf numFmtId="0" fontId="4" fillId="16" borderId="2" xfId="0" applyFont="1" applyFill="1" applyBorder="1" applyAlignment="1">
      <alignment horizontal="left" indent="2"/>
    </xf>
    <xf numFmtId="169" fontId="4" fillId="16" borderId="5" xfId="0" applyNumberFormat="1" applyFont="1" applyFill="1" applyBorder="1"/>
    <xf numFmtId="1" fontId="4" fillId="16" borderId="2" xfId="0" applyNumberFormat="1" applyFont="1" applyFill="1" applyBorder="1" applyAlignment="1">
      <alignment horizontal="center"/>
    </xf>
    <xf numFmtId="1" fontId="4" fillId="16" borderId="33" xfId="0" applyNumberFormat="1" applyFont="1" applyFill="1" applyBorder="1" applyAlignment="1">
      <alignment horizontal="center"/>
    </xf>
    <xf numFmtId="1" fontId="4" fillId="16" borderId="6" xfId="0" applyNumberFormat="1" applyFont="1" applyFill="1" applyBorder="1" applyAlignment="1">
      <alignment horizontal="center"/>
    </xf>
    <xf numFmtId="169" fontId="4" fillId="16" borderId="0" xfId="0" applyNumberFormat="1" applyFont="1" applyFill="1"/>
    <xf numFmtId="1" fontId="4" fillId="16" borderId="1" xfId="0" applyNumberFormat="1" applyFont="1" applyFill="1" applyBorder="1" applyAlignment="1">
      <alignment horizontal="center"/>
    </xf>
    <xf numFmtId="1" fontId="4" fillId="16" borderId="0" xfId="0" applyNumberFormat="1" applyFont="1" applyFill="1" applyAlignment="1">
      <alignment horizontal="center"/>
    </xf>
    <xf numFmtId="1" fontId="4" fillId="16" borderId="4" xfId="0" applyNumberFormat="1" applyFont="1" applyFill="1" applyBorder="1" applyAlignment="1">
      <alignment horizontal="center"/>
    </xf>
    <xf numFmtId="0" fontId="4" fillId="16" borderId="1" xfId="0" applyFont="1" applyFill="1" applyBorder="1" applyAlignment="1">
      <alignment horizontal="center" wrapText="1"/>
    </xf>
    <xf numFmtId="169" fontId="4" fillId="16" borderId="0" xfId="0" applyNumberFormat="1" applyFont="1" applyFill="1" applyAlignment="1">
      <alignment horizontal="center"/>
    </xf>
    <xf numFmtId="0" fontId="4" fillId="16" borderId="1" xfId="0" applyFont="1" applyFill="1" applyBorder="1" applyAlignment="1">
      <alignment horizontal="center"/>
    </xf>
    <xf numFmtId="169" fontId="4" fillId="16" borderId="1" xfId="0" applyNumberFormat="1" applyFont="1" applyFill="1" applyBorder="1" applyAlignment="1">
      <alignment horizontal="center"/>
    </xf>
    <xf numFmtId="0" fontId="4" fillId="16" borderId="7" xfId="0" applyFont="1" applyFill="1" applyBorder="1" applyAlignment="1">
      <alignment horizontal="center"/>
    </xf>
    <xf numFmtId="169" fontId="4" fillId="16" borderId="3" xfId="0" applyNumberFormat="1" applyFont="1" applyFill="1" applyBorder="1" applyAlignment="1">
      <alignment horizontal="center"/>
    </xf>
    <xf numFmtId="169" fontId="4" fillId="16" borderId="7" xfId="0" applyNumberFormat="1" applyFont="1" applyFill="1" applyBorder="1" applyAlignment="1">
      <alignment horizontal="center"/>
    </xf>
    <xf numFmtId="1" fontId="4" fillId="16" borderId="3" xfId="0" applyNumberFormat="1" applyFont="1" applyFill="1" applyBorder="1" applyAlignment="1">
      <alignment horizontal="center"/>
    </xf>
    <xf numFmtId="1" fontId="4" fillId="16" borderId="8" xfId="0" applyNumberFormat="1" applyFont="1" applyFill="1" applyBorder="1" applyAlignment="1">
      <alignment horizontal="center"/>
    </xf>
    <xf numFmtId="0" fontId="1" fillId="16" borderId="2" xfId="0" applyFont="1" applyFill="1" applyBorder="1"/>
    <xf numFmtId="167" fontId="4" fillId="16" borderId="33" xfId="0" applyNumberFormat="1" applyFont="1" applyFill="1" applyBorder="1" applyAlignment="1">
      <alignment horizontal="center"/>
    </xf>
    <xf numFmtId="167" fontId="4" fillId="16" borderId="6" xfId="0" applyNumberFormat="1" applyFont="1" applyFill="1" applyBorder="1" applyAlignment="1">
      <alignment horizontal="center"/>
    </xf>
    <xf numFmtId="167" fontId="4" fillId="16" borderId="4" xfId="0" applyNumberFormat="1" applyFont="1" applyFill="1" applyBorder="1" applyAlignment="1">
      <alignment horizontal="center"/>
    </xf>
    <xf numFmtId="167" fontId="4" fillId="16" borderId="8" xfId="0" applyNumberFormat="1" applyFont="1" applyFill="1" applyBorder="1" applyAlignment="1">
      <alignment horizontal="center"/>
    </xf>
    <xf numFmtId="0" fontId="4" fillId="8" borderId="13" xfId="0" applyFont="1" applyFill="1" applyBorder="1" applyAlignment="1">
      <alignment horizontal="center"/>
    </xf>
    <xf numFmtId="0" fontId="12" fillId="0" borderId="1" xfId="0" applyFont="1" applyBorder="1"/>
    <xf numFmtId="0" fontId="12" fillId="0" borderId="2" xfId="0" applyFont="1" applyBorder="1"/>
    <xf numFmtId="0" fontId="35" fillId="0" borderId="2" xfId="0" applyFont="1" applyBorder="1" applyAlignment="1">
      <alignment wrapText="1"/>
    </xf>
    <xf numFmtId="175" fontId="35" fillId="0" borderId="33" xfId="0" applyNumberFormat="1" applyFont="1" applyBorder="1" applyAlignment="1">
      <alignment horizontal="center"/>
    </xf>
    <xf numFmtId="175" fontId="35" fillId="0" borderId="6" xfId="0" applyNumberFormat="1" applyFont="1" applyBorder="1" applyAlignment="1">
      <alignment horizontal="center"/>
    </xf>
    <xf numFmtId="175" fontId="35" fillId="8" borderId="33" xfId="0" applyNumberFormat="1" applyFont="1" applyFill="1" applyBorder="1" applyAlignment="1">
      <alignment horizontal="center"/>
    </xf>
    <xf numFmtId="175" fontId="35" fillId="8" borderId="6" xfId="0" applyNumberFormat="1" applyFont="1" applyFill="1" applyBorder="1" applyAlignment="1">
      <alignment horizontal="center"/>
    </xf>
    <xf numFmtId="1" fontId="27" fillId="0" borderId="0" xfId="0" applyNumberFormat="1" applyFont="1" applyAlignment="1">
      <alignment horizontal="center"/>
    </xf>
    <xf numFmtId="0" fontId="27" fillId="0" borderId="2" xfId="0" applyFont="1" applyBorder="1" applyAlignment="1">
      <alignment wrapText="1"/>
    </xf>
    <xf numFmtId="1" fontId="27" fillId="0" borderId="33" xfId="0" applyNumberFormat="1" applyFont="1" applyBorder="1" applyAlignment="1">
      <alignment horizontal="center"/>
    </xf>
    <xf numFmtId="0" fontId="27" fillId="0" borderId="7" xfId="0" applyFont="1" applyBorder="1"/>
    <xf numFmtId="1" fontId="27" fillId="0" borderId="3" xfId="0" applyNumberFormat="1" applyFont="1" applyBorder="1" applyAlignment="1">
      <alignment horizontal="center"/>
    </xf>
    <xf numFmtId="37" fontId="4" fillId="0" borderId="0" xfId="0" applyNumberFormat="1" applyFont="1" applyAlignment="1">
      <alignment horizontal="center" wrapText="1"/>
    </xf>
    <xf numFmtId="37" fontId="4" fillId="0" borderId="1" xfId="0" applyNumberFormat="1" applyFont="1" applyBorder="1" applyAlignment="1">
      <alignment horizontal="center" wrapText="1"/>
    </xf>
    <xf numFmtId="37" fontId="4" fillId="0" borderId="4" xfId="0" applyNumberFormat="1" applyFont="1" applyBorder="1" applyAlignment="1">
      <alignment horizontal="center" wrapText="1"/>
    </xf>
    <xf numFmtId="175" fontId="35" fillId="14" borderId="33" xfId="0" applyNumberFormat="1" applyFont="1" applyFill="1" applyBorder="1" applyAlignment="1">
      <alignment horizontal="center"/>
    </xf>
    <xf numFmtId="1" fontId="4" fillId="0" borderId="3" xfId="0" applyNumberFormat="1" applyFont="1" applyBorder="1" applyAlignment="1">
      <alignment horizontal="center" vertical="center"/>
    </xf>
    <xf numFmtId="169" fontId="4" fillId="0" borderId="33" xfId="0" applyNumberFormat="1" applyFont="1" applyBorder="1"/>
    <xf numFmtId="168" fontId="23" fillId="0" borderId="0" xfId="0" applyNumberFormat="1" applyFont="1"/>
    <xf numFmtId="1" fontId="4" fillId="8" borderId="0" xfId="0" applyNumberFormat="1" applyFont="1" applyFill="1" applyAlignment="1">
      <alignment horizontal="center"/>
    </xf>
    <xf numFmtId="1" fontId="4" fillId="8" borderId="6" xfId="0" applyNumberFormat="1" applyFont="1" applyFill="1" applyBorder="1" applyAlignment="1">
      <alignment horizontal="center"/>
    </xf>
    <xf numFmtId="1" fontId="4" fillId="8" borderId="33" xfId="0" applyNumberFormat="1" applyFont="1" applyFill="1" applyBorder="1" applyAlignment="1">
      <alignment horizontal="center"/>
    </xf>
    <xf numFmtId="175" fontId="35" fillId="0" borderId="38" xfId="0" applyNumberFormat="1" applyFont="1" applyBorder="1" applyAlignment="1">
      <alignment horizontal="center"/>
    </xf>
    <xf numFmtId="168" fontId="4" fillId="0" borderId="1" xfId="0" applyNumberFormat="1" applyFont="1" applyBorder="1" applyAlignment="1">
      <alignment horizontal="center" vertical="top" wrapText="1"/>
    </xf>
    <xf numFmtId="175" fontId="35" fillId="0" borderId="42" xfId="0" applyNumberFormat="1" applyFont="1" applyBorder="1" applyAlignment="1">
      <alignment horizontal="center"/>
    </xf>
    <xf numFmtId="175" fontId="35" fillId="0" borderId="2" xfId="0" applyNumberFormat="1" applyFont="1" applyBorder="1" applyAlignment="1">
      <alignment horizontal="center"/>
    </xf>
    <xf numFmtId="175" fontId="35" fillId="0" borderId="5" xfId="0" applyNumberFormat="1" applyFont="1" applyBorder="1" applyAlignment="1">
      <alignment horizontal="center"/>
    </xf>
    <xf numFmtId="9" fontId="4" fillId="0" borderId="0" xfId="0" applyNumberFormat="1" applyFont="1"/>
    <xf numFmtId="9" fontId="4" fillId="0" borderId="4" xfId="0" applyNumberFormat="1" applyFont="1" applyBorder="1"/>
    <xf numFmtId="0" fontId="23" fillId="0" borderId="8" xfId="0" applyFont="1" applyBorder="1" applyAlignment="1">
      <alignment horizontal="center"/>
    </xf>
    <xf numFmtId="10" fontId="39" fillId="0" borderId="0" xfId="0" applyNumberFormat="1" applyFont="1" applyAlignment="1">
      <alignment horizontal="center"/>
    </xf>
    <xf numFmtId="10" fontId="39" fillId="9" borderId="0" xfId="0" applyNumberFormat="1" applyFont="1" applyFill="1" applyAlignment="1">
      <alignment horizontal="center"/>
    </xf>
    <xf numFmtId="0" fontId="3" fillId="0" borderId="0" xfId="0" applyFont="1" applyAlignment="1">
      <alignment horizontal="left"/>
    </xf>
    <xf numFmtId="10" fontId="39" fillId="10" borderId="0" xfId="0" applyNumberFormat="1" applyFont="1" applyFill="1" applyAlignment="1">
      <alignment horizontal="center"/>
    </xf>
    <xf numFmtId="0" fontId="4" fillId="0" borderId="0" xfId="0" applyFont="1" applyAlignment="1">
      <alignment vertical="top"/>
    </xf>
    <xf numFmtId="10" fontId="39" fillId="0" borderId="6" xfId="0" applyNumberFormat="1" applyFont="1" applyBorder="1" applyAlignment="1">
      <alignment horizontal="center"/>
    </xf>
    <xf numFmtId="10" fontId="39" fillId="10" borderId="5" xfId="0" applyNumberFormat="1" applyFont="1" applyFill="1" applyBorder="1" applyAlignment="1">
      <alignment horizontal="center"/>
    </xf>
    <xf numFmtId="10" fontId="39" fillId="0" borderId="33" xfId="0" applyNumberFormat="1" applyFont="1" applyBorder="1" applyAlignment="1">
      <alignment horizontal="center"/>
    </xf>
    <xf numFmtId="0" fontId="3" fillId="16" borderId="4" xfId="0" applyFont="1" applyFill="1" applyBorder="1" applyAlignment="1">
      <alignment horizontal="left"/>
    </xf>
    <xf numFmtId="0" fontId="3" fillId="16" borderId="8" xfId="0" applyFont="1" applyFill="1" applyBorder="1" applyAlignment="1">
      <alignment horizontal="left"/>
    </xf>
    <xf numFmtId="10" fontId="39" fillId="16" borderId="3" xfId="0" applyNumberFormat="1" applyFont="1" applyFill="1" applyBorder="1" applyAlignment="1">
      <alignment horizontal="center"/>
    </xf>
    <xf numFmtId="10" fontId="39" fillId="16" borderId="8" xfId="0" applyNumberFormat="1" applyFont="1" applyFill="1" applyBorder="1" applyAlignment="1">
      <alignment horizontal="center"/>
    </xf>
    <xf numFmtId="10" fontId="1" fillId="0" borderId="2" xfId="0" applyNumberFormat="1" applyFont="1" applyBorder="1"/>
    <xf numFmtId="0" fontId="3" fillId="0" borderId="6" xfId="0" applyFont="1" applyBorder="1" applyAlignment="1">
      <alignment horizontal="left"/>
    </xf>
    <xf numFmtId="0" fontId="3" fillId="0" borderId="8" xfId="0" applyFont="1" applyBorder="1" applyAlignment="1">
      <alignment horizontal="left"/>
    </xf>
    <xf numFmtId="10" fontId="39" fillId="0" borderId="48" xfId="0" applyNumberFormat="1" applyFont="1" applyBorder="1" applyAlignment="1">
      <alignment horizontal="center"/>
    </xf>
    <xf numFmtId="10" fontId="39" fillId="0" borderId="49" xfId="0" applyNumberFormat="1" applyFont="1" applyBorder="1" applyAlignment="1">
      <alignment horizontal="center"/>
    </xf>
    <xf numFmtId="10" fontId="39" fillId="0" borderId="50" xfId="0" applyNumberFormat="1" applyFont="1" applyBorder="1" applyAlignment="1">
      <alignment horizontal="center"/>
    </xf>
    <xf numFmtId="0" fontId="1" fillId="0" borderId="49" xfId="0" applyFont="1" applyBorder="1"/>
    <xf numFmtId="10" fontId="1" fillId="0" borderId="7" xfId="0" applyNumberFormat="1" applyFont="1" applyBorder="1"/>
    <xf numFmtId="0" fontId="12" fillId="0" borderId="33" xfId="0" applyFont="1" applyBorder="1" applyAlignment="1">
      <alignment vertical="center" wrapText="1"/>
    </xf>
    <xf numFmtId="10" fontId="39" fillId="10" borderId="3" xfId="0" applyNumberFormat="1" applyFont="1" applyFill="1" applyBorder="1" applyAlignment="1">
      <alignment horizontal="center"/>
    </xf>
    <xf numFmtId="10" fontId="39" fillId="0" borderId="2" xfId="0" applyNumberFormat="1" applyFont="1" applyBorder="1" applyAlignment="1">
      <alignment horizontal="center"/>
    </xf>
    <xf numFmtId="10" fontId="39" fillId="10" borderId="33" xfId="0" applyNumberFormat="1" applyFont="1" applyFill="1" applyBorder="1" applyAlignment="1">
      <alignment horizontal="center"/>
    </xf>
    <xf numFmtId="0" fontId="40" fillId="0" borderId="0" xfId="0" applyFont="1" applyAlignment="1">
      <alignment wrapText="1"/>
    </xf>
    <xf numFmtId="0" fontId="40" fillId="0" borderId="3" xfId="0" applyFont="1" applyBorder="1" applyAlignment="1">
      <alignment wrapText="1"/>
    </xf>
    <xf numFmtId="2" fontId="39" fillId="0" borderId="6" xfId="0" applyNumberFormat="1" applyFont="1" applyBorder="1" applyAlignment="1">
      <alignment horizontal="center"/>
    </xf>
    <xf numFmtId="167" fontId="2" fillId="0" borderId="0" xfId="0" applyNumberFormat="1" applyFont="1" applyAlignment="1">
      <alignment wrapText="1"/>
    </xf>
    <xf numFmtId="0" fontId="3" fillId="0" borderId="5" xfId="0" applyFont="1" applyBorder="1" applyAlignment="1">
      <alignment horizontal="left"/>
    </xf>
    <xf numFmtId="0" fontId="3" fillId="0" borderId="3" xfId="0" applyFont="1" applyBorder="1" applyAlignment="1">
      <alignment horizontal="left"/>
    </xf>
    <xf numFmtId="177" fontId="1" fillId="0" borderId="0" xfId="0" applyNumberFormat="1" applyFont="1"/>
    <xf numFmtId="10" fontId="39" fillId="0" borderId="5" xfId="0" applyNumberFormat="1" applyFont="1" applyBorder="1" applyAlignment="1">
      <alignment horizontal="center"/>
    </xf>
    <xf numFmtId="10" fontId="39" fillId="0" borderId="1" xfId="0" applyNumberFormat="1" applyFont="1" applyBorder="1" applyAlignment="1">
      <alignment horizontal="center"/>
    </xf>
    <xf numFmtId="10" fontId="39" fillId="0" borderId="4" xfId="0" applyNumberFormat="1" applyFont="1" applyBorder="1" applyAlignment="1">
      <alignment horizontal="center"/>
    </xf>
    <xf numFmtId="10" fontId="39" fillId="0" borderId="7" xfId="0" applyNumberFormat="1" applyFont="1" applyBorder="1" applyAlignment="1">
      <alignment horizontal="center"/>
    </xf>
    <xf numFmtId="10" fontId="39" fillId="0" borderId="3" xfId="0" applyNumberFormat="1" applyFont="1" applyBorder="1" applyAlignment="1">
      <alignment horizontal="center"/>
    </xf>
    <xf numFmtId="10" fontId="39" fillId="0" borderId="8" xfId="0" applyNumberFormat="1" applyFont="1" applyBorder="1" applyAlignment="1">
      <alignment horizontal="center"/>
    </xf>
    <xf numFmtId="0" fontId="12" fillId="0" borderId="1" xfId="0" applyFont="1" applyBorder="1" applyAlignment="1">
      <alignment wrapText="1"/>
    </xf>
    <xf numFmtId="0" fontId="39" fillId="0" borderId="1" xfId="0" applyFont="1" applyBorder="1" applyAlignment="1">
      <alignment wrapText="1"/>
    </xf>
    <xf numFmtId="0" fontId="39" fillId="0" borderId="0" xfId="0" applyFont="1" applyAlignment="1">
      <alignment wrapText="1"/>
    </xf>
    <xf numFmtId="2" fontId="39" fillId="0" borderId="0" xfId="0" applyNumberFormat="1" applyFont="1" applyAlignment="1">
      <alignment horizontal="center"/>
    </xf>
    <xf numFmtId="2" fontId="41" fillId="0" borderId="0" xfId="0" applyNumberFormat="1" applyFont="1" applyAlignment="1">
      <alignment horizontal="center"/>
    </xf>
    <xf numFmtId="0" fontId="41" fillId="0" borderId="0" xfId="0" applyFont="1" applyAlignment="1">
      <alignment horizontal="center"/>
    </xf>
    <xf numFmtId="2" fontId="39" fillId="0" borderId="3" xfId="0" applyNumberFormat="1" applyFont="1" applyBorder="1" applyAlignment="1">
      <alignment horizontal="center"/>
    </xf>
    <xf numFmtId="2" fontId="39" fillId="0" borderId="5" xfId="0" applyNumberFormat="1" applyFont="1" applyBorder="1" applyAlignment="1">
      <alignment horizontal="center"/>
    </xf>
    <xf numFmtId="2" fontId="39" fillId="0" borderId="4" xfId="0" applyNumberFormat="1" applyFont="1" applyBorder="1" applyAlignment="1">
      <alignment horizontal="center"/>
    </xf>
    <xf numFmtId="2" fontId="39" fillId="0" borderId="8" xfId="0" applyNumberFormat="1" applyFont="1" applyBorder="1" applyAlignment="1">
      <alignment horizontal="center"/>
    </xf>
    <xf numFmtId="0" fontId="12" fillId="0" borderId="2" xfId="0" applyFont="1" applyBorder="1" applyAlignment="1">
      <alignment vertical="center" wrapText="1"/>
    </xf>
    <xf numFmtId="0" fontId="40" fillId="0" borderId="2" xfId="0" applyFont="1" applyBorder="1" applyAlignment="1">
      <alignment wrapText="1"/>
    </xf>
    <xf numFmtId="0" fontId="40" fillId="0" borderId="6" xfId="0" applyFont="1" applyBorder="1" applyAlignment="1">
      <alignment wrapText="1"/>
    </xf>
    <xf numFmtId="0" fontId="40" fillId="0" borderId="38" xfId="0" applyFont="1" applyBorder="1" applyAlignment="1">
      <alignment wrapText="1"/>
    </xf>
    <xf numFmtId="0" fontId="40" fillId="0" borderId="43" xfId="0" applyFont="1" applyBorder="1" applyAlignment="1">
      <alignment wrapText="1"/>
    </xf>
    <xf numFmtId="10" fontId="39" fillId="16" borderId="0" xfId="0" applyNumberFormat="1" applyFont="1" applyFill="1" applyAlignment="1">
      <alignment horizontal="center"/>
    </xf>
    <xf numFmtId="10" fontId="39" fillId="16" borderId="4" xfId="0" applyNumberFormat="1" applyFont="1" applyFill="1" applyBorder="1" applyAlignment="1">
      <alignment horizontal="center"/>
    </xf>
    <xf numFmtId="10" fontId="1" fillId="16" borderId="1" xfId="0" applyNumberFormat="1" applyFont="1" applyFill="1" applyBorder="1"/>
    <xf numFmtId="0" fontId="4" fillId="8" borderId="12" xfId="0" applyFont="1" applyFill="1" applyBorder="1" applyAlignment="1">
      <alignment horizontal="center" wrapText="1"/>
    </xf>
    <xf numFmtId="0" fontId="4" fillId="10" borderId="44" xfId="0" applyFont="1" applyFill="1" applyBorder="1" applyAlignment="1">
      <alignment horizontal="center" wrapText="1"/>
    </xf>
    <xf numFmtId="0" fontId="4" fillId="10" borderId="43" xfId="0" applyFont="1" applyFill="1" applyBorder="1" applyAlignment="1">
      <alignment horizontal="center" wrapText="1"/>
    </xf>
    <xf numFmtId="14" fontId="4" fillId="10" borderId="14" xfId="0" applyNumberFormat="1" applyFont="1" applyFill="1" applyBorder="1" applyAlignment="1">
      <alignment horizontal="right"/>
    </xf>
    <xf numFmtId="3" fontId="4" fillId="0" borderId="1" xfId="0" applyNumberFormat="1" applyFont="1" applyBorder="1" applyAlignment="1">
      <alignment horizontal="center"/>
    </xf>
    <xf numFmtId="3" fontId="4" fillId="0" borderId="2" xfId="0" applyNumberFormat="1" applyFont="1" applyBorder="1" applyAlignment="1">
      <alignment horizontal="center"/>
    </xf>
    <xf numFmtId="3" fontId="4" fillId="0" borderId="0" xfId="0" applyNumberFormat="1" applyFont="1" applyAlignment="1">
      <alignment wrapText="1"/>
    </xf>
    <xf numFmtId="0" fontId="11" fillId="0" borderId="0" xfId="0" applyFont="1"/>
    <xf numFmtId="167" fontId="4" fillId="0" borderId="0" xfId="0" applyNumberFormat="1" applyFont="1" applyAlignment="1">
      <alignment horizontal="left"/>
    </xf>
    <xf numFmtId="14" fontId="4" fillId="0" borderId="0" xfId="0" applyNumberFormat="1" applyFont="1" applyAlignment="1">
      <alignment horizontal="center"/>
    </xf>
    <xf numFmtId="14" fontId="4" fillId="10" borderId="13" xfId="0" applyNumberFormat="1" applyFont="1" applyFill="1" applyBorder="1" applyAlignment="1">
      <alignment horizontal="right"/>
    </xf>
    <xf numFmtId="14" fontId="4" fillId="10" borderId="12" xfId="0" applyNumberFormat="1" applyFont="1" applyFill="1" applyBorder="1" applyAlignment="1">
      <alignment horizontal="right"/>
    </xf>
    <xf numFmtId="2" fontId="4" fillId="0" borderId="4" xfId="0" applyNumberFormat="1" applyFont="1" applyBorder="1" applyAlignment="1">
      <alignment horizontal="center"/>
    </xf>
    <xf numFmtId="2" fontId="4" fillId="0" borderId="8" xfId="0" applyNumberFormat="1" applyFont="1" applyBorder="1" applyAlignment="1">
      <alignment horizontal="center"/>
    </xf>
    <xf numFmtId="0" fontId="4" fillId="10" borderId="7" xfId="0" applyFont="1" applyFill="1" applyBorder="1" applyAlignment="1">
      <alignment horizontal="center" wrapText="1"/>
    </xf>
    <xf numFmtId="0" fontId="4" fillId="10" borderId="3" xfId="0" applyFont="1" applyFill="1" applyBorder="1" applyAlignment="1">
      <alignment horizontal="center" wrapText="1"/>
    </xf>
    <xf numFmtId="165" fontId="1" fillId="10" borderId="4" xfId="0" applyNumberFormat="1" applyFont="1" applyFill="1" applyBorder="1" applyAlignment="1">
      <alignment horizontal="center"/>
    </xf>
    <xf numFmtId="0" fontId="1" fillId="10"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7" xfId="0" applyFont="1" applyBorder="1" applyAlignment="1">
      <alignment horizontal="left" indent="2"/>
    </xf>
    <xf numFmtId="0" fontId="1" fillId="10" borderId="14" xfId="0" applyFont="1" applyFill="1" applyBorder="1" applyAlignment="1">
      <alignment horizontal="center" wrapText="1"/>
    </xf>
    <xf numFmtId="0" fontId="1" fillId="3" borderId="43" xfId="0" applyFont="1" applyFill="1" applyBorder="1" applyAlignment="1">
      <alignment wrapText="1"/>
    </xf>
    <xf numFmtId="0" fontId="1" fillId="0" borderId="3" xfId="0" applyFont="1" applyBorder="1" applyAlignment="1">
      <alignment horizontal="left" indent="2"/>
    </xf>
    <xf numFmtId="0" fontId="1" fillId="0" borderId="5" xfId="0" applyFont="1" applyBorder="1" applyAlignment="1">
      <alignment horizontal="left" wrapText="1" indent="2"/>
    </xf>
    <xf numFmtId="0" fontId="1" fillId="10" borderId="13" xfId="0" applyFont="1" applyFill="1" applyBorder="1" applyAlignment="1">
      <alignment horizontal="center" wrapText="1"/>
    </xf>
    <xf numFmtId="0" fontId="1" fillId="10" borderId="1" xfId="0" applyFont="1" applyFill="1" applyBorder="1" applyAlignment="1">
      <alignment horizontal="center" wrapText="1"/>
    </xf>
    <xf numFmtId="0" fontId="1" fillId="10" borderId="4" xfId="0" applyFont="1" applyFill="1" applyBorder="1" applyAlignment="1">
      <alignment horizontal="center"/>
    </xf>
    <xf numFmtId="165" fontId="1" fillId="9" borderId="8" xfId="0" applyNumberFormat="1" applyFont="1" applyFill="1" applyBorder="1" applyAlignment="1">
      <alignment horizontal="center"/>
    </xf>
    <xf numFmtId="0" fontId="3" fillId="0" borderId="2" xfId="0" applyFont="1" applyBorder="1" applyAlignment="1">
      <alignment horizontal="left" wrapText="1" indent="2"/>
    </xf>
    <xf numFmtId="0" fontId="1" fillId="10" borderId="3" xfId="0" applyFont="1" applyFill="1" applyBorder="1" applyAlignment="1">
      <alignment horizontal="center"/>
    </xf>
    <xf numFmtId="165" fontId="1" fillId="0" borderId="33" xfId="0" applyNumberFormat="1" applyFont="1" applyBorder="1" applyAlignment="1">
      <alignment horizontal="center"/>
    </xf>
    <xf numFmtId="165" fontId="1" fillId="10"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9" borderId="8" xfId="0" applyFont="1" applyFill="1" applyBorder="1" applyAlignment="1">
      <alignment horizontal="center"/>
    </xf>
    <xf numFmtId="165" fontId="1" fillId="10" borderId="0" xfId="0" applyNumberFormat="1" applyFont="1" applyFill="1" applyAlignment="1">
      <alignment horizontal="center"/>
    </xf>
    <xf numFmtId="165" fontId="1" fillId="10" borderId="33" xfId="0" applyNumberFormat="1" applyFont="1" applyFill="1" applyBorder="1" applyAlignment="1">
      <alignment horizontal="center"/>
    </xf>
    <xf numFmtId="0" fontId="1" fillId="0" borderId="2" xfId="0" applyFont="1" applyBorder="1" applyAlignment="1">
      <alignment horizontal="left" wrapText="1" indent="2"/>
    </xf>
    <xf numFmtId="0" fontId="1" fillId="0" borderId="33" xfId="0" applyFont="1" applyBorder="1" applyAlignment="1">
      <alignment horizontal="left" wrapText="1" indent="2"/>
    </xf>
    <xf numFmtId="0" fontId="23" fillId="10" borderId="4" xfId="0" applyFont="1" applyFill="1" applyBorder="1" applyAlignment="1">
      <alignment horizontal="center"/>
    </xf>
    <xf numFmtId="0" fontId="1" fillId="0" borderId="1" xfId="0" applyFont="1" applyBorder="1" applyAlignment="1">
      <alignment horizontal="center"/>
    </xf>
    <xf numFmtId="0" fontId="23" fillId="8" borderId="3" xfId="0" applyFont="1" applyFill="1" applyBorder="1" applyAlignment="1">
      <alignment horizontal="center"/>
    </xf>
    <xf numFmtId="0" fontId="23" fillId="8" borderId="8" xfId="0" applyFont="1" applyFill="1" applyBorder="1" applyAlignment="1">
      <alignment horizontal="center"/>
    </xf>
    <xf numFmtId="0" fontId="1" fillId="0" borderId="12" xfId="0" applyFont="1" applyBorder="1" applyAlignment="1">
      <alignment horizontal="left"/>
    </xf>
    <xf numFmtId="0" fontId="1" fillId="10" borderId="7" xfId="0" applyFont="1" applyFill="1" applyBorder="1" applyAlignment="1">
      <alignment horizontal="center"/>
    </xf>
    <xf numFmtId="165" fontId="1" fillId="0" borderId="3" xfId="0" applyNumberFormat="1" applyFont="1" applyBorder="1" applyAlignment="1">
      <alignment horizontal="center"/>
    </xf>
    <xf numFmtId="165" fontId="1" fillId="0" borderId="8" xfId="0" applyNumberFormat="1" applyFont="1" applyBorder="1" applyAlignment="1">
      <alignment horizontal="center"/>
    </xf>
    <xf numFmtId="0" fontId="23" fillId="8" borderId="0" xfId="0" applyFont="1" applyFill="1" applyAlignment="1">
      <alignment horizontal="center"/>
    </xf>
    <xf numFmtId="0" fontId="23" fillId="8" borderId="4" xfId="0" applyFont="1" applyFill="1" applyBorder="1" applyAlignment="1">
      <alignment horizontal="center"/>
    </xf>
    <xf numFmtId="0" fontId="23" fillId="10" borderId="0" xfId="0" applyFont="1" applyFill="1" applyAlignment="1">
      <alignment horizontal="center"/>
    </xf>
    <xf numFmtId="2" fontId="1" fillId="7" borderId="0" xfId="0" applyNumberFormat="1" applyFont="1" applyFill="1"/>
    <xf numFmtId="14" fontId="1" fillId="0" borderId="0" xfId="0" applyNumberFormat="1" applyFont="1"/>
    <xf numFmtId="0" fontId="1" fillId="25" borderId="0" xfId="0" applyFont="1" applyFill="1" applyAlignment="1">
      <alignment wrapText="1"/>
    </xf>
    <xf numFmtId="0" fontId="1" fillId="25" borderId="0" xfId="0" applyFont="1" applyFill="1"/>
    <xf numFmtId="0" fontId="1" fillId="0" borderId="0" xfId="0" applyFont="1" applyAlignment="1">
      <alignment vertical="center" wrapText="1"/>
    </xf>
    <xf numFmtId="0" fontId="1" fillId="25" borderId="0" xfId="0" applyFont="1" applyFill="1" applyAlignment="1">
      <alignment horizontal="center" wrapText="1"/>
    </xf>
    <xf numFmtId="178" fontId="1" fillId="0" borderId="0" xfId="0" applyNumberFormat="1" applyFont="1"/>
    <xf numFmtId="0" fontId="1" fillId="25" borderId="0" xfId="0" applyFont="1" applyFill="1" applyAlignment="1">
      <alignment horizontal="center"/>
    </xf>
    <xf numFmtId="2" fontId="1" fillId="25" borderId="0" xfId="0" applyNumberFormat="1" applyFont="1" applyFill="1"/>
    <xf numFmtId="0" fontId="39" fillId="0" borderId="0" xfId="0" applyFont="1"/>
    <xf numFmtId="166" fontId="1" fillId="0" borderId="0" xfId="0" applyNumberFormat="1" applyFont="1"/>
    <xf numFmtId="169" fontId="39" fillId="0" borderId="0" xfId="0" applyNumberFormat="1" applyFont="1"/>
    <xf numFmtId="0" fontId="4" fillId="0" borderId="0" xfId="0" applyFont="1" applyAlignment="1">
      <alignment vertical="center"/>
    </xf>
    <xf numFmtId="0" fontId="4" fillId="0" borderId="0" xfId="0" applyFont="1" applyAlignment="1">
      <alignment horizontal="right" vertical="center"/>
    </xf>
    <xf numFmtId="0" fontId="4" fillId="0" borderId="3" xfId="0" applyFont="1" applyBorder="1" applyAlignment="1">
      <alignment vertical="center"/>
    </xf>
    <xf numFmtId="0" fontId="4" fillId="0" borderId="3" xfId="0" applyFont="1" applyBorder="1" applyAlignment="1">
      <alignment horizontal="right" vertical="center"/>
    </xf>
    <xf numFmtId="0" fontId="43"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3" xfId="0" applyNumberFormat="1" applyFont="1" applyBorder="1"/>
    <xf numFmtId="1" fontId="4" fillId="0" borderId="0" xfId="0" applyNumberFormat="1" applyFont="1" applyAlignment="1">
      <alignment horizontal="right"/>
    </xf>
    <xf numFmtId="0" fontId="4" fillId="0" borderId="3" xfId="0" applyFont="1" applyBorder="1" applyAlignment="1">
      <alignment horizontal="right"/>
    </xf>
    <xf numFmtId="3" fontId="4" fillId="0" borderId="3" xfId="0" applyNumberFormat="1" applyFont="1" applyBorder="1" applyAlignment="1">
      <alignment horizontal="right"/>
    </xf>
    <xf numFmtId="0" fontId="44" fillId="0" borderId="0" xfId="0" applyFont="1" applyAlignment="1">
      <alignment horizontal="left"/>
    </xf>
    <xf numFmtId="0" fontId="44" fillId="0" borderId="0" xfId="0" applyFont="1" applyAlignment="1">
      <alignment horizontal="center" wrapText="1"/>
    </xf>
    <xf numFmtId="1" fontId="45" fillId="0" borderId="51" xfId="0" applyNumberFormat="1" applyFont="1" applyBorder="1" applyAlignment="1">
      <alignment horizontal="center" vertical="top"/>
    </xf>
    <xf numFmtId="0" fontId="44" fillId="27" borderId="51" xfId="0" applyFont="1" applyFill="1" applyBorder="1" applyAlignment="1">
      <alignment horizontal="center" vertical="top"/>
    </xf>
    <xf numFmtId="0" fontId="44" fillId="0" borderId="0" xfId="0" applyFont="1" applyAlignment="1">
      <alignment horizontal="center"/>
    </xf>
    <xf numFmtId="0" fontId="44" fillId="0" borderId="0" xfId="0" applyFont="1" applyAlignment="1">
      <alignment horizontal="left" wrapText="1"/>
    </xf>
    <xf numFmtId="0" fontId="45" fillId="0" borderId="0" xfId="0" applyFont="1" applyAlignment="1">
      <alignment horizontal="left" vertical="top"/>
    </xf>
    <xf numFmtId="0" fontId="45" fillId="0" borderId="0" xfId="0" applyFont="1" applyAlignment="1">
      <alignment horizontal="center" vertical="top" wrapText="1"/>
    </xf>
    <xf numFmtId="1" fontId="45" fillId="7" borderId="0" xfId="0" applyNumberFormat="1" applyFont="1" applyFill="1" applyAlignment="1">
      <alignment horizontal="center" vertical="top"/>
    </xf>
    <xf numFmtId="0" fontId="44" fillId="7" borderId="0" xfId="0" applyFont="1" applyFill="1" applyAlignment="1">
      <alignment horizontal="center" vertical="top"/>
    </xf>
    <xf numFmtId="0" fontId="44" fillId="7" borderId="0" xfId="0" applyFont="1" applyFill="1" applyAlignment="1">
      <alignment horizontal="left" vertical="top" wrapText="1"/>
    </xf>
    <xf numFmtId="0" fontId="44" fillId="0" borderId="0" xfId="0" applyFont="1" applyAlignment="1">
      <alignment horizontal="left" vertical="top" wrapText="1"/>
    </xf>
    <xf numFmtId="0" fontId="45" fillId="0" borderId="38" xfId="0" applyFont="1" applyBorder="1" applyAlignment="1">
      <alignment horizontal="left" vertical="top"/>
    </xf>
    <xf numFmtId="0" fontId="45" fillId="0" borderId="38" xfId="0" applyFont="1" applyBorder="1" applyAlignment="1">
      <alignment horizontal="center" vertical="top" wrapText="1"/>
    </xf>
    <xf numFmtId="1" fontId="45" fillId="3" borderId="38" xfId="0" applyNumberFormat="1" applyFont="1" applyFill="1" applyBorder="1" applyAlignment="1">
      <alignment horizontal="center" vertical="top"/>
    </xf>
    <xf numFmtId="3" fontId="45" fillId="3" borderId="38" xfId="0" applyNumberFormat="1" applyFont="1" applyFill="1" applyBorder="1" applyAlignment="1">
      <alignment horizontal="center" vertical="top"/>
    </xf>
    <xf numFmtId="0" fontId="44" fillId="3" borderId="38" xfId="0" applyFont="1" applyFill="1" applyBorder="1" applyAlignment="1">
      <alignment horizontal="center" vertical="top"/>
    </xf>
    <xf numFmtId="0" fontId="44" fillId="0" borderId="38" xfId="0" applyFont="1" applyBorder="1" applyAlignment="1">
      <alignment horizontal="left" vertical="top" wrapText="1"/>
    </xf>
    <xf numFmtId="0" fontId="45" fillId="0" borderId="5" xfId="0" applyFont="1" applyBorder="1" applyAlignment="1">
      <alignment horizontal="left" vertical="top"/>
    </xf>
    <xf numFmtId="0" fontId="45" fillId="0" borderId="5" xfId="0" applyFont="1" applyBorder="1" applyAlignment="1">
      <alignment horizontal="center" vertical="top" wrapText="1"/>
    </xf>
    <xf numFmtId="3" fontId="46" fillId="0" borderId="0" xfId="0" applyNumberFormat="1" applyFont="1" applyAlignment="1">
      <alignment vertical="top"/>
    </xf>
    <xf numFmtId="0" fontId="45" fillId="7" borderId="5" xfId="0" applyFont="1" applyFill="1" applyBorder="1" applyAlignment="1">
      <alignment horizontal="center" vertical="top"/>
    </xf>
    <xf numFmtId="0" fontId="44" fillId="0" borderId="5" xfId="0" applyFont="1" applyBorder="1" applyAlignment="1">
      <alignment horizontal="left" vertical="top" wrapText="1"/>
    </xf>
    <xf numFmtId="0" fontId="44" fillId="0" borderId="0" xfId="0" applyFont="1" applyAlignment="1">
      <alignment horizontal="left" vertical="top"/>
    </xf>
    <xf numFmtId="0" fontId="44" fillId="0" borderId="0" xfId="0" applyFont="1" applyAlignment="1">
      <alignment horizontal="center" vertical="top" wrapText="1"/>
    </xf>
    <xf numFmtId="3" fontId="45" fillId="7" borderId="0" xfId="0" applyNumberFormat="1" applyFont="1" applyFill="1" applyAlignment="1">
      <alignment horizontal="center" vertical="top"/>
    </xf>
    <xf numFmtId="0" fontId="45" fillId="7" borderId="0" xfId="0" applyFont="1" applyFill="1" applyAlignment="1">
      <alignment horizontal="center" vertical="top"/>
    </xf>
    <xf numFmtId="1" fontId="44" fillId="7" borderId="0" xfId="0" applyNumberFormat="1" applyFont="1" applyFill="1" applyAlignment="1">
      <alignment horizontal="center" vertical="top"/>
    </xf>
    <xf numFmtId="0" fontId="44" fillId="0" borderId="0" xfId="0" applyFont="1" applyAlignment="1">
      <alignment horizontal="center" vertical="top"/>
    </xf>
    <xf numFmtId="1" fontId="44" fillId="7" borderId="0" xfId="0" applyNumberFormat="1" applyFont="1" applyFill="1" applyAlignment="1">
      <alignment horizontal="center"/>
    </xf>
    <xf numFmtId="1" fontId="44" fillId="7" borderId="0" xfId="0" applyNumberFormat="1" applyFont="1" applyFill="1" applyAlignment="1">
      <alignment horizontal="center" vertical="center"/>
    </xf>
    <xf numFmtId="1" fontId="45" fillId="7" borderId="0" xfId="0" applyNumberFormat="1" applyFont="1" applyFill="1" applyAlignment="1">
      <alignment horizontal="center" vertical="center"/>
    </xf>
    <xf numFmtId="0" fontId="44" fillId="0" borderId="0" xfId="0" applyFont="1" applyAlignment="1">
      <alignment horizontal="left" vertical="center"/>
    </xf>
    <xf numFmtId="0" fontId="44" fillId="0" borderId="0" xfId="0" applyFont="1" applyAlignment="1">
      <alignment horizontal="center" vertical="center" wrapText="1"/>
    </xf>
    <xf numFmtId="0" fontId="45" fillId="0" borderId="0" xfId="0" applyFont="1" applyAlignment="1">
      <alignment horizontal="left" vertical="top" wrapText="1"/>
    </xf>
    <xf numFmtId="1" fontId="45" fillId="7" borderId="5" xfId="0" applyNumberFormat="1" applyFont="1" applyFill="1" applyBorder="1" applyAlignment="1">
      <alignment horizontal="center" vertical="top"/>
    </xf>
    <xf numFmtId="3" fontId="45" fillId="7" borderId="5" xfId="0" applyNumberFormat="1" applyFont="1" applyFill="1" applyBorder="1" applyAlignment="1">
      <alignment horizontal="center" vertical="top"/>
    </xf>
    <xf numFmtId="0" fontId="44" fillId="7" borderId="5" xfId="0" applyFont="1" applyFill="1" applyBorder="1" applyAlignment="1">
      <alignment horizontal="center" vertical="top"/>
    </xf>
    <xf numFmtId="0" fontId="15" fillId="7" borderId="5" xfId="0" applyFont="1" applyFill="1" applyBorder="1" applyAlignment="1">
      <alignment horizontal="left" vertical="top" wrapText="1"/>
    </xf>
    <xf numFmtId="0" fontId="45" fillId="27" borderId="0" xfId="0" applyFont="1" applyFill="1" applyAlignment="1">
      <alignment horizontal="center"/>
    </xf>
    <xf numFmtId="0" fontId="44" fillId="27" borderId="0" xfId="0" applyFont="1" applyFill="1" applyAlignment="1">
      <alignment horizontal="left" wrapText="1"/>
    </xf>
    <xf numFmtId="1" fontId="45" fillId="28" borderId="0" xfId="0" applyNumberFormat="1" applyFont="1" applyFill="1" applyAlignment="1">
      <alignment horizontal="center" vertical="top"/>
    </xf>
    <xf numFmtId="3" fontId="45" fillId="28" borderId="0" xfId="0" applyNumberFormat="1" applyFont="1" applyFill="1" applyAlignment="1">
      <alignment horizontal="center" vertical="top"/>
    </xf>
    <xf numFmtId="0" fontId="44" fillId="28" borderId="0" xfId="0" applyFont="1" applyFill="1" applyAlignment="1">
      <alignment horizontal="center" vertical="top"/>
    </xf>
    <xf numFmtId="0" fontId="44" fillId="28" borderId="0" xfId="0" applyFont="1" applyFill="1" applyAlignment="1">
      <alignment horizontal="left" vertical="top" wrapText="1"/>
    </xf>
    <xf numFmtId="1" fontId="44" fillId="29" borderId="0" xfId="0" applyNumberFormat="1" applyFont="1" applyFill="1" applyAlignment="1">
      <alignment horizontal="center" vertical="top"/>
    </xf>
    <xf numFmtId="0" fontId="44" fillId="29" borderId="0" xfId="0" applyFont="1" applyFill="1" applyAlignment="1">
      <alignment horizontal="center" vertical="top"/>
    </xf>
    <xf numFmtId="0" fontId="44" fillId="29" borderId="0" xfId="0" applyFont="1" applyFill="1" applyAlignment="1">
      <alignment horizontal="left" vertical="top" wrapText="1"/>
    </xf>
    <xf numFmtId="1" fontId="44" fillId="29" borderId="0" xfId="0" applyNumberFormat="1" applyFont="1" applyFill="1" applyAlignment="1">
      <alignment horizontal="center"/>
    </xf>
    <xf numFmtId="1" fontId="45" fillId="29" borderId="0" xfId="0" applyNumberFormat="1" applyFont="1" applyFill="1" applyAlignment="1">
      <alignment horizontal="center" vertical="top"/>
    </xf>
    <xf numFmtId="3" fontId="45" fillId="29" borderId="0" xfId="0" applyNumberFormat="1" applyFont="1" applyFill="1" applyAlignment="1">
      <alignment horizontal="center" vertical="top"/>
    </xf>
    <xf numFmtId="1" fontId="45" fillId="30" borderId="0" xfId="0" applyNumberFormat="1" applyFont="1" applyFill="1" applyAlignment="1">
      <alignment horizontal="center" vertical="top"/>
    </xf>
    <xf numFmtId="0" fontId="44" fillId="30" borderId="0" xfId="0" applyFont="1" applyFill="1" applyAlignment="1">
      <alignment horizontal="center" vertical="top"/>
    </xf>
    <xf numFmtId="3" fontId="45" fillId="30" borderId="0" xfId="0" applyNumberFormat="1" applyFont="1" applyFill="1" applyAlignment="1">
      <alignment horizontal="center" vertical="top"/>
    </xf>
    <xf numFmtId="0" fontId="45" fillId="30" borderId="0" xfId="0" applyFont="1" applyFill="1" applyAlignment="1">
      <alignment horizontal="center" vertical="top"/>
    </xf>
    <xf numFmtId="0" fontId="45" fillId="31" borderId="0" xfId="0" applyFont="1" applyFill="1" applyAlignment="1">
      <alignment horizontal="left" vertical="top"/>
    </xf>
    <xf numFmtId="0" fontId="45" fillId="31" borderId="0" xfId="0" applyFont="1" applyFill="1" applyAlignment="1">
      <alignment horizontal="center" vertical="top" wrapText="1"/>
    </xf>
    <xf numFmtId="0" fontId="44" fillId="31" borderId="0" xfId="0" applyFont="1" applyFill="1" applyAlignment="1">
      <alignment horizontal="left" vertical="top" wrapText="1"/>
    </xf>
    <xf numFmtId="1" fontId="45" fillId="30" borderId="42" xfId="0" applyNumberFormat="1" applyFont="1" applyFill="1" applyBorder="1" applyAlignment="1">
      <alignment horizontal="center" vertical="top"/>
    </xf>
    <xf numFmtId="1" fontId="45" fillId="30" borderId="38" xfId="0" applyNumberFormat="1" applyFont="1" applyFill="1" applyBorder="1" applyAlignment="1">
      <alignment horizontal="center" vertical="top"/>
    </xf>
    <xf numFmtId="3" fontId="45" fillId="30" borderId="38" xfId="0" applyNumberFormat="1" applyFont="1" applyFill="1" applyBorder="1" applyAlignment="1">
      <alignment horizontal="center" vertical="top"/>
    </xf>
    <xf numFmtId="0" fontId="44" fillId="30" borderId="43" xfId="0" applyFont="1" applyFill="1" applyBorder="1" applyAlignment="1">
      <alignment horizontal="center" vertical="top" wrapText="1"/>
    </xf>
    <xf numFmtId="1" fontId="45" fillId="10" borderId="0" xfId="0" applyNumberFormat="1" applyFont="1" applyFill="1" applyAlignment="1">
      <alignment horizontal="center" vertical="top"/>
    </xf>
    <xf numFmtId="1" fontId="44" fillId="10" borderId="0" xfId="0" applyNumberFormat="1" applyFont="1" applyFill="1" applyAlignment="1">
      <alignment horizontal="center" vertical="top"/>
    </xf>
    <xf numFmtId="1" fontId="46" fillId="0" borderId="0" xfId="0" applyNumberFormat="1" applyFont="1" applyAlignment="1">
      <alignment horizontal="center" vertical="top"/>
    </xf>
    <xf numFmtId="0" fontId="47" fillId="27" borderId="0" xfId="0" applyFont="1" applyFill="1" applyAlignment="1">
      <alignment vertical="top"/>
    </xf>
    <xf numFmtId="0" fontId="45" fillId="7" borderId="33" xfId="0" applyFont="1" applyFill="1" applyBorder="1" applyAlignment="1">
      <alignment horizontal="center" vertical="top"/>
    </xf>
    <xf numFmtId="0" fontId="44" fillId="7" borderId="33" xfId="0" applyFont="1" applyFill="1" applyBorder="1" applyAlignment="1">
      <alignment horizontal="center" vertical="top"/>
    </xf>
    <xf numFmtId="0" fontId="44" fillId="30" borderId="0" xfId="0" applyFont="1" applyFill="1" applyAlignment="1">
      <alignment horizontal="center" vertical="top" wrapText="1"/>
    </xf>
    <xf numFmtId="0" fontId="45" fillId="10" borderId="0" xfId="0" applyFont="1" applyFill="1" applyAlignment="1">
      <alignment horizontal="center" vertical="top"/>
    </xf>
    <xf numFmtId="0" fontId="15" fillId="0" borderId="0" xfId="0" applyFont="1" applyAlignment="1">
      <alignment horizontal="left" vertical="top" wrapText="1"/>
    </xf>
    <xf numFmtId="1" fontId="45" fillId="32" borderId="0" xfId="0" applyNumberFormat="1" applyFont="1" applyFill="1" applyAlignment="1">
      <alignment horizontal="center" vertical="top"/>
    </xf>
    <xf numFmtId="3" fontId="45" fillId="32" borderId="0" xfId="0" applyNumberFormat="1" applyFont="1" applyFill="1" applyAlignment="1">
      <alignment horizontal="center" vertical="top"/>
    </xf>
    <xf numFmtId="0" fontId="45" fillId="0" borderId="0" xfId="0" applyFont="1" applyAlignment="1">
      <alignment horizontal="center" vertical="top"/>
    </xf>
    <xf numFmtId="0" fontId="44" fillId="32" borderId="0" xfId="0" applyFont="1" applyFill="1" applyAlignment="1">
      <alignment horizontal="left" vertical="top" wrapText="1"/>
    </xf>
    <xf numFmtId="0" fontId="44" fillId="32" borderId="0" xfId="0" applyFont="1" applyFill="1" applyAlignment="1">
      <alignment horizontal="center" vertical="top"/>
    </xf>
    <xf numFmtId="0" fontId="45" fillId="32" borderId="0" xfId="0" applyFont="1" applyFill="1" applyAlignment="1">
      <alignment horizontal="center" vertical="top"/>
    </xf>
    <xf numFmtId="0" fontId="48" fillId="32" borderId="0" xfId="0" applyFont="1" applyFill="1" applyAlignment="1">
      <alignment horizontal="left" vertical="top" wrapText="1"/>
    </xf>
    <xf numFmtId="1" fontId="46" fillId="0" borderId="51" xfId="0" applyNumberFormat="1" applyFont="1" applyBorder="1" applyAlignment="1">
      <alignment vertical="top"/>
    </xf>
    <xf numFmtId="1" fontId="46" fillId="0" borderId="51" xfId="0" applyNumberFormat="1" applyFont="1" applyBorder="1" applyAlignment="1">
      <alignment horizontal="right" vertical="top"/>
    </xf>
    <xf numFmtId="0" fontId="47" fillId="27" borderId="51" xfId="0" applyFont="1" applyFill="1" applyBorder="1" applyAlignment="1">
      <alignment vertical="top"/>
    </xf>
    <xf numFmtId="0" fontId="1" fillId="0" borderId="42" xfId="0" applyFont="1" applyBorder="1"/>
    <xf numFmtId="0" fontId="1" fillId="0" borderId="38" xfId="0" applyFont="1" applyBorder="1"/>
    <xf numFmtId="3" fontId="1" fillId="0" borderId="38" xfId="0" applyNumberFormat="1" applyFont="1" applyBorder="1"/>
    <xf numFmtId="3" fontId="1" fillId="0" borderId="43" xfId="0" applyNumberFormat="1" applyFont="1" applyBorder="1"/>
    <xf numFmtId="1" fontId="46" fillId="0" borderId="0" xfId="0" applyNumberFormat="1" applyFont="1" applyAlignment="1">
      <alignment vertical="top"/>
    </xf>
    <xf numFmtId="1" fontId="46" fillId="0" borderId="0" xfId="0" applyNumberFormat="1" applyFont="1" applyAlignment="1">
      <alignment horizontal="right" vertical="top"/>
    </xf>
    <xf numFmtId="0" fontId="47" fillId="27" borderId="3" xfId="0" applyFont="1" applyFill="1" applyBorder="1" applyAlignment="1">
      <alignment vertical="top"/>
    </xf>
    <xf numFmtId="1" fontId="49" fillId="0" borderId="0" xfId="0" applyNumberFormat="1" applyFont="1"/>
    <xf numFmtId="1" fontId="44" fillId="32" borderId="0" xfId="0" applyNumberFormat="1" applyFont="1" applyFill="1" applyAlignment="1">
      <alignment horizontal="center"/>
    </xf>
    <xf numFmtId="0" fontId="45" fillId="27" borderId="0" xfId="0" applyFont="1" applyFill="1" applyAlignment="1">
      <alignment horizontal="center" vertical="center"/>
    </xf>
    <xf numFmtId="0" fontId="44" fillId="27" borderId="0" xfId="0" applyFont="1" applyFill="1" applyAlignment="1">
      <alignment horizontal="left" vertical="center" wrapText="1"/>
    </xf>
    <xf numFmtId="1" fontId="45" fillId="6" borderId="0" xfId="0" applyNumberFormat="1" applyFont="1" applyFill="1" applyAlignment="1">
      <alignment horizontal="center" vertical="top"/>
    </xf>
    <xf numFmtId="0" fontId="44" fillId="6" borderId="0" xfId="0" applyFont="1" applyFill="1" applyAlignment="1">
      <alignment horizontal="center" vertical="top"/>
    </xf>
    <xf numFmtId="0" fontId="49" fillId="0" borderId="0" xfId="0" applyFont="1"/>
    <xf numFmtId="0" fontId="2" fillId="7" borderId="0" xfId="0" applyFont="1" applyFill="1" applyAlignment="1">
      <alignment horizontal="left"/>
    </xf>
    <xf numFmtId="0" fontId="2" fillId="6" borderId="0" xfId="0" applyFont="1" applyFill="1" applyAlignment="1">
      <alignment horizontal="left"/>
    </xf>
    <xf numFmtId="0" fontId="2" fillId="8" borderId="0" xfId="0" applyFont="1" applyFill="1" applyAlignment="1">
      <alignment horizontal="left"/>
    </xf>
    <xf numFmtId="0" fontId="2" fillId="33" borderId="0" xfId="0" applyFont="1" applyFill="1" applyAlignment="1">
      <alignment horizontal="left"/>
    </xf>
    <xf numFmtId="0" fontId="2" fillId="30" borderId="0" xfId="0" applyFont="1" applyFill="1" applyAlignment="1">
      <alignment horizontal="left"/>
    </xf>
    <xf numFmtId="0" fontId="2" fillId="3" borderId="0" xfId="0" applyFont="1" applyFill="1" applyAlignment="1">
      <alignment horizontal="left"/>
    </xf>
    <xf numFmtId="169" fontId="49" fillId="0" borderId="0" xfId="0" applyNumberFormat="1" applyFont="1"/>
    <xf numFmtId="2" fontId="49" fillId="0" borderId="0" xfId="0" applyNumberFormat="1" applyFont="1"/>
    <xf numFmtId="0" fontId="50" fillId="0" borderId="0" xfId="0" applyFont="1"/>
    <xf numFmtId="0" fontId="4" fillId="2" borderId="0" xfId="0" applyFont="1" applyFill="1" applyAlignment="1">
      <alignment horizontal="left" indent="2"/>
    </xf>
    <xf numFmtId="0" fontId="4" fillId="2" borderId="0" xfId="0" applyFont="1" applyFill="1" applyAlignment="1">
      <alignment horizontal="right"/>
    </xf>
    <xf numFmtId="0" fontId="51" fillId="0" borderId="0" xfId="0" applyFont="1" applyAlignment="1">
      <alignment horizontal="left" vertical="top"/>
    </xf>
    <xf numFmtId="0" fontId="12" fillId="0" borderId="0" xfId="0" applyFont="1" applyAlignment="1">
      <alignment horizontal="left"/>
    </xf>
    <xf numFmtId="0" fontId="52" fillId="0" borderId="0" xfId="0" applyFont="1"/>
    <xf numFmtId="0" fontId="12" fillId="34" borderId="0" xfId="0" applyFont="1" applyFill="1"/>
    <xf numFmtId="0" fontId="12" fillId="34" borderId="0" xfId="0" applyFont="1" applyFill="1" applyAlignment="1">
      <alignment horizontal="left"/>
    </xf>
    <xf numFmtId="0" fontId="4" fillId="34" borderId="0" xfId="0" applyFont="1" applyFill="1" applyAlignment="1">
      <alignment horizontal="left" indent="2"/>
    </xf>
    <xf numFmtId="0" fontId="4" fillId="34" borderId="0" xfId="0" applyFont="1" applyFill="1" applyAlignment="1">
      <alignment horizontal="right"/>
    </xf>
    <xf numFmtId="0" fontId="53" fillId="0" borderId="0" xfId="0" applyFont="1" applyAlignment="1">
      <alignment horizontal="right" vertical="top"/>
    </xf>
    <xf numFmtId="3" fontId="39" fillId="0" borderId="0" xfId="0" applyNumberFormat="1" applyFont="1"/>
    <xf numFmtId="3" fontId="54" fillId="0" borderId="0" xfId="0" applyNumberFormat="1" applyFont="1" applyAlignment="1">
      <alignment horizontal="right" vertical="top"/>
    </xf>
    <xf numFmtId="0" fontId="55" fillId="36" borderId="0" xfId="0" applyFont="1" applyFill="1" applyAlignment="1">
      <alignment horizontal="right"/>
    </xf>
    <xf numFmtId="0" fontId="56" fillId="0" borderId="0" xfId="0" applyFont="1"/>
    <xf numFmtId="0" fontId="45" fillId="0" borderId="0" xfId="0" applyFont="1" applyAlignment="1">
      <alignment horizontal="right"/>
    </xf>
    <xf numFmtId="165" fontId="57" fillId="0" borderId="0" xfId="0" applyNumberFormat="1" applyFont="1" applyAlignment="1">
      <alignment horizontal="right" vertical="top"/>
    </xf>
    <xf numFmtId="165" fontId="55" fillId="36" borderId="0" xfId="0" applyNumberFormat="1" applyFont="1" applyFill="1" applyAlignment="1">
      <alignment horizontal="right"/>
    </xf>
    <xf numFmtId="3" fontId="7" fillId="0" borderId="0" xfId="0" applyNumberFormat="1" applyFont="1"/>
    <xf numFmtId="165" fontId="45" fillId="0" borderId="0" xfId="0" applyNumberFormat="1" applyFont="1" applyAlignment="1">
      <alignment horizontal="right"/>
    </xf>
    <xf numFmtId="3" fontId="45" fillId="0" borderId="0" xfId="0" applyNumberFormat="1" applyFont="1" applyAlignment="1">
      <alignment horizontal="right"/>
    </xf>
    <xf numFmtId="0" fontId="7" fillId="37" borderId="0" xfId="0" applyFont="1" applyFill="1" applyAlignment="1">
      <alignment wrapText="1"/>
    </xf>
    <xf numFmtId="0" fontId="8" fillId="37" borderId="0" xfId="0" applyFont="1" applyFill="1" applyAlignment="1">
      <alignment vertical="top"/>
    </xf>
    <xf numFmtId="0" fontId="7" fillId="37" borderId="0" xfId="0" applyFont="1" applyFill="1" applyAlignment="1">
      <alignment horizontal="right"/>
    </xf>
    <xf numFmtId="0" fontId="7" fillId="37" borderId="0" xfId="0" applyFont="1" applyFill="1"/>
    <xf numFmtId="168" fontId="7" fillId="37" borderId="0" xfId="0" applyNumberFormat="1" applyFont="1" applyFill="1" applyAlignment="1">
      <alignment horizontal="center"/>
    </xf>
    <xf numFmtId="0" fontId="1" fillId="37" borderId="0" xfId="0" applyFont="1" applyFill="1" applyAlignment="1">
      <alignment wrapText="1"/>
    </xf>
    <xf numFmtId="170" fontId="7" fillId="0" borderId="0" xfId="0" applyNumberFormat="1" applyFont="1" applyAlignment="1">
      <alignment horizontal="right"/>
    </xf>
    <xf numFmtId="0" fontId="41" fillId="37" borderId="0" xfId="0" applyFont="1" applyFill="1" applyAlignment="1">
      <alignment horizontal="center" wrapText="1"/>
    </xf>
    <xf numFmtId="0" fontId="7" fillId="37"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8" borderId="0" xfId="0" applyFont="1" applyFill="1" applyAlignment="1">
      <alignment horizontal="center" wrapText="1"/>
    </xf>
    <xf numFmtId="0" fontId="8" fillId="39" borderId="0" xfId="0" applyFont="1" applyFill="1" applyAlignment="1">
      <alignment vertical="top"/>
    </xf>
    <xf numFmtId="0" fontId="39" fillId="39" borderId="0" xfId="0" applyFont="1" applyFill="1"/>
    <xf numFmtId="0" fontId="7" fillId="39" borderId="0" xfId="0" applyFont="1" applyFill="1"/>
    <xf numFmtId="0" fontId="58" fillId="39" borderId="0" xfId="0" applyFont="1" applyFill="1"/>
    <xf numFmtId="0" fontId="7" fillId="39" borderId="0" xfId="0" applyFont="1" applyFill="1" applyAlignment="1">
      <alignment horizontal="right"/>
    </xf>
    <xf numFmtId="0" fontId="1" fillId="39"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9" borderId="0" xfId="0" applyFont="1" applyFill="1" applyAlignment="1">
      <alignment vertical="top" wrapText="1"/>
    </xf>
    <xf numFmtId="0" fontId="8" fillId="37" borderId="0" xfId="0" applyFont="1" applyFill="1" applyAlignment="1">
      <alignment wrapText="1"/>
    </xf>
    <xf numFmtId="0" fontId="58" fillId="0" borderId="0" xfId="0" applyFont="1"/>
    <xf numFmtId="1" fontId="8" fillId="0" borderId="0" xfId="0" applyNumberFormat="1" applyFont="1" applyAlignment="1">
      <alignment vertical="top"/>
    </xf>
    <xf numFmtId="0" fontId="7" fillId="0" borderId="0" xfId="0" applyFont="1" applyAlignment="1">
      <alignment horizontal="right"/>
    </xf>
    <xf numFmtId="0" fontId="39" fillId="0" borderId="0" xfId="0" applyFont="1" applyAlignment="1">
      <alignment horizontal="right"/>
    </xf>
    <xf numFmtId="0" fontId="1" fillId="9" borderId="0" xfId="0" applyFont="1" applyFill="1" applyAlignment="1">
      <alignment wrapText="1"/>
    </xf>
    <xf numFmtId="0" fontId="8" fillId="9" borderId="0" xfId="0" applyFont="1" applyFill="1" applyAlignment="1">
      <alignment vertical="top"/>
    </xf>
    <xf numFmtId="0" fontId="8" fillId="9" borderId="0" xfId="0" applyFont="1" applyFill="1" applyAlignment="1">
      <alignment vertical="top" wrapText="1"/>
    </xf>
    <xf numFmtId="0" fontId="7" fillId="40" borderId="0" xfId="0" applyFont="1" applyFill="1" applyAlignment="1">
      <alignment wrapText="1"/>
    </xf>
    <xf numFmtId="0" fontId="7" fillId="41" borderId="0" xfId="0" applyFont="1" applyFill="1" applyAlignment="1">
      <alignment horizontal="center" wrapText="1"/>
    </xf>
    <xf numFmtId="0" fontId="39" fillId="9" borderId="0" xfId="0" applyFont="1" applyFill="1" applyAlignment="1">
      <alignment horizontal="right"/>
    </xf>
    <xf numFmtId="0" fontId="7" fillId="9" borderId="0" xfId="0" applyFont="1" applyFill="1" applyAlignment="1">
      <alignment horizontal="right"/>
    </xf>
    <xf numFmtId="0" fontId="55" fillId="0" borderId="0" xfId="0" applyFont="1"/>
    <xf numFmtId="170" fontId="53"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39" fillId="44" borderId="0" xfId="0" applyFont="1" applyFill="1" applyAlignment="1">
      <alignment wrapText="1"/>
    </xf>
    <xf numFmtId="0" fontId="1" fillId="44" borderId="0" xfId="0" applyFont="1" applyFill="1"/>
    <xf numFmtId="0" fontId="39"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0" fontId="41"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41" fillId="0" borderId="0" xfId="0" applyFont="1" applyAlignment="1">
      <alignment horizontal="center" wrapText="1"/>
    </xf>
    <xf numFmtId="0" fontId="7" fillId="14" borderId="0" xfId="0" applyFont="1" applyFill="1"/>
    <xf numFmtId="0" fontId="27" fillId="7" borderId="1" xfId="0" applyFont="1" applyFill="1" applyBorder="1" applyAlignment="1">
      <alignment horizontal="left" indent="2"/>
    </xf>
    <xf numFmtId="0" fontId="59" fillId="0" borderId="0" xfId="0" applyFont="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2"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2"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3"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49" fontId="1" fillId="0" borderId="0" xfId="0" applyNumberFormat="1" applyFont="1" applyAlignment="1">
      <alignment horizontal="left" wrapText="1" indent="1"/>
    </xf>
    <xf numFmtId="168" fontId="14" fillId="0" borderId="0" xfId="0" applyNumberFormat="1" applyFont="1" applyAlignment="1">
      <alignment horizontal="center"/>
    </xf>
    <xf numFmtId="0" fontId="2" fillId="0" borderId="24" xfId="0" applyFont="1" applyBorder="1" applyAlignment="1">
      <alignment horizontal="center"/>
    </xf>
    <xf numFmtId="168" fontId="1" fillId="0" borderId="18" xfId="0" applyNumberFormat="1" applyFont="1" applyBorder="1" applyAlignment="1">
      <alignment horizontal="center" vertical="center"/>
    </xf>
    <xf numFmtId="168" fontId="1" fillId="0" borderId="20" xfId="0" applyNumberFormat="1" applyFont="1" applyBorder="1" applyAlignment="1">
      <alignment horizontal="center" vertical="center"/>
    </xf>
    <xf numFmtId="168" fontId="1" fillId="0" borderId="23" xfId="0" applyNumberFormat="1" applyFont="1" applyBorder="1" applyAlignment="1">
      <alignment horizontal="center" vertical="center"/>
    </xf>
    <xf numFmtId="168" fontId="1" fillId="0" borderId="25" xfId="0" applyNumberFormat="1" applyFont="1" applyBorder="1" applyAlignment="1">
      <alignment horizontal="center"/>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 fillId="0" borderId="29" xfId="0" applyNumberFormat="1" applyFont="1" applyBorder="1" applyAlignment="1">
      <alignment horizontal="center"/>
    </xf>
    <xf numFmtId="1" fontId="1" fillId="0" borderId="30" xfId="0" applyNumberFormat="1" applyFont="1" applyBorder="1" applyAlignment="1">
      <alignment horizontal="center"/>
    </xf>
    <xf numFmtId="1" fontId="1" fillId="0" borderId="28" xfId="0" applyNumberFormat="1" applyFont="1" applyBorder="1" applyAlignment="1">
      <alignment horizontal="center"/>
    </xf>
    <xf numFmtId="1" fontId="1" fillId="0" borderId="29" xfId="0" applyNumberFormat="1" applyFont="1" applyBorder="1" applyAlignment="1">
      <alignment horizontal="center"/>
    </xf>
    <xf numFmtId="168" fontId="1" fillId="0" borderId="17" xfId="0" applyNumberFormat="1" applyFont="1" applyBorder="1" applyAlignment="1">
      <alignment horizontal="left" indent="1"/>
    </xf>
    <xf numFmtId="0" fontId="1" fillId="0" borderId="0" xfId="0" applyFont="1" applyAlignment="1">
      <alignment horizontal="left" vertical="center" wrapText="1"/>
    </xf>
    <xf numFmtId="0" fontId="15" fillId="0" borderId="0" xfId="0" applyFont="1" applyAlignment="1">
      <alignment horizontal="left" vertical="center" wrapText="1"/>
    </xf>
    <xf numFmtId="0" fontId="15" fillId="0" borderId="0" xfId="0" applyFont="1" applyAlignment="1">
      <alignment horizontal="left" wrapText="1"/>
    </xf>
    <xf numFmtId="168" fontId="1" fillId="0" borderId="0" xfId="0" applyNumberFormat="1" applyFont="1" applyAlignment="1">
      <alignment horizontal="left" wrapText="1" indent="1"/>
    </xf>
    <xf numFmtId="0" fontId="1" fillId="0" borderId="0" xfId="0" applyFont="1" applyAlignment="1">
      <alignment horizontal="left" indent="1"/>
    </xf>
    <xf numFmtId="0" fontId="1" fillId="0" borderId="0" xfId="0" applyFont="1" applyAlignment="1">
      <alignment horizontal="left" wrapText="1"/>
    </xf>
    <xf numFmtId="0" fontId="2" fillId="0" borderId="0" xfId="0" applyFont="1" applyAlignment="1">
      <alignment horizontal="center"/>
    </xf>
    <xf numFmtId="0" fontId="4" fillId="10" borderId="2" xfId="0" applyFont="1" applyFill="1" applyBorder="1" applyAlignment="1">
      <alignment horizontal="center"/>
    </xf>
    <xf numFmtId="0" fontId="4" fillId="10" borderId="33" xfId="0" applyFont="1" applyFill="1" applyBorder="1" applyAlignment="1">
      <alignment horizontal="center"/>
    </xf>
    <xf numFmtId="0" fontId="1" fillId="10" borderId="0" xfId="0" applyFont="1" applyFill="1" applyAlignment="1">
      <alignment horizontal="center"/>
    </xf>
    <xf numFmtId="0" fontId="3" fillId="0" borderId="0" xfId="0" applyFont="1" applyAlignment="1">
      <alignment horizontal="center"/>
    </xf>
    <xf numFmtId="0" fontId="16" fillId="0" borderId="0" xfId="0" applyFont="1"/>
    <xf numFmtId="0" fontId="17" fillId="0" borderId="0" xfId="0" applyFont="1"/>
    <xf numFmtId="0" fontId="18" fillId="0" borderId="0" xfId="0" applyFont="1"/>
    <xf numFmtId="0" fontId="19" fillId="0" borderId="0" xfId="0" applyFont="1" applyAlignment="1">
      <alignment wrapText="1"/>
    </xf>
    <xf numFmtId="0" fontId="1" fillId="0" borderId="0" xfId="0" applyFont="1"/>
    <xf numFmtId="0" fontId="3" fillId="0" borderId="0" xfId="0" applyFont="1" applyAlignment="1">
      <alignment wrapText="1"/>
    </xf>
    <xf numFmtId="0" fontId="20" fillId="0" borderId="32" xfId="0" applyFont="1" applyBorder="1" applyAlignment="1">
      <alignment horizontal="center" vertical="center"/>
    </xf>
    <xf numFmtId="0" fontId="20" fillId="11" borderId="32" xfId="0" applyFont="1" applyFill="1" applyBorder="1" applyAlignment="1">
      <alignment horizontal="center" vertical="center"/>
    </xf>
    <xf numFmtId="0" fontId="1" fillId="0" borderId="0" xfId="0" applyFont="1" applyAlignment="1">
      <alignment horizontal="center"/>
    </xf>
    <xf numFmtId="0" fontId="21"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10" borderId="1" xfId="0" applyFont="1" applyFill="1" applyBorder="1" applyAlignment="1">
      <alignment horizontal="center"/>
    </xf>
    <xf numFmtId="0" fontId="4" fillId="10" borderId="0" xfId="0" applyFont="1" applyFill="1" applyAlignment="1">
      <alignment horizontal="center"/>
    </xf>
    <xf numFmtId="0" fontId="4" fillId="10" borderId="4" xfId="0" applyFont="1" applyFill="1" applyBorder="1" applyAlignment="1">
      <alignment horizontal="center"/>
    </xf>
    <xf numFmtId="0" fontId="12" fillId="10" borderId="2" xfId="0" applyFont="1" applyFill="1" applyBorder="1" applyAlignment="1">
      <alignment horizontal="center"/>
    </xf>
    <xf numFmtId="0" fontId="12" fillId="10" borderId="6" xfId="0" applyFont="1" applyFill="1" applyBorder="1" applyAlignment="1">
      <alignment horizontal="center"/>
    </xf>
    <xf numFmtId="0" fontId="12" fillId="10" borderId="1" xfId="0" applyFont="1" applyFill="1" applyBorder="1" applyAlignment="1">
      <alignment horizontal="center"/>
    </xf>
    <xf numFmtId="0" fontId="12" fillId="10" borderId="4" xfId="0" applyFont="1" applyFill="1" applyBorder="1" applyAlignment="1">
      <alignment horizontal="center"/>
    </xf>
    <xf numFmtId="0" fontId="12" fillId="10" borderId="7" xfId="0" applyFont="1" applyFill="1" applyBorder="1" applyAlignment="1">
      <alignment horizontal="center"/>
    </xf>
    <xf numFmtId="0" fontId="12" fillId="10" borderId="8" xfId="0" applyFont="1" applyFill="1" applyBorder="1" applyAlignment="1">
      <alignment horizontal="center"/>
    </xf>
    <xf numFmtId="0" fontId="4" fillId="8" borderId="2" xfId="0" applyFont="1" applyFill="1" applyBorder="1" applyAlignment="1">
      <alignment horizontal="center"/>
    </xf>
    <xf numFmtId="0" fontId="4" fillId="8" borderId="33" xfId="0" applyFont="1" applyFill="1" applyBorder="1" applyAlignment="1">
      <alignment horizontal="center"/>
    </xf>
    <xf numFmtId="0" fontId="4" fillId="8" borderId="6" xfId="0" applyFont="1" applyFill="1" applyBorder="1" applyAlignment="1">
      <alignment horizontal="center"/>
    </xf>
    <xf numFmtId="0" fontId="4" fillId="10" borderId="5" xfId="0" applyFont="1" applyFill="1" applyBorder="1" applyAlignment="1">
      <alignment horizontal="center"/>
    </xf>
    <xf numFmtId="0" fontId="4" fillId="10" borderId="6" xfId="0" applyFont="1" applyFill="1" applyBorder="1" applyAlignment="1">
      <alignment horizontal="center"/>
    </xf>
    <xf numFmtId="0" fontId="4" fillId="10" borderId="0" xfId="0" applyFont="1" applyFill="1" applyAlignment="1">
      <alignment horizontal="right"/>
    </xf>
    <xf numFmtId="0" fontId="12" fillId="8" borderId="2" xfId="0" applyFont="1" applyFill="1" applyBorder="1" applyAlignment="1">
      <alignment horizontal="center"/>
    </xf>
    <xf numFmtId="0" fontId="12" fillId="8" borderId="33" xfId="0" applyFont="1" applyFill="1" applyBorder="1" applyAlignment="1">
      <alignment horizontal="center"/>
    </xf>
    <xf numFmtId="0" fontId="12" fillId="8" borderId="38" xfId="0" applyFont="1" applyFill="1" applyBorder="1" applyAlignment="1">
      <alignment horizontal="center"/>
    </xf>
    <xf numFmtId="0" fontId="12" fillId="8" borderId="6" xfId="0" applyFont="1" applyFill="1" applyBorder="1" applyAlignment="1">
      <alignment horizontal="center"/>
    </xf>
    <xf numFmtId="0" fontId="12" fillId="10" borderId="3" xfId="0" applyFont="1" applyFill="1" applyBorder="1" applyAlignment="1">
      <alignment horizontal="center"/>
    </xf>
    <xf numFmtId="0" fontId="12" fillId="10" borderId="0" xfId="0" applyFont="1" applyFill="1" applyAlignment="1">
      <alignment horizontal="center"/>
    </xf>
    <xf numFmtId="0" fontId="4" fillId="8" borderId="5" xfId="0" applyFont="1" applyFill="1" applyBorder="1" applyAlignment="1">
      <alignment horizontal="center"/>
    </xf>
    <xf numFmtId="0" fontId="12" fillId="10" borderId="9" xfId="0" applyFont="1" applyFill="1" applyBorder="1" applyAlignment="1">
      <alignment horizontal="center"/>
    </xf>
    <xf numFmtId="0" fontId="12" fillId="10" borderId="10" xfId="0" applyFont="1" applyFill="1" applyBorder="1" applyAlignment="1">
      <alignment horizontal="center"/>
    </xf>
    <xf numFmtId="0" fontId="12" fillId="10" borderId="11" xfId="0" applyFont="1" applyFill="1" applyBorder="1" applyAlignment="1">
      <alignment horizontal="center"/>
    </xf>
    <xf numFmtId="0" fontId="12" fillId="8" borderId="9" xfId="0" applyFont="1" applyFill="1" applyBorder="1" applyAlignment="1">
      <alignment horizontal="center"/>
    </xf>
    <xf numFmtId="0" fontId="12" fillId="8" borderId="10" xfId="0" applyFont="1" applyFill="1" applyBorder="1" applyAlignment="1">
      <alignment horizontal="center"/>
    </xf>
    <xf numFmtId="0" fontId="12" fillId="8" borderId="11" xfId="0" applyFont="1" applyFill="1" applyBorder="1" applyAlignment="1">
      <alignment horizontal="center"/>
    </xf>
    <xf numFmtId="0" fontId="4" fillId="10" borderId="2" xfId="0" applyFont="1" applyFill="1" applyBorder="1" applyAlignment="1">
      <alignment horizontal="right"/>
    </xf>
    <xf numFmtId="0" fontId="4" fillId="10" borderId="33" xfId="0" applyFont="1" applyFill="1" applyBorder="1" applyAlignment="1">
      <alignment horizontal="right"/>
    </xf>
    <xf numFmtId="0" fontId="12" fillId="8" borderId="7" xfId="0" applyFont="1" applyFill="1" applyBorder="1" applyAlignment="1">
      <alignment horizontal="center"/>
    </xf>
    <xf numFmtId="0" fontId="12" fillId="8" borderId="3" xfId="0" applyFont="1" applyFill="1" applyBorder="1" applyAlignment="1">
      <alignment horizontal="center"/>
    </xf>
    <xf numFmtId="0" fontId="12" fillId="8" borderId="1" xfId="0" applyFont="1" applyFill="1" applyBorder="1" applyAlignment="1">
      <alignment horizontal="center"/>
    </xf>
    <xf numFmtId="0" fontId="12" fillId="8" borderId="0" xfId="0" applyFont="1" applyFill="1" applyAlignment="1">
      <alignment horizontal="center"/>
    </xf>
    <xf numFmtId="0" fontId="4" fillId="0" borderId="4" xfId="0" applyFont="1" applyBorder="1" applyAlignment="1">
      <alignment horizontal="center" wrapText="1"/>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13" borderId="42" xfId="0" applyFont="1" applyFill="1" applyBorder="1" applyAlignment="1">
      <alignment horizontal="center" vertical="center" wrapText="1"/>
    </xf>
    <xf numFmtId="0" fontId="12" fillId="13" borderId="38" xfId="0" applyFont="1" applyFill="1" applyBorder="1" applyAlignment="1">
      <alignment horizontal="center" vertical="center" wrapText="1"/>
    </xf>
    <xf numFmtId="0" fontId="12" fillId="13" borderId="5" xfId="0" applyFont="1" applyFill="1" applyBorder="1" applyAlignment="1">
      <alignment horizontal="center" vertical="center" wrapText="1"/>
    </xf>
    <xf numFmtId="0" fontId="12" fillId="13" borderId="33"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0" fontId="4" fillId="3" borderId="14" xfId="0" applyFont="1" applyFill="1" applyBorder="1" applyAlignment="1">
      <alignment horizontal="center" wrapText="1"/>
    </xf>
    <xf numFmtId="0" fontId="4" fillId="3" borderId="4" xfId="0" applyFont="1" applyFill="1" applyBorder="1" applyAlignment="1">
      <alignment horizontal="center" wrapText="1"/>
    </xf>
    <xf numFmtId="0" fontId="4" fillId="3" borderId="8" xfId="0" applyFont="1" applyFill="1" applyBorder="1" applyAlignment="1">
      <alignment horizontal="center" wrapText="1"/>
    </xf>
    <xf numFmtId="0" fontId="4" fillId="3" borderId="6" xfId="0" applyFont="1" applyFill="1" applyBorder="1" applyAlignment="1">
      <alignment horizontal="center" wrapText="1"/>
    </xf>
    <xf numFmtId="0" fontId="12" fillId="8" borderId="42" xfId="0" applyFont="1" applyFill="1" applyBorder="1" applyAlignment="1">
      <alignment horizontal="center"/>
    </xf>
    <xf numFmtId="0" fontId="12" fillId="8" borderId="43" xfId="0" applyFont="1" applyFill="1" applyBorder="1" applyAlignment="1">
      <alignment horizontal="center"/>
    </xf>
    <xf numFmtId="0" fontId="12" fillId="0" borderId="0" xfId="0" applyFont="1" applyAlignment="1">
      <alignment horizontal="left" wrapText="1"/>
    </xf>
    <xf numFmtId="0" fontId="12" fillId="10" borderId="5" xfId="0" applyFont="1" applyFill="1" applyBorder="1" applyAlignment="1">
      <alignment horizontal="center"/>
    </xf>
    <xf numFmtId="0" fontId="12" fillId="10" borderId="2" xfId="0" applyFont="1" applyFill="1" applyBorder="1" applyAlignment="1">
      <alignment horizontal="center" vertical="center"/>
    </xf>
    <xf numFmtId="0" fontId="12" fillId="10" borderId="6" xfId="0" applyFont="1" applyFill="1" applyBorder="1" applyAlignment="1">
      <alignment horizontal="center" vertical="center"/>
    </xf>
    <xf numFmtId="0" fontId="12" fillId="10" borderId="1" xfId="0" applyFont="1" applyFill="1" applyBorder="1" applyAlignment="1">
      <alignment horizontal="center" vertical="center"/>
    </xf>
    <xf numFmtId="0" fontId="12" fillId="10" borderId="4" xfId="0" applyFont="1" applyFill="1" applyBorder="1" applyAlignment="1">
      <alignment horizontal="center" vertical="center"/>
    </xf>
    <xf numFmtId="0" fontId="4" fillId="10" borderId="2" xfId="0" applyFont="1" applyFill="1" applyBorder="1" applyAlignment="1">
      <alignment horizontal="center" vertical="center"/>
    </xf>
    <xf numFmtId="0" fontId="4" fillId="10" borderId="5" xfId="0" applyFont="1" applyFill="1" applyBorder="1" applyAlignment="1">
      <alignment horizontal="center" vertical="center"/>
    </xf>
    <xf numFmtId="0" fontId="4" fillId="10" borderId="6" xfId="0" applyFont="1" applyFill="1" applyBorder="1" applyAlignment="1">
      <alignment horizontal="center" vertical="center"/>
    </xf>
    <xf numFmtId="0" fontId="4" fillId="10" borderId="33" xfId="0" applyFont="1" applyFill="1" applyBorder="1" applyAlignment="1">
      <alignment horizontal="center" vertical="center"/>
    </xf>
    <xf numFmtId="0" fontId="12" fillId="10" borderId="7" xfId="0" applyFont="1" applyFill="1" applyBorder="1" applyAlignment="1">
      <alignment horizontal="center" vertical="center"/>
    </xf>
    <xf numFmtId="0" fontId="12" fillId="10" borderId="3" xfId="0" applyFont="1" applyFill="1" applyBorder="1" applyAlignment="1">
      <alignment horizontal="center" vertical="center"/>
    </xf>
    <xf numFmtId="0" fontId="12" fillId="10" borderId="0" xfId="0" applyFont="1" applyFill="1" applyAlignment="1">
      <alignment horizontal="center" vertical="center"/>
    </xf>
    <xf numFmtId="0" fontId="12" fillId="0" borderId="2" xfId="0" applyFont="1" applyBorder="1" applyAlignment="1">
      <alignment horizontal="center" vertical="top" wrapText="1"/>
    </xf>
    <xf numFmtId="0" fontId="12" fillId="0" borderId="5" xfId="0" applyFont="1" applyBorder="1" applyAlignment="1">
      <alignment horizontal="center" vertical="top" wrapText="1"/>
    </xf>
    <xf numFmtId="0" fontId="12" fillId="0" borderId="2" xfId="0" applyFont="1" applyBorder="1" applyAlignment="1">
      <alignment horizontal="center" wrapText="1"/>
    </xf>
    <xf numFmtId="0" fontId="12" fillId="0" borderId="0" xfId="0" applyFont="1" applyAlignment="1">
      <alignment horizontal="center" wrapText="1"/>
    </xf>
    <xf numFmtId="0" fontId="12" fillId="10" borderId="42" xfId="0" applyFont="1" applyFill="1" applyBorder="1" applyAlignment="1">
      <alignment horizontal="center"/>
    </xf>
    <xf numFmtId="0" fontId="12" fillId="10" borderId="38" xfId="0" applyFont="1" applyFill="1" applyBorder="1" applyAlignment="1">
      <alignment horizontal="center"/>
    </xf>
    <xf numFmtId="0" fontId="12" fillId="10" borderId="33" xfId="0" applyFont="1" applyFill="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0" fontId="4" fillId="13" borderId="1" xfId="0" applyFont="1" applyFill="1" applyBorder="1" applyAlignment="1">
      <alignment horizontal="left" vertical="top" wrapText="1" indent="3"/>
    </xf>
    <xf numFmtId="0" fontId="4" fillId="13" borderId="0" xfId="0" applyFont="1" applyFill="1" applyAlignment="1">
      <alignment horizontal="left" vertical="top" wrapText="1" indent="3"/>
    </xf>
    <xf numFmtId="0" fontId="4" fillId="13" borderId="4" xfId="0" applyFont="1" applyFill="1" applyBorder="1" applyAlignment="1">
      <alignment horizontal="left" vertical="top" wrapText="1" indent="3"/>
    </xf>
    <xf numFmtId="0" fontId="4" fillId="0" borderId="2"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4" fillId="0" borderId="7" xfId="0" applyFont="1" applyBorder="1" applyAlignment="1">
      <alignment horizontal="left" wrapText="1"/>
    </xf>
    <xf numFmtId="0" fontId="4" fillId="0" borderId="3" xfId="0" applyFont="1" applyBorder="1" applyAlignment="1">
      <alignment horizontal="left" wrapText="1"/>
    </xf>
    <xf numFmtId="0" fontId="4" fillId="0" borderId="8" xfId="0" applyFont="1" applyBorder="1" applyAlignment="1">
      <alignment horizontal="left" wrapText="1"/>
    </xf>
    <xf numFmtId="0" fontId="4" fillId="13" borderId="1" xfId="0" applyFont="1" applyFill="1" applyBorder="1" applyAlignment="1">
      <alignment horizontal="left" wrapText="1" indent="3"/>
    </xf>
    <xf numFmtId="0" fontId="4" fillId="13" borderId="0" xfId="0" applyFont="1" applyFill="1" applyAlignment="1">
      <alignment horizontal="left" wrapText="1" indent="3"/>
    </xf>
    <xf numFmtId="0" fontId="4" fillId="13" borderId="4" xfId="0" applyFont="1" applyFill="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4" xfId="0" applyFont="1" applyBorder="1" applyAlignment="1">
      <alignment horizontal="left" wrapText="1"/>
    </xf>
    <xf numFmtId="0" fontId="29" fillId="0" borderId="0" xfId="0" applyFont="1" applyAlignment="1">
      <alignment horizontal="left" vertical="top" wrapText="1"/>
    </xf>
    <xf numFmtId="0" fontId="12" fillId="0" borderId="0" xfId="0" applyFont="1" applyAlignment="1">
      <alignment horizontal="center" vertical="top" wrapText="1"/>
    </xf>
    <xf numFmtId="0" fontId="31" fillId="0" borderId="0" xfId="0" applyFont="1" applyAlignment="1">
      <alignment horizontal="left" vertical="top" wrapText="1"/>
    </xf>
    <xf numFmtId="0" fontId="4" fillId="10" borderId="5" xfId="0" applyFont="1" applyFill="1" applyBorder="1" applyAlignment="1">
      <alignment horizontal="right"/>
    </xf>
    <xf numFmtId="0" fontId="1" fillId="0" borderId="0" xfId="0" applyFont="1" applyAlignment="1">
      <alignment horizontal="center" wrapText="1"/>
    </xf>
    <xf numFmtId="0" fontId="12" fillId="0" borderId="2" xfId="0" applyFont="1" applyBorder="1" applyAlignment="1">
      <alignment horizontal="center"/>
    </xf>
    <xf numFmtId="0" fontId="12" fillId="0" borderId="5" xfId="0" applyFont="1" applyBorder="1" applyAlignment="1">
      <alignment horizontal="center"/>
    </xf>
    <xf numFmtId="0" fontId="4" fillId="0" borderId="3" xfId="0" applyFont="1" applyBorder="1" applyAlignment="1">
      <alignment horizontal="left" vertical="top" wrapText="1"/>
    </xf>
    <xf numFmtId="0" fontId="12" fillId="10" borderId="2" xfId="0" applyFont="1" applyFill="1" applyBorder="1" applyAlignment="1">
      <alignment horizontal="center" wrapText="1"/>
    </xf>
    <xf numFmtId="0" fontId="12" fillId="10" borderId="6" xfId="0" applyFont="1" applyFill="1" applyBorder="1" applyAlignment="1">
      <alignment horizontal="center" wrapText="1"/>
    </xf>
    <xf numFmtId="0" fontId="12" fillId="10" borderId="1" xfId="0" applyFont="1" applyFill="1" applyBorder="1" applyAlignment="1">
      <alignment horizontal="center" wrapText="1"/>
    </xf>
    <xf numFmtId="0" fontId="12" fillId="10" borderId="0" xfId="0" applyFont="1" applyFill="1" applyAlignment="1">
      <alignment horizontal="center" wrapText="1"/>
    </xf>
    <xf numFmtId="0" fontId="12" fillId="13" borderId="0" xfId="0" applyFont="1" applyFill="1" applyAlignment="1">
      <alignment horizontal="center"/>
    </xf>
    <xf numFmtId="0" fontId="12" fillId="10" borderId="43" xfId="0" applyFont="1" applyFill="1" applyBorder="1" applyAlignment="1">
      <alignment horizontal="center"/>
    </xf>
    <xf numFmtId="0" fontId="12" fillId="0" borderId="42" xfId="0" applyFont="1" applyBorder="1" applyAlignment="1">
      <alignment horizontal="center"/>
    </xf>
    <xf numFmtId="0" fontId="12" fillId="0" borderId="38" xfId="0" applyFont="1" applyBorder="1" applyAlignment="1">
      <alignment horizontal="center"/>
    </xf>
    <xf numFmtId="0" fontId="12" fillId="0" borderId="43" xfId="0" applyFont="1" applyBorder="1" applyAlignment="1">
      <alignment horizontal="center"/>
    </xf>
    <xf numFmtId="0" fontId="12" fillId="10" borderId="7" xfId="0" applyFont="1" applyFill="1" applyBorder="1" applyAlignment="1">
      <alignment horizontal="center" wrapText="1"/>
    </xf>
    <xf numFmtId="0" fontId="12" fillId="10" borderId="3" xfId="0" applyFont="1" applyFill="1" applyBorder="1" applyAlignment="1">
      <alignment horizontal="center" wrapText="1"/>
    </xf>
    <xf numFmtId="0" fontId="12" fillId="10" borderId="8" xfId="0" applyFont="1" applyFill="1" applyBorder="1" applyAlignment="1">
      <alignment horizontal="center" wrapText="1"/>
    </xf>
    <xf numFmtId="0" fontId="12" fillId="0" borderId="6" xfId="0" applyFont="1" applyBorder="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5" fillId="0" borderId="3" xfId="0" applyFont="1" applyBorder="1" applyAlignment="1">
      <alignment horizontal="center"/>
    </xf>
    <xf numFmtId="0" fontId="5" fillId="0" borderId="0" xfId="0" applyFont="1" applyAlignment="1">
      <alignment horizontal="center"/>
    </xf>
    <xf numFmtId="0" fontId="12" fillId="0" borderId="7" xfId="0" applyFont="1" applyBorder="1" applyAlignment="1">
      <alignment horizontal="center"/>
    </xf>
    <xf numFmtId="0" fontId="12" fillId="0" borderId="8" xfId="0" applyFont="1" applyBorder="1" applyAlignment="1">
      <alignment horizontal="center"/>
    </xf>
    <xf numFmtId="0" fontId="12" fillId="0" borderId="2" xfId="0" applyFont="1" applyBorder="1" applyAlignment="1">
      <alignment horizontal="left"/>
    </xf>
    <xf numFmtId="0" fontId="12" fillId="0" borderId="5" xfId="0" applyFont="1" applyBorder="1" applyAlignment="1">
      <alignment horizontal="left"/>
    </xf>
    <xf numFmtId="0" fontId="3" fillId="16" borderId="7" xfId="0" applyFont="1" applyFill="1" applyBorder="1" applyAlignment="1">
      <alignment horizontal="center"/>
    </xf>
    <xf numFmtId="0" fontId="3" fillId="16" borderId="3" xfId="0" applyFont="1" applyFill="1" applyBorder="1" applyAlignment="1">
      <alignment horizontal="center"/>
    </xf>
    <xf numFmtId="0" fontId="3" fillId="16" borderId="8" xfId="0" applyFont="1" applyFill="1" applyBorder="1" applyAlignment="1">
      <alignment horizontal="center"/>
    </xf>
    <xf numFmtId="0" fontId="23" fillId="0" borderId="3" xfId="0" applyFont="1" applyBorder="1" applyAlignment="1">
      <alignment horizontal="left" vertical="top" wrapText="1"/>
    </xf>
    <xf numFmtId="0" fontId="23" fillId="0" borderId="7" xfId="0" applyFont="1" applyBorder="1" applyAlignment="1">
      <alignment horizontal="center"/>
    </xf>
    <xf numFmtId="0" fontId="23" fillId="0" borderId="3" xfId="0" applyFont="1" applyBorder="1" applyAlignment="1">
      <alignment horizontal="center"/>
    </xf>
    <xf numFmtId="0" fontId="23" fillId="0" borderId="8" xfId="0" applyFont="1" applyBorder="1" applyAlignment="1">
      <alignment horizontal="center"/>
    </xf>
    <xf numFmtId="0" fontId="1" fillId="0" borderId="0" xfId="0" applyFont="1" applyAlignment="1">
      <alignment horizontal="left" vertical="top" wrapText="1"/>
    </xf>
    <xf numFmtId="0" fontId="2" fillId="10" borderId="2" xfId="0" applyFont="1" applyFill="1" applyBorder="1" applyAlignment="1">
      <alignment horizontal="center" wrapText="1"/>
    </xf>
    <xf numFmtId="0" fontId="2" fillId="10" borderId="5" xfId="0" applyFont="1" applyFill="1" applyBorder="1" applyAlignment="1">
      <alignment horizontal="center" wrapText="1"/>
    </xf>
    <xf numFmtId="0" fontId="2" fillId="10" borderId="1" xfId="0" applyFont="1" applyFill="1" applyBorder="1" applyAlignment="1">
      <alignment horizontal="center" wrapText="1"/>
    </xf>
    <xf numFmtId="0" fontId="2" fillId="10" borderId="0" xfId="0" applyFont="1" applyFill="1" applyAlignment="1">
      <alignment horizontal="center" wrapText="1"/>
    </xf>
    <xf numFmtId="0" fontId="1" fillId="10" borderId="2" xfId="0" applyFont="1" applyFill="1" applyBorder="1" applyAlignment="1">
      <alignment horizontal="center"/>
    </xf>
    <xf numFmtId="0" fontId="1" fillId="10" borderId="5" xfId="0" applyFont="1" applyFill="1" applyBorder="1" applyAlignment="1">
      <alignment horizontal="center"/>
    </xf>
    <xf numFmtId="0" fontId="1" fillId="10" borderId="2" xfId="0" applyFont="1" applyFill="1" applyBorder="1" applyAlignment="1">
      <alignment horizontal="center" wrapText="1"/>
    </xf>
    <xf numFmtId="0" fontId="1" fillId="10" borderId="5" xfId="0" applyFont="1" applyFill="1" applyBorder="1" applyAlignment="1">
      <alignment horizontal="center" wrapText="1"/>
    </xf>
    <xf numFmtId="0" fontId="1" fillId="10" borderId="6" xfId="0" applyFont="1" applyFill="1" applyBorder="1" applyAlignment="1">
      <alignment horizontal="center" wrapText="1"/>
    </xf>
    <xf numFmtId="0" fontId="42" fillId="10" borderId="2" xfId="0" applyFont="1" applyFill="1" applyBorder="1" applyAlignment="1">
      <alignment horizontal="center"/>
    </xf>
    <xf numFmtId="0" fontId="42" fillId="10" borderId="5" xfId="0" applyFont="1" applyFill="1" applyBorder="1" applyAlignment="1">
      <alignment horizontal="center"/>
    </xf>
    <xf numFmtId="0" fontId="42" fillId="10" borderId="6" xfId="0" applyFont="1" applyFill="1" applyBorder="1" applyAlignment="1">
      <alignment horizontal="center"/>
    </xf>
    <xf numFmtId="0" fontId="1" fillId="10" borderId="33" xfId="0" applyFont="1" applyFill="1" applyBorder="1" applyAlignment="1">
      <alignment horizontal="center"/>
    </xf>
    <xf numFmtId="0" fontId="1" fillId="10" borderId="6" xfId="0" applyFont="1" applyFill="1" applyBorder="1" applyAlignment="1">
      <alignment horizontal="center"/>
    </xf>
    <xf numFmtId="0" fontId="1" fillId="10" borderId="14" xfId="0" applyFont="1" applyFill="1" applyBorder="1" applyAlignment="1">
      <alignment horizontal="center"/>
    </xf>
    <xf numFmtId="0" fontId="1" fillId="10" borderId="12" xfId="0" applyFont="1" applyFill="1" applyBorder="1" applyAlignment="1">
      <alignment horizontal="center"/>
    </xf>
    <xf numFmtId="0" fontId="1" fillId="26" borderId="0" xfId="0" applyFont="1" applyFill="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3"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9" borderId="0" xfId="0" applyFont="1" applyFill="1" applyAlignment="1">
      <alignment horizontal="left" vertical="top" wrapText="1"/>
    </xf>
    <xf numFmtId="1" fontId="46" fillId="0" borderId="52" xfId="0" applyNumberFormat="1" applyFont="1" applyBorder="1" applyAlignment="1">
      <alignment horizontal="center" vertical="top"/>
    </xf>
    <xf numFmtId="1" fontId="46" fillId="0" borderId="0" xfId="0" applyNumberFormat="1" applyFont="1" applyAlignment="1">
      <alignment horizontal="center" vertical="top"/>
    </xf>
    <xf numFmtId="1" fontId="46" fillId="0" borderId="42" xfId="0" applyNumberFormat="1" applyFont="1" applyBorder="1" applyAlignment="1">
      <alignment horizontal="center" vertical="top"/>
    </xf>
    <xf numFmtId="1" fontId="46" fillId="0" borderId="38" xfId="0" applyNumberFormat="1" applyFont="1" applyBorder="1" applyAlignment="1">
      <alignment horizontal="center" vertical="top"/>
    </xf>
    <xf numFmtId="1" fontId="46" fillId="0" borderId="43" xfId="0" applyNumberFormat="1" applyFont="1" applyBorder="1" applyAlignment="1">
      <alignment horizontal="center" vertical="top"/>
    </xf>
    <xf numFmtId="0" fontId="12" fillId="35" borderId="0" xfId="0" applyFont="1" applyFill="1" applyAlignment="1">
      <alignment horizontal="center"/>
    </xf>
    <xf numFmtId="0" fontId="7" fillId="0" borderId="0" xfId="0" applyFont="1" applyAlignment="1">
      <alignment horizontal="center" wrapText="1"/>
    </xf>
    <xf numFmtId="0" fontId="7" fillId="40" borderId="0" xfId="0" applyFont="1" applyFill="1" applyAlignment="1">
      <alignment wrapText="1"/>
    </xf>
    <xf numFmtId="0" fontId="1" fillId="0" borderId="0" xfId="0" applyFont="1" applyAlignment="1">
      <alignment wrapText="1"/>
    </xf>
    <xf numFmtId="0" fontId="7" fillId="42" borderId="0" xfId="0" applyFont="1" applyFill="1" applyAlignment="1">
      <alignment horizontal="center" wrapText="1"/>
    </xf>
    <xf numFmtId="0" fontId="1" fillId="9" borderId="0" xfId="0" applyFont="1" applyFill="1" applyAlignment="1">
      <alignment horizontal="center" wrapText="1"/>
    </xf>
    <xf numFmtId="0" fontId="7" fillId="41" borderId="0" xfId="0" applyFont="1" applyFill="1" applyAlignment="1">
      <alignment horizontal="center" wrapText="1"/>
    </xf>
    <xf numFmtId="0" fontId="7" fillId="43" borderId="0" xfId="0" applyFont="1" applyFill="1" applyAlignment="1">
      <alignment horizontal="center" wrapText="1"/>
    </xf>
  </cellXfs>
  <cellStyles count="1">
    <cellStyle name="Normal" xfId="0" builtinId="0"/>
  </cellStyles>
  <dxfs count="81">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pivotCacheDefinition" Target="pivotCache/pivotCacheDefinition1.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812.1</c:v>
                </c:pt>
                <c:pt idx="1">
                  <c:v>832.4</c:v>
                </c:pt>
                <c:pt idx="2">
                  <c:v>843</c:v>
                </c:pt>
                <c:pt idx="3">
                  <c:v>848.9</c:v>
                </c:pt>
                <c:pt idx="4">
                  <c:v>854.6</c:v>
                </c:pt>
                <c:pt idx="5">
                  <c:v>869.3</c:v>
                </c:pt>
                <c:pt idx="6">
                  <c:v>1792.5</c:v>
                </c:pt>
                <c:pt idx="7">
                  <c:v>1655.6000000000001</c:v>
                </c:pt>
                <c:pt idx="8">
                  <c:v>1188.2</c:v>
                </c:pt>
                <c:pt idx="9">
                  <c:v>1467.3000000000002</c:v>
                </c:pt>
                <c:pt idx="10">
                  <c:v>1351.8000000000002</c:v>
                </c:pt>
                <c:pt idx="11">
                  <c:v>1328.333333333333</c:v>
                </c:pt>
                <c:pt idx="12">
                  <c:v>1157.333333333333</c:v>
                </c:pt>
                <c:pt idx="13">
                  <c:v>1038.7</c:v>
                </c:pt>
                <c:pt idx="14">
                  <c:v>1040.4000000000001</c:v>
                </c:pt>
                <c:pt idx="15">
                  <c:v>1041.1000000000001</c:v>
                </c:pt>
                <c:pt idx="16">
                  <c:v>1050.6000000000001</c:v>
                </c:pt>
                <c:pt idx="17">
                  <c:v>994.1</c:v>
                </c:pt>
                <c:pt idx="18">
                  <c:v>998.52857142857135</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14</xdr:col>
      <xdr:colOff>34925</xdr:colOff>
      <xdr:row>0</xdr:row>
      <xdr:rowOff>114300</xdr:rowOff>
    </xdr:from>
    <xdr:to>
      <xdr:col>15</xdr:col>
      <xdr:colOff>587375</xdr:colOff>
      <xdr:row>4</xdr:row>
      <xdr:rowOff>152400</xdr:rowOff>
    </xdr:to>
    <xdr:sp macro="" textlink="">
      <xdr:nvSpPr>
        <xdr:cNvPr id="363521" name="Text Box 1025" hidden="1">
          <a:extLst>
            <a:ext uri="{FF2B5EF4-FFF2-40B4-BE49-F238E27FC236}">
              <a16:creationId xmlns:a16="http://schemas.microsoft.com/office/drawing/2014/main" id="{C4582F29-6434-2C37-E058-0B9EC5B08A82}"/>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363522" name="Text Box 1026" hidden="1">
          <a:extLst>
            <a:ext uri="{FF2B5EF4-FFF2-40B4-BE49-F238E27FC236}">
              <a16:creationId xmlns:a16="http://schemas.microsoft.com/office/drawing/2014/main" id="{45E0A5A5-9294-D4A3-0DF5-F69514794BDE}"/>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1031" name="Text Box 7" hidden="1">
          <a:extLst>
            <a:ext uri="{FF2B5EF4-FFF2-40B4-BE49-F238E27FC236}">
              <a16:creationId xmlns:a16="http://schemas.microsoft.com/office/drawing/2014/main" id="{21710B01-CDB5-E523-9A3E-390C2DBE3164}"/>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1030" name="Text Box 6" hidden="1">
          <a:extLst>
            <a:ext uri="{FF2B5EF4-FFF2-40B4-BE49-F238E27FC236}">
              <a16:creationId xmlns:a16="http://schemas.microsoft.com/office/drawing/2014/main" id="{726BD858-8F93-EB02-3CEC-6F67BE18B7A0}"/>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1029" name="Text Box 5" hidden="1">
          <a:extLst>
            <a:ext uri="{FF2B5EF4-FFF2-40B4-BE49-F238E27FC236}">
              <a16:creationId xmlns:a16="http://schemas.microsoft.com/office/drawing/2014/main" id="{B110EA28-FABC-A5CA-D3CF-C8802A3B94AB}"/>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1028" name="Text Box 4" hidden="1">
          <a:extLst>
            <a:ext uri="{FF2B5EF4-FFF2-40B4-BE49-F238E27FC236}">
              <a16:creationId xmlns:a16="http://schemas.microsoft.com/office/drawing/2014/main" id="{B9A12AE7-C74D-8ACD-4705-3A207FCFF031}"/>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2" name="Text Box 5" hidden="1">
          <a:extLst>
            <a:ext uri="{FF2B5EF4-FFF2-40B4-BE49-F238E27FC236}">
              <a16:creationId xmlns:a16="http://schemas.microsoft.com/office/drawing/2014/main" id="{8E692E4C-B57B-D863-7CCA-555F044335EF}"/>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3" name="Text Box 4" hidden="1">
          <a:extLst>
            <a:ext uri="{FF2B5EF4-FFF2-40B4-BE49-F238E27FC236}">
              <a16:creationId xmlns:a16="http://schemas.microsoft.com/office/drawing/2014/main" id="{F6D290EA-876C-598B-37CF-FC87B10AB50B}"/>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4" name="Text Box 5" hidden="1">
          <a:extLst>
            <a:ext uri="{FF2B5EF4-FFF2-40B4-BE49-F238E27FC236}">
              <a16:creationId xmlns:a16="http://schemas.microsoft.com/office/drawing/2014/main" id="{075F1CEA-707F-4B06-B72B-DDACFC87F452}"/>
            </a:ext>
          </a:extLst>
        </xdr:cNvPr>
        <xdr:cNvSpPr txBox="1">
          <a:spLocks noChangeArrowheads="1"/>
        </xdr:cNvSpPr>
      </xdr:nvSpPr>
      <xdr:spPr bwMode="auto">
        <a:xfrm>
          <a:off x="13627100" y="114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5" name="Text Box 4" hidden="1">
          <a:extLst>
            <a:ext uri="{FF2B5EF4-FFF2-40B4-BE49-F238E27FC236}">
              <a16:creationId xmlns:a16="http://schemas.microsoft.com/office/drawing/2014/main" id="{B85E49AE-FDE1-3905-F652-6AC28D6200BE}"/>
            </a:ext>
          </a:extLst>
        </xdr:cNvPr>
        <xdr:cNvSpPr txBox="1">
          <a:spLocks noChangeArrowheads="1"/>
        </xdr:cNvSpPr>
      </xdr:nvSpPr>
      <xdr:spPr bwMode="auto">
        <a:xfrm>
          <a:off x="13627100" y="482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0</xdr:row>
      <xdr:rowOff>114300</xdr:rowOff>
    </xdr:from>
    <xdr:to>
      <xdr:col>15</xdr:col>
      <xdr:colOff>587375</xdr:colOff>
      <xdr:row>4</xdr:row>
      <xdr:rowOff>152400</xdr:rowOff>
    </xdr:to>
    <xdr:sp macro="" textlink="">
      <xdr:nvSpPr>
        <xdr:cNvPr id="6" name="Text Box 5" hidden="1">
          <a:extLst>
            <a:ext uri="{FF2B5EF4-FFF2-40B4-BE49-F238E27FC236}">
              <a16:creationId xmlns:a16="http://schemas.microsoft.com/office/drawing/2014/main" id="{409313C2-9048-2919-1AAE-AA1A42AF977B}"/>
            </a:ext>
          </a:extLst>
        </xdr:cNvPr>
        <xdr:cNvSpPr txBox="1">
          <a:spLocks noChangeArrowheads="1"/>
        </xdr:cNvSpPr>
      </xdr:nvSpPr>
      <xdr:spPr bwMode="auto">
        <a:xfrm>
          <a:off x="13627100" y="1143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34925</xdr:colOff>
      <xdr:row>2</xdr:row>
      <xdr:rowOff>114300</xdr:rowOff>
    </xdr:from>
    <xdr:to>
      <xdr:col>15</xdr:col>
      <xdr:colOff>587375</xdr:colOff>
      <xdr:row>6</xdr:row>
      <xdr:rowOff>152400</xdr:rowOff>
    </xdr:to>
    <xdr:sp macro="" textlink="">
      <xdr:nvSpPr>
        <xdr:cNvPr id="7" name="Text Box 4" hidden="1">
          <a:extLst>
            <a:ext uri="{FF2B5EF4-FFF2-40B4-BE49-F238E27FC236}">
              <a16:creationId xmlns:a16="http://schemas.microsoft.com/office/drawing/2014/main" id="{0C8AFBF9-0AE8-0618-43CD-8DEBA6655552}"/>
            </a:ext>
          </a:extLst>
        </xdr:cNvPr>
        <xdr:cNvSpPr txBox="1">
          <a:spLocks noChangeArrowheads="1"/>
        </xdr:cNvSpPr>
      </xdr:nvSpPr>
      <xdr:spPr bwMode="auto">
        <a:xfrm>
          <a:off x="13627100" y="482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25400</xdr:colOff>
      <xdr:row>0</xdr:row>
      <xdr:rowOff>114300</xdr:rowOff>
    </xdr:from>
    <xdr:to>
      <xdr:col>13</xdr:col>
      <xdr:colOff>590550</xdr:colOff>
      <xdr:row>4</xdr:row>
      <xdr:rowOff>152400</xdr:rowOff>
    </xdr:to>
    <xdr:sp macro="" textlink="">
      <xdr:nvSpPr>
        <xdr:cNvPr id="8" name="Text Box 5" hidden="1">
          <a:extLst>
            <a:ext uri="{FF2B5EF4-FFF2-40B4-BE49-F238E27FC236}">
              <a16:creationId xmlns:a16="http://schemas.microsoft.com/office/drawing/2014/main" id="{42A28683-48A1-DD87-7AEC-83EF8D095126}"/>
            </a:ext>
          </a:extLst>
        </xdr:cNvPr>
        <xdr:cNvSpPr txBox="1">
          <a:spLocks noChangeArrowheads="1"/>
        </xdr:cNvSpPr>
      </xdr:nvSpPr>
      <xdr:spPr bwMode="auto">
        <a:xfrm>
          <a:off x="12096750" y="1143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25400</xdr:colOff>
      <xdr:row>2</xdr:row>
      <xdr:rowOff>114300</xdr:rowOff>
    </xdr:from>
    <xdr:to>
      <xdr:col>13</xdr:col>
      <xdr:colOff>590550</xdr:colOff>
      <xdr:row>6</xdr:row>
      <xdr:rowOff>152400</xdr:rowOff>
    </xdr:to>
    <xdr:sp macro="" textlink="">
      <xdr:nvSpPr>
        <xdr:cNvPr id="9" name="Text Box 4" hidden="1">
          <a:extLst>
            <a:ext uri="{FF2B5EF4-FFF2-40B4-BE49-F238E27FC236}">
              <a16:creationId xmlns:a16="http://schemas.microsoft.com/office/drawing/2014/main" id="{9E2E11C0-996A-CA8F-972E-B541721B0197}"/>
            </a:ext>
          </a:extLst>
        </xdr:cNvPr>
        <xdr:cNvSpPr txBox="1">
          <a:spLocks noChangeArrowheads="1"/>
        </xdr:cNvSpPr>
      </xdr:nvSpPr>
      <xdr:spPr bwMode="auto">
        <a:xfrm>
          <a:off x="12096750" y="4826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23</xdr:col>
      <xdr:colOff>133350</xdr:colOff>
      <xdr:row>9</xdr:row>
      <xdr:rowOff>95250</xdr:rowOff>
    </xdr:from>
    <xdr:to>
      <xdr:col>25</xdr:col>
      <xdr:colOff>57150</xdr:colOff>
      <xdr:row>13</xdr:row>
      <xdr:rowOff>76200</xdr:rowOff>
    </xdr:to>
    <xdr:sp macro="" textlink="">
      <xdr:nvSpPr>
        <xdr:cNvPr id="330758" name="Text Box 6" hidden="1">
          <a:extLst>
            <a:ext uri="{FF2B5EF4-FFF2-40B4-BE49-F238E27FC236}">
              <a16:creationId xmlns:a16="http://schemas.microsoft.com/office/drawing/2014/main" id="{5E3CE043-38BC-3A97-739F-353E37A41E8D}"/>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8" name="Text Box 2" hidden="1">
          <a:extLst>
            <a:ext uri="{FF2B5EF4-FFF2-40B4-BE49-F238E27FC236}">
              <a16:creationId xmlns:a16="http://schemas.microsoft.com/office/drawing/2014/main" id="{80562993-AAD0-A481-062D-FA072ACF0692}"/>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7" name="Text Box 1" hidden="1">
          <a:extLst>
            <a:ext uri="{FF2B5EF4-FFF2-40B4-BE49-F238E27FC236}">
              <a16:creationId xmlns:a16="http://schemas.microsoft.com/office/drawing/2014/main" id="{8BA509EF-C0D9-6B0C-C2EB-9632E691ED60}"/>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39" name="Text Box 3" hidden="1">
          <a:extLst>
            <a:ext uri="{FF2B5EF4-FFF2-40B4-BE49-F238E27FC236}">
              <a16:creationId xmlns:a16="http://schemas.microsoft.com/office/drawing/2014/main" id="{F8FB0289-F65C-3C95-A780-D6C5893D775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0" name="Text Box 4" hidden="1">
          <a:extLst>
            <a:ext uri="{FF2B5EF4-FFF2-40B4-BE49-F238E27FC236}">
              <a16:creationId xmlns:a16="http://schemas.microsoft.com/office/drawing/2014/main" id="{2A8DBEB4-0A86-D7A7-829E-766EA2072E44}"/>
            </a:ext>
          </a:extLst>
        </xdr:cNvPr>
        <xdr:cNvSpPr txBox="1">
          <a:spLocks noChangeArrowheads="1"/>
        </xdr:cNvSpPr>
      </xdr:nvSpPr>
      <xdr:spPr bwMode="auto">
        <a:xfrm>
          <a:off x="17659350" y="17526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1" name="Text Box 5" hidden="1">
          <a:extLst>
            <a:ext uri="{FF2B5EF4-FFF2-40B4-BE49-F238E27FC236}">
              <a16:creationId xmlns:a16="http://schemas.microsoft.com/office/drawing/2014/main" id="{CA682EA7-38B2-526C-BBC6-D972F04F8566}"/>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9</xdr:row>
      <xdr:rowOff>95250</xdr:rowOff>
    </xdr:from>
    <xdr:to>
      <xdr:col>25</xdr:col>
      <xdr:colOff>57150</xdr:colOff>
      <xdr:row>13</xdr:row>
      <xdr:rowOff>76200</xdr:rowOff>
    </xdr:to>
    <xdr:sp macro="" textlink="">
      <xdr:nvSpPr>
        <xdr:cNvPr id="372742" name="Text Box 6" hidden="1">
          <a:extLst>
            <a:ext uri="{FF2B5EF4-FFF2-40B4-BE49-F238E27FC236}">
              <a16:creationId xmlns:a16="http://schemas.microsoft.com/office/drawing/2014/main" id="{8F321DB0-984B-B152-372F-9C946CCDC038}"/>
            </a:ext>
          </a:extLst>
        </xdr:cNvPr>
        <xdr:cNvSpPr txBox="1">
          <a:spLocks noChangeArrowheads="1"/>
        </xdr:cNvSpPr>
      </xdr:nvSpPr>
      <xdr:spPr bwMode="auto">
        <a:xfrm>
          <a:off x="17659350" y="17526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6</xdr:col>
      <xdr:colOff>169232</xdr:colOff>
      <xdr:row>100</xdr:row>
      <xdr:rowOff>311992</xdr:rowOff>
    </xdr:from>
    <xdr:to>
      <xdr:col>8</xdr:col>
      <xdr:colOff>274913</xdr:colOff>
      <xdr:row>100</xdr:row>
      <xdr:rowOff>311992</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311992</xdr:rowOff>
    </xdr:from>
    <xdr:to>
      <xdr:col>11</xdr:col>
      <xdr:colOff>235329</xdr:colOff>
      <xdr:row>100</xdr:row>
      <xdr:rowOff>311992</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54</xdr:row>
      <xdr:rowOff>171674</xdr:rowOff>
    </xdr:from>
    <xdr:to>
      <xdr:col>1</xdr:col>
      <xdr:colOff>4255844</xdr:colOff>
      <xdr:row>58</xdr:row>
      <xdr:rowOff>66902</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100</xdr:row>
      <xdr:rowOff>311992</xdr:rowOff>
    </xdr:from>
    <xdr:to>
      <xdr:col>8</xdr:col>
      <xdr:colOff>274913</xdr:colOff>
      <xdr:row>100</xdr:row>
      <xdr:rowOff>311992</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311992</xdr:rowOff>
    </xdr:from>
    <xdr:to>
      <xdr:col>11</xdr:col>
      <xdr:colOff>235329</xdr:colOff>
      <xdr:row>100</xdr:row>
      <xdr:rowOff>311992</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313596</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485588</xdr:rowOff>
    </xdr:from>
    <xdr:to>
      <xdr:col>1</xdr:col>
      <xdr:colOff>4231079</xdr:colOff>
      <xdr:row>33</xdr:row>
      <xdr:rowOff>276691</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145465</xdr:colOff>
      <xdr:row>84</xdr:row>
      <xdr:rowOff>1441</xdr:rowOff>
    </xdr:from>
    <xdr:to>
      <xdr:col>8</xdr:col>
      <xdr:colOff>254321</xdr:colOff>
      <xdr:row>84</xdr:row>
      <xdr:rowOff>1441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84</xdr:row>
      <xdr:rowOff>1441</xdr:rowOff>
    </xdr:from>
    <xdr:to>
      <xdr:col>11</xdr:col>
      <xdr:colOff>211562</xdr:colOff>
      <xdr:row>84</xdr:row>
      <xdr:rowOff>1441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4197424</xdr:colOff>
      <xdr:row>33</xdr:row>
      <xdr:rowOff>276691</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554462</xdr:colOff>
      <xdr:row>30</xdr:row>
      <xdr:rowOff>371288</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554462</xdr:colOff>
      <xdr:row>28</xdr:row>
      <xdr:rowOff>240926</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102843</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88873</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88873</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2018</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2018</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2018</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85</xdr:row>
      <xdr:rowOff>2805</xdr:rowOff>
    </xdr:from>
    <xdr:to>
      <xdr:col>8</xdr:col>
      <xdr:colOff>249876</xdr:colOff>
      <xdr:row>85</xdr:row>
      <xdr:rowOff>2805</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85</xdr:row>
      <xdr:rowOff>2805</xdr:rowOff>
    </xdr:from>
    <xdr:to>
      <xdr:col>11</xdr:col>
      <xdr:colOff>210292</xdr:colOff>
      <xdr:row>85</xdr:row>
      <xdr:rowOff>2805</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485588</xdr:rowOff>
    </xdr:from>
    <xdr:to>
      <xdr:col>1</xdr:col>
      <xdr:colOff>4192979</xdr:colOff>
      <xdr:row>33</xdr:row>
      <xdr:rowOff>276691</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84</xdr:row>
      <xdr:rowOff>7098</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160116</xdr:rowOff>
    </xdr:from>
    <xdr:to>
      <xdr:col>8</xdr:col>
      <xdr:colOff>249876</xdr:colOff>
      <xdr:row>72</xdr:row>
      <xdr:rowOff>160116</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160116</xdr:rowOff>
    </xdr:from>
    <xdr:to>
      <xdr:col>11</xdr:col>
      <xdr:colOff>210292</xdr:colOff>
      <xdr:row>72</xdr:row>
      <xdr:rowOff>160116</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160116</xdr:rowOff>
    </xdr:from>
    <xdr:to>
      <xdr:col>8</xdr:col>
      <xdr:colOff>249876</xdr:colOff>
      <xdr:row>72</xdr:row>
      <xdr:rowOff>160116</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160116</xdr:rowOff>
    </xdr:from>
    <xdr:to>
      <xdr:col>11</xdr:col>
      <xdr:colOff>210292</xdr:colOff>
      <xdr:row>72</xdr:row>
      <xdr:rowOff>160116</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160116</xdr:rowOff>
    </xdr:from>
    <xdr:to>
      <xdr:col>8</xdr:col>
      <xdr:colOff>249876</xdr:colOff>
      <xdr:row>72</xdr:row>
      <xdr:rowOff>160116</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160116</xdr:rowOff>
    </xdr:from>
    <xdr:to>
      <xdr:col>11</xdr:col>
      <xdr:colOff>210292</xdr:colOff>
      <xdr:row>72</xdr:row>
      <xdr:rowOff>160116</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160116</xdr:rowOff>
    </xdr:from>
    <xdr:to>
      <xdr:col>8</xdr:col>
      <xdr:colOff>249876</xdr:colOff>
      <xdr:row>72</xdr:row>
      <xdr:rowOff>160116</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160116</xdr:rowOff>
    </xdr:from>
    <xdr:to>
      <xdr:col>11</xdr:col>
      <xdr:colOff>210292</xdr:colOff>
      <xdr:row>72</xdr:row>
      <xdr:rowOff>160116</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371288</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240926</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143435</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428438</xdr:rowOff>
    </xdr:from>
    <xdr:to>
      <xdr:col>1</xdr:col>
      <xdr:colOff>4726379</xdr:colOff>
      <xdr:row>32</xdr:row>
      <xdr:rowOff>104215</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371288</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240926</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143435</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4716277</xdr:colOff>
      <xdr:row>32</xdr:row>
      <xdr:rowOff>104215</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121549</xdr:rowOff>
    </xdr:from>
    <xdr:to>
      <xdr:col>20</xdr:col>
      <xdr:colOff>657390</xdr:colOff>
      <xdr:row>69</xdr:row>
      <xdr:rowOff>150171</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121549</xdr:rowOff>
    </xdr:from>
    <xdr:to>
      <xdr:col>24</xdr:col>
      <xdr:colOff>657390</xdr:colOff>
      <xdr:row>69</xdr:row>
      <xdr:rowOff>150171</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121549</xdr:rowOff>
    </xdr:from>
    <xdr:to>
      <xdr:col>28</xdr:col>
      <xdr:colOff>657390</xdr:colOff>
      <xdr:row>69</xdr:row>
      <xdr:rowOff>150171</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371288</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240926</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143435</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4716277</xdr:colOff>
      <xdr:row>32</xdr:row>
      <xdr:rowOff>104215</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121549</xdr:rowOff>
    </xdr:from>
    <xdr:to>
      <xdr:col>20</xdr:col>
      <xdr:colOff>657390</xdr:colOff>
      <xdr:row>69</xdr:row>
      <xdr:rowOff>150171</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121549</xdr:rowOff>
    </xdr:from>
    <xdr:to>
      <xdr:col>24</xdr:col>
      <xdr:colOff>657390</xdr:colOff>
      <xdr:row>69</xdr:row>
      <xdr:rowOff>150171</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121549</xdr:rowOff>
    </xdr:from>
    <xdr:to>
      <xdr:col>28</xdr:col>
      <xdr:colOff>657390</xdr:colOff>
      <xdr:row>69</xdr:row>
      <xdr:rowOff>150171</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181140</xdr:colOff>
      <xdr:row>15</xdr:row>
      <xdr:rowOff>120650</xdr:rowOff>
    </xdr:from>
    <xdr:to>
      <xdr:col>22</xdr:col>
      <xdr:colOff>720890</xdr:colOff>
      <xdr:row>19</xdr:row>
      <xdr:rowOff>44450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371288</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240926</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143435</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4686300</xdr:colOff>
      <xdr:row>32</xdr:row>
      <xdr:rowOff>104215</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29509</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220383</xdr:rowOff>
    </xdr:from>
    <xdr:to>
      <xdr:col>20</xdr:col>
      <xdr:colOff>647700</xdr:colOff>
      <xdr:row>97</xdr:row>
      <xdr:rowOff>218515</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220383</xdr:rowOff>
    </xdr:from>
    <xdr:to>
      <xdr:col>24</xdr:col>
      <xdr:colOff>647700</xdr:colOff>
      <xdr:row>97</xdr:row>
      <xdr:rowOff>218515</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220383</xdr:rowOff>
    </xdr:from>
    <xdr:to>
      <xdr:col>28</xdr:col>
      <xdr:colOff>647700</xdr:colOff>
      <xdr:row>97</xdr:row>
      <xdr:rowOff>218515</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25400</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371288</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240926</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143435</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4686300</xdr:colOff>
      <xdr:row>32</xdr:row>
      <xdr:rowOff>104215</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29509</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220383</xdr:rowOff>
    </xdr:from>
    <xdr:to>
      <xdr:col>20</xdr:col>
      <xdr:colOff>647700</xdr:colOff>
      <xdr:row>97</xdr:row>
      <xdr:rowOff>218515</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220383</xdr:rowOff>
    </xdr:from>
    <xdr:to>
      <xdr:col>24</xdr:col>
      <xdr:colOff>647700</xdr:colOff>
      <xdr:row>97</xdr:row>
      <xdr:rowOff>218515</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220383</xdr:rowOff>
    </xdr:from>
    <xdr:to>
      <xdr:col>28</xdr:col>
      <xdr:colOff>647700</xdr:colOff>
      <xdr:row>97</xdr:row>
      <xdr:rowOff>218515</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25400</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371288</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240926</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143435</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409388</xdr:rowOff>
    </xdr:from>
    <xdr:to>
      <xdr:col>1</xdr:col>
      <xdr:colOff>4686300</xdr:colOff>
      <xdr:row>32</xdr:row>
      <xdr:rowOff>104215</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29509</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220383</xdr:rowOff>
    </xdr:from>
    <xdr:to>
      <xdr:col>20</xdr:col>
      <xdr:colOff>647700</xdr:colOff>
      <xdr:row>97</xdr:row>
      <xdr:rowOff>218515</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220383</xdr:rowOff>
    </xdr:from>
    <xdr:to>
      <xdr:col>24</xdr:col>
      <xdr:colOff>647700</xdr:colOff>
      <xdr:row>97</xdr:row>
      <xdr:rowOff>218515</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220383</xdr:rowOff>
    </xdr:from>
    <xdr:to>
      <xdr:col>28</xdr:col>
      <xdr:colOff>647700</xdr:colOff>
      <xdr:row>97</xdr:row>
      <xdr:rowOff>218515</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25400</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11372" name="Text Box 76" hidden="1">
          <a:extLst>
            <a:ext uri="{FF2B5EF4-FFF2-40B4-BE49-F238E27FC236}">
              <a16:creationId xmlns:a16="http://schemas.microsoft.com/office/drawing/2014/main" id="{6BEF1E5D-F174-3DC5-BB25-9798F7291678}"/>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11371" name="Text Box 75" hidden="1">
          <a:extLst>
            <a:ext uri="{FF2B5EF4-FFF2-40B4-BE49-F238E27FC236}">
              <a16:creationId xmlns:a16="http://schemas.microsoft.com/office/drawing/2014/main" id="{BC045F7D-504A-BF20-44C0-03D925EF85C4}"/>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11370" name="Text Box 74" hidden="1">
          <a:extLst>
            <a:ext uri="{FF2B5EF4-FFF2-40B4-BE49-F238E27FC236}">
              <a16:creationId xmlns:a16="http://schemas.microsoft.com/office/drawing/2014/main" id="{DBC8FDFD-C94A-3523-DC5D-0DC82974D4C6}"/>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11369" name="Text Box 73" hidden="1">
          <a:extLst>
            <a:ext uri="{FF2B5EF4-FFF2-40B4-BE49-F238E27FC236}">
              <a16:creationId xmlns:a16="http://schemas.microsoft.com/office/drawing/2014/main" id="{B0864C73-9499-214D-1039-1ABCAAB35C90}"/>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11368" name="Text Box 72" hidden="1">
          <a:extLst>
            <a:ext uri="{FF2B5EF4-FFF2-40B4-BE49-F238E27FC236}">
              <a16:creationId xmlns:a16="http://schemas.microsoft.com/office/drawing/2014/main" id="{D1D01C5B-7A98-0018-F74E-CA19F3FAF13B}"/>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11367" name="Text Box 71" hidden="1">
          <a:extLst>
            <a:ext uri="{FF2B5EF4-FFF2-40B4-BE49-F238E27FC236}">
              <a16:creationId xmlns:a16="http://schemas.microsoft.com/office/drawing/2014/main" id="{1724F5E4-1CF3-C8D5-BE13-12E998E4921B}"/>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11366" name="Text Box 70" hidden="1">
          <a:extLst>
            <a:ext uri="{FF2B5EF4-FFF2-40B4-BE49-F238E27FC236}">
              <a16:creationId xmlns:a16="http://schemas.microsoft.com/office/drawing/2014/main" id="{C399C2D0-6D2C-1C55-552E-88108AB88DF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11365" name="Text Box 69" hidden="1">
          <a:extLst>
            <a:ext uri="{FF2B5EF4-FFF2-40B4-BE49-F238E27FC236}">
              <a16:creationId xmlns:a16="http://schemas.microsoft.com/office/drawing/2014/main" id="{62B8E475-F858-B5E2-482E-2CDEF7B51AA2}"/>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11364" name="Text Box 68" hidden="1">
          <a:extLst>
            <a:ext uri="{FF2B5EF4-FFF2-40B4-BE49-F238E27FC236}">
              <a16:creationId xmlns:a16="http://schemas.microsoft.com/office/drawing/2014/main" id="{AF8BCF44-60F5-D045-FCD0-6EE2AECA8638}"/>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11363" name="Text Box 67" hidden="1">
          <a:extLst>
            <a:ext uri="{FF2B5EF4-FFF2-40B4-BE49-F238E27FC236}">
              <a16:creationId xmlns:a16="http://schemas.microsoft.com/office/drawing/2014/main" id="{55B6E464-D1AC-2139-A6F3-6AF661CD02F6}"/>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11362" name="Text Box 66" hidden="1">
          <a:extLst>
            <a:ext uri="{FF2B5EF4-FFF2-40B4-BE49-F238E27FC236}">
              <a16:creationId xmlns:a16="http://schemas.microsoft.com/office/drawing/2014/main" id="{74DC6817-50C2-931B-A0CA-876CBD84377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11361" name="Text Box 65" hidden="1">
          <a:extLst>
            <a:ext uri="{FF2B5EF4-FFF2-40B4-BE49-F238E27FC236}">
              <a16:creationId xmlns:a16="http://schemas.microsoft.com/office/drawing/2014/main" id="{FD51CE5F-133D-AE71-A5FB-DBA52475A7AA}"/>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11360" name="Text Box 64" hidden="1">
          <a:extLst>
            <a:ext uri="{FF2B5EF4-FFF2-40B4-BE49-F238E27FC236}">
              <a16:creationId xmlns:a16="http://schemas.microsoft.com/office/drawing/2014/main" id="{37C3A1F0-8B18-06A5-80E9-4C38633D2E8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11359" name="Text Box 63" hidden="1">
          <a:extLst>
            <a:ext uri="{FF2B5EF4-FFF2-40B4-BE49-F238E27FC236}">
              <a16:creationId xmlns:a16="http://schemas.microsoft.com/office/drawing/2014/main" id="{DFF9B17C-32E0-8C8C-FE91-47C7C45988B6}"/>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11358" name="Text Box 62" hidden="1">
          <a:extLst>
            <a:ext uri="{FF2B5EF4-FFF2-40B4-BE49-F238E27FC236}">
              <a16:creationId xmlns:a16="http://schemas.microsoft.com/office/drawing/2014/main" id="{F6AC0DB2-D002-84B0-F6DD-48B2E5BB29B4}"/>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11357" name="Text Box 61" hidden="1">
          <a:extLst>
            <a:ext uri="{FF2B5EF4-FFF2-40B4-BE49-F238E27FC236}">
              <a16:creationId xmlns:a16="http://schemas.microsoft.com/office/drawing/2014/main" id="{7233BF75-DFDC-0F31-D7D0-9D5A091E8A82}"/>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11462" name="Text Box 166" hidden="1">
          <a:extLst>
            <a:ext uri="{FF2B5EF4-FFF2-40B4-BE49-F238E27FC236}">
              <a16:creationId xmlns:a16="http://schemas.microsoft.com/office/drawing/2014/main" id="{26C2B5F1-1CAB-026A-CBF6-5A0761ECBE19}"/>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11463" name="Text Box 167" hidden="1">
          <a:extLst>
            <a:ext uri="{FF2B5EF4-FFF2-40B4-BE49-F238E27FC236}">
              <a16:creationId xmlns:a16="http://schemas.microsoft.com/office/drawing/2014/main" id="{12FF9D87-761C-C679-E2D7-CC360AC8D8AF}"/>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96" name="Text Box 36" hidden="1">
          <a:extLst>
            <a:ext uri="{FF2B5EF4-FFF2-40B4-BE49-F238E27FC236}">
              <a16:creationId xmlns:a16="http://schemas.microsoft.com/office/drawing/2014/main" id="{01B075CB-82C8-1487-7E4C-2FF17010EFD2}"/>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95" name="Text Box 35" hidden="1">
          <a:extLst>
            <a:ext uri="{FF2B5EF4-FFF2-40B4-BE49-F238E27FC236}">
              <a16:creationId xmlns:a16="http://schemas.microsoft.com/office/drawing/2014/main" id="{ECFC881A-8224-D4E1-AC2B-F113FC49721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94" name="Text Box 34" hidden="1">
          <a:extLst>
            <a:ext uri="{FF2B5EF4-FFF2-40B4-BE49-F238E27FC236}">
              <a16:creationId xmlns:a16="http://schemas.microsoft.com/office/drawing/2014/main" id="{A95512E3-CA1A-7B83-E82E-E846E26D3257}"/>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93" name="Text Box 33" hidden="1">
          <a:extLst>
            <a:ext uri="{FF2B5EF4-FFF2-40B4-BE49-F238E27FC236}">
              <a16:creationId xmlns:a16="http://schemas.microsoft.com/office/drawing/2014/main" id="{8D01ACC3-DA51-4E7E-35A6-A307DA06228F}"/>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92" name="Text Box 32" hidden="1">
          <a:extLst>
            <a:ext uri="{FF2B5EF4-FFF2-40B4-BE49-F238E27FC236}">
              <a16:creationId xmlns:a16="http://schemas.microsoft.com/office/drawing/2014/main" id="{B3E3716D-5AFE-F955-6D4D-E2F7D2742585}"/>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91" name="Text Box 31" hidden="1">
          <a:extLst>
            <a:ext uri="{FF2B5EF4-FFF2-40B4-BE49-F238E27FC236}">
              <a16:creationId xmlns:a16="http://schemas.microsoft.com/office/drawing/2014/main" id="{16BE1C49-4922-3209-1F59-7E91E30914B8}"/>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90" name="Text Box 30" hidden="1">
          <a:extLst>
            <a:ext uri="{FF2B5EF4-FFF2-40B4-BE49-F238E27FC236}">
              <a16:creationId xmlns:a16="http://schemas.microsoft.com/office/drawing/2014/main" id="{BE91FFD7-E2DB-F547-0BBE-F3773D869936}"/>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89" name="Text Box 29" hidden="1">
          <a:extLst>
            <a:ext uri="{FF2B5EF4-FFF2-40B4-BE49-F238E27FC236}">
              <a16:creationId xmlns:a16="http://schemas.microsoft.com/office/drawing/2014/main" id="{4B4CF67A-29E4-2C3E-8C18-0628FB7154D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88" name="Text Box 28" hidden="1">
          <a:extLst>
            <a:ext uri="{FF2B5EF4-FFF2-40B4-BE49-F238E27FC236}">
              <a16:creationId xmlns:a16="http://schemas.microsoft.com/office/drawing/2014/main" id="{7567E21E-F767-4D69-7410-484F60F758CE}"/>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87" name="Text Box 27" hidden="1">
          <a:extLst>
            <a:ext uri="{FF2B5EF4-FFF2-40B4-BE49-F238E27FC236}">
              <a16:creationId xmlns:a16="http://schemas.microsoft.com/office/drawing/2014/main" id="{675E3984-E4D0-957C-729F-8794E26FBEA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86" name="Text Box 26" hidden="1">
          <a:extLst>
            <a:ext uri="{FF2B5EF4-FFF2-40B4-BE49-F238E27FC236}">
              <a16:creationId xmlns:a16="http://schemas.microsoft.com/office/drawing/2014/main" id="{70B8B27E-0BD0-61F5-1C56-E5266AC793B2}"/>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85" name="Text Box 25" hidden="1">
          <a:extLst>
            <a:ext uri="{FF2B5EF4-FFF2-40B4-BE49-F238E27FC236}">
              <a16:creationId xmlns:a16="http://schemas.microsoft.com/office/drawing/2014/main" id="{E2F2E485-943D-568E-CEE8-0801B1B27062}"/>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84" name="Text Box 24" hidden="1">
          <a:extLst>
            <a:ext uri="{FF2B5EF4-FFF2-40B4-BE49-F238E27FC236}">
              <a16:creationId xmlns:a16="http://schemas.microsoft.com/office/drawing/2014/main" id="{45B7B390-3D7D-7C1C-541C-4A2671477C33}"/>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83" name="Text Box 23" hidden="1">
          <a:extLst>
            <a:ext uri="{FF2B5EF4-FFF2-40B4-BE49-F238E27FC236}">
              <a16:creationId xmlns:a16="http://schemas.microsoft.com/office/drawing/2014/main" id="{B0BCF35C-18D0-F523-7100-F4C64A063F0A}"/>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82" name="Text Box 22" hidden="1">
          <a:extLst>
            <a:ext uri="{FF2B5EF4-FFF2-40B4-BE49-F238E27FC236}">
              <a16:creationId xmlns:a16="http://schemas.microsoft.com/office/drawing/2014/main" id="{BA0A4168-0EC3-0521-A812-093E8DD0543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81" name="Text Box 21" hidden="1">
          <a:extLst>
            <a:ext uri="{FF2B5EF4-FFF2-40B4-BE49-F238E27FC236}">
              <a16:creationId xmlns:a16="http://schemas.microsoft.com/office/drawing/2014/main" id="{C3FE5D16-95D2-6883-D718-7902A104F3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80" name="Text Box 20" hidden="1">
          <a:extLst>
            <a:ext uri="{FF2B5EF4-FFF2-40B4-BE49-F238E27FC236}">
              <a16:creationId xmlns:a16="http://schemas.microsoft.com/office/drawing/2014/main" id="{7FBA0935-3957-360E-100D-E69413F62DC0}"/>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79" name="Text Box 19" hidden="1">
          <a:extLst>
            <a:ext uri="{FF2B5EF4-FFF2-40B4-BE49-F238E27FC236}">
              <a16:creationId xmlns:a16="http://schemas.microsoft.com/office/drawing/2014/main" id="{AB3CCF69-2326-63F9-79D4-49373BB2AEA3}"/>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778" name="Text Box 18" hidden="1">
          <a:extLst>
            <a:ext uri="{FF2B5EF4-FFF2-40B4-BE49-F238E27FC236}">
              <a16:creationId xmlns:a16="http://schemas.microsoft.com/office/drawing/2014/main" id="{CB07D0A9-62E6-1A8E-A56A-0F42100172CF}"/>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777" name="Text Box 17" hidden="1">
          <a:extLst>
            <a:ext uri="{FF2B5EF4-FFF2-40B4-BE49-F238E27FC236}">
              <a16:creationId xmlns:a16="http://schemas.microsoft.com/office/drawing/2014/main" id="{1756DB6F-BC83-0A9B-01A5-3E7167DBBA09}"/>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776" name="Text Box 16" hidden="1">
          <a:extLst>
            <a:ext uri="{FF2B5EF4-FFF2-40B4-BE49-F238E27FC236}">
              <a16:creationId xmlns:a16="http://schemas.microsoft.com/office/drawing/2014/main" id="{E154357C-2B57-3116-ABE8-BF78AB013810}"/>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775" name="Text Box 15" hidden="1">
          <a:extLst>
            <a:ext uri="{FF2B5EF4-FFF2-40B4-BE49-F238E27FC236}">
              <a16:creationId xmlns:a16="http://schemas.microsoft.com/office/drawing/2014/main" id="{08CCE737-7916-B7E1-A8CC-C3529B51EE0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774" name="Text Box 14" hidden="1">
          <a:extLst>
            <a:ext uri="{FF2B5EF4-FFF2-40B4-BE49-F238E27FC236}">
              <a16:creationId xmlns:a16="http://schemas.microsoft.com/office/drawing/2014/main" id="{16917201-D42F-ABED-B1B9-532FDE124E81}"/>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773" name="Text Box 13" hidden="1">
          <a:extLst>
            <a:ext uri="{FF2B5EF4-FFF2-40B4-BE49-F238E27FC236}">
              <a16:creationId xmlns:a16="http://schemas.microsoft.com/office/drawing/2014/main" id="{EEDC3ED1-F895-BC3F-4D5A-15F4B2C44BD1}"/>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772" name="Text Box 12" hidden="1">
          <a:extLst>
            <a:ext uri="{FF2B5EF4-FFF2-40B4-BE49-F238E27FC236}">
              <a16:creationId xmlns:a16="http://schemas.microsoft.com/office/drawing/2014/main" id="{B4B16BBC-87A3-53B7-90C8-C6901EE2192C}"/>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771" name="Text Box 11" hidden="1">
          <a:extLst>
            <a:ext uri="{FF2B5EF4-FFF2-40B4-BE49-F238E27FC236}">
              <a16:creationId xmlns:a16="http://schemas.microsoft.com/office/drawing/2014/main" id="{BCFFE3A6-1F5E-5772-2A5F-55325DAE8C9D}"/>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770" name="Text Box 10" hidden="1">
          <a:extLst>
            <a:ext uri="{FF2B5EF4-FFF2-40B4-BE49-F238E27FC236}">
              <a16:creationId xmlns:a16="http://schemas.microsoft.com/office/drawing/2014/main" id="{F99ACA9D-C4B6-B3EA-41A8-93DE1C2A1D26}"/>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769" name="Text Box 9" hidden="1">
          <a:extLst>
            <a:ext uri="{FF2B5EF4-FFF2-40B4-BE49-F238E27FC236}">
              <a16:creationId xmlns:a16="http://schemas.microsoft.com/office/drawing/2014/main" id="{8DF10D6B-7CAD-C4AB-0BD3-25DA029B4C9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768" name="Text Box 8" hidden="1">
          <a:extLst>
            <a:ext uri="{FF2B5EF4-FFF2-40B4-BE49-F238E27FC236}">
              <a16:creationId xmlns:a16="http://schemas.microsoft.com/office/drawing/2014/main" id="{4FCD7BB7-6E43-44C6-8CFC-9F0FD59854C9}"/>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767" name="Text Box 7" hidden="1">
          <a:extLst>
            <a:ext uri="{FF2B5EF4-FFF2-40B4-BE49-F238E27FC236}">
              <a16:creationId xmlns:a16="http://schemas.microsoft.com/office/drawing/2014/main" id="{A432D465-4FCC-2F87-05E1-69C98E2491BC}"/>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766" name="Text Box 6" hidden="1">
          <a:extLst>
            <a:ext uri="{FF2B5EF4-FFF2-40B4-BE49-F238E27FC236}">
              <a16:creationId xmlns:a16="http://schemas.microsoft.com/office/drawing/2014/main" id="{6D8A2B65-23BA-5542-5D28-3C75AC6A222A}"/>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765" name="Text Box 5" hidden="1">
          <a:extLst>
            <a:ext uri="{FF2B5EF4-FFF2-40B4-BE49-F238E27FC236}">
              <a16:creationId xmlns:a16="http://schemas.microsoft.com/office/drawing/2014/main" id="{791D9452-48DA-72E1-1241-FA3F0D849708}"/>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764" name="Text Box 4" hidden="1">
          <a:extLst>
            <a:ext uri="{FF2B5EF4-FFF2-40B4-BE49-F238E27FC236}">
              <a16:creationId xmlns:a16="http://schemas.microsoft.com/office/drawing/2014/main" id="{DA18D6E2-6B83-4879-7976-9419D4C88F79}"/>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63" name="Text Box 3" hidden="1">
          <a:extLst>
            <a:ext uri="{FF2B5EF4-FFF2-40B4-BE49-F238E27FC236}">
              <a16:creationId xmlns:a16="http://schemas.microsoft.com/office/drawing/2014/main" id="{32EC25D1-5A18-2F1D-4582-3368925B656C}"/>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62" name="Text Box 2" hidden="1">
          <a:extLst>
            <a:ext uri="{FF2B5EF4-FFF2-40B4-BE49-F238E27FC236}">
              <a16:creationId xmlns:a16="http://schemas.microsoft.com/office/drawing/2014/main" id="{08FF46CA-EF65-63B0-68EA-4A87434F58EC}"/>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61" name="Text Box 1" hidden="1">
          <a:extLst>
            <a:ext uri="{FF2B5EF4-FFF2-40B4-BE49-F238E27FC236}">
              <a16:creationId xmlns:a16="http://schemas.microsoft.com/office/drawing/2014/main" id="{38D9F9B3-9E75-A49B-224D-BD71F8BA6521}"/>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14" name="Text Box 54" hidden="1">
          <a:extLst>
            <a:ext uri="{FF2B5EF4-FFF2-40B4-BE49-F238E27FC236}">
              <a16:creationId xmlns:a16="http://schemas.microsoft.com/office/drawing/2014/main" id="{DF4E1259-9E13-2893-54E4-ECB2C862FBAB}"/>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13" name="Text Box 53" hidden="1">
          <a:extLst>
            <a:ext uri="{FF2B5EF4-FFF2-40B4-BE49-F238E27FC236}">
              <a16:creationId xmlns:a16="http://schemas.microsoft.com/office/drawing/2014/main" id="{64FE10EE-8ED4-99CD-E0A0-5C3FA8B0DA60}"/>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12" name="Text Box 52" hidden="1">
          <a:extLst>
            <a:ext uri="{FF2B5EF4-FFF2-40B4-BE49-F238E27FC236}">
              <a16:creationId xmlns:a16="http://schemas.microsoft.com/office/drawing/2014/main" id="{8595A315-7620-2551-BEBD-3E0AAF6D68D2}"/>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11" name="Text Box 51" hidden="1">
          <a:extLst>
            <a:ext uri="{FF2B5EF4-FFF2-40B4-BE49-F238E27FC236}">
              <a16:creationId xmlns:a16="http://schemas.microsoft.com/office/drawing/2014/main" id="{A33A20A1-6429-E9D1-787F-8BBBB448A8B5}"/>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10" name="Text Box 50" hidden="1">
          <a:extLst>
            <a:ext uri="{FF2B5EF4-FFF2-40B4-BE49-F238E27FC236}">
              <a16:creationId xmlns:a16="http://schemas.microsoft.com/office/drawing/2014/main" id="{8CFD6D27-D417-EDF4-0CAF-47FCD4FEB752}"/>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09" name="Text Box 49" hidden="1">
          <a:extLst>
            <a:ext uri="{FF2B5EF4-FFF2-40B4-BE49-F238E27FC236}">
              <a16:creationId xmlns:a16="http://schemas.microsoft.com/office/drawing/2014/main" id="{DF5CEA45-3DE9-65E4-B8F5-7E27757F41C7}"/>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08" name="Text Box 48" hidden="1">
          <a:extLst>
            <a:ext uri="{FF2B5EF4-FFF2-40B4-BE49-F238E27FC236}">
              <a16:creationId xmlns:a16="http://schemas.microsoft.com/office/drawing/2014/main" id="{F8545C7F-5BBB-90FE-D484-EFD00FC5D301}"/>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07" name="Text Box 47" hidden="1">
          <a:extLst>
            <a:ext uri="{FF2B5EF4-FFF2-40B4-BE49-F238E27FC236}">
              <a16:creationId xmlns:a16="http://schemas.microsoft.com/office/drawing/2014/main" id="{92DD7BC1-057A-101F-2F93-E679635EFFC0}"/>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06" name="Text Box 46" hidden="1">
          <a:extLst>
            <a:ext uri="{FF2B5EF4-FFF2-40B4-BE49-F238E27FC236}">
              <a16:creationId xmlns:a16="http://schemas.microsoft.com/office/drawing/2014/main" id="{B2579017-7FB3-5A9E-FA72-9AB199E13C8D}"/>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05" name="Text Box 45" hidden="1">
          <a:extLst>
            <a:ext uri="{FF2B5EF4-FFF2-40B4-BE49-F238E27FC236}">
              <a16:creationId xmlns:a16="http://schemas.microsoft.com/office/drawing/2014/main" id="{BA1CFF92-B0E0-CE4A-1E43-6590D0B9102B}"/>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04" name="Text Box 44" hidden="1">
          <a:extLst>
            <a:ext uri="{FF2B5EF4-FFF2-40B4-BE49-F238E27FC236}">
              <a16:creationId xmlns:a16="http://schemas.microsoft.com/office/drawing/2014/main" id="{99D35677-4ACD-B619-F86D-FA09D18924FC}"/>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03" name="Text Box 43" hidden="1">
          <a:extLst>
            <a:ext uri="{FF2B5EF4-FFF2-40B4-BE49-F238E27FC236}">
              <a16:creationId xmlns:a16="http://schemas.microsoft.com/office/drawing/2014/main" id="{F35D0725-FA27-EA51-CBF2-780231D55848}"/>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02" name="Text Box 42" hidden="1">
          <a:extLst>
            <a:ext uri="{FF2B5EF4-FFF2-40B4-BE49-F238E27FC236}">
              <a16:creationId xmlns:a16="http://schemas.microsoft.com/office/drawing/2014/main" id="{AE3EC61B-CC32-9FDC-3ED9-A6A8872AF479}"/>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01" name="Text Box 41" hidden="1">
          <a:extLst>
            <a:ext uri="{FF2B5EF4-FFF2-40B4-BE49-F238E27FC236}">
              <a16:creationId xmlns:a16="http://schemas.microsoft.com/office/drawing/2014/main" id="{6C35BEFE-AED4-4A69-6FDF-BCD9352CF819}"/>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00" name="Text Box 40" hidden="1">
          <a:extLst>
            <a:ext uri="{FF2B5EF4-FFF2-40B4-BE49-F238E27FC236}">
              <a16:creationId xmlns:a16="http://schemas.microsoft.com/office/drawing/2014/main" id="{8B424B35-60D5-23DB-C48C-07639561DC32}"/>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799" name="Text Box 39" hidden="1">
          <a:extLst>
            <a:ext uri="{FF2B5EF4-FFF2-40B4-BE49-F238E27FC236}">
              <a16:creationId xmlns:a16="http://schemas.microsoft.com/office/drawing/2014/main" id="{BFC54BCC-52A0-9859-8467-21CC9250CFD5}"/>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798" name="Text Box 38" hidden="1">
          <a:extLst>
            <a:ext uri="{FF2B5EF4-FFF2-40B4-BE49-F238E27FC236}">
              <a16:creationId xmlns:a16="http://schemas.microsoft.com/office/drawing/2014/main" id="{C8F17C7C-7177-2351-D6E6-AF9FAF8FE493}"/>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797" name="Text Box 37" hidden="1">
          <a:extLst>
            <a:ext uri="{FF2B5EF4-FFF2-40B4-BE49-F238E27FC236}">
              <a16:creationId xmlns:a16="http://schemas.microsoft.com/office/drawing/2014/main" id="{61F7FC0D-3551-1250-7183-76E350F8491B}"/>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32" name="Text Box 72" hidden="1">
          <a:extLst>
            <a:ext uri="{FF2B5EF4-FFF2-40B4-BE49-F238E27FC236}">
              <a16:creationId xmlns:a16="http://schemas.microsoft.com/office/drawing/2014/main" id="{0FB42A1A-66AB-E895-CAC8-28F048047309}"/>
            </a:ext>
          </a:extLst>
        </xdr:cNvPr>
        <xdr:cNvSpPr txBox="1">
          <a:spLocks noChangeArrowheads="1"/>
        </xdr:cNvSpPr>
      </xdr:nvSpPr>
      <xdr:spPr bwMode="auto">
        <a:xfrm>
          <a:off x="8985250" y="252666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31" name="Text Box 71" hidden="1">
          <a:extLst>
            <a:ext uri="{FF2B5EF4-FFF2-40B4-BE49-F238E27FC236}">
              <a16:creationId xmlns:a16="http://schemas.microsoft.com/office/drawing/2014/main" id="{E797BDB8-C2E7-CD07-7630-B0A50CEDEEF8}"/>
            </a:ext>
          </a:extLst>
        </xdr:cNvPr>
        <xdr:cNvSpPr txBox="1">
          <a:spLocks noChangeArrowheads="1"/>
        </xdr:cNvSpPr>
      </xdr:nvSpPr>
      <xdr:spPr bwMode="auto">
        <a:xfrm>
          <a:off x="11315700" y="252666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30" name="Text Box 70" hidden="1">
          <a:extLst>
            <a:ext uri="{FF2B5EF4-FFF2-40B4-BE49-F238E27FC236}">
              <a16:creationId xmlns:a16="http://schemas.microsoft.com/office/drawing/2014/main" id="{A13729DD-65DA-37B2-698F-46829450AAAF}"/>
            </a:ext>
          </a:extLst>
        </xdr:cNvPr>
        <xdr:cNvSpPr txBox="1">
          <a:spLocks noChangeArrowheads="1"/>
        </xdr:cNvSpPr>
      </xdr:nvSpPr>
      <xdr:spPr bwMode="auto">
        <a:xfrm>
          <a:off x="16497300" y="75692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29" name="Text Box 69" hidden="1">
          <a:extLst>
            <a:ext uri="{FF2B5EF4-FFF2-40B4-BE49-F238E27FC236}">
              <a16:creationId xmlns:a16="http://schemas.microsoft.com/office/drawing/2014/main" id="{10C6B44C-171E-216D-99DE-5B9E9C844036}"/>
            </a:ext>
          </a:extLst>
        </xdr:cNvPr>
        <xdr:cNvSpPr txBox="1">
          <a:spLocks noChangeArrowheads="1"/>
        </xdr:cNvSpPr>
      </xdr:nvSpPr>
      <xdr:spPr bwMode="auto">
        <a:xfrm>
          <a:off x="16497300" y="7175500"/>
          <a:ext cx="13335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28" name="Text Box 68" hidden="1">
          <a:extLst>
            <a:ext uri="{FF2B5EF4-FFF2-40B4-BE49-F238E27FC236}">
              <a16:creationId xmlns:a16="http://schemas.microsoft.com/office/drawing/2014/main" id="{D346A789-2DE4-AE76-82F9-5B207C96F0DF}"/>
            </a:ext>
          </a:extLst>
        </xdr:cNvPr>
        <xdr:cNvSpPr txBox="1">
          <a:spLocks noChangeArrowheads="1"/>
        </xdr:cNvSpPr>
      </xdr:nvSpPr>
      <xdr:spPr bwMode="auto">
        <a:xfrm>
          <a:off x="18135600" y="5353050"/>
          <a:ext cx="1295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27" name="Text Box 67" hidden="1">
          <a:extLst>
            <a:ext uri="{FF2B5EF4-FFF2-40B4-BE49-F238E27FC236}">
              <a16:creationId xmlns:a16="http://schemas.microsoft.com/office/drawing/2014/main" id="{0A79955F-93EE-3019-AB63-03D88A70C01A}"/>
            </a:ext>
          </a:extLst>
        </xdr:cNvPr>
        <xdr:cNvSpPr txBox="1">
          <a:spLocks noChangeArrowheads="1"/>
        </xdr:cNvSpPr>
      </xdr:nvSpPr>
      <xdr:spPr bwMode="auto">
        <a:xfrm>
          <a:off x="4229100" y="7569200"/>
          <a:ext cx="1219200" cy="223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26" name="Text Box 66" hidden="1">
          <a:extLst>
            <a:ext uri="{FF2B5EF4-FFF2-40B4-BE49-F238E27FC236}">
              <a16:creationId xmlns:a16="http://schemas.microsoft.com/office/drawing/2014/main" id="{CBA09E5E-13E3-9D6E-1882-A029CEE4EB5A}"/>
            </a:ext>
          </a:extLst>
        </xdr:cNvPr>
        <xdr:cNvSpPr txBox="1">
          <a:spLocks noChangeArrowheads="1"/>
        </xdr:cNvSpPr>
      </xdr:nvSpPr>
      <xdr:spPr bwMode="auto">
        <a:xfrm>
          <a:off x="4229100" y="42081450"/>
          <a:ext cx="1257300" cy="5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25" name="Text Box 65" hidden="1">
          <a:extLst>
            <a:ext uri="{FF2B5EF4-FFF2-40B4-BE49-F238E27FC236}">
              <a16:creationId xmlns:a16="http://schemas.microsoft.com/office/drawing/2014/main" id="{E2DFB43C-43CA-08CC-BA87-32149995EFBE}"/>
            </a:ext>
          </a:extLst>
        </xdr:cNvPr>
        <xdr:cNvSpPr txBox="1">
          <a:spLocks noChangeArrowheads="1"/>
        </xdr:cNvSpPr>
      </xdr:nvSpPr>
      <xdr:spPr bwMode="auto">
        <a:xfrm>
          <a:off x="18935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24" name="Text Box 64" hidden="1">
          <a:extLst>
            <a:ext uri="{FF2B5EF4-FFF2-40B4-BE49-F238E27FC236}">
              <a16:creationId xmlns:a16="http://schemas.microsoft.com/office/drawing/2014/main" id="{853D25EC-17CF-1EC8-B974-C6EDED736347}"/>
            </a:ext>
          </a:extLst>
        </xdr:cNvPr>
        <xdr:cNvSpPr txBox="1">
          <a:spLocks noChangeArrowheads="1"/>
        </xdr:cNvSpPr>
      </xdr:nvSpPr>
      <xdr:spPr bwMode="auto">
        <a:xfrm>
          <a:off x="21983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23" name="Text Box 63" hidden="1">
          <a:extLst>
            <a:ext uri="{FF2B5EF4-FFF2-40B4-BE49-F238E27FC236}">
              <a16:creationId xmlns:a16="http://schemas.microsoft.com/office/drawing/2014/main" id="{380B5D08-C837-83A8-61D2-20573941F254}"/>
            </a:ext>
          </a:extLst>
        </xdr:cNvPr>
        <xdr:cNvSpPr txBox="1">
          <a:spLocks noChangeArrowheads="1"/>
        </xdr:cNvSpPr>
      </xdr:nvSpPr>
      <xdr:spPr bwMode="auto">
        <a:xfrm>
          <a:off x="25031700" y="24453850"/>
          <a:ext cx="129540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22" name="Text Box 62" hidden="1">
          <a:extLst>
            <a:ext uri="{FF2B5EF4-FFF2-40B4-BE49-F238E27FC236}">
              <a16:creationId xmlns:a16="http://schemas.microsoft.com/office/drawing/2014/main" id="{DE1ECCF4-3129-3A4C-D060-679470B49860}"/>
            </a:ext>
          </a:extLst>
        </xdr:cNvPr>
        <xdr:cNvSpPr txBox="1">
          <a:spLocks noChangeArrowheads="1"/>
        </xdr:cNvSpPr>
      </xdr:nvSpPr>
      <xdr:spPr bwMode="auto">
        <a:xfrm>
          <a:off x="20497800" y="203200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21" name="Text Box 61" hidden="1">
          <a:extLst>
            <a:ext uri="{FF2B5EF4-FFF2-40B4-BE49-F238E27FC236}">
              <a16:creationId xmlns:a16="http://schemas.microsoft.com/office/drawing/2014/main" id="{483FEC49-7E26-E624-3575-BA4708E3435F}"/>
            </a:ext>
          </a:extLst>
        </xdr:cNvPr>
        <xdr:cNvSpPr txBox="1">
          <a:spLocks noChangeArrowheads="1"/>
        </xdr:cNvSpPr>
      </xdr:nvSpPr>
      <xdr:spPr bwMode="auto">
        <a:xfrm>
          <a:off x="4991100" y="13030200"/>
          <a:ext cx="14287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20" name="Text Box 60" hidden="1">
          <a:extLst>
            <a:ext uri="{FF2B5EF4-FFF2-40B4-BE49-F238E27FC236}">
              <a16:creationId xmlns:a16="http://schemas.microsoft.com/office/drawing/2014/main" id="{26A79ED8-B6B1-662F-3406-43FC6FF628CE}"/>
            </a:ext>
          </a:extLst>
        </xdr:cNvPr>
        <xdr:cNvSpPr txBox="1">
          <a:spLocks noChangeArrowheads="1"/>
        </xdr:cNvSpPr>
      </xdr:nvSpPr>
      <xdr:spPr bwMode="auto">
        <a:xfrm>
          <a:off x="19735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19" name="Text Box 59" hidden="1">
          <a:extLst>
            <a:ext uri="{FF2B5EF4-FFF2-40B4-BE49-F238E27FC236}">
              <a16:creationId xmlns:a16="http://schemas.microsoft.com/office/drawing/2014/main" id="{43DEDDD1-25E9-B3F8-3328-BDC9D0A255A0}"/>
            </a:ext>
          </a:extLst>
        </xdr:cNvPr>
        <xdr:cNvSpPr txBox="1">
          <a:spLocks noChangeArrowheads="1"/>
        </xdr:cNvSpPr>
      </xdr:nvSpPr>
      <xdr:spPr bwMode="auto">
        <a:xfrm>
          <a:off x="22783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18" name="Text Box 58" hidden="1">
          <a:extLst>
            <a:ext uri="{FF2B5EF4-FFF2-40B4-BE49-F238E27FC236}">
              <a16:creationId xmlns:a16="http://schemas.microsoft.com/office/drawing/2014/main" id="{C6AFB107-E031-5AAD-DBE8-6CB3F25B8EB5}"/>
            </a:ext>
          </a:extLst>
        </xdr:cNvPr>
        <xdr:cNvSpPr txBox="1">
          <a:spLocks noChangeArrowheads="1"/>
        </xdr:cNvSpPr>
      </xdr:nvSpPr>
      <xdr:spPr bwMode="auto">
        <a:xfrm>
          <a:off x="25831800" y="26181050"/>
          <a:ext cx="129540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17" name="Text Box 57" hidden="1">
          <a:extLst>
            <a:ext uri="{FF2B5EF4-FFF2-40B4-BE49-F238E27FC236}">
              <a16:creationId xmlns:a16="http://schemas.microsoft.com/office/drawing/2014/main" id="{1C95F654-776F-C2BE-8C12-08130D87E6A1}"/>
            </a:ext>
          </a:extLst>
        </xdr:cNvPr>
        <xdr:cNvSpPr txBox="1">
          <a:spLocks noChangeArrowheads="1"/>
        </xdr:cNvSpPr>
      </xdr:nvSpPr>
      <xdr:spPr bwMode="auto">
        <a:xfrm>
          <a:off x="20459700" y="7175500"/>
          <a:ext cx="1257300" cy="393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16" name="Text Box 56" hidden="1">
          <a:extLst>
            <a:ext uri="{FF2B5EF4-FFF2-40B4-BE49-F238E27FC236}">
              <a16:creationId xmlns:a16="http://schemas.microsoft.com/office/drawing/2014/main" id="{1BE39442-43A6-0A90-70C9-C59B554B3288}"/>
            </a:ext>
          </a:extLst>
        </xdr:cNvPr>
        <xdr:cNvSpPr txBox="1">
          <a:spLocks noChangeArrowheads="1"/>
        </xdr:cNvSpPr>
      </xdr:nvSpPr>
      <xdr:spPr bwMode="auto">
        <a:xfrm>
          <a:off x="21964650" y="6610350"/>
          <a:ext cx="1314450" cy="13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15" name="Text Box 55" hidden="1">
          <a:extLst>
            <a:ext uri="{FF2B5EF4-FFF2-40B4-BE49-F238E27FC236}">
              <a16:creationId xmlns:a16="http://schemas.microsoft.com/office/drawing/2014/main" id="{C6955F2D-EBA2-EEE8-2B01-1872FA798990}"/>
            </a:ext>
          </a:extLst>
        </xdr:cNvPr>
        <xdr:cNvSpPr txBox="1">
          <a:spLocks noChangeArrowheads="1"/>
        </xdr:cNvSpPr>
      </xdr:nvSpPr>
      <xdr:spPr bwMode="auto">
        <a:xfrm>
          <a:off x="22002750" y="18383250"/>
          <a:ext cx="14478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50" name="Text Box 90" hidden="1">
          <a:extLst>
            <a:ext uri="{FF2B5EF4-FFF2-40B4-BE49-F238E27FC236}">
              <a16:creationId xmlns:a16="http://schemas.microsoft.com/office/drawing/2014/main" id="{9FEB273C-F0EC-428F-F480-27BBD318DF99}"/>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49" name="Text Box 89" hidden="1">
          <a:extLst>
            <a:ext uri="{FF2B5EF4-FFF2-40B4-BE49-F238E27FC236}">
              <a16:creationId xmlns:a16="http://schemas.microsoft.com/office/drawing/2014/main" id="{DE1A51FD-1A95-6BA0-F132-E3D77BFF9069}"/>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48" name="Text Box 88" hidden="1">
          <a:extLst>
            <a:ext uri="{FF2B5EF4-FFF2-40B4-BE49-F238E27FC236}">
              <a16:creationId xmlns:a16="http://schemas.microsoft.com/office/drawing/2014/main" id="{31A1A8A7-C302-17C8-D208-A68AA6395681}"/>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47" name="Text Box 87" hidden="1">
          <a:extLst>
            <a:ext uri="{FF2B5EF4-FFF2-40B4-BE49-F238E27FC236}">
              <a16:creationId xmlns:a16="http://schemas.microsoft.com/office/drawing/2014/main" id="{4495F29D-627E-82AC-5D71-06B40065536A}"/>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46" name="Text Box 86" hidden="1">
          <a:extLst>
            <a:ext uri="{FF2B5EF4-FFF2-40B4-BE49-F238E27FC236}">
              <a16:creationId xmlns:a16="http://schemas.microsoft.com/office/drawing/2014/main" id="{9F651967-0F76-921E-30D8-A73E06F3AFB2}"/>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45" name="Text Box 85" hidden="1">
          <a:extLst>
            <a:ext uri="{FF2B5EF4-FFF2-40B4-BE49-F238E27FC236}">
              <a16:creationId xmlns:a16="http://schemas.microsoft.com/office/drawing/2014/main" id="{10DCD79C-175D-50E9-01AF-7D825B4E78FA}"/>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44" name="Text Box 84" hidden="1">
          <a:extLst>
            <a:ext uri="{FF2B5EF4-FFF2-40B4-BE49-F238E27FC236}">
              <a16:creationId xmlns:a16="http://schemas.microsoft.com/office/drawing/2014/main" id="{54B2EB07-4630-EECA-A72B-B1BBA0E22128}"/>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43" name="Text Box 83" hidden="1">
          <a:extLst>
            <a:ext uri="{FF2B5EF4-FFF2-40B4-BE49-F238E27FC236}">
              <a16:creationId xmlns:a16="http://schemas.microsoft.com/office/drawing/2014/main" id="{62EECBA6-2D6D-D47D-3560-F1D7B5255E46}"/>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42" name="Text Box 82" hidden="1">
          <a:extLst>
            <a:ext uri="{FF2B5EF4-FFF2-40B4-BE49-F238E27FC236}">
              <a16:creationId xmlns:a16="http://schemas.microsoft.com/office/drawing/2014/main" id="{909C542A-B23B-4A05-F425-C607A5B36998}"/>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41" name="Text Box 81" hidden="1">
          <a:extLst>
            <a:ext uri="{FF2B5EF4-FFF2-40B4-BE49-F238E27FC236}">
              <a16:creationId xmlns:a16="http://schemas.microsoft.com/office/drawing/2014/main" id="{280EBFA3-3E08-A24C-A875-CE2BBEC7D6CC}"/>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40" name="Text Box 80" hidden="1">
          <a:extLst>
            <a:ext uri="{FF2B5EF4-FFF2-40B4-BE49-F238E27FC236}">
              <a16:creationId xmlns:a16="http://schemas.microsoft.com/office/drawing/2014/main" id="{23A30279-27EC-D533-FBDC-D570283F8398}"/>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39" name="Text Box 79" hidden="1">
          <a:extLst>
            <a:ext uri="{FF2B5EF4-FFF2-40B4-BE49-F238E27FC236}">
              <a16:creationId xmlns:a16="http://schemas.microsoft.com/office/drawing/2014/main" id="{527B0D37-913A-349D-4528-53951A43BDFE}"/>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38" name="Text Box 78" hidden="1">
          <a:extLst>
            <a:ext uri="{FF2B5EF4-FFF2-40B4-BE49-F238E27FC236}">
              <a16:creationId xmlns:a16="http://schemas.microsoft.com/office/drawing/2014/main" id="{5BC2688D-DD0F-4C56-54C4-DDFF405C9008}"/>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37" name="Text Box 77" hidden="1">
          <a:extLst>
            <a:ext uri="{FF2B5EF4-FFF2-40B4-BE49-F238E27FC236}">
              <a16:creationId xmlns:a16="http://schemas.microsoft.com/office/drawing/2014/main" id="{8E337A17-EC30-F74B-98D4-9F27BA552222}"/>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36" name="Text Box 76" hidden="1">
          <a:extLst>
            <a:ext uri="{FF2B5EF4-FFF2-40B4-BE49-F238E27FC236}">
              <a16:creationId xmlns:a16="http://schemas.microsoft.com/office/drawing/2014/main" id="{61BE5686-2AFA-5722-47DC-96E347213ADF}"/>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35" name="Text Box 75" hidden="1">
          <a:extLst>
            <a:ext uri="{FF2B5EF4-FFF2-40B4-BE49-F238E27FC236}">
              <a16:creationId xmlns:a16="http://schemas.microsoft.com/office/drawing/2014/main" id="{B3660A24-2EE5-B415-85BB-287B11AC4BB2}"/>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34" name="Text Box 74" hidden="1">
          <a:extLst>
            <a:ext uri="{FF2B5EF4-FFF2-40B4-BE49-F238E27FC236}">
              <a16:creationId xmlns:a16="http://schemas.microsoft.com/office/drawing/2014/main" id="{7B176A7A-D725-E1BC-095B-085FEB83C3BF}"/>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33" name="Text Box 73" hidden="1">
          <a:extLst>
            <a:ext uri="{FF2B5EF4-FFF2-40B4-BE49-F238E27FC236}">
              <a16:creationId xmlns:a16="http://schemas.microsoft.com/office/drawing/2014/main" id="{0D11A201-012A-2A99-8A24-8A7F4912317B}"/>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105</xdr:row>
      <xdr:rowOff>114300</xdr:rowOff>
    </xdr:from>
    <xdr:to>
      <xdr:col>8</xdr:col>
      <xdr:colOff>228600</xdr:colOff>
      <xdr:row>105</xdr:row>
      <xdr:rowOff>114300</xdr:rowOff>
    </xdr:to>
    <xdr:sp macro="" textlink="">
      <xdr:nvSpPr>
        <xdr:cNvPr id="373868" name="Text Box 108" hidden="1">
          <a:extLst>
            <a:ext uri="{FF2B5EF4-FFF2-40B4-BE49-F238E27FC236}">
              <a16:creationId xmlns:a16="http://schemas.microsoft.com/office/drawing/2014/main" id="{55B954A5-D1C8-9AF6-D9C5-75324A1ABD06}"/>
            </a:ext>
          </a:extLst>
        </xdr:cNvPr>
        <xdr:cNvSpPr txBox="1">
          <a:spLocks noChangeArrowheads="1"/>
        </xdr:cNvSpPr>
      </xdr:nvSpPr>
      <xdr:spPr bwMode="auto">
        <a:xfrm>
          <a:off x="8985250" y="25266650"/>
          <a:ext cx="16065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105</xdr:row>
      <xdr:rowOff>114300</xdr:rowOff>
    </xdr:from>
    <xdr:to>
      <xdr:col>11</xdr:col>
      <xdr:colOff>190500</xdr:colOff>
      <xdr:row>105</xdr:row>
      <xdr:rowOff>114300</xdr:rowOff>
    </xdr:to>
    <xdr:sp macro="" textlink="">
      <xdr:nvSpPr>
        <xdr:cNvPr id="373867" name="Text Box 107" hidden="1">
          <a:extLst>
            <a:ext uri="{FF2B5EF4-FFF2-40B4-BE49-F238E27FC236}">
              <a16:creationId xmlns:a16="http://schemas.microsoft.com/office/drawing/2014/main" id="{8D1B9AC1-38E4-05AC-3FF3-AFAF225757BD}"/>
            </a:ext>
          </a:extLst>
        </xdr:cNvPr>
        <xdr:cNvSpPr txBox="1">
          <a:spLocks noChangeArrowheads="1"/>
        </xdr:cNvSpPr>
      </xdr:nvSpPr>
      <xdr:spPr bwMode="auto">
        <a:xfrm>
          <a:off x="11315700" y="25266650"/>
          <a:ext cx="1600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33</xdr:row>
      <xdr:rowOff>342900</xdr:rowOff>
    </xdr:from>
    <xdr:to>
      <xdr:col>17</xdr:col>
      <xdr:colOff>533400</xdr:colOff>
      <xdr:row>33</xdr:row>
      <xdr:rowOff>342900</xdr:rowOff>
    </xdr:to>
    <xdr:sp macro="" textlink="">
      <xdr:nvSpPr>
        <xdr:cNvPr id="373866" name="Text Box 106" hidden="1">
          <a:extLst>
            <a:ext uri="{FF2B5EF4-FFF2-40B4-BE49-F238E27FC236}">
              <a16:creationId xmlns:a16="http://schemas.microsoft.com/office/drawing/2014/main" id="{6C0C1208-3D0D-B545-4EE5-12EADABB8F08}"/>
            </a:ext>
          </a:extLst>
        </xdr:cNvPr>
        <xdr:cNvSpPr txBox="1">
          <a:spLocks noChangeArrowheads="1"/>
        </xdr:cNvSpPr>
      </xdr:nvSpPr>
      <xdr:spPr bwMode="auto">
        <a:xfrm>
          <a:off x="16497300" y="75692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723900</xdr:colOff>
      <xdr:row>32</xdr:row>
      <xdr:rowOff>342900</xdr:rowOff>
    </xdr:from>
    <xdr:to>
      <xdr:col>17</xdr:col>
      <xdr:colOff>533400</xdr:colOff>
      <xdr:row>33</xdr:row>
      <xdr:rowOff>342900</xdr:rowOff>
    </xdr:to>
    <xdr:sp macro="" textlink="">
      <xdr:nvSpPr>
        <xdr:cNvPr id="373865" name="Text Box 105" hidden="1">
          <a:extLst>
            <a:ext uri="{FF2B5EF4-FFF2-40B4-BE49-F238E27FC236}">
              <a16:creationId xmlns:a16="http://schemas.microsoft.com/office/drawing/2014/main" id="{EB121873-2287-A2DB-89E7-3FF66C737FC9}"/>
            </a:ext>
          </a:extLst>
        </xdr:cNvPr>
        <xdr:cNvSpPr txBox="1">
          <a:spLocks noChangeArrowheads="1"/>
        </xdr:cNvSpPr>
      </xdr:nvSpPr>
      <xdr:spPr bwMode="auto">
        <a:xfrm>
          <a:off x="16497300" y="7175500"/>
          <a:ext cx="13335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28</xdr:row>
      <xdr:rowOff>190500</xdr:rowOff>
    </xdr:from>
    <xdr:to>
      <xdr:col>19</xdr:col>
      <xdr:colOff>609600</xdr:colOff>
      <xdr:row>31</xdr:row>
      <xdr:rowOff>266700</xdr:rowOff>
    </xdr:to>
    <xdr:sp macro="" textlink="">
      <xdr:nvSpPr>
        <xdr:cNvPr id="373864" name="Text Box 104" hidden="1">
          <a:extLst>
            <a:ext uri="{FF2B5EF4-FFF2-40B4-BE49-F238E27FC236}">
              <a16:creationId xmlns:a16="http://schemas.microsoft.com/office/drawing/2014/main" id="{C2A6E14F-B3F5-CABE-1FBA-85F49CF059A7}"/>
            </a:ext>
          </a:extLst>
        </xdr:cNvPr>
        <xdr:cNvSpPr txBox="1">
          <a:spLocks noChangeArrowheads="1"/>
        </xdr:cNvSpPr>
      </xdr:nvSpPr>
      <xdr:spPr bwMode="auto">
        <a:xfrm>
          <a:off x="18135600" y="5353050"/>
          <a:ext cx="1295400" cy="1181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33</xdr:row>
      <xdr:rowOff>342900</xdr:rowOff>
    </xdr:from>
    <xdr:to>
      <xdr:col>1</xdr:col>
      <xdr:colOff>4686300</xdr:colOff>
      <xdr:row>44</xdr:row>
      <xdr:rowOff>133350</xdr:rowOff>
    </xdr:to>
    <xdr:sp macro="" textlink="">
      <xdr:nvSpPr>
        <xdr:cNvPr id="373863" name="Text Box 103" hidden="1">
          <a:extLst>
            <a:ext uri="{FF2B5EF4-FFF2-40B4-BE49-F238E27FC236}">
              <a16:creationId xmlns:a16="http://schemas.microsoft.com/office/drawing/2014/main" id="{98809196-FE80-4A4C-71F1-7D11FD999C57}"/>
            </a:ext>
          </a:extLst>
        </xdr:cNvPr>
        <xdr:cNvSpPr txBox="1">
          <a:spLocks noChangeArrowheads="1"/>
        </xdr:cNvSpPr>
      </xdr:nvSpPr>
      <xdr:spPr bwMode="auto">
        <a:xfrm>
          <a:off x="4229100" y="7569200"/>
          <a:ext cx="12192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186</xdr:row>
      <xdr:rowOff>133350</xdr:rowOff>
    </xdr:from>
    <xdr:to>
      <xdr:col>1</xdr:col>
      <xdr:colOff>4724400</xdr:colOff>
      <xdr:row>187</xdr:row>
      <xdr:rowOff>0</xdr:rowOff>
    </xdr:to>
    <xdr:sp macro="" textlink="">
      <xdr:nvSpPr>
        <xdr:cNvPr id="373862" name="Text Box 102" hidden="1">
          <a:extLst>
            <a:ext uri="{FF2B5EF4-FFF2-40B4-BE49-F238E27FC236}">
              <a16:creationId xmlns:a16="http://schemas.microsoft.com/office/drawing/2014/main" id="{58EA3C78-7910-E91E-C5FF-F25E290D29BB}"/>
            </a:ext>
          </a:extLst>
        </xdr:cNvPr>
        <xdr:cNvSpPr txBox="1">
          <a:spLocks noChangeArrowheads="1"/>
        </xdr:cNvSpPr>
      </xdr:nvSpPr>
      <xdr:spPr bwMode="auto">
        <a:xfrm>
          <a:off x="4229100" y="42081450"/>
          <a:ext cx="1257300" cy="50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101</xdr:row>
      <xdr:rowOff>304800</xdr:rowOff>
    </xdr:from>
    <xdr:to>
      <xdr:col>20</xdr:col>
      <xdr:colOff>647700</xdr:colOff>
      <xdr:row>104</xdr:row>
      <xdr:rowOff>76200</xdr:rowOff>
    </xdr:to>
    <xdr:sp macro="" textlink="">
      <xdr:nvSpPr>
        <xdr:cNvPr id="373861" name="Text Box 101" hidden="1">
          <a:extLst>
            <a:ext uri="{FF2B5EF4-FFF2-40B4-BE49-F238E27FC236}">
              <a16:creationId xmlns:a16="http://schemas.microsoft.com/office/drawing/2014/main" id="{10DF9DB6-3255-87C9-2C43-A0598C7E79B7}"/>
            </a:ext>
          </a:extLst>
        </xdr:cNvPr>
        <xdr:cNvSpPr txBox="1">
          <a:spLocks noChangeArrowheads="1"/>
        </xdr:cNvSpPr>
      </xdr:nvSpPr>
      <xdr:spPr bwMode="auto">
        <a:xfrm>
          <a:off x="18935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101</xdr:row>
      <xdr:rowOff>304800</xdr:rowOff>
    </xdr:from>
    <xdr:to>
      <xdr:col>24</xdr:col>
      <xdr:colOff>647700</xdr:colOff>
      <xdr:row>104</xdr:row>
      <xdr:rowOff>76200</xdr:rowOff>
    </xdr:to>
    <xdr:sp macro="" textlink="">
      <xdr:nvSpPr>
        <xdr:cNvPr id="373860" name="Text Box 100" hidden="1">
          <a:extLst>
            <a:ext uri="{FF2B5EF4-FFF2-40B4-BE49-F238E27FC236}">
              <a16:creationId xmlns:a16="http://schemas.microsoft.com/office/drawing/2014/main" id="{E833BCAC-615F-7B3E-D88D-808D57A63041}"/>
            </a:ext>
          </a:extLst>
        </xdr:cNvPr>
        <xdr:cNvSpPr txBox="1">
          <a:spLocks noChangeArrowheads="1"/>
        </xdr:cNvSpPr>
      </xdr:nvSpPr>
      <xdr:spPr bwMode="auto">
        <a:xfrm>
          <a:off x="21983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101</xdr:row>
      <xdr:rowOff>304800</xdr:rowOff>
    </xdr:from>
    <xdr:to>
      <xdr:col>28</xdr:col>
      <xdr:colOff>647700</xdr:colOff>
      <xdr:row>104</xdr:row>
      <xdr:rowOff>76200</xdr:rowOff>
    </xdr:to>
    <xdr:sp macro="" textlink="">
      <xdr:nvSpPr>
        <xdr:cNvPr id="373859" name="Text Box 99" hidden="1">
          <a:extLst>
            <a:ext uri="{FF2B5EF4-FFF2-40B4-BE49-F238E27FC236}">
              <a16:creationId xmlns:a16="http://schemas.microsoft.com/office/drawing/2014/main" id="{DECCB0A7-51A7-B72D-F542-C1A4582663EC}"/>
            </a:ext>
          </a:extLst>
        </xdr:cNvPr>
        <xdr:cNvSpPr txBox="1">
          <a:spLocks noChangeArrowheads="1"/>
        </xdr:cNvSpPr>
      </xdr:nvSpPr>
      <xdr:spPr bwMode="auto">
        <a:xfrm>
          <a:off x="25031700" y="24453850"/>
          <a:ext cx="1295400" cy="565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114300</xdr:rowOff>
    </xdr:from>
    <xdr:to>
      <xdr:col>22</xdr:col>
      <xdr:colOff>723900</xdr:colOff>
      <xdr:row>19</xdr:row>
      <xdr:rowOff>19050</xdr:rowOff>
    </xdr:to>
    <xdr:sp macro="" textlink="">
      <xdr:nvSpPr>
        <xdr:cNvPr id="373858" name="Text Box 98" hidden="1">
          <a:extLst>
            <a:ext uri="{FF2B5EF4-FFF2-40B4-BE49-F238E27FC236}">
              <a16:creationId xmlns:a16="http://schemas.microsoft.com/office/drawing/2014/main" id="{BEE93D2C-1218-77C0-B325-ED257C7BCA91}"/>
            </a:ext>
          </a:extLst>
        </xdr:cNvPr>
        <xdr:cNvSpPr txBox="1">
          <a:spLocks noChangeArrowheads="1"/>
        </xdr:cNvSpPr>
      </xdr:nvSpPr>
      <xdr:spPr bwMode="auto">
        <a:xfrm>
          <a:off x="20497800" y="2032000"/>
          <a:ext cx="13335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60</xdr:row>
      <xdr:rowOff>57150</xdr:rowOff>
    </xdr:from>
    <xdr:to>
      <xdr:col>2</xdr:col>
      <xdr:colOff>685800</xdr:colOff>
      <xdr:row>64</xdr:row>
      <xdr:rowOff>95250</xdr:rowOff>
    </xdr:to>
    <xdr:sp macro="" textlink="">
      <xdr:nvSpPr>
        <xdr:cNvPr id="373857" name="Text Box 97" hidden="1">
          <a:extLst>
            <a:ext uri="{FF2B5EF4-FFF2-40B4-BE49-F238E27FC236}">
              <a16:creationId xmlns:a16="http://schemas.microsoft.com/office/drawing/2014/main" id="{3652439E-CA15-809A-AB25-805D6A28CCC7}"/>
            </a:ext>
          </a:extLst>
        </xdr:cNvPr>
        <xdr:cNvSpPr txBox="1">
          <a:spLocks noChangeArrowheads="1"/>
        </xdr:cNvSpPr>
      </xdr:nvSpPr>
      <xdr:spPr bwMode="auto">
        <a:xfrm>
          <a:off x="4991100" y="13030200"/>
          <a:ext cx="14287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109</xdr:row>
      <xdr:rowOff>190500</xdr:rowOff>
    </xdr:from>
    <xdr:to>
      <xdr:col>21</xdr:col>
      <xdr:colOff>685800</xdr:colOff>
      <xdr:row>116</xdr:row>
      <xdr:rowOff>247650</xdr:rowOff>
    </xdr:to>
    <xdr:sp macro="" textlink="">
      <xdr:nvSpPr>
        <xdr:cNvPr id="373856" name="Text Box 96" hidden="1">
          <a:extLst>
            <a:ext uri="{FF2B5EF4-FFF2-40B4-BE49-F238E27FC236}">
              <a16:creationId xmlns:a16="http://schemas.microsoft.com/office/drawing/2014/main" id="{18395B03-AB3B-78E1-65D5-E9D954799831}"/>
            </a:ext>
          </a:extLst>
        </xdr:cNvPr>
        <xdr:cNvSpPr txBox="1">
          <a:spLocks noChangeArrowheads="1"/>
        </xdr:cNvSpPr>
      </xdr:nvSpPr>
      <xdr:spPr bwMode="auto">
        <a:xfrm>
          <a:off x="19735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109</xdr:row>
      <xdr:rowOff>190500</xdr:rowOff>
    </xdr:from>
    <xdr:to>
      <xdr:col>25</xdr:col>
      <xdr:colOff>685800</xdr:colOff>
      <xdr:row>116</xdr:row>
      <xdr:rowOff>247650</xdr:rowOff>
    </xdr:to>
    <xdr:sp macro="" textlink="">
      <xdr:nvSpPr>
        <xdr:cNvPr id="373855" name="Text Box 95" hidden="1">
          <a:extLst>
            <a:ext uri="{FF2B5EF4-FFF2-40B4-BE49-F238E27FC236}">
              <a16:creationId xmlns:a16="http://schemas.microsoft.com/office/drawing/2014/main" id="{A597661F-908A-A610-ED5B-A2CF891326AF}"/>
            </a:ext>
          </a:extLst>
        </xdr:cNvPr>
        <xdr:cNvSpPr txBox="1">
          <a:spLocks noChangeArrowheads="1"/>
        </xdr:cNvSpPr>
      </xdr:nvSpPr>
      <xdr:spPr bwMode="auto">
        <a:xfrm>
          <a:off x="22783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109</xdr:row>
      <xdr:rowOff>190500</xdr:rowOff>
    </xdr:from>
    <xdr:to>
      <xdr:col>29</xdr:col>
      <xdr:colOff>685800</xdr:colOff>
      <xdr:row>116</xdr:row>
      <xdr:rowOff>247650</xdr:rowOff>
    </xdr:to>
    <xdr:sp macro="" textlink="">
      <xdr:nvSpPr>
        <xdr:cNvPr id="373854" name="Text Box 94" hidden="1">
          <a:extLst>
            <a:ext uri="{FF2B5EF4-FFF2-40B4-BE49-F238E27FC236}">
              <a16:creationId xmlns:a16="http://schemas.microsoft.com/office/drawing/2014/main" id="{858FAD4E-83A7-DAF9-7260-8B40E4EC6C9E}"/>
            </a:ext>
          </a:extLst>
        </xdr:cNvPr>
        <xdr:cNvSpPr txBox="1">
          <a:spLocks noChangeArrowheads="1"/>
        </xdr:cNvSpPr>
      </xdr:nvSpPr>
      <xdr:spPr bwMode="auto">
        <a:xfrm>
          <a:off x="25831800" y="26181050"/>
          <a:ext cx="129540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32</xdr:row>
      <xdr:rowOff>342900</xdr:rowOff>
    </xdr:from>
    <xdr:to>
      <xdr:col>22</xdr:col>
      <xdr:colOff>609600</xdr:colOff>
      <xdr:row>33</xdr:row>
      <xdr:rowOff>342900</xdr:rowOff>
    </xdr:to>
    <xdr:sp macro="" textlink="">
      <xdr:nvSpPr>
        <xdr:cNvPr id="373853" name="Text Box 93" hidden="1">
          <a:extLst>
            <a:ext uri="{FF2B5EF4-FFF2-40B4-BE49-F238E27FC236}">
              <a16:creationId xmlns:a16="http://schemas.microsoft.com/office/drawing/2014/main" id="{5073BEBF-A013-F941-F6F2-17E82BDB4E26}"/>
            </a:ext>
          </a:extLst>
        </xdr:cNvPr>
        <xdr:cNvSpPr txBox="1">
          <a:spLocks noChangeArrowheads="1"/>
        </xdr:cNvSpPr>
      </xdr:nvSpPr>
      <xdr:spPr bwMode="auto">
        <a:xfrm>
          <a:off x="20459700" y="7175500"/>
          <a:ext cx="125730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31</xdr:row>
      <xdr:rowOff>342900</xdr:rowOff>
    </xdr:from>
    <xdr:to>
      <xdr:col>24</xdr:col>
      <xdr:colOff>647700</xdr:colOff>
      <xdr:row>31</xdr:row>
      <xdr:rowOff>476250</xdr:rowOff>
    </xdr:to>
    <xdr:sp macro="" textlink="">
      <xdr:nvSpPr>
        <xdr:cNvPr id="373852" name="Text Box 92" hidden="1">
          <a:extLst>
            <a:ext uri="{FF2B5EF4-FFF2-40B4-BE49-F238E27FC236}">
              <a16:creationId xmlns:a16="http://schemas.microsoft.com/office/drawing/2014/main" id="{F269276D-DB13-80DB-A0C2-9A00BCC792D4}"/>
            </a:ext>
          </a:extLst>
        </xdr:cNvPr>
        <xdr:cNvSpPr txBox="1">
          <a:spLocks noChangeArrowheads="1"/>
        </xdr:cNvSpPr>
      </xdr:nvSpPr>
      <xdr:spPr bwMode="auto">
        <a:xfrm>
          <a:off x="21964650" y="6610350"/>
          <a:ext cx="1314450" cy="133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133350</xdr:colOff>
      <xdr:row>82</xdr:row>
      <xdr:rowOff>228600</xdr:rowOff>
    </xdr:from>
    <xdr:to>
      <xdr:col>25</xdr:col>
      <xdr:colOff>57150</xdr:colOff>
      <xdr:row>82</xdr:row>
      <xdr:rowOff>228600</xdr:rowOff>
    </xdr:to>
    <xdr:sp macro="" textlink="">
      <xdr:nvSpPr>
        <xdr:cNvPr id="373851" name="Text Box 91" hidden="1">
          <a:extLst>
            <a:ext uri="{FF2B5EF4-FFF2-40B4-BE49-F238E27FC236}">
              <a16:creationId xmlns:a16="http://schemas.microsoft.com/office/drawing/2014/main" id="{41D06F80-D88D-FE68-AE20-3287A3212B79}"/>
            </a:ext>
          </a:extLst>
        </xdr:cNvPr>
        <xdr:cNvSpPr txBox="1">
          <a:spLocks noChangeArrowheads="1"/>
        </xdr:cNvSpPr>
      </xdr:nvSpPr>
      <xdr:spPr bwMode="auto">
        <a:xfrm>
          <a:off x="22002750" y="18383250"/>
          <a:ext cx="14478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5</xdr:col>
      <xdr:colOff>841584</xdr:colOff>
      <xdr:row>101</xdr:row>
      <xdr:rowOff>258577</xdr:rowOff>
    </xdr:from>
    <xdr:to>
      <xdr:col>8</xdr:col>
      <xdr:colOff>5972</xdr:colOff>
      <xdr:row>101</xdr:row>
      <xdr:rowOff>258577</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51</xdr:row>
      <xdr:rowOff>164204</xdr:rowOff>
    </xdr:from>
    <xdr:to>
      <xdr:col>1</xdr:col>
      <xdr:colOff>4255844</xdr:colOff>
      <xdr:row>55</xdr:row>
      <xdr:rowOff>53081</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101</xdr:row>
      <xdr:rowOff>258577</xdr:rowOff>
    </xdr:from>
    <xdr:to>
      <xdr:col>8</xdr:col>
      <xdr:colOff>5972</xdr:colOff>
      <xdr:row>101</xdr:row>
      <xdr:rowOff>258577</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53735</xdr:rowOff>
    </xdr:from>
    <xdr:to>
      <xdr:col>7</xdr:col>
      <xdr:colOff>829557</xdr:colOff>
      <xdr:row>85</xdr:row>
      <xdr:rowOff>53735</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53735</xdr:rowOff>
    </xdr:from>
    <xdr:to>
      <xdr:col>10</xdr:col>
      <xdr:colOff>525326</xdr:colOff>
      <xdr:row>85</xdr:row>
      <xdr:rowOff>53735</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4197424</xdr:colOff>
      <xdr:row>36</xdr:row>
      <xdr:rowOff>119809</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70949</xdr:colOff>
      <xdr:row>19</xdr:row>
      <xdr:rowOff>28388</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51547</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57377" name="Text Box 1" hidden="1">
          <a:extLst>
            <a:ext uri="{FF2B5EF4-FFF2-40B4-BE49-F238E27FC236}">
              <a16:creationId xmlns:a16="http://schemas.microsoft.com/office/drawing/2014/main" id="{7CFD5789-12FA-20A1-A45F-BA1265054393}"/>
            </a:ext>
          </a:extLst>
        </xdr:cNvPr>
        <xdr:cNvSpPr txBox="1">
          <a:spLocks noChangeArrowheads="1"/>
        </xdr:cNvSpPr>
      </xdr:nvSpPr>
      <xdr:spPr bwMode="auto">
        <a:xfrm>
          <a:off x="2110105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57378" name="Text Box 2" hidden="1">
          <a:extLst>
            <a:ext uri="{FF2B5EF4-FFF2-40B4-BE49-F238E27FC236}">
              <a16:creationId xmlns:a16="http://schemas.microsoft.com/office/drawing/2014/main" id="{0EBCD07A-6269-F838-7BC2-52EC748E7E52}"/>
            </a:ext>
          </a:extLst>
        </xdr:cNvPr>
        <xdr:cNvSpPr txBox="1">
          <a:spLocks noChangeArrowheads="1"/>
        </xdr:cNvSpPr>
      </xdr:nvSpPr>
      <xdr:spPr bwMode="auto">
        <a:xfrm>
          <a:off x="1958975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57379" name="Text Box 3" hidden="1">
          <a:extLst>
            <a:ext uri="{FF2B5EF4-FFF2-40B4-BE49-F238E27FC236}">
              <a16:creationId xmlns:a16="http://schemas.microsoft.com/office/drawing/2014/main" id="{AB071B14-7C33-AB72-2CF7-B2D463FA7DAF}"/>
            </a:ext>
          </a:extLst>
        </xdr:cNvPr>
        <xdr:cNvSpPr txBox="1">
          <a:spLocks noChangeArrowheads="1"/>
        </xdr:cNvSpPr>
      </xdr:nvSpPr>
      <xdr:spPr bwMode="auto">
        <a:xfrm>
          <a:off x="2185670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57380" name="Text Box 4" hidden="1">
          <a:extLst>
            <a:ext uri="{FF2B5EF4-FFF2-40B4-BE49-F238E27FC236}">
              <a16:creationId xmlns:a16="http://schemas.microsoft.com/office/drawing/2014/main" id="{736C8763-E866-20F5-C6F9-EC59E3AFF830}"/>
            </a:ext>
          </a:extLst>
        </xdr:cNvPr>
        <xdr:cNvSpPr txBox="1">
          <a:spLocks noChangeArrowheads="1"/>
        </xdr:cNvSpPr>
      </xdr:nvSpPr>
      <xdr:spPr bwMode="auto">
        <a:xfrm>
          <a:off x="188341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57381" name="Text Box 5" hidden="1">
          <a:extLst>
            <a:ext uri="{FF2B5EF4-FFF2-40B4-BE49-F238E27FC236}">
              <a16:creationId xmlns:a16="http://schemas.microsoft.com/office/drawing/2014/main" id="{5126F1D3-4566-96CB-8E5A-7AC14968BC81}"/>
            </a:ext>
          </a:extLst>
        </xdr:cNvPr>
        <xdr:cNvSpPr txBox="1">
          <a:spLocks noChangeArrowheads="1"/>
        </xdr:cNvSpPr>
      </xdr:nvSpPr>
      <xdr:spPr bwMode="auto">
        <a:xfrm>
          <a:off x="2034540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57382" name="Text Box 6" hidden="1">
          <a:extLst>
            <a:ext uri="{FF2B5EF4-FFF2-40B4-BE49-F238E27FC236}">
              <a16:creationId xmlns:a16="http://schemas.microsoft.com/office/drawing/2014/main" id="{4E4EEA33-A300-5815-BB77-A915F4AD2B70}"/>
            </a:ext>
          </a:extLst>
        </xdr:cNvPr>
        <xdr:cNvSpPr txBox="1">
          <a:spLocks noChangeArrowheads="1"/>
        </xdr:cNvSpPr>
      </xdr:nvSpPr>
      <xdr:spPr bwMode="auto">
        <a:xfrm>
          <a:off x="1883410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57383" name="Text Box 7" hidden="1">
          <a:extLst>
            <a:ext uri="{FF2B5EF4-FFF2-40B4-BE49-F238E27FC236}">
              <a16:creationId xmlns:a16="http://schemas.microsoft.com/office/drawing/2014/main" id="{FA8DA20D-2F15-D224-4E87-2631F627C58D}"/>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57384" name="Text Box 8" hidden="1">
          <a:extLst>
            <a:ext uri="{FF2B5EF4-FFF2-40B4-BE49-F238E27FC236}">
              <a16:creationId xmlns:a16="http://schemas.microsoft.com/office/drawing/2014/main" id="{499732DE-8457-24E0-1F3F-699888B4DB8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57385" name="Text Box 9" hidden="1">
          <a:extLst>
            <a:ext uri="{FF2B5EF4-FFF2-40B4-BE49-F238E27FC236}">
              <a16:creationId xmlns:a16="http://schemas.microsoft.com/office/drawing/2014/main" id="{1826EC43-CCF9-3438-E2C9-FF6505EA4DE6}"/>
            </a:ext>
          </a:extLst>
        </xdr:cNvPr>
        <xdr:cNvSpPr txBox="1">
          <a:spLocks noChangeArrowheads="1"/>
        </xdr:cNvSpPr>
      </xdr:nvSpPr>
      <xdr:spPr bwMode="auto">
        <a:xfrm>
          <a:off x="2185670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57386" name="Text Box 10" hidden="1">
          <a:extLst>
            <a:ext uri="{FF2B5EF4-FFF2-40B4-BE49-F238E27FC236}">
              <a16:creationId xmlns:a16="http://schemas.microsoft.com/office/drawing/2014/main" id="{C133CD44-5602-A2EC-3924-6895BD7DE8F5}"/>
            </a:ext>
          </a:extLst>
        </xdr:cNvPr>
        <xdr:cNvSpPr txBox="1">
          <a:spLocks noChangeArrowheads="1"/>
        </xdr:cNvSpPr>
      </xdr:nvSpPr>
      <xdr:spPr bwMode="auto">
        <a:xfrm>
          <a:off x="120205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57387" name="Text Box 11" hidden="1">
          <a:extLst>
            <a:ext uri="{FF2B5EF4-FFF2-40B4-BE49-F238E27FC236}">
              <a16:creationId xmlns:a16="http://schemas.microsoft.com/office/drawing/2014/main" id="{6CD70F4F-69D0-D73D-E506-4B95499F8613}"/>
            </a:ext>
          </a:extLst>
        </xdr:cNvPr>
        <xdr:cNvSpPr txBox="1">
          <a:spLocks noChangeArrowheads="1"/>
        </xdr:cNvSpPr>
      </xdr:nvSpPr>
      <xdr:spPr bwMode="auto">
        <a:xfrm>
          <a:off x="142875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57388" name="Text Box 12" hidden="1">
          <a:extLst>
            <a:ext uri="{FF2B5EF4-FFF2-40B4-BE49-F238E27FC236}">
              <a16:creationId xmlns:a16="http://schemas.microsoft.com/office/drawing/2014/main" id="{9C6B8F93-E4E6-2A97-5067-EBAF49D98AF1}"/>
            </a:ext>
          </a:extLst>
        </xdr:cNvPr>
        <xdr:cNvSpPr txBox="1">
          <a:spLocks noChangeArrowheads="1"/>
        </xdr:cNvSpPr>
      </xdr:nvSpPr>
      <xdr:spPr bwMode="auto">
        <a:xfrm>
          <a:off x="2034540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57389" name="Text Box 13" hidden="1">
          <a:extLst>
            <a:ext uri="{FF2B5EF4-FFF2-40B4-BE49-F238E27FC236}">
              <a16:creationId xmlns:a16="http://schemas.microsoft.com/office/drawing/2014/main" id="{801F3F4F-CE48-0D69-404F-C09FA1FCE20E}"/>
            </a:ext>
          </a:extLst>
        </xdr:cNvPr>
        <xdr:cNvSpPr txBox="1">
          <a:spLocks noChangeArrowheads="1"/>
        </xdr:cNvSpPr>
      </xdr:nvSpPr>
      <xdr:spPr bwMode="auto">
        <a:xfrm>
          <a:off x="233553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57390" name="Text Box 14" hidden="1">
          <a:extLst>
            <a:ext uri="{FF2B5EF4-FFF2-40B4-BE49-F238E27FC236}">
              <a16:creationId xmlns:a16="http://schemas.microsoft.com/office/drawing/2014/main" id="{6A27B001-7E28-22AF-AB0F-68D95BA160E1}"/>
            </a:ext>
          </a:extLst>
        </xdr:cNvPr>
        <xdr:cNvSpPr txBox="1">
          <a:spLocks noChangeArrowheads="1"/>
        </xdr:cNvSpPr>
      </xdr:nvSpPr>
      <xdr:spPr bwMode="auto">
        <a:xfrm>
          <a:off x="2637790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57391" name="Text Box 15" hidden="1">
          <a:extLst>
            <a:ext uri="{FF2B5EF4-FFF2-40B4-BE49-F238E27FC236}">
              <a16:creationId xmlns:a16="http://schemas.microsoft.com/office/drawing/2014/main" id="{DDB3D6FB-F00B-3CBA-BF2C-040A2768F341}"/>
            </a:ext>
          </a:extLst>
        </xdr:cNvPr>
        <xdr:cNvSpPr txBox="1">
          <a:spLocks noChangeArrowheads="1"/>
        </xdr:cNvSpPr>
      </xdr:nvSpPr>
      <xdr:spPr bwMode="auto">
        <a:xfrm>
          <a:off x="2034540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57392" name="Text Box 16" hidden="1">
          <a:extLst>
            <a:ext uri="{FF2B5EF4-FFF2-40B4-BE49-F238E27FC236}">
              <a16:creationId xmlns:a16="http://schemas.microsoft.com/office/drawing/2014/main" id="{B33FDCFE-0DAB-0237-966A-B8CFB9EF5DCB}"/>
            </a:ext>
          </a:extLst>
        </xdr:cNvPr>
        <xdr:cNvSpPr txBox="1">
          <a:spLocks noChangeArrowheads="1"/>
        </xdr:cNvSpPr>
      </xdr:nvSpPr>
      <xdr:spPr bwMode="auto">
        <a:xfrm>
          <a:off x="2335530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57393" name="Text Box 17" hidden="1">
          <a:extLst>
            <a:ext uri="{FF2B5EF4-FFF2-40B4-BE49-F238E27FC236}">
              <a16:creationId xmlns:a16="http://schemas.microsoft.com/office/drawing/2014/main" id="{0C26B681-F8F8-3910-2C3F-861D2095EA58}"/>
            </a:ext>
          </a:extLst>
        </xdr:cNvPr>
        <xdr:cNvSpPr txBox="1">
          <a:spLocks noChangeArrowheads="1"/>
        </xdr:cNvSpPr>
      </xdr:nvSpPr>
      <xdr:spPr bwMode="auto">
        <a:xfrm>
          <a:off x="2637790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57394" name="Text Box 18" hidden="1">
          <a:extLst>
            <a:ext uri="{FF2B5EF4-FFF2-40B4-BE49-F238E27FC236}">
              <a16:creationId xmlns:a16="http://schemas.microsoft.com/office/drawing/2014/main" id="{7614FBC5-B03C-3063-B865-30BC172D213C}"/>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57395" name="Text Box 19" hidden="1">
          <a:extLst>
            <a:ext uri="{FF2B5EF4-FFF2-40B4-BE49-F238E27FC236}">
              <a16:creationId xmlns:a16="http://schemas.microsoft.com/office/drawing/2014/main" id="{76AAC99C-9E1A-4EFB-FDDC-CEA6996D7088}"/>
            </a:ext>
          </a:extLst>
        </xdr:cNvPr>
        <xdr:cNvSpPr txBox="1">
          <a:spLocks noChangeArrowheads="1"/>
        </xdr:cNvSpPr>
      </xdr:nvSpPr>
      <xdr:spPr bwMode="auto">
        <a:xfrm>
          <a:off x="2110105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57396" name="Text Box 20" hidden="1">
          <a:extLst>
            <a:ext uri="{FF2B5EF4-FFF2-40B4-BE49-F238E27FC236}">
              <a16:creationId xmlns:a16="http://schemas.microsoft.com/office/drawing/2014/main" id="{486CE879-BBF9-0C07-6E2A-29B946FCB94E}"/>
            </a:ext>
          </a:extLst>
        </xdr:cNvPr>
        <xdr:cNvSpPr txBox="1">
          <a:spLocks noChangeArrowheads="1"/>
        </xdr:cNvSpPr>
      </xdr:nvSpPr>
      <xdr:spPr bwMode="auto">
        <a:xfrm>
          <a:off x="188341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57397" name="Text Box 21" hidden="1">
          <a:extLst>
            <a:ext uri="{FF2B5EF4-FFF2-40B4-BE49-F238E27FC236}">
              <a16:creationId xmlns:a16="http://schemas.microsoft.com/office/drawing/2014/main" id="{AAEA89EE-B4F4-36ED-5916-A61B0F1FCDB8}"/>
            </a:ext>
          </a:extLst>
        </xdr:cNvPr>
        <xdr:cNvSpPr txBox="1">
          <a:spLocks noChangeArrowheads="1"/>
        </xdr:cNvSpPr>
      </xdr:nvSpPr>
      <xdr:spPr bwMode="auto">
        <a:xfrm>
          <a:off x="2034540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57398" name="Text Box 22" hidden="1">
          <a:extLst>
            <a:ext uri="{FF2B5EF4-FFF2-40B4-BE49-F238E27FC236}">
              <a16:creationId xmlns:a16="http://schemas.microsoft.com/office/drawing/2014/main" id="{D90D6721-103E-60F7-ECF2-862F5D613214}"/>
            </a:ext>
          </a:extLst>
        </xdr:cNvPr>
        <xdr:cNvSpPr txBox="1">
          <a:spLocks noChangeArrowheads="1"/>
        </xdr:cNvSpPr>
      </xdr:nvSpPr>
      <xdr:spPr bwMode="auto">
        <a:xfrm>
          <a:off x="2185670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28" name="Text Box 44" hidden="1">
          <a:extLst>
            <a:ext uri="{FF2B5EF4-FFF2-40B4-BE49-F238E27FC236}">
              <a16:creationId xmlns:a16="http://schemas.microsoft.com/office/drawing/2014/main" id="{73E59521-47E4-8BBC-9166-C84FAEB519DD}"/>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27" name="Text Box 43" hidden="1">
          <a:extLst>
            <a:ext uri="{FF2B5EF4-FFF2-40B4-BE49-F238E27FC236}">
              <a16:creationId xmlns:a16="http://schemas.microsoft.com/office/drawing/2014/main" id="{898A5B89-7F2C-DE08-EAB2-7CB545BDAC5C}"/>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26" name="Text Box 42" hidden="1">
          <a:extLst>
            <a:ext uri="{FF2B5EF4-FFF2-40B4-BE49-F238E27FC236}">
              <a16:creationId xmlns:a16="http://schemas.microsoft.com/office/drawing/2014/main" id="{444B58B9-407F-A97E-D3C5-FF1B4271CB2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25" name="Text Box 41" hidden="1">
          <a:extLst>
            <a:ext uri="{FF2B5EF4-FFF2-40B4-BE49-F238E27FC236}">
              <a16:creationId xmlns:a16="http://schemas.microsoft.com/office/drawing/2014/main" id="{9293FA13-5AF1-86D4-53C4-F8430538A3F8}"/>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24" name="Text Box 40" hidden="1">
          <a:extLst>
            <a:ext uri="{FF2B5EF4-FFF2-40B4-BE49-F238E27FC236}">
              <a16:creationId xmlns:a16="http://schemas.microsoft.com/office/drawing/2014/main" id="{44DF28E2-CF8A-0F97-AAB2-2583BC05C443}"/>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23" name="Text Box 39" hidden="1">
          <a:extLst>
            <a:ext uri="{FF2B5EF4-FFF2-40B4-BE49-F238E27FC236}">
              <a16:creationId xmlns:a16="http://schemas.microsoft.com/office/drawing/2014/main" id="{8B64B797-1E35-C205-4909-321036FDBA2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22" name="Text Box 38" hidden="1">
          <a:extLst>
            <a:ext uri="{FF2B5EF4-FFF2-40B4-BE49-F238E27FC236}">
              <a16:creationId xmlns:a16="http://schemas.microsoft.com/office/drawing/2014/main" id="{7966490A-EFCE-5F02-6B3B-885AF24A1A24}"/>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21" name="Text Box 37" hidden="1">
          <a:extLst>
            <a:ext uri="{FF2B5EF4-FFF2-40B4-BE49-F238E27FC236}">
              <a16:creationId xmlns:a16="http://schemas.microsoft.com/office/drawing/2014/main" id="{2A8CBA35-A112-8D49-F5C3-D6C9FC9F8231}"/>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20" name="Text Box 36" hidden="1">
          <a:extLst>
            <a:ext uri="{FF2B5EF4-FFF2-40B4-BE49-F238E27FC236}">
              <a16:creationId xmlns:a16="http://schemas.microsoft.com/office/drawing/2014/main" id="{22484497-4A68-1E42-12E7-10E83B64AD32}"/>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19" name="Text Box 35" hidden="1">
          <a:extLst>
            <a:ext uri="{FF2B5EF4-FFF2-40B4-BE49-F238E27FC236}">
              <a16:creationId xmlns:a16="http://schemas.microsoft.com/office/drawing/2014/main" id="{5CB9870B-D060-2E3B-6CD5-717F9C8B9EC8}"/>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18" name="Text Box 34" hidden="1">
          <a:extLst>
            <a:ext uri="{FF2B5EF4-FFF2-40B4-BE49-F238E27FC236}">
              <a16:creationId xmlns:a16="http://schemas.microsoft.com/office/drawing/2014/main" id="{883B630C-EDDD-00EA-E865-81E08F579EA1}"/>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17" name="Text Box 33" hidden="1">
          <a:extLst>
            <a:ext uri="{FF2B5EF4-FFF2-40B4-BE49-F238E27FC236}">
              <a16:creationId xmlns:a16="http://schemas.microsoft.com/office/drawing/2014/main" id="{331B63C2-0A51-8D65-B4D1-E48041AA70F2}"/>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16" name="Text Box 32" hidden="1">
          <a:extLst>
            <a:ext uri="{FF2B5EF4-FFF2-40B4-BE49-F238E27FC236}">
              <a16:creationId xmlns:a16="http://schemas.microsoft.com/office/drawing/2014/main" id="{2F012BDD-85C6-2B70-9346-5D3939D00BBE}"/>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15" name="Text Box 31" hidden="1">
          <a:extLst>
            <a:ext uri="{FF2B5EF4-FFF2-40B4-BE49-F238E27FC236}">
              <a16:creationId xmlns:a16="http://schemas.microsoft.com/office/drawing/2014/main" id="{7AD7FC98-288A-2482-7D02-847A5587BA39}"/>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14" name="Text Box 30" hidden="1">
          <a:extLst>
            <a:ext uri="{FF2B5EF4-FFF2-40B4-BE49-F238E27FC236}">
              <a16:creationId xmlns:a16="http://schemas.microsoft.com/office/drawing/2014/main" id="{76E167FC-0AC5-B988-A090-C30D0C51B3FF}"/>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13" name="Text Box 29" hidden="1">
          <a:extLst>
            <a:ext uri="{FF2B5EF4-FFF2-40B4-BE49-F238E27FC236}">
              <a16:creationId xmlns:a16="http://schemas.microsoft.com/office/drawing/2014/main" id="{0BBAABD9-3D2F-4B9F-0539-6F1EC5166096}"/>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12" name="Text Box 28" hidden="1">
          <a:extLst>
            <a:ext uri="{FF2B5EF4-FFF2-40B4-BE49-F238E27FC236}">
              <a16:creationId xmlns:a16="http://schemas.microsoft.com/office/drawing/2014/main" id="{89592A0A-2FC5-C15F-7AB9-C67821504B85}"/>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11" name="Text Box 27" hidden="1">
          <a:extLst>
            <a:ext uri="{FF2B5EF4-FFF2-40B4-BE49-F238E27FC236}">
              <a16:creationId xmlns:a16="http://schemas.microsoft.com/office/drawing/2014/main" id="{59A728CE-286C-8A29-3792-2157BB076805}"/>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10" name="Text Box 26" hidden="1">
          <a:extLst>
            <a:ext uri="{FF2B5EF4-FFF2-40B4-BE49-F238E27FC236}">
              <a16:creationId xmlns:a16="http://schemas.microsoft.com/office/drawing/2014/main" id="{12880D43-9A17-8528-8900-D9BE356A8152}"/>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09" name="Text Box 25" hidden="1">
          <a:extLst>
            <a:ext uri="{FF2B5EF4-FFF2-40B4-BE49-F238E27FC236}">
              <a16:creationId xmlns:a16="http://schemas.microsoft.com/office/drawing/2014/main" id="{A4F803CC-E6A2-CE67-DD08-3FC5B9D5FD63}"/>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08" name="Text Box 24" hidden="1">
          <a:extLst>
            <a:ext uri="{FF2B5EF4-FFF2-40B4-BE49-F238E27FC236}">
              <a16:creationId xmlns:a16="http://schemas.microsoft.com/office/drawing/2014/main" id="{F2DCC30D-6C99-FF9D-1817-80CB687DAE6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07" name="Text Box 23" hidden="1">
          <a:extLst>
            <a:ext uri="{FF2B5EF4-FFF2-40B4-BE49-F238E27FC236}">
              <a16:creationId xmlns:a16="http://schemas.microsoft.com/office/drawing/2014/main" id="{DFC3924C-543C-DFE6-D12E-DA9D78AD7692}"/>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06" name="Text Box 22" hidden="1">
          <a:extLst>
            <a:ext uri="{FF2B5EF4-FFF2-40B4-BE49-F238E27FC236}">
              <a16:creationId xmlns:a16="http://schemas.microsoft.com/office/drawing/2014/main" id="{CC3BC435-FF3F-6AA1-2939-4B68422DC308}"/>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05" name="Text Box 21" hidden="1">
          <a:extLst>
            <a:ext uri="{FF2B5EF4-FFF2-40B4-BE49-F238E27FC236}">
              <a16:creationId xmlns:a16="http://schemas.microsoft.com/office/drawing/2014/main" id="{272B7225-6B2D-4D9F-A838-C8D1DA58308A}"/>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04" name="Text Box 20" hidden="1">
          <a:extLst>
            <a:ext uri="{FF2B5EF4-FFF2-40B4-BE49-F238E27FC236}">
              <a16:creationId xmlns:a16="http://schemas.microsoft.com/office/drawing/2014/main" id="{F6A1BC15-E03C-ADA4-70F1-8759CFFC5120}"/>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03" name="Text Box 19" hidden="1">
          <a:extLst>
            <a:ext uri="{FF2B5EF4-FFF2-40B4-BE49-F238E27FC236}">
              <a16:creationId xmlns:a16="http://schemas.microsoft.com/office/drawing/2014/main" id="{C870F326-687C-94ED-FAE2-0D44EE491FDA}"/>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02" name="Text Box 18" hidden="1">
          <a:extLst>
            <a:ext uri="{FF2B5EF4-FFF2-40B4-BE49-F238E27FC236}">
              <a16:creationId xmlns:a16="http://schemas.microsoft.com/office/drawing/2014/main" id="{18F427B0-C5DF-4445-E399-3670E767E4C4}"/>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01" name="Text Box 17" hidden="1">
          <a:extLst>
            <a:ext uri="{FF2B5EF4-FFF2-40B4-BE49-F238E27FC236}">
              <a16:creationId xmlns:a16="http://schemas.microsoft.com/office/drawing/2014/main" id="{9060A08F-374B-5B50-9CC6-66DB511053B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00" name="Text Box 16" hidden="1">
          <a:extLst>
            <a:ext uri="{FF2B5EF4-FFF2-40B4-BE49-F238E27FC236}">
              <a16:creationId xmlns:a16="http://schemas.microsoft.com/office/drawing/2014/main" id="{24B7349C-2BD0-A087-C78A-A9CC94E4F450}"/>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799" name="Text Box 15" hidden="1">
          <a:extLst>
            <a:ext uri="{FF2B5EF4-FFF2-40B4-BE49-F238E27FC236}">
              <a16:creationId xmlns:a16="http://schemas.microsoft.com/office/drawing/2014/main" id="{5DDD761A-13C1-2BC6-3447-3747C9E32C6F}"/>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798" name="Text Box 14" hidden="1">
          <a:extLst>
            <a:ext uri="{FF2B5EF4-FFF2-40B4-BE49-F238E27FC236}">
              <a16:creationId xmlns:a16="http://schemas.microsoft.com/office/drawing/2014/main" id="{F53EC694-F16E-5A10-322A-CA7FF0340567}"/>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797" name="Text Box 13" hidden="1">
          <a:extLst>
            <a:ext uri="{FF2B5EF4-FFF2-40B4-BE49-F238E27FC236}">
              <a16:creationId xmlns:a16="http://schemas.microsoft.com/office/drawing/2014/main" id="{F543D351-8DBC-F50B-1062-2F9154B8B8ED}"/>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796" name="Text Box 12" hidden="1">
          <a:extLst>
            <a:ext uri="{FF2B5EF4-FFF2-40B4-BE49-F238E27FC236}">
              <a16:creationId xmlns:a16="http://schemas.microsoft.com/office/drawing/2014/main" id="{C0A05457-7600-16BB-893B-CF6C120EBE8F}"/>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795" name="Text Box 11" hidden="1">
          <a:extLst>
            <a:ext uri="{FF2B5EF4-FFF2-40B4-BE49-F238E27FC236}">
              <a16:creationId xmlns:a16="http://schemas.microsoft.com/office/drawing/2014/main" id="{B2C67A36-10AD-885F-DDCC-1E3B6617A2EF}"/>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794" name="Text Box 10" hidden="1">
          <a:extLst>
            <a:ext uri="{FF2B5EF4-FFF2-40B4-BE49-F238E27FC236}">
              <a16:creationId xmlns:a16="http://schemas.microsoft.com/office/drawing/2014/main" id="{67D9ECF6-36A2-B24C-CB2B-19AF4E65DE22}"/>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793" name="Text Box 9" hidden="1">
          <a:extLst>
            <a:ext uri="{FF2B5EF4-FFF2-40B4-BE49-F238E27FC236}">
              <a16:creationId xmlns:a16="http://schemas.microsoft.com/office/drawing/2014/main" id="{6499AFD0-0D3C-9626-77E0-163B00E0C5A8}"/>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792" name="Text Box 8" hidden="1">
          <a:extLst>
            <a:ext uri="{FF2B5EF4-FFF2-40B4-BE49-F238E27FC236}">
              <a16:creationId xmlns:a16="http://schemas.microsoft.com/office/drawing/2014/main" id="{8323A68D-C652-1CB0-83AD-2C533213EA66}"/>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791" name="Text Box 7" hidden="1">
          <a:extLst>
            <a:ext uri="{FF2B5EF4-FFF2-40B4-BE49-F238E27FC236}">
              <a16:creationId xmlns:a16="http://schemas.microsoft.com/office/drawing/2014/main" id="{95C09B52-68C8-0F41-659B-823A23339DE1}"/>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790" name="Text Box 6" hidden="1">
          <a:extLst>
            <a:ext uri="{FF2B5EF4-FFF2-40B4-BE49-F238E27FC236}">
              <a16:creationId xmlns:a16="http://schemas.microsoft.com/office/drawing/2014/main" id="{8CB1AAAF-58D9-9031-9789-2AC182EA9A72}"/>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789" name="Text Box 5" hidden="1">
          <a:extLst>
            <a:ext uri="{FF2B5EF4-FFF2-40B4-BE49-F238E27FC236}">
              <a16:creationId xmlns:a16="http://schemas.microsoft.com/office/drawing/2014/main" id="{FF18EBFC-7F38-6B20-BD49-0160F06B3097}"/>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788" name="Text Box 4" hidden="1">
          <a:extLst>
            <a:ext uri="{FF2B5EF4-FFF2-40B4-BE49-F238E27FC236}">
              <a16:creationId xmlns:a16="http://schemas.microsoft.com/office/drawing/2014/main" id="{9D61376E-C2CF-1CB9-590B-710CD4D51A27}"/>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787" name="Text Box 3" hidden="1">
          <a:extLst>
            <a:ext uri="{FF2B5EF4-FFF2-40B4-BE49-F238E27FC236}">
              <a16:creationId xmlns:a16="http://schemas.microsoft.com/office/drawing/2014/main" id="{51BC98D4-A2F3-372A-3290-601916FEC46D}"/>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786" name="Text Box 2" hidden="1">
          <a:extLst>
            <a:ext uri="{FF2B5EF4-FFF2-40B4-BE49-F238E27FC236}">
              <a16:creationId xmlns:a16="http://schemas.microsoft.com/office/drawing/2014/main" id="{10A233C3-8A75-CFE0-A6D6-3D975BFE6960}"/>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785" name="Text Box 1" hidden="1">
          <a:extLst>
            <a:ext uri="{FF2B5EF4-FFF2-40B4-BE49-F238E27FC236}">
              <a16:creationId xmlns:a16="http://schemas.microsoft.com/office/drawing/2014/main" id="{0F349C63-4ECF-5776-6CFB-8F7B7F73F96C}"/>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50" name="Text Box 66" hidden="1">
          <a:extLst>
            <a:ext uri="{FF2B5EF4-FFF2-40B4-BE49-F238E27FC236}">
              <a16:creationId xmlns:a16="http://schemas.microsoft.com/office/drawing/2014/main" id="{99640061-894F-95E7-1020-749D48C6CB0F}"/>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49" name="Text Box 65" hidden="1">
          <a:extLst>
            <a:ext uri="{FF2B5EF4-FFF2-40B4-BE49-F238E27FC236}">
              <a16:creationId xmlns:a16="http://schemas.microsoft.com/office/drawing/2014/main" id="{F0705C3F-82EE-8576-A345-6FDBF6095DAF}"/>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48" name="Text Box 64" hidden="1">
          <a:extLst>
            <a:ext uri="{FF2B5EF4-FFF2-40B4-BE49-F238E27FC236}">
              <a16:creationId xmlns:a16="http://schemas.microsoft.com/office/drawing/2014/main" id="{AE5E62E2-989E-1E44-F8C7-3546FE8C674D}"/>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47" name="Text Box 63" hidden="1">
          <a:extLst>
            <a:ext uri="{FF2B5EF4-FFF2-40B4-BE49-F238E27FC236}">
              <a16:creationId xmlns:a16="http://schemas.microsoft.com/office/drawing/2014/main" id="{B289B906-00DA-2B28-8819-AA028B14CC01}"/>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46" name="Text Box 62" hidden="1">
          <a:extLst>
            <a:ext uri="{FF2B5EF4-FFF2-40B4-BE49-F238E27FC236}">
              <a16:creationId xmlns:a16="http://schemas.microsoft.com/office/drawing/2014/main" id="{CBCBF812-4BFA-5A9F-C09D-4FB6987A5870}"/>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45" name="Text Box 61" hidden="1">
          <a:extLst>
            <a:ext uri="{FF2B5EF4-FFF2-40B4-BE49-F238E27FC236}">
              <a16:creationId xmlns:a16="http://schemas.microsoft.com/office/drawing/2014/main" id="{71981D4B-BC9B-E0AB-7FDE-325ADC4D630E}"/>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44" name="Text Box 60" hidden="1">
          <a:extLst>
            <a:ext uri="{FF2B5EF4-FFF2-40B4-BE49-F238E27FC236}">
              <a16:creationId xmlns:a16="http://schemas.microsoft.com/office/drawing/2014/main" id="{0E891BA3-7D65-C766-F2A4-AADFDC9A8AFE}"/>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43" name="Text Box 59" hidden="1">
          <a:extLst>
            <a:ext uri="{FF2B5EF4-FFF2-40B4-BE49-F238E27FC236}">
              <a16:creationId xmlns:a16="http://schemas.microsoft.com/office/drawing/2014/main" id="{D1E3070C-99B5-A70D-7D02-C02044B3DAB9}"/>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42" name="Text Box 58" hidden="1">
          <a:extLst>
            <a:ext uri="{FF2B5EF4-FFF2-40B4-BE49-F238E27FC236}">
              <a16:creationId xmlns:a16="http://schemas.microsoft.com/office/drawing/2014/main" id="{016EE477-7142-C5AC-5E4A-DB6CB6849D31}"/>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41" name="Text Box 57" hidden="1">
          <a:extLst>
            <a:ext uri="{FF2B5EF4-FFF2-40B4-BE49-F238E27FC236}">
              <a16:creationId xmlns:a16="http://schemas.microsoft.com/office/drawing/2014/main" id="{90D653DB-50BD-6ADE-A80B-3F3ECCB4E741}"/>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40" name="Text Box 56" hidden="1">
          <a:extLst>
            <a:ext uri="{FF2B5EF4-FFF2-40B4-BE49-F238E27FC236}">
              <a16:creationId xmlns:a16="http://schemas.microsoft.com/office/drawing/2014/main" id="{805D8F2B-F76D-57BF-C4AC-FFF2A6A03DDA}"/>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39" name="Text Box 55" hidden="1">
          <a:extLst>
            <a:ext uri="{FF2B5EF4-FFF2-40B4-BE49-F238E27FC236}">
              <a16:creationId xmlns:a16="http://schemas.microsoft.com/office/drawing/2014/main" id="{27241CC6-0220-5396-4E32-7C49A659D570}"/>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38" name="Text Box 54" hidden="1">
          <a:extLst>
            <a:ext uri="{FF2B5EF4-FFF2-40B4-BE49-F238E27FC236}">
              <a16:creationId xmlns:a16="http://schemas.microsoft.com/office/drawing/2014/main" id="{BA29C60B-4330-33F3-7BF4-2BFAFCC2EA75}"/>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37" name="Text Box 53" hidden="1">
          <a:extLst>
            <a:ext uri="{FF2B5EF4-FFF2-40B4-BE49-F238E27FC236}">
              <a16:creationId xmlns:a16="http://schemas.microsoft.com/office/drawing/2014/main" id="{FFA6B635-DF6E-A97E-0BF6-CE6BE320FFE5}"/>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36" name="Text Box 52" hidden="1">
          <a:extLst>
            <a:ext uri="{FF2B5EF4-FFF2-40B4-BE49-F238E27FC236}">
              <a16:creationId xmlns:a16="http://schemas.microsoft.com/office/drawing/2014/main" id="{A7653E6D-827D-82D6-FAC7-A423EF80E3C2}"/>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35" name="Text Box 51" hidden="1">
          <a:extLst>
            <a:ext uri="{FF2B5EF4-FFF2-40B4-BE49-F238E27FC236}">
              <a16:creationId xmlns:a16="http://schemas.microsoft.com/office/drawing/2014/main" id="{48BFD2B7-4F6E-0261-C57C-AE34B0229C08}"/>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34" name="Text Box 50" hidden="1">
          <a:extLst>
            <a:ext uri="{FF2B5EF4-FFF2-40B4-BE49-F238E27FC236}">
              <a16:creationId xmlns:a16="http://schemas.microsoft.com/office/drawing/2014/main" id="{F6241024-671F-41EE-558D-4CCDF5A4B0C4}"/>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33" name="Text Box 49" hidden="1">
          <a:extLst>
            <a:ext uri="{FF2B5EF4-FFF2-40B4-BE49-F238E27FC236}">
              <a16:creationId xmlns:a16="http://schemas.microsoft.com/office/drawing/2014/main" id="{9D31A86F-CAFD-41BA-39AC-36300E4D4BC4}"/>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32" name="Text Box 48" hidden="1">
          <a:extLst>
            <a:ext uri="{FF2B5EF4-FFF2-40B4-BE49-F238E27FC236}">
              <a16:creationId xmlns:a16="http://schemas.microsoft.com/office/drawing/2014/main" id="{E9F40E56-3167-D8F7-70ED-AEFA47D02106}"/>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31" name="Text Box 47" hidden="1">
          <a:extLst>
            <a:ext uri="{FF2B5EF4-FFF2-40B4-BE49-F238E27FC236}">
              <a16:creationId xmlns:a16="http://schemas.microsoft.com/office/drawing/2014/main" id="{438A0AA6-3419-A854-CF4E-62113C787745}"/>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30" name="Text Box 46" hidden="1">
          <a:extLst>
            <a:ext uri="{FF2B5EF4-FFF2-40B4-BE49-F238E27FC236}">
              <a16:creationId xmlns:a16="http://schemas.microsoft.com/office/drawing/2014/main" id="{0BE35A8E-D55E-43E0-707E-D1AD086C3032}"/>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29" name="Text Box 45" hidden="1">
          <a:extLst>
            <a:ext uri="{FF2B5EF4-FFF2-40B4-BE49-F238E27FC236}">
              <a16:creationId xmlns:a16="http://schemas.microsoft.com/office/drawing/2014/main" id="{7575D9DB-E972-6250-4981-B5503FB221CF}"/>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72" name="Text Box 88" hidden="1">
          <a:extLst>
            <a:ext uri="{FF2B5EF4-FFF2-40B4-BE49-F238E27FC236}">
              <a16:creationId xmlns:a16="http://schemas.microsoft.com/office/drawing/2014/main" id="{7AF91232-8281-6785-7ADC-4F3D69AC7E53}"/>
            </a:ext>
          </a:extLst>
        </xdr:cNvPr>
        <xdr:cNvSpPr txBox="1">
          <a:spLocks noChangeArrowheads="1"/>
        </xdr:cNvSpPr>
      </xdr:nvSpPr>
      <xdr:spPr bwMode="auto">
        <a:xfrm>
          <a:off x="21101050" y="10795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71" name="Text Box 87" hidden="1">
          <a:extLst>
            <a:ext uri="{FF2B5EF4-FFF2-40B4-BE49-F238E27FC236}">
              <a16:creationId xmlns:a16="http://schemas.microsoft.com/office/drawing/2014/main" id="{E4F7059B-2534-AE74-4B50-D8DCAB434741}"/>
            </a:ext>
          </a:extLst>
        </xdr:cNvPr>
        <xdr:cNvSpPr txBox="1">
          <a:spLocks noChangeArrowheads="1"/>
        </xdr:cNvSpPr>
      </xdr:nvSpPr>
      <xdr:spPr bwMode="auto">
        <a:xfrm>
          <a:off x="19589750" y="5530850"/>
          <a:ext cx="1320800" cy="168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70" name="Text Box 86" hidden="1">
          <a:extLst>
            <a:ext uri="{FF2B5EF4-FFF2-40B4-BE49-F238E27FC236}">
              <a16:creationId xmlns:a16="http://schemas.microsoft.com/office/drawing/2014/main" id="{F9BA2D91-B171-D2EF-77C0-04285C0718F9}"/>
            </a:ext>
          </a:extLst>
        </xdr:cNvPr>
        <xdr:cNvSpPr txBox="1">
          <a:spLocks noChangeArrowheads="1"/>
        </xdr:cNvSpPr>
      </xdr:nvSpPr>
      <xdr:spPr bwMode="auto">
        <a:xfrm>
          <a:off x="21856700" y="7004050"/>
          <a:ext cx="13271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69" name="Text Box 85" hidden="1">
          <a:extLst>
            <a:ext uri="{FF2B5EF4-FFF2-40B4-BE49-F238E27FC236}">
              <a16:creationId xmlns:a16="http://schemas.microsoft.com/office/drawing/2014/main" id="{A0F6F90C-D882-86A4-45FA-F41D5996E595}"/>
            </a:ext>
          </a:extLst>
        </xdr:cNvPr>
        <xdr:cNvSpPr txBox="1">
          <a:spLocks noChangeArrowheads="1"/>
        </xdr:cNvSpPr>
      </xdr:nvSpPr>
      <xdr:spPr bwMode="auto">
        <a:xfrm>
          <a:off x="188341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68" name="Text Box 84" hidden="1">
          <a:extLst>
            <a:ext uri="{FF2B5EF4-FFF2-40B4-BE49-F238E27FC236}">
              <a16:creationId xmlns:a16="http://schemas.microsoft.com/office/drawing/2014/main" id="{6A469C6C-AA4D-7A1E-7EC5-F1CFFFD7E507}"/>
            </a:ext>
          </a:extLst>
        </xdr:cNvPr>
        <xdr:cNvSpPr txBox="1">
          <a:spLocks noChangeArrowheads="1"/>
        </xdr:cNvSpPr>
      </xdr:nvSpPr>
      <xdr:spPr bwMode="auto">
        <a:xfrm>
          <a:off x="20345400" y="7004050"/>
          <a:ext cx="13208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67" name="Text Box 83" hidden="1">
          <a:extLst>
            <a:ext uri="{FF2B5EF4-FFF2-40B4-BE49-F238E27FC236}">
              <a16:creationId xmlns:a16="http://schemas.microsoft.com/office/drawing/2014/main" id="{1F3B3CCA-C9A9-708A-8B17-596D12A32500}"/>
            </a:ext>
          </a:extLst>
        </xdr:cNvPr>
        <xdr:cNvSpPr txBox="1">
          <a:spLocks noChangeArrowheads="1"/>
        </xdr:cNvSpPr>
      </xdr:nvSpPr>
      <xdr:spPr bwMode="auto">
        <a:xfrm>
          <a:off x="18834100" y="7708900"/>
          <a:ext cx="13208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66" name="Text Box 82" hidden="1">
          <a:extLst>
            <a:ext uri="{FF2B5EF4-FFF2-40B4-BE49-F238E27FC236}">
              <a16:creationId xmlns:a16="http://schemas.microsoft.com/office/drawing/2014/main" id="{7B74789C-79E3-F9F0-D3DF-17558EE46C26}"/>
            </a:ext>
          </a:extLst>
        </xdr:cNvPr>
        <xdr:cNvSpPr txBox="1">
          <a:spLocks noChangeArrowheads="1"/>
        </xdr:cNvSpPr>
      </xdr:nvSpPr>
      <xdr:spPr bwMode="auto">
        <a:xfrm>
          <a:off x="5829300" y="9855200"/>
          <a:ext cx="13335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65" name="Text Box 81" hidden="1">
          <a:extLst>
            <a:ext uri="{FF2B5EF4-FFF2-40B4-BE49-F238E27FC236}">
              <a16:creationId xmlns:a16="http://schemas.microsoft.com/office/drawing/2014/main" id="{12AC4C36-F398-BA2E-4199-B90887F6021C}"/>
            </a:ext>
          </a:extLst>
        </xdr:cNvPr>
        <xdr:cNvSpPr txBox="1">
          <a:spLocks noChangeArrowheads="1"/>
        </xdr:cNvSpPr>
      </xdr:nvSpPr>
      <xdr:spPr bwMode="auto">
        <a:xfrm>
          <a:off x="5829300" y="14693900"/>
          <a:ext cx="13335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64" name="Text Box 80" hidden="1">
          <a:extLst>
            <a:ext uri="{FF2B5EF4-FFF2-40B4-BE49-F238E27FC236}">
              <a16:creationId xmlns:a16="http://schemas.microsoft.com/office/drawing/2014/main" id="{5341A950-D91D-7AC6-8A85-2B36285D5589}"/>
            </a:ext>
          </a:extLst>
        </xdr:cNvPr>
        <xdr:cNvSpPr txBox="1">
          <a:spLocks noChangeArrowheads="1"/>
        </xdr:cNvSpPr>
      </xdr:nvSpPr>
      <xdr:spPr bwMode="auto">
        <a:xfrm>
          <a:off x="21856700" y="18148300"/>
          <a:ext cx="1327150" cy="2216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63" name="Text Box 79" hidden="1">
          <a:extLst>
            <a:ext uri="{FF2B5EF4-FFF2-40B4-BE49-F238E27FC236}">
              <a16:creationId xmlns:a16="http://schemas.microsoft.com/office/drawing/2014/main" id="{D5993588-39DB-4F37-6696-25C073A466D0}"/>
            </a:ext>
          </a:extLst>
        </xdr:cNvPr>
        <xdr:cNvSpPr txBox="1">
          <a:spLocks noChangeArrowheads="1"/>
        </xdr:cNvSpPr>
      </xdr:nvSpPr>
      <xdr:spPr bwMode="auto">
        <a:xfrm>
          <a:off x="1202055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62" name="Text Box 78" hidden="1">
          <a:extLst>
            <a:ext uri="{FF2B5EF4-FFF2-40B4-BE49-F238E27FC236}">
              <a16:creationId xmlns:a16="http://schemas.microsoft.com/office/drawing/2014/main" id="{2A1A90C0-9F55-BE35-F10B-A89D8D30A8B0}"/>
            </a:ext>
          </a:extLst>
        </xdr:cNvPr>
        <xdr:cNvSpPr txBox="1">
          <a:spLocks noChangeArrowheads="1"/>
        </xdr:cNvSpPr>
      </xdr:nvSpPr>
      <xdr:spPr bwMode="auto">
        <a:xfrm>
          <a:off x="142875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61" name="Text Box 77" hidden="1">
          <a:extLst>
            <a:ext uri="{FF2B5EF4-FFF2-40B4-BE49-F238E27FC236}">
              <a16:creationId xmlns:a16="http://schemas.microsoft.com/office/drawing/2014/main" id="{64EA3E40-834D-CEBF-C660-FBCB51A29E98}"/>
            </a:ext>
          </a:extLst>
        </xdr:cNvPr>
        <xdr:cNvSpPr txBox="1">
          <a:spLocks noChangeArrowheads="1"/>
        </xdr:cNvSpPr>
      </xdr:nvSpPr>
      <xdr:spPr bwMode="auto">
        <a:xfrm>
          <a:off x="20345400" y="23444200"/>
          <a:ext cx="132080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60" name="Text Box 76" hidden="1">
          <a:extLst>
            <a:ext uri="{FF2B5EF4-FFF2-40B4-BE49-F238E27FC236}">
              <a16:creationId xmlns:a16="http://schemas.microsoft.com/office/drawing/2014/main" id="{2BB8A40B-3FFE-52B4-4CEF-72FAE5BAFC56}"/>
            </a:ext>
          </a:extLst>
        </xdr:cNvPr>
        <xdr:cNvSpPr txBox="1">
          <a:spLocks noChangeArrowheads="1"/>
        </xdr:cNvSpPr>
      </xdr:nvSpPr>
      <xdr:spPr bwMode="auto">
        <a:xfrm>
          <a:off x="23355300" y="23444200"/>
          <a:ext cx="13398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59" name="Text Box 75" hidden="1">
          <a:extLst>
            <a:ext uri="{FF2B5EF4-FFF2-40B4-BE49-F238E27FC236}">
              <a16:creationId xmlns:a16="http://schemas.microsoft.com/office/drawing/2014/main" id="{9260CD24-44E2-F5C3-2066-BB8BCB37CF33}"/>
            </a:ext>
          </a:extLst>
        </xdr:cNvPr>
        <xdr:cNvSpPr txBox="1">
          <a:spLocks noChangeArrowheads="1"/>
        </xdr:cNvSpPr>
      </xdr:nvSpPr>
      <xdr:spPr bwMode="auto">
        <a:xfrm>
          <a:off x="26377900" y="23444200"/>
          <a:ext cx="1327150" cy="673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58" name="Text Box 74" hidden="1">
          <a:extLst>
            <a:ext uri="{FF2B5EF4-FFF2-40B4-BE49-F238E27FC236}">
              <a16:creationId xmlns:a16="http://schemas.microsoft.com/office/drawing/2014/main" id="{1EB2E648-5F14-258F-2FEB-1D3469BE027E}"/>
            </a:ext>
          </a:extLst>
        </xdr:cNvPr>
        <xdr:cNvSpPr txBox="1">
          <a:spLocks noChangeArrowheads="1"/>
        </xdr:cNvSpPr>
      </xdr:nvSpPr>
      <xdr:spPr bwMode="auto">
        <a:xfrm>
          <a:off x="20345400" y="26777950"/>
          <a:ext cx="132080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57" name="Text Box 73" hidden="1">
          <a:extLst>
            <a:ext uri="{FF2B5EF4-FFF2-40B4-BE49-F238E27FC236}">
              <a16:creationId xmlns:a16="http://schemas.microsoft.com/office/drawing/2014/main" id="{94C6C7A5-FFFE-18B6-7C44-1B714188AD7D}"/>
            </a:ext>
          </a:extLst>
        </xdr:cNvPr>
        <xdr:cNvSpPr txBox="1">
          <a:spLocks noChangeArrowheads="1"/>
        </xdr:cNvSpPr>
      </xdr:nvSpPr>
      <xdr:spPr bwMode="auto">
        <a:xfrm>
          <a:off x="23355300" y="26777950"/>
          <a:ext cx="13398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56" name="Text Box 72" hidden="1">
          <a:extLst>
            <a:ext uri="{FF2B5EF4-FFF2-40B4-BE49-F238E27FC236}">
              <a16:creationId xmlns:a16="http://schemas.microsoft.com/office/drawing/2014/main" id="{B3D97B66-4672-EB2A-9776-F5C61C6654BC}"/>
            </a:ext>
          </a:extLst>
        </xdr:cNvPr>
        <xdr:cNvSpPr txBox="1">
          <a:spLocks noChangeArrowheads="1"/>
        </xdr:cNvSpPr>
      </xdr:nvSpPr>
      <xdr:spPr bwMode="auto">
        <a:xfrm>
          <a:off x="26377900" y="26777950"/>
          <a:ext cx="1327150" cy="3594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55" name="Text Box 71" hidden="1">
          <a:extLst>
            <a:ext uri="{FF2B5EF4-FFF2-40B4-BE49-F238E27FC236}">
              <a16:creationId xmlns:a16="http://schemas.microsoft.com/office/drawing/2014/main" id="{87BE496F-6C86-0A90-C7B8-FD640790D816}"/>
            </a:ext>
          </a:extLst>
        </xdr:cNvPr>
        <xdr:cNvSpPr txBox="1">
          <a:spLocks noChangeArrowheads="1"/>
        </xdr:cNvSpPr>
      </xdr:nvSpPr>
      <xdr:spPr bwMode="auto">
        <a:xfrm>
          <a:off x="5829300" y="318516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54" name="Text Box 70" hidden="1">
          <a:extLst>
            <a:ext uri="{FF2B5EF4-FFF2-40B4-BE49-F238E27FC236}">
              <a16:creationId xmlns:a16="http://schemas.microsoft.com/office/drawing/2014/main" id="{71FF8AEC-610D-F4A5-D692-EAF96D6BE45E}"/>
            </a:ext>
          </a:extLst>
        </xdr:cNvPr>
        <xdr:cNvSpPr txBox="1">
          <a:spLocks noChangeArrowheads="1"/>
        </xdr:cNvSpPr>
      </xdr:nvSpPr>
      <xdr:spPr bwMode="auto">
        <a:xfrm>
          <a:off x="21101050" y="3911600"/>
          <a:ext cx="132715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53" name="Text Box 69" hidden="1">
          <a:extLst>
            <a:ext uri="{FF2B5EF4-FFF2-40B4-BE49-F238E27FC236}">
              <a16:creationId xmlns:a16="http://schemas.microsoft.com/office/drawing/2014/main" id="{30DFF70A-C6F5-E18B-D007-AE747151E6E2}"/>
            </a:ext>
          </a:extLst>
        </xdr:cNvPr>
        <xdr:cNvSpPr txBox="1">
          <a:spLocks noChangeArrowheads="1"/>
        </xdr:cNvSpPr>
      </xdr:nvSpPr>
      <xdr:spPr bwMode="auto">
        <a:xfrm>
          <a:off x="188341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52" name="Text Box 68" hidden="1">
          <a:extLst>
            <a:ext uri="{FF2B5EF4-FFF2-40B4-BE49-F238E27FC236}">
              <a16:creationId xmlns:a16="http://schemas.microsoft.com/office/drawing/2014/main" id="{B15F50AA-CF08-D8E8-97F2-3360AC321FFB}"/>
            </a:ext>
          </a:extLst>
        </xdr:cNvPr>
        <xdr:cNvSpPr txBox="1">
          <a:spLocks noChangeArrowheads="1"/>
        </xdr:cNvSpPr>
      </xdr:nvSpPr>
      <xdr:spPr bwMode="auto">
        <a:xfrm>
          <a:off x="20345400" y="128905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51" name="Text Box 67" hidden="1">
          <a:extLst>
            <a:ext uri="{FF2B5EF4-FFF2-40B4-BE49-F238E27FC236}">
              <a16:creationId xmlns:a16="http://schemas.microsoft.com/office/drawing/2014/main" id="{8EE795C3-8C65-CD4C-4A8C-3BA97381E917}"/>
            </a:ext>
          </a:extLst>
        </xdr:cNvPr>
        <xdr:cNvSpPr txBox="1">
          <a:spLocks noChangeArrowheads="1"/>
        </xdr:cNvSpPr>
      </xdr:nvSpPr>
      <xdr:spPr bwMode="auto">
        <a:xfrm>
          <a:off x="21856700" y="3746500"/>
          <a:ext cx="13271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894" name="Text Box 110" hidden="1">
          <a:extLst>
            <a:ext uri="{FF2B5EF4-FFF2-40B4-BE49-F238E27FC236}">
              <a16:creationId xmlns:a16="http://schemas.microsoft.com/office/drawing/2014/main" id="{25256130-E880-A47D-82C5-08B5A99AEFD2}"/>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893" name="Text Box 109" hidden="1">
          <a:extLst>
            <a:ext uri="{FF2B5EF4-FFF2-40B4-BE49-F238E27FC236}">
              <a16:creationId xmlns:a16="http://schemas.microsoft.com/office/drawing/2014/main" id="{1CCBAA83-BC2C-595C-1E39-ADD863B1BC8B}"/>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892" name="Text Box 108" hidden="1">
          <a:extLst>
            <a:ext uri="{FF2B5EF4-FFF2-40B4-BE49-F238E27FC236}">
              <a16:creationId xmlns:a16="http://schemas.microsoft.com/office/drawing/2014/main" id="{CFF7E405-F6F7-C9BF-0FAC-950A9A3D3B1D}"/>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891" name="Text Box 107" hidden="1">
          <a:extLst>
            <a:ext uri="{FF2B5EF4-FFF2-40B4-BE49-F238E27FC236}">
              <a16:creationId xmlns:a16="http://schemas.microsoft.com/office/drawing/2014/main" id="{90A7D46F-C880-775B-CB81-0D99C0A0D95B}"/>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890" name="Text Box 106" hidden="1">
          <a:extLst>
            <a:ext uri="{FF2B5EF4-FFF2-40B4-BE49-F238E27FC236}">
              <a16:creationId xmlns:a16="http://schemas.microsoft.com/office/drawing/2014/main" id="{B188E858-BA5A-B740-51A5-FF851A99877D}"/>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889" name="Text Box 105" hidden="1">
          <a:extLst>
            <a:ext uri="{FF2B5EF4-FFF2-40B4-BE49-F238E27FC236}">
              <a16:creationId xmlns:a16="http://schemas.microsoft.com/office/drawing/2014/main" id="{F0B62279-91EF-0E6F-F35A-50B6357DF33B}"/>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888" name="Text Box 104" hidden="1">
          <a:extLst>
            <a:ext uri="{FF2B5EF4-FFF2-40B4-BE49-F238E27FC236}">
              <a16:creationId xmlns:a16="http://schemas.microsoft.com/office/drawing/2014/main" id="{CFB98FD6-0CB4-91AD-7A63-21FFDF1B83FF}"/>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887" name="Text Box 103" hidden="1">
          <a:extLst>
            <a:ext uri="{FF2B5EF4-FFF2-40B4-BE49-F238E27FC236}">
              <a16:creationId xmlns:a16="http://schemas.microsoft.com/office/drawing/2014/main" id="{A2C3E25A-4D37-FADF-E0B6-C088FDAD2C7C}"/>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886" name="Text Box 102" hidden="1">
          <a:extLst>
            <a:ext uri="{FF2B5EF4-FFF2-40B4-BE49-F238E27FC236}">
              <a16:creationId xmlns:a16="http://schemas.microsoft.com/office/drawing/2014/main" id="{D29B5CDF-6F39-8EFA-89BC-88B13BA8E2DD}"/>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885" name="Text Box 101" hidden="1">
          <a:extLst>
            <a:ext uri="{FF2B5EF4-FFF2-40B4-BE49-F238E27FC236}">
              <a16:creationId xmlns:a16="http://schemas.microsoft.com/office/drawing/2014/main" id="{C00933AE-39FB-7ECE-E4A1-F86A263BA6AE}"/>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884" name="Text Box 100" hidden="1">
          <a:extLst>
            <a:ext uri="{FF2B5EF4-FFF2-40B4-BE49-F238E27FC236}">
              <a16:creationId xmlns:a16="http://schemas.microsoft.com/office/drawing/2014/main" id="{60291502-FFCF-D628-B423-80271B781144}"/>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883" name="Text Box 99" hidden="1">
          <a:extLst>
            <a:ext uri="{FF2B5EF4-FFF2-40B4-BE49-F238E27FC236}">
              <a16:creationId xmlns:a16="http://schemas.microsoft.com/office/drawing/2014/main" id="{3DCD7691-D6E1-668F-FE13-79F69057AC57}"/>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882" name="Text Box 98" hidden="1">
          <a:extLst>
            <a:ext uri="{FF2B5EF4-FFF2-40B4-BE49-F238E27FC236}">
              <a16:creationId xmlns:a16="http://schemas.microsoft.com/office/drawing/2014/main" id="{0D212C12-AC6D-9779-D628-4EB83D70B92D}"/>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881" name="Text Box 97" hidden="1">
          <a:extLst>
            <a:ext uri="{FF2B5EF4-FFF2-40B4-BE49-F238E27FC236}">
              <a16:creationId xmlns:a16="http://schemas.microsoft.com/office/drawing/2014/main" id="{194272D9-CBAF-ACF7-DBCD-B52E65F58DE5}"/>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880" name="Text Box 96" hidden="1">
          <a:extLst>
            <a:ext uri="{FF2B5EF4-FFF2-40B4-BE49-F238E27FC236}">
              <a16:creationId xmlns:a16="http://schemas.microsoft.com/office/drawing/2014/main" id="{E2D54384-02E0-0302-4735-379EB36B8787}"/>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879" name="Text Box 95" hidden="1">
          <a:extLst>
            <a:ext uri="{FF2B5EF4-FFF2-40B4-BE49-F238E27FC236}">
              <a16:creationId xmlns:a16="http://schemas.microsoft.com/office/drawing/2014/main" id="{2D72BFA8-C0F0-B699-46E7-E2DB707D9975}"/>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878" name="Text Box 94" hidden="1">
          <a:extLst>
            <a:ext uri="{FF2B5EF4-FFF2-40B4-BE49-F238E27FC236}">
              <a16:creationId xmlns:a16="http://schemas.microsoft.com/office/drawing/2014/main" id="{1804D1E9-F634-3B79-C16E-1CE1C679353A}"/>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77" name="Text Box 93" hidden="1">
          <a:extLst>
            <a:ext uri="{FF2B5EF4-FFF2-40B4-BE49-F238E27FC236}">
              <a16:creationId xmlns:a16="http://schemas.microsoft.com/office/drawing/2014/main" id="{E8F36882-1846-5B86-0EAB-2E659038672B}"/>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76" name="Text Box 92" hidden="1">
          <a:extLst>
            <a:ext uri="{FF2B5EF4-FFF2-40B4-BE49-F238E27FC236}">
              <a16:creationId xmlns:a16="http://schemas.microsoft.com/office/drawing/2014/main" id="{74B758DE-0508-00CD-6789-4D9C3FD51A1A}"/>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75" name="Text Box 91" hidden="1">
          <a:extLst>
            <a:ext uri="{FF2B5EF4-FFF2-40B4-BE49-F238E27FC236}">
              <a16:creationId xmlns:a16="http://schemas.microsoft.com/office/drawing/2014/main" id="{52A7E333-B261-790F-4952-A411D7A5B2D3}"/>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74" name="Text Box 90" hidden="1">
          <a:extLst>
            <a:ext uri="{FF2B5EF4-FFF2-40B4-BE49-F238E27FC236}">
              <a16:creationId xmlns:a16="http://schemas.microsoft.com/office/drawing/2014/main" id="{A34CF741-B2A6-E77C-A3AE-6F25997135DE}"/>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73" name="Text Box 89" hidden="1">
          <a:extLst>
            <a:ext uri="{FF2B5EF4-FFF2-40B4-BE49-F238E27FC236}">
              <a16:creationId xmlns:a16="http://schemas.microsoft.com/office/drawing/2014/main" id="{A21C6280-7F95-67DB-3DD8-4951E5CF6A18}"/>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10</xdr:row>
      <xdr:rowOff>114300</xdr:rowOff>
    </xdr:from>
    <xdr:to>
      <xdr:col>20</xdr:col>
      <xdr:colOff>781050</xdr:colOff>
      <xdr:row>14</xdr:row>
      <xdr:rowOff>95250</xdr:rowOff>
    </xdr:to>
    <xdr:sp macro="" textlink="">
      <xdr:nvSpPr>
        <xdr:cNvPr id="374916" name="Text Box 132" hidden="1">
          <a:extLst>
            <a:ext uri="{FF2B5EF4-FFF2-40B4-BE49-F238E27FC236}">
              <a16:creationId xmlns:a16="http://schemas.microsoft.com/office/drawing/2014/main" id="{0A221E32-BE23-E809-05DA-D6D169D613DD}"/>
            </a:ext>
          </a:extLst>
        </xdr:cNvPr>
        <xdr:cNvSpPr txBox="1">
          <a:spLocks noChangeArrowheads="1"/>
        </xdr:cNvSpPr>
      </xdr:nvSpPr>
      <xdr:spPr bwMode="auto">
        <a:xfrm>
          <a:off x="21120100" y="1079500"/>
          <a:ext cx="13271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723900</xdr:colOff>
      <xdr:row>29</xdr:row>
      <xdr:rowOff>57150</xdr:rowOff>
    </xdr:from>
    <xdr:to>
      <xdr:col>19</xdr:col>
      <xdr:colOff>190500</xdr:colOff>
      <xdr:row>35</xdr:row>
      <xdr:rowOff>95250</xdr:rowOff>
    </xdr:to>
    <xdr:sp macro="" textlink="">
      <xdr:nvSpPr>
        <xdr:cNvPr id="374915" name="Text Box 131" hidden="1">
          <a:extLst>
            <a:ext uri="{FF2B5EF4-FFF2-40B4-BE49-F238E27FC236}">
              <a16:creationId xmlns:a16="http://schemas.microsoft.com/office/drawing/2014/main" id="{B02DD45E-7C11-2175-08B1-BE8397BD5342}"/>
            </a:ext>
          </a:extLst>
        </xdr:cNvPr>
        <xdr:cNvSpPr txBox="1">
          <a:spLocks noChangeArrowheads="1"/>
        </xdr:cNvSpPr>
      </xdr:nvSpPr>
      <xdr:spPr bwMode="auto">
        <a:xfrm>
          <a:off x="19608800" y="5530850"/>
          <a:ext cx="1320800" cy="168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34</xdr:row>
      <xdr:rowOff>76200</xdr:rowOff>
    </xdr:from>
    <xdr:to>
      <xdr:col>21</xdr:col>
      <xdr:colOff>609600</xdr:colOff>
      <xdr:row>37</xdr:row>
      <xdr:rowOff>171450</xdr:rowOff>
    </xdr:to>
    <xdr:sp macro="" textlink="">
      <xdr:nvSpPr>
        <xdr:cNvPr id="374914" name="Text Box 130" hidden="1">
          <a:extLst>
            <a:ext uri="{FF2B5EF4-FFF2-40B4-BE49-F238E27FC236}">
              <a16:creationId xmlns:a16="http://schemas.microsoft.com/office/drawing/2014/main" id="{FA260A94-443E-B1F4-004D-986D34C65598}"/>
            </a:ext>
          </a:extLst>
        </xdr:cNvPr>
        <xdr:cNvSpPr txBox="1">
          <a:spLocks noChangeArrowheads="1"/>
        </xdr:cNvSpPr>
      </xdr:nvSpPr>
      <xdr:spPr bwMode="auto">
        <a:xfrm>
          <a:off x="21875750" y="7004050"/>
          <a:ext cx="132715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34</xdr:row>
      <xdr:rowOff>76200</xdr:rowOff>
    </xdr:from>
    <xdr:to>
      <xdr:col>18</xdr:col>
      <xdr:colOff>361950</xdr:colOff>
      <xdr:row>37</xdr:row>
      <xdr:rowOff>171450</xdr:rowOff>
    </xdr:to>
    <xdr:sp macro="" textlink="">
      <xdr:nvSpPr>
        <xdr:cNvPr id="374913" name="Text Box 129" hidden="1">
          <a:extLst>
            <a:ext uri="{FF2B5EF4-FFF2-40B4-BE49-F238E27FC236}">
              <a16:creationId xmlns:a16="http://schemas.microsoft.com/office/drawing/2014/main" id="{9BC31091-3980-BD5B-1994-B44A8C8C0351}"/>
            </a:ext>
          </a:extLst>
        </xdr:cNvPr>
        <xdr:cNvSpPr txBox="1">
          <a:spLocks noChangeArrowheads="1"/>
        </xdr:cNvSpPr>
      </xdr:nvSpPr>
      <xdr:spPr bwMode="auto">
        <a:xfrm>
          <a:off x="188531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34</xdr:row>
      <xdr:rowOff>76200</xdr:rowOff>
    </xdr:from>
    <xdr:to>
      <xdr:col>20</xdr:col>
      <xdr:colOff>19050</xdr:colOff>
      <xdr:row>37</xdr:row>
      <xdr:rowOff>171450</xdr:rowOff>
    </xdr:to>
    <xdr:sp macro="" textlink="">
      <xdr:nvSpPr>
        <xdr:cNvPr id="374912" name="Text Box 128" hidden="1">
          <a:extLst>
            <a:ext uri="{FF2B5EF4-FFF2-40B4-BE49-F238E27FC236}">
              <a16:creationId xmlns:a16="http://schemas.microsoft.com/office/drawing/2014/main" id="{7252387C-3FEB-7B88-89C9-6FF40315CDDB}"/>
            </a:ext>
          </a:extLst>
        </xdr:cNvPr>
        <xdr:cNvSpPr txBox="1">
          <a:spLocks noChangeArrowheads="1"/>
        </xdr:cNvSpPr>
      </xdr:nvSpPr>
      <xdr:spPr bwMode="auto">
        <a:xfrm>
          <a:off x="20364450" y="7004050"/>
          <a:ext cx="1320800" cy="838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37</xdr:row>
      <xdr:rowOff>38100</xdr:rowOff>
    </xdr:from>
    <xdr:to>
      <xdr:col>18</xdr:col>
      <xdr:colOff>361950</xdr:colOff>
      <xdr:row>38</xdr:row>
      <xdr:rowOff>95250</xdr:rowOff>
    </xdr:to>
    <xdr:sp macro="" textlink="">
      <xdr:nvSpPr>
        <xdr:cNvPr id="374911" name="Text Box 127" hidden="1">
          <a:extLst>
            <a:ext uri="{FF2B5EF4-FFF2-40B4-BE49-F238E27FC236}">
              <a16:creationId xmlns:a16="http://schemas.microsoft.com/office/drawing/2014/main" id="{4F8E13B4-9921-5B4F-A040-4FAE479CCB4A}"/>
            </a:ext>
          </a:extLst>
        </xdr:cNvPr>
        <xdr:cNvSpPr txBox="1">
          <a:spLocks noChangeArrowheads="1"/>
        </xdr:cNvSpPr>
      </xdr:nvSpPr>
      <xdr:spPr bwMode="auto">
        <a:xfrm>
          <a:off x="18853150" y="7708900"/>
          <a:ext cx="1320800" cy="323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42</xdr:row>
      <xdr:rowOff>0</xdr:rowOff>
    </xdr:from>
    <xdr:to>
      <xdr:col>3</xdr:col>
      <xdr:colOff>666750</xdr:colOff>
      <xdr:row>45</xdr:row>
      <xdr:rowOff>114300</xdr:rowOff>
    </xdr:to>
    <xdr:sp macro="" textlink="">
      <xdr:nvSpPr>
        <xdr:cNvPr id="374910" name="Text Box 126" hidden="1">
          <a:extLst>
            <a:ext uri="{FF2B5EF4-FFF2-40B4-BE49-F238E27FC236}">
              <a16:creationId xmlns:a16="http://schemas.microsoft.com/office/drawing/2014/main" id="{102E055F-7D9C-26BD-90F3-8C4FD8398CCE}"/>
            </a:ext>
          </a:extLst>
        </xdr:cNvPr>
        <xdr:cNvSpPr txBox="1">
          <a:spLocks noChangeArrowheads="1"/>
        </xdr:cNvSpPr>
      </xdr:nvSpPr>
      <xdr:spPr bwMode="auto">
        <a:xfrm>
          <a:off x="5829300" y="9855200"/>
          <a:ext cx="1333500" cy="87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38100</xdr:rowOff>
    </xdr:from>
    <xdr:to>
      <xdr:col>3</xdr:col>
      <xdr:colOff>666750</xdr:colOff>
      <xdr:row>70</xdr:row>
      <xdr:rowOff>114300</xdr:rowOff>
    </xdr:to>
    <xdr:sp macro="" textlink="">
      <xdr:nvSpPr>
        <xdr:cNvPr id="374909" name="Text Box 125" hidden="1">
          <a:extLst>
            <a:ext uri="{FF2B5EF4-FFF2-40B4-BE49-F238E27FC236}">
              <a16:creationId xmlns:a16="http://schemas.microsoft.com/office/drawing/2014/main" id="{3E1C61F4-8B56-525B-47ED-5384AFBC96D8}"/>
            </a:ext>
          </a:extLst>
        </xdr:cNvPr>
        <xdr:cNvSpPr txBox="1">
          <a:spLocks noChangeArrowheads="1"/>
        </xdr:cNvSpPr>
      </xdr:nvSpPr>
      <xdr:spPr bwMode="auto">
        <a:xfrm>
          <a:off x="5829300" y="14693900"/>
          <a:ext cx="1333500" cy="996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81</xdr:row>
      <xdr:rowOff>152400</xdr:rowOff>
    </xdr:from>
    <xdr:to>
      <xdr:col>21</xdr:col>
      <xdr:colOff>609600</xdr:colOff>
      <xdr:row>89</xdr:row>
      <xdr:rowOff>342900</xdr:rowOff>
    </xdr:to>
    <xdr:sp macro="" textlink="">
      <xdr:nvSpPr>
        <xdr:cNvPr id="374908" name="Text Box 124" hidden="1">
          <a:extLst>
            <a:ext uri="{FF2B5EF4-FFF2-40B4-BE49-F238E27FC236}">
              <a16:creationId xmlns:a16="http://schemas.microsoft.com/office/drawing/2014/main" id="{01FC1866-F113-FF12-4823-666EF0231F51}"/>
            </a:ext>
          </a:extLst>
        </xdr:cNvPr>
        <xdr:cNvSpPr txBox="1">
          <a:spLocks noChangeArrowheads="1"/>
        </xdr:cNvSpPr>
      </xdr:nvSpPr>
      <xdr:spPr bwMode="auto">
        <a:xfrm>
          <a:off x="21875750" y="18148300"/>
          <a:ext cx="1327150" cy="2216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571500</xdr:colOff>
      <xdr:row>100</xdr:row>
      <xdr:rowOff>114300</xdr:rowOff>
    </xdr:from>
    <xdr:to>
      <xdr:col>11</xdr:col>
      <xdr:colOff>57150</xdr:colOff>
      <xdr:row>102</xdr:row>
      <xdr:rowOff>266700</xdr:rowOff>
    </xdr:to>
    <xdr:sp macro="" textlink="">
      <xdr:nvSpPr>
        <xdr:cNvPr id="374907" name="Text Box 123" hidden="1">
          <a:extLst>
            <a:ext uri="{FF2B5EF4-FFF2-40B4-BE49-F238E27FC236}">
              <a16:creationId xmlns:a16="http://schemas.microsoft.com/office/drawing/2014/main" id="{81AE6A70-3ED4-D4AD-5987-4518A22EC21D}"/>
            </a:ext>
          </a:extLst>
        </xdr:cNvPr>
        <xdr:cNvSpPr txBox="1">
          <a:spLocks noChangeArrowheads="1"/>
        </xdr:cNvSpPr>
      </xdr:nvSpPr>
      <xdr:spPr bwMode="auto">
        <a:xfrm>
          <a:off x="1203960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57150</xdr:colOff>
      <xdr:row>100</xdr:row>
      <xdr:rowOff>114300</xdr:rowOff>
    </xdr:from>
    <xdr:to>
      <xdr:col>13</xdr:col>
      <xdr:colOff>457200</xdr:colOff>
      <xdr:row>102</xdr:row>
      <xdr:rowOff>266700</xdr:rowOff>
    </xdr:to>
    <xdr:sp macro="" textlink="">
      <xdr:nvSpPr>
        <xdr:cNvPr id="374906" name="Text Box 122" hidden="1">
          <a:extLst>
            <a:ext uri="{FF2B5EF4-FFF2-40B4-BE49-F238E27FC236}">
              <a16:creationId xmlns:a16="http://schemas.microsoft.com/office/drawing/2014/main" id="{1875F95E-BEEA-12C7-76F9-E6B13F5B4B1C}"/>
            </a:ext>
          </a:extLst>
        </xdr:cNvPr>
        <xdr:cNvSpPr txBox="1">
          <a:spLocks noChangeArrowheads="1"/>
        </xdr:cNvSpPr>
      </xdr:nvSpPr>
      <xdr:spPr bwMode="auto">
        <a:xfrm>
          <a:off x="143065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100</xdr:row>
      <xdr:rowOff>114300</xdr:rowOff>
    </xdr:from>
    <xdr:to>
      <xdr:col>20</xdr:col>
      <xdr:colOff>19050</xdr:colOff>
      <xdr:row>102</xdr:row>
      <xdr:rowOff>266700</xdr:rowOff>
    </xdr:to>
    <xdr:sp macro="" textlink="">
      <xdr:nvSpPr>
        <xdr:cNvPr id="374905" name="Text Box 121" hidden="1">
          <a:extLst>
            <a:ext uri="{FF2B5EF4-FFF2-40B4-BE49-F238E27FC236}">
              <a16:creationId xmlns:a16="http://schemas.microsoft.com/office/drawing/2014/main" id="{F65D3EA8-8AAA-8BAD-170C-8276218E978A}"/>
            </a:ext>
          </a:extLst>
        </xdr:cNvPr>
        <xdr:cNvSpPr txBox="1">
          <a:spLocks noChangeArrowheads="1"/>
        </xdr:cNvSpPr>
      </xdr:nvSpPr>
      <xdr:spPr bwMode="auto">
        <a:xfrm>
          <a:off x="20364450" y="23444200"/>
          <a:ext cx="132080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100</xdr:row>
      <xdr:rowOff>114300</xdr:rowOff>
    </xdr:from>
    <xdr:to>
      <xdr:col>23</xdr:col>
      <xdr:colOff>266700</xdr:colOff>
      <xdr:row>102</xdr:row>
      <xdr:rowOff>266700</xdr:rowOff>
    </xdr:to>
    <xdr:sp macro="" textlink="">
      <xdr:nvSpPr>
        <xdr:cNvPr id="374904" name="Text Box 120" hidden="1">
          <a:extLst>
            <a:ext uri="{FF2B5EF4-FFF2-40B4-BE49-F238E27FC236}">
              <a16:creationId xmlns:a16="http://schemas.microsoft.com/office/drawing/2014/main" id="{A2E5B693-0632-710B-49A8-5DC8504EB2C6}"/>
            </a:ext>
          </a:extLst>
        </xdr:cNvPr>
        <xdr:cNvSpPr txBox="1">
          <a:spLocks noChangeArrowheads="1"/>
        </xdr:cNvSpPr>
      </xdr:nvSpPr>
      <xdr:spPr bwMode="auto">
        <a:xfrm>
          <a:off x="23374350" y="23444200"/>
          <a:ext cx="13398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100</xdr:row>
      <xdr:rowOff>114300</xdr:rowOff>
    </xdr:from>
    <xdr:to>
      <xdr:col>26</xdr:col>
      <xdr:colOff>495300</xdr:colOff>
      <xdr:row>102</xdr:row>
      <xdr:rowOff>266700</xdr:rowOff>
    </xdr:to>
    <xdr:sp macro="" textlink="">
      <xdr:nvSpPr>
        <xdr:cNvPr id="374903" name="Text Box 119" hidden="1">
          <a:extLst>
            <a:ext uri="{FF2B5EF4-FFF2-40B4-BE49-F238E27FC236}">
              <a16:creationId xmlns:a16="http://schemas.microsoft.com/office/drawing/2014/main" id="{163F81B9-D678-685F-196A-9447D479B117}"/>
            </a:ext>
          </a:extLst>
        </xdr:cNvPr>
        <xdr:cNvSpPr txBox="1">
          <a:spLocks noChangeArrowheads="1"/>
        </xdr:cNvSpPr>
      </xdr:nvSpPr>
      <xdr:spPr bwMode="auto">
        <a:xfrm>
          <a:off x="26396950" y="23444200"/>
          <a:ext cx="1327150" cy="673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110</xdr:row>
      <xdr:rowOff>19050</xdr:rowOff>
    </xdr:from>
    <xdr:to>
      <xdr:col>20</xdr:col>
      <xdr:colOff>19050</xdr:colOff>
      <xdr:row>125</xdr:row>
      <xdr:rowOff>38100</xdr:rowOff>
    </xdr:to>
    <xdr:sp macro="" textlink="">
      <xdr:nvSpPr>
        <xdr:cNvPr id="374902" name="Text Box 118" hidden="1">
          <a:extLst>
            <a:ext uri="{FF2B5EF4-FFF2-40B4-BE49-F238E27FC236}">
              <a16:creationId xmlns:a16="http://schemas.microsoft.com/office/drawing/2014/main" id="{F0BDF787-76F2-AD6B-89EF-AE16B0CA3356}"/>
            </a:ext>
          </a:extLst>
        </xdr:cNvPr>
        <xdr:cNvSpPr txBox="1">
          <a:spLocks noChangeArrowheads="1"/>
        </xdr:cNvSpPr>
      </xdr:nvSpPr>
      <xdr:spPr bwMode="auto">
        <a:xfrm>
          <a:off x="20364450" y="26777950"/>
          <a:ext cx="132080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781050</xdr:colOff>
      <xdr:row>110</xdr:row>
      <xdr:rowOff>19050</xdr:rowOff>
    </xdr:from>
    <xdr:to>
      <xdr:col>23</xdr:col>
      <xdr:colOff>266700</xdr:colOff>
      <xdr:row>125</xdr:row>
      <xdr:rowOff>38100</xdr:rowOff>
    </xdr:to>
    <xdr:sp macro="" textlink="">
      <xdr:nvSpPr>
        <xdr:cNvPr id="374901" name="Text Box 117" hidden="1">
          <a:extLst>
            <a:ext uri="{FF2B5EF4-FFF2-40B4-BE49-F238E27FC236}">
              <a16:creationId xmlns:a16="http://schemas.microsoft.com/office/drawing/2014/main" id="{1F0A853F-BD49-C482-A3A3-DD74860C7731}"/>
            </a:ext>
          </a:extLst>
        </xdr:cNvPr>
        <xdr:cNvSpPr txBox="1">
          <a:spLocks noChangeArrowheads="1"/>
        </xdr:cNvSpPr>
      </xdr:nvSpPr>
      <xdr:spPr bwMode="auto">
        <a:xfrm>
          <a:off x="23374350" y="26777950"/>
          <a:ext cx="13398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25</xdr:col>
      <xdr:colOff>95250</xdr:colOff>
      <xdr:row>110</xdr:row>
      <xdr:rowOff>19050</xdr:rowOff>
    </xdr:from>
    <xdr:to>
      <xdr:col>26</xdr:col>
      <xdr:colOff>495300</xdr:colOff>
      <xdr:row>125</xdr:row>
      <xdr:rowOff>38100</xdr:rowOff>
    </xdr:to>
    <xdr:sp macro="" textlink="">
      <xdr:nvSpPr>
        <xdr:cNvPr id="374900" name="Text Box 116" hidden="1">
          <a:extLst>
            <a:ext uri="{FF2B5EF4-FFF2-40B4-BE49-F238E27FC236}">
              <a16:creationId xmlns:a16="http://schemas.microsoft.com/office/drawing/2014/main" id="{54E639DF-D850-CC7C-E2F0-3B784D471806}"/>
            </a:ext>
          </a:extLst>
        </xdr:cNvPr>
        <xdr:cNvSpPr txBox="1">
          <a:spLocks noChangeArrowheads="1"/>
        </xdr:cNvSpPr>
      </xdr:nvSpPr>
      <xdr:spPr bwMode="auto">
        <a:xfrm>
          <a:off x="26396950" y="26777950"/>
          <a:ext cx="1327150" cy="359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127</xdr:row>
      <xdr:rowOff>152400</xdr:rowOff>
    </xdr:from>
    <xdr:to>
      <xdr:col>3</xdr:col>
      <xdr:colOff>666750</xdr:colOff>
      <xdr:row>127</xdr:row>
      <xdr:rowOff>152400</xdr:rowOff>
    </xdr:to>
    <xdr:sp macro="" textlink="">
      <xdr:nvSpPr>
        <xdr:cNvPr id="374899" name="Text Box 115" hidden="1">
          <a:extLst>
            <a:ext uri="{FF2B5EF4-FFF2-40B4-BE49-F238E27FC236}">
              <a16:creationId xmlns:a16="http://schemas.microsoft.com/office/drawing/2014/main" id="{602C2BAF-031C-B283-5B24-8EB103D4BC73}"/>
            </a:ext>
          </a:extLst>
        </xdr:cNvPr>
        <xdr:cNvSpPr txBox="1">
          <a:spLocks noChangeArrowheads="1"/>
        </xdr:cNvSpPr>
      </xdr:nvSpPr>
      <xdr:spPr bwMode="auto">
        <a:xfrm>
          <a:off x="5829300" y="31851600"/>
          <a:ext cx="13335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381000</xdr:colOff>
      <xdr:row>23</xdr:row>
      <xdr:rowOff>95250</xdr:rowOff>
    </xdr:from>
    <xdr:to>
      <xdr:col>20</xdr:col>
      <xdr:colOff>781050</xdr:colOff>
      <xdr:row>26</xdr:row>
      <xdr:rowOff>114300</xdr:rowOff>
    </xdr:to>
    <xdr:sp macro="" textlink="">
      <xdr:nvSpPr>
        <xdr:cNvPr id="374898" name="Text Box 114" hidden="1">
          <a:extLst>
            <a:ext uri="{FF2B5EF4-FFF2-40B4-BE49-F238E27FC236}">
              <a16:creationId xmlns:a16="http://schemas.microsoft.com/office/drawing/2014/main" id="{55191122-C950-CE5C-CC2D-50879D9DA1FC}"/>
            </a:ext>
          </a:extLst>
        </xdr:cNvPr>
        <xdr:cNvSpPr txBox="1">
          <a:spLocks noChangeArrowheads="1"/>
        </xdr:cNvSpPr>
      </xdr:nvSpPr>
      <xdr:spPr bwMode="auto">
        <a:xfrm>
          <a:off x="21120100" y="3911600"/>
          <a:ext cx="1327150" cy="914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895350</xdr:colOff>
      <xdr:row>11</xdr:row>
      <xdr:rowOff>133350</xdr:rowOff>
    </xdr:from>
    <xdr:to>
      <xdr:col>18</xdr:col>
      <xdr:colOff>361950</xdr:colOff>
      <xdr:row>15</xdr:row>
      <xdr:rowOff>133350</xdr:rowOff>
    </xdr:to>
    <xdr:sp macro="" textlink="">
      <xdr:nvSpPr>
        <xdr:cNvPr id="374897" name="Text Box 113" hidden="1">
          <a:extLst>
            <a:ext uri="{FF2B5EF4-FFF2-40B4-BE49-F238E27FC236}">
              <a16:creationId xmlns:a16="http://schemas.microsoft.com/office/drawing/2014/main" id="{CF1BA278-C5FA-D1A2-7D97-301275074399}"/>
            </a:ext>
          </a:extLst>
        </xdr:cNvPr>
        <xdr:cNvSpPr txBox="1">
          <a:spLocks noChangeArrowheads="1"/>
        </xdr:cNvSpPr>
      </xdr:nvSpPr>
      <xdr:spPr bwMode="auto">
        <a:xfrm>
          <a:off x="188531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552450</xdr:colOff>
      <xdr:row>11</xdr:row>
      <xdr:rowOff>133350</xdr:rowOff>
    </xdr:from>
    <xdr:to>
      <xdr:col>20</xdr:col>
      <xdr:colOff>19050</xdr:colOff>
      <xdr:row>15</xdr:row>
      <xdr:rowOff>133350</xdr:rowOff>
    </xdr:to>
    <xdr:sp macro="" textlink="">
      <xdr:nvSpPr>
        <xdr:cNvPr id="374896" name="Text Box 112" hidden="1">
          <a:extLst>
            <a:ext uri="{FF2B5EF4-FFF2-40B4-BE49-F238E27FC236}">
              <a16:creationId xmlns:a16="http://schemas.microsoft.com/office/drawing/2014/main" id="{2A24F6E1-97FE-40BF-96A0-2EEE1DB94D6F}"/>
            </a:ext>
          </a:extLst>
        </xdr:cNvPr>
        <xdr:cNvSpPr txBox="1">
          <a:spLocks noChangeArrowheads="1"/>
        </xdr:cNvSpPr>
      </xdr:nvSpPr>
      <xdr:spPr bwMode="auto">
        <a:xfrm>
          <a:off x="20364450" y="128905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209550</xdr:colOff>
      <xdr:row>22</xdr:row>
      <xdr:rowOff>209550</xdr:rowOff>
    </xdr:from>
    <xdr:to>
      <xdr:col>21</xdr:col>
      <xdr:colOff>609600</xdr:colOff>
      <xdr:row>25</xdr:row>
      <xdr:rowOff>38100</xdr:rowOff>
    </xdr:to>
    <xdr:sp macro="" textlink="">
      <xdr:nvSpPr>
        <xdr:cNvPr id="374895" name="Text Box 111" hidden="1">
          <a:extLst>
            <a:ext uri="{FF2B5EF4-FFF2-40B4-BE49-F238E27FC236}">
              <a16:creationId xmlns:a16="http://schemas.microsoft.com/office/drawing/2014/main" id="{57DDF94C-20EF-A458-1395-D495F26E51ED}"/>
            </a:ext>
          </a:extLst>
        </xdr:cNvPr>
        <xdr:cNvSpPr txBox="1">
          <a:spLocks noChangeArrowheads="1"/>
        </xdr:cNvSpPr>
      </xdr:nvSpPr>
      <xdr:spPr bwMode="auto">
        <a:xfrm>
          <a:off x="21875750" y="3746500"/>
          <a:ext cx="13271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3</xdr:col>
      <xdr:colOff>2781300</xdr:colOff>
      <xdr:row>74</xdr:row>
      <xdr:rowOff>124269</xdr:rowOff>
    </xdr:from>
    <xdr:to>
      <xdr:col>5</xdr:col>
      <xdr:colOff>190500</xdr:colOff>
      <xdr:row>81</xdr:row>
      <xdr:rowOff>646</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10406</xdr:rowOff>
    </xdr:from>
    <xdr:to>
      <xdr:col>5</xdr:col>
      <xdr:colOff>190500</xdr:colOff>
      <xdr:row>82</xdr:row>
      <xdr:rowOff>16369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48292</xdr:rowOff>
    </xdr:from>
    <xdr:to>
      <xdr:col>5</xdr:col>
      <xdr:colOff>190500</xdr:colOff>
      <xdr:row>82</xdr:row>
      <xdr:rowOff>163627</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116747</xdr:rowOff>
    </xdr:from>
    <xdr:to>
      <xdr:col>5</xdr:col>
      <xdr:colOff>190500</xdr:colOff>
      <xdr:row>84</xdr:row>
      <xdr:rowOff>88676</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103</xdr:row>
      <xdr:rowOff>151799</xdr:rowOff>
    </xdr:from>
    <xdr:to>
      <xdr:col>5</xdr:col>
      <xdr:colOff>190500</xdr:colOff>
      <xdr:row>130</xdr:row>
      <xdr:rowOff>160433</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60321</xdr:rowOff>
    </xdr:from>
    <xdr:to>
      <xdr:col>5</xdr:col>
      <xdr:colOff>190500</xdr:colOff>
      <xdr:row>115</xdr:row>
      <xdr:rowOff>38456</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69411</xdr:rowOff>
    </xdr:from>
    <xdr:to>
      <xdr:col>5</xdr:col>
      <xdr:colOff>190500</xdr:colOff>
      <xdr:row>74</xdr:row>
      <xdr:rowOff>135971</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69411</xdr:rowOff>
    </xdr:from>
    <xdr:to>
      <xdr:col>5</xdr:col>
      <xdr:colOff>190500</xdr:colOff>
      <xdr:row>69</xdr:row>
      <xdr:rowOff>44780</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69411</xdr:rowOff>
    </xdr:from>
    <xdr:to>
      <xdr:col>5</xdr:col>
      <xdr:colOff>190500</xdr:colOff>
      <xdr:row>63</xdr:row>
      <xdr:rowOff>22158</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47940</xdr:rowOff>
    </xdr:from>
    <xdr:to>
      <xdr:col>5</xdr:col>
      <xdr:colOff>190500</xdr:colOff>
      <xdr:row>62</xdr:row>
      <xdr:rowOff>82575</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154677</xdr:rowOff>
    </xdr:from>
    <xdr:to>
      <xdr:col>5</xdr:col>
      <xdr:colOff>190500</xdr:colOff>
      <xdr:row>61</xdr:row>
      <xdr:rowOff>56512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104</xdr:row>
      <xdr:rowOff>102017</xdr:rowOff>
    </xdr:from>
    <xdr:to>
      <xdr:col>6</xdr:col>
      <xdr:colOff>38100</xdr:colOff>
      <xdr:row>112</xdr:row>
      <xdr:rowOff>144651</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697706</xdr:colOff>
      <xdr:row>7</xdr:row>
      <xdr:rowOff>106680</xdr:rowOff>
    </xdr:from>
    <xdr:to>
      <xdr:col>17</xdr:col>
      <xdr:colOff>448469</xdr:colOff>
      <xdr:row>12</xdr:row>
      <xdr:rowOff>25611</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11</xdr:row>
      <xdr:rowOff>164889</xdr:rowOff>
    </xdr:from>
    <xdr:to>
      <xdr:col>18</xdr:col>
      <xdr:colOff>506148</xdr:colOff>
      <xdr:row>15</xdr:row>
      <xdr:rowOff>159173</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141536</xdr:rowOff>
    </xdr:from>
    <xdr:to>
      <xdr:col>5</xdr:col>
      <xdr:colOff>190500</xdr:colOff>
      <xdr:row>61</xdr:row>
      <xdr:rowOff>67066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124709</xdr:rowOff>
    </xdr:from>
    <xdr:to>
      <xdr:col>5</xdr:col>
      <xdr:colOff>190500</xdr:colOff>
      <xdr:row>61</xdr:row>
      <xdr:rowOff>159546</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173256</xdr:rowOff>
    </xdr:from>
    <xdr:to>
      <xdr:col>5</xdr:col>
      <xdr:colOff>190500</xdr:colOff>
      <xdr:row>63</xdr:row>
      <xdr:rowOff>7100</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2537</xdr:rowOff>
    </xdr:from>
    <xdr:to>
      <xdr:col>5</xdr:col>
      <xdr:colOff>190500</xdr:colOff>
      <xdr:row>64</xdr:row>
      <xdr:rowOff>11550</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141295</xdr:rowOff>
    </xdr:from>
    <xdr:to>
      <xdr:col>5</xdr:col>
      <xdr:colOff>190500</xdr:colOff>
      <xdr:row>110</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141678</xdr:rowOff>
    </xdr:from>
    <xdr:to>
      <xdr:col>5</xdr:col>
      <xdr:colOff>190500</xdr:colOff>
      <xdr:row>96</xdr:row>
      <xdr:rowOff>2357</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7663</xdr:rowOff>
    </xdr:from>
    <xdr:to>
      <xdr:col>5</xdr:col>
      <xdr:colOff>190500</xdr:colOff>
      <xdr:row>55</xdr:row>
      <xdr:rowOff>187609</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27338</xdr:rowOff>
    </xdr:from>
    <xdr:to>
      <xdr:col>5</xdr:col>
      <xdr:colOff>190500</xdr:colOff>
      <xdr:row>53</xdr:row>
      <xdr:rowOff>114372</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27338</xdr:rowOff>
    </xdr:from>
    <xdr:to>
      <xdr:col>5</xdr:col>
      <xdr:colOff>190500</xdr:colOff>
      <xdr:row>48</xdr:row>
      <xdr:rowOff>7019</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65316</xdr:rowOff>
    </xdr:from>
    <xdr:to>
      <xdr:col>5</xdr:col>
      <xdr:colOff>190500</xdr:colOff>
      <xdr:row>47</xdr:row>
      <xdr:rowOff>29499</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28326</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57489</xdr:rowOff>
    </xdr:from>
    <xdr:to>
      <xdr:col>6</xdr:col>
      <xdr:colOff>38100</xdr:colOff>
      <xdr:row>94</xdr:row>
      <xdr:rowOff>124058</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697706</xdr:colOff>
      <xdr:row>7</xdr:row>
      <xdr:rowOff>106680</xdr:rowOff>
    </xdr:from>
    <xdr:to>
      <xdr:col>17</xdr:col>
      <xdr:colOff>448469</xdr:colOff>
      <xdr:row>12</xdr:row>
      <xdr:rowOff>25611</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11</xdr:row>
      <xdr:rowOff>126789</xdr:rowOff>
    </xdr:from>
    <xdr:to>
      <xdr:col>18</xdr:col>
      <xdr:colOff>468048</xdr:colOff>
      <xdr:row>15</xdr:row>
      <xdr:rowOff>159173</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78</xdr:row>
      <xdr:rowOff>25514</xdr:rowOff>
    </xdr:from>
    <xdr:to>
      <xdr:col>5</xdr:col>
      <xdr:colOff>190500</xdr:colOff>
      <xdr:row>83</xdr:row>
      <xdr:rowOff>169578</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79</xdr:row>
      <xdr:rowOff>31545</xdr:rowOff>
    </xdr:from>
    <xdr:to>
      <xdr:col>5</xdr:col>
      <xdr:colOff>190500</xdr:colOff>
      <xdr:row>84</xdr:row>
      <xdr:rowOff>141445</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28057</xdr:rowOff>
    </xdr:from>
    <xdr:to>
      <xdr:col>5</xdr:col>
      <xdr:colOff>190500</xdr:colOff>
      <xdr:row>85</xdr:row>
      <xdr:rowOff>105854</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144964</xdr:rowOff>
    </xdr:from>
    <xdr:to>
      <xdr:col>5</xdr:col>
      <xdr:colOff>190500</xdr:colOff>
      <xdr:row>86</xdr:row>
      <xdr:rowOff>66923</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106</xdr:row>
      <xdr:rowOff>142045</xdr:rowOff>
    </xdr:from>
    <xdr:to>
      <xdr:col>5</xdr:col>
      <xdr:colOff>190500</xdr:colOff>
      <xdr:row>122</xdr:row>
      <xdr:rowOff>54967</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105410</xdr:rowOff>
    </xdr:from>
    <xdr:to>
      <xdr:col>5</xdr:col>
      <xdr:colOff>190500</xdr:colOff>
      <xdr:row>80</xdr:row>
      <xdr:rowOff>120676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48862</xdr:rowOff>
    </xdr:from>
    <xdr:to>
      <xdr:col>5</xdr:col>
      <xdr:colOff>190500</xdr:colOff>
      <xdr:row>74</xdr:row>
      <xdr:rowOff>105823</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107015</xdr:rowOff>
    </xdr:from>
    <xdr:to>
      <xdr:col>5</xdr:col>
      <xdr:colOff>190500</xdr:colOff>
      <xdr:row>68</xdr:row>
      <xdr:rowOff>44892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107205</xdr:rowOff>
    </xdr:from>
    <xdr:to>
      <xdr:col>5</xdr:col>
      <xdr:colOff>190500</xdr:colOff>
      <xdr:row>67</xdr:row>
      <xdr:rowOff>143459</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93172</xdr:rowOff>
    </xdr:from>
    <xdr:to>
      <xdr:col>5</xdr:col>
      <xdr:colOff>190500</xdr:colOff>
      <xdr:row>66</xdr:row>
      <xdr:rowOff>93172</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142045</xdr:rowOff>
    </xdr:from>
    <xdr:to>
      <xdr:col>6</xdr:col>
      <xdr:colOff>38100</xdr:colOff>
      <xdr:row>120</xdr:row>
      <xdr:rowOff>85233</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735806</xdr:colOff>
      <xdr:row>27</xdr:row>
      <xdr:rowOff>104234</xdr:rowOff>
    </xdr:from>
    <xdr:to>
      <xdr:col>17</xdr:col>
      <xdr:colOff>562769</xdr:colOff>
      <xdr:row>31</xdr:row>
      <xdr:rowOff>142333</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711994</xdr:colOff>
      <xdr:row>31</xdr:row>
      <xdr:rowOff>104233</xdr:rowOff>
    </xdr:from>
    <xdr:to>
      <xdr:col>18</xdr:col>
      <xdr:colOff>582348</xdr:colOff>
      <xdr:row>35</xdr:row>
      <xdr:rowOff>142332</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116364</xdr:rowOff>
    </xdr:from>
    <xdr:to>
      <xdr:col>5</xdr:col>
      <xdr:colOff>190500</xdr:colOff>
      <xdr:row>58</xdr:row>
      <xdr:rowOff>190032</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332832</xdr:rowOff>
    </xdr:from>
    <xdr:to>
      <xdr:col>5</xdr:col>
      <xdr:colOff>190500</xdr:colOff>
      <xdr:row>59</xdr:row>
      <xdr:rowOff>153861</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187427</xdr:rowOff>
    </xdr:from>
    <xdr:to>
      <xdr:col>5</xdr:col>
      <xdr:colOff>190500</xdr:colOff>
      <xdr:row>60</xdr:row>
      <xdr:rowOff>40839</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124588</xdr:rowOff>
    </xdr:from>
    <xdr:to>
      <xdr:col>5</xdr:col>
      <xdr:colOff>190500</xdr:colOff>
      <xdr:row>60</xdr:row>
      <xdr:rowOff>125248</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27141</xdr:rowOff>
    </xdr:from>
    <xdr:to>
      <xdr:col>5</xdr:col>
      <xdr:colOff>190500</xdr:colOff>
      <xdr:row>96</xdr:row>
      <xdr:rowOff>284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55</xdr:row>
      <xdr:rowOff>141354</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52</xdr:row>
      <xdr:rowOff>416947</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103528</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27141</xdr:rowOff>
    </xdr:from>
    <xdr:to>
      <xdr:col>6</xdr:col>
      <xdr:colOff>38100</xdr:colOff>
      <xdr:row>94</xdr:row>
      <xdr:rowOff>67889</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116364</xdr:rowOff>
    </xdr:from>
    <xdr:to>
      <xdr:col>5</xdr:col>
      <xdr:colOff>190500</xdr:colOff>
      <xdr:row>58</xdr:row>
      <xdr:rowOff>190032</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332832</xdr:rowOff>
    </xdr:from>
    <xdr:to>
      <xdr:col>5</xdr:col>
      <xdr:colOff>190500</xdr:colOff>
      <xdr:row>59</xdr:row>
      <xdr:rowOff>153861</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187427</xdr:rowOff>
    </xdr:from>
    <xdr:to>
      <xdr:col>5</xdr:col>
      <xdr:colOff>190500</xdr:colOff>
      <xdr:row>60</xdr:row>
      <xdr:rowOff>40839</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124588</xdr:rowOff>
    </xdr:from>
    <xdr:to>
      <xdr:col>5</xdr:col>
      <xdr:colOff>190500</xdr:colOff>
      <xdr:row>60</xdr:row>
      <xdr:rowOff>125248</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27141</xdr:rowOff>
    </xdr:from>
    <xdr:to>
      <xdr:col>5</xdr:col>
      <xdr:colOff>190500</xdr:colOff>
      <xdr:row>96</xdr:row>
      <xdr:rowOff>284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55</xdr:row>
      <xdr:rowOff>141354</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52</xdr:row>
      <xdr:rowOff>416947</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27141</xdr:rowOff>
    </xdr:from>
    <xdr:to>
      <xdr:col>6</xdr:col>
      <xdr:colOff>38100</xdr:colOff>
      <xdr:row>94</xdr:row>
      <xdr:rowOff>67889</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116364</xdr:rowOff>
    </xdr:from>
    <xdr:to>
      <xdr:col>5</xdr:col>
      <xdr:colOff>190500</xdr:colOff>
      <xdr:row>58</xdr:row>
      <xdr:rowOff>190032</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332832</xdr:rowOff>
    </xdr:from>
    <xdr:to>
      <xdr:col>5</xdr:col>
      <xdr:colOff>190500</xdr:colOff>
      <xdr:row>59</xdr:row>
      <xdr:rowOff>153861</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187427</xdr:rowOff>
    </xdr:from>
    <xdr:to>
      <xdr:col>5</xdr:col>
      <xdr:colOff>190500</xdr:colOff>
      <xdr:row>60</xdr:row>
      <xdr:rowOff>40839</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124588</xdr:rowOff>
    </xdr:from>
    <xdr:to>
      <xdr:col>5</xdr:col>
      <xdr:colOff>190500</xdr:colOff>
      <xdr:row>60</xdr:row>
      <xdr:rowOff>125248</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7297</xdr:rowOff>
    </xdr:from>
    <xdr:to>
      <xdr:col>5</xdr:col>
      <xdr:colOff>190500</xdr:colOff>
      <xdr:row>96</xdr:row>
      <xdr:rowOff>284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55</xdr:row>
      <xdr:rowOff>141354</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52</xdr:row>
      <xdr:rowOff>416947</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27141</xdr:rowOff>
    </xdr:from>
    <xdr:to>
      <xdr:col>6</xdr:col>
      <xdr:colOff>38100</xdr:colOff>
      <xdr:row>94</xdr:row>
      <xdr:rowOff>67889</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116364</xdr:rowOff>
    </xdr:from>
    <xdr:to>
      <xdr:col>5</xdr:col>
      <xdr:colOff>190500</xdr:colOff>
      <xdr:row>58</xdr:row>
      <xdr:rowOff>190032</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332832</xdr:rowOff>
    </xdr:from>
    <xdr:to>
      <xdr:col>5</xdr:col>
      <xdr:colOff>190500</xdr:colOff>
      <xdr:row>59</xdr:row>
      <xdr:rowOff>153861</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187427</xdr:rowOff>
    </xdr:from>
    <xdr:to>
      <xdr:col>5</xdr:col>
      <xdr:colOff>190500</xdr:colOff>
      <xdr:row>60</xdr:row>
      <xdr:rowOff>40839</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124588</xdr:rowOff>
    </xdr:from>
    <xdr:to>
      <xdr:col>5</xdr:col>
      <xdr:colOff>190500</xdr:colOff>
      <xdr:row>60</xdr:row>
      <xdr:rowOff>125248</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7297</xdr:rowOff>
    </xdr:from>
    <xdr:to>
      <xdr:col>5</xdr:col>
      <xdr:colOff>190500</xdr:colOff>
      <xdr:row>96</xdr:row>
      <xdr:rowOff>284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104657</xdr:rowOff>
    </xdr:from>
    <xdr:to>
      <xdr:col>5</xdr:col>
      <xdr:colOff>190500</xdr:colOff>
      <xdr:row>55</xdr:row>
      <xdr:rowOff>141354</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142543</xdr:rowOff>
    </xdr:from>
    <xdr:to>
      <xdr:col>5</xdr:col>
      <xdr:colOff>190500</xdr:colOff>
      <xdr:row>52</xdr:row>
      <xdr:rowOff>416947</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28031</xdr:rowOff>
    </xdr:from>
    <xdr:to>
      <xdr:col>5</xdr:col>
      <xdr:colOff>190500</xdr:colOff>
      <xdr:row>45</xdr:row>
      <xdr:rowOff>141228</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104021</xdr:rowOff>
    </xdr:from>
    <xdr:to>
      <xdr:col>5</xdr:col>
      <xdr:colOff>190500</xdr:colOff>
      <xdr:row>45</xdr:row>
      <xdr:rowOff>103128</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65428</xdr:rowOff>
    </xdr:from>
    <xdr:to>
      <xdr:col>5</xdr:col>
      <xdr:colOff>190500</xdr:colOff>
      <xdr:row>44</xdr:row>
      <xdr:rowOff>65428</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7297</xdr:rowOff>
    </xdr:from>
    <xdr:to>
      <xdr:col>6</xdr:col>
      <xdr:colOff>38100</xdr:colOff>
      <xdr:row>94</xdr:row>
      <xdr:rowOff>67889</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12169</xdr:rowOff>
    </xdr:from>
    <xdr:to>
      <xdr:col>5</xdr:col>
      <xdr:colOff>640715</xdr:colOff>
      <xdr:row>48</xdr:row>
      <xdr:rowOff>45512</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49</xdr:row>
      <xdr:rowOff>69619</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121666</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93561</xdr:rowOff>
    </xdr:from>
    <xdr:to>
      <xdr:col>5</xdr:col>
      <xdr:colOff>640715</xdr:colOff>
      <xdr:row>64</xdr:row>
      <xdr:rowOff>121096</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640715</xdr:colOff>
      <xdr:row>65</xdr:row>
      <xdr:rowOff>106781</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133843</xdr:rowOff>
    </xdr:from>
    <xdr:to>
      <xdr:col>5</xdr:col>
      <xdr:colOff>640715</xdr:colOff>
      <xdr:row>66</xdr:row>
      <xdr:rowOff>130847</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25907</xdr:rowOff>
    </xdr:from>
    <xdr:to>
      <xdr:col>5</xdr:col>
      <xdr:colOff>640715</xdr:colOff>
      <xdr:row>67</xdr:row>
      <xdr:rowOff>143153</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88554</xdr:rowOff>
    </xdr:from>
    <xdr:to>
      <xdr:col>5</xdr:col>
      <xdr:colOff>640715</xdr:colOff>
      <xdr:row>88</xdr:row>
      <xdr:rowOff>82666</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90</xdr:row>
      <xdr:rowOff>27826</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92</xdr:row>
      <xdr:rowOff>86969</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12169</xdr:rowOff>
    </xdr:from>
    <xdr:to>
      <xdr:col>5</xdr:col>
      <xdr:colOff>640715</xdr:colOff>
      <xdr:row>48</xdr:row>
      <xdr:rowOff>45512</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49</xdr:row>
      <xdr:rowOff>69619</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121666</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93561</xdr:rowOff>
    </xdr:from>
    <xdr:to>
      <xdr:col>5</xdr:col>
      <xdr:colOff>640715</xdr:colOff>
      <xdr:row>64</xdr:row>
      <xdr:rowOff>121096</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640715</xdr:colOff>
      <xdr:row>65</xdr:row>
      <xdr:rowOff>106781</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133843</xdr:rowOff>
    </xdr:from>
    <xdr:to>
      <xdr:col>5</xdr:col>
      <xdr:colOff>640715</xdr:colOff>
      <xdr:row>66</xdr:row>
      <xdr:rowOff>130847</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25907</xdr:rowOff>
    </xdr:from>
    <xdr:to>
      <xdr:col>5</xdr:col>
      <xdr:colOff>640715</xdr:colOff>
      <xdr:row>67</xdr:row>
      <xdr:rowOff>143153</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88554</xdr:rowOff>
    </xdr:from>
    <xdr:to>
      <xdr:col>5</xdr:col>
      <xdr:colOff>640715</xdr:colOff>
      <xdr:row>88</xdr:row>
      <xdr:rowOff>82666</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90</xdr:row>
      <xdr:rowOff>27826</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92</xdr:row>
      <xdr:rowOff>86969</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640715</xdr:colOff>
      <xdr:row>44</xdr:row>
      <xdr:rowOff>104374</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640715</xdr:colOff>
      <xdr:row>45</xdr:row>
      <xdr:rowOff>140170</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640715</xdr:colOff>
      <xdr:row>48</xdr:row>
      <xdr:rowOff>6716</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640715</xdr:colOff>
      <xdr:row>49</xdr:row>
      <xdr:rowOff>49510</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640715</xdr:colOff>
      <xdr:row>50</xdr:row>
      <xdr:rowOff>121666</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640715</xdr:colOff>
      <xdr:row>64</xdr:row>
      <xdr:rowOff>121096</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11366</xdr:rowOff>
    </xdr:from>
    <xdr:to>
      <xdr:col>5</xdr:col>
      <xdr:colOff>640715</xdr:colOff>
      <xdr:row>65</xdr:row>
      <xdr:rowOff>106781</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640715</xdr:colOff>
      <xdr:row>66</xdr:row>
      <xdr:rowOff>130847</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6857</xdr:rowOff>
    </xdr:from>
    <xdr:to>
      <xdr:col>5</xdr:col>
      <xdr:colOff>640715</xdr:colOff>
      <xdr:row>67</xdr:row>
      <xdr:rowOff>143153</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640715</xdr:colOff>
      <xdr:row>88</xdr:row>
      <xdr:rowOff>82666</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640715</xdr:colOff>
      <xdr:row>90</xdr:row>
      <xdr:rowOff>27826</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640715</xdr:colOff>
      <xdr:row>92</xdr:row>
      <xdr:rowOff>86969</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48</xdr:row>
      <xdr:rowOff>6716</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49</xdr:row>
      <xdr:rowOff>49510</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121666</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609600</xdr:colOff>
      <xdr:row>64</xdr:row>
      <xdr:rowOff>121096</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11366</xdr:rowOff>
    </xdr:from>
    <xdr:to>
      <xdr:col>5</xdr:col>
      <xdr:colOff>609600</xdr:colOff>
      <xdr:row>65</xdr:row>
      <xdr:rowOff>106781</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609600</xdr:colOff>
      <xdr:row>66</xdr:row>
      <xdr:rowOff>130847</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6857</xdr:rowOff>
    </xdr:from>
    <xdr:to>
      <xdr:col>5</xdr:col>
      <xdr:colOff>609600</xdr:colOff>
      <xdr:row>67</xdr:row>
      <xdr:rowOff>143153</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609600</xdr:colOff>
      <xdr:row>88</xdr:row>
      <xdr:rowOff>82666</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27826</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92</xdr:row>
      <xdr:rowOff>86969</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48</xdr:row>
      <xdr:rowOff>6716</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49</xdr:row>
      <xdr:rowOff>49510</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121666</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609600</xdr:colOff>
      <xdr:row>64</xdr:row>
      <xdr:rowOff>121096</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11366</xdr:rowOff>
    </xdr:from>
    <xdr:to>
      <xdr:col>5</xdr:col>
      <xdr:colOff>609600</xdr:colOff>
      <xdr:row>65</xdr:row>
      <xdr:rowOff>106781</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609600</xdr:colOff>
      <xdr:row>66</xdr:row>
      <xdr:rowOff>130847</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6857</xdr:rowOff>
    </xdr:from>
    <xdr:to>
      <xdr:col>5</xdr:col>
      <xdr:colOff>609600</xdr:colOff>
      <xdr:row>67</xdr:row>
      <xdr:rowOff>143153</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609600</xdr:colOff>
      <xdr:row>88</xdr:row>
      <xdr:rowOff>82666</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27826</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92</xdr:row>
      <xdr:rowOff>86969</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30951</xdr:rowOff>
    </xdr:from>
    <xdr:to>
      <xdr:col>6</xdr:col>
      <xdr:colOff>38100</xdr:colOff>
      <xdr:row>94</xdr:row>
      <xdr:rowOff>17870</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103810</xdr:rowOff>
    </xdr:from>
    <xdr:to>
      <xdr:col>5</xdr:col>
      <xdr:colOff>609600</xdr:colOff>
      <xdr:row>44</xdr:row>
      <xdr:rowOff>104374</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103809</xdr:rowOff>
    </xdr:from>
    <xdr:to>
      <xdr:col>5</xdr:col>
      <xdr:colOff>609600</xdr:colOff>
      <xdr:row>45</xdr:row>
      <xdr:rowOff>140170</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141274</xdr:rowOff>
    </xdr:from>
    <xdr:to>
      <xdr:col>5</xdr:col>
      <xdr:colOff>609600</xdr:colOff>
      <xdr:row>48</xdr:row>
      <xdr:rowOff>6716</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142474</xdr:rowOff>
    </xdr:from>
    <xdr:to>
      <xdr:col>5</xdr:col>
      <xdr:colOff>609600</xdr:colOff>
      <xdr:row>49</xdr:row>
      <xdr:rowOff>49510</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50</xdr:row>
      <xdr:rowOff>121666</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55461</xdr:rowOff>
    </xdr:from>
    <xdr:to>
      <xdr:col>5</xdr:col>
      <xdr:colOff>609600</xdr:colOff>
      <xdr:row>64</xdr:row>
      <xdr:rowOff>121096</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11366</xdr:rowOff>
    </xdr:from>
    <xdr:to>
      <xdr:col>5</xdr:col>
      <xdr:colOff>609600</xdr:colOff>
      <xdr:row>65</xdr:row>
      <xdr:rowOff>106781</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154163</xdr:rowOff>
    </xdr:from>
    <xdr:to>
      <xdr:col>5</xdr:col>
      <xdr:colOff>609600</xdr:colOff>
      <xdr:row>66</xdr:row>
      <xdr:rowOff>130847</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6857</xdr:rowOff>
    </xdr:from>
    <xdr:to>
      <xdr:col>5</xdr:col>
      <xdr:colOff>609600</xdr:colOff>
      <xdr:row>67</xdr:row>
      <xdr:rowOff>143153</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169578</xdr:rowOff>
    </xdr:from>
    <xdr:to>
      <xdr:col>5</xdr:col>
      <xdr:colOff>609600</xdr:colOff>
      <xdr:row>88</xdr:row>
      <xdr:rowOff>82666</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90</xdr:row>
      <xdr:rowOff>27826</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144216</xdr:rowOff>
    </xdr:from>
    <xdr:to>
      <xdr:col>5</xdr:col>
      <xdr:colOff>609600</xdr:colOff>
      <xdr:row>92</xdr:row>
      <xdr:rowOff>86969</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154968</xdr:rowOff>
    </xdr:from>
    <xdr:to>
      <xdr:col>6</xdr:col>
      <xdr:colOff>38100</xdr:colOff>
      <xdr:row>96</xdr:row>
      <xdr:rowOff>171565</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52</xdr:row>
      <xdr:rowOff>416100</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12406</xdr:rowOff>
    </xdr:from>
    <xdr:to>
      <xdr:col>5</xdr:col>
      <xdr:colOff>609600</xdr:colOff>
      <xdr:row>52</xdr:row>
      <xdr:rowOff>485156</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141465</xdr:rowOff>
    </xdr:from>
    <xdr:to>
      <xdr:col>5</xdr:col>
      <xdr:colOff>609600</xdr:colOff>
      <xdr:row>51</xdr:row>
      <xdr:rowOff>162723</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117267</xdr:rowOff>
    </xdr:from>
    <xdr:to>
      <xdr:col>5</xdr:col>
      <xdr:colOff>609600</xdr:colOff>
      <xdr:row>52</xdr:row>
      <xdr:rowOff>40255</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111529</xdr:rowOff>
    </xdr:from>
    <xdr:to>
      <xdr:col>5</xdr:col>
      <xdr:colOff>609600</xdr:colOff>
      <xdr:row>52</xdr:row>
      <xdr:rowOff>284304</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141207</xdr:rowOff>
    </xdr:from>
    <xdr:to>
      <xdr:col>5</xdr:col>
      <xdr:colOff>609600</xdr:colOff>
      <xdr:row>68</xdr:row>
      <xdr:rowOff>64365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158889</xdr:rowOff>
    </xdr:from>
    <xdr:to>
      <xdr:col>5</xdr:col>
      <xdr:colOff>609600</xdr:colOff>
      <xdr:row>68</xdr:row>
      <xdr:rowOff>250115</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49823</xdr:rowOff>
    </xdr:from>
    <xdr:to>
      <xdr:col>5</xdr:col>
      <xdr:colOff>609600</xdr:colOff>
      <xdr:row>68</xdr:row>
      <xdr:rowOff>372438</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49996</xdr:rowOff>
    </xdr:from>
    <xdr:to>
      <xdr:col>5</xdr:col>
      <xdr:colOff>609600</xdr:colOff>
      <xdr:row>70</xdr:row>
      <xdr:rowOff>9938</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104581</xdr:rowOff>
    </xdr:from>
    <xdr:to>
      <xdr:col>5</xdr:col>
      <xdr:colOff>609600</xdr:colOff>
      <xdr:row>92</xdr:row>
      <xdr:rowOff>102768</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102768</xdr:rowOff>
    </xdr:from>
    <xdr:to>
      <xdr:col>5</xdr:col>
      <xdr:colOff>609600</xdr:colOff>
      <xdr:row>98</xdr:row>
      <xdr:rowOff>141964</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102768</xdr:rowOff>
    </xdr:from>
    <xdr:to>
      <xdr:col>5</xdr:col>
      <xdr:colOff>609600</xdr:colOff>
      <xdr:row>97</xdr:row>
      <xdr:rowOff>104408</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161165</xdr:rowOff>
    </xdr:from>
    <xdr:to>
      <xdr:col>6</xdr:col>
      <xdr:colOff>69215</xdr:colOff>
      <xdr:row>121</xdr:row>
      <xdr:rowOff>66080</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66</xdr:row>
      <xdr:rowOff>92114</xdr:rowOff>
    </xdr:from>
    <xdr:to>
      <xdr:col>5</xdr:col>
      <xdr:colOff>609600</xdr:colOff>
      <xdr:row>80</xdr:row>
      <xdr:rowOff>7858</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64</xdr:row>
      <xdr:rowOff>47714</xdr:rowOff>
    </xdr:from>
    <xdr:to>
      <xdr:col>5</xdr:col>
      <xdr:colOff>640715</xdr:colOff>
      <xdr:row>77</xdr:row>
      <xdr:rowOff>152139</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68</xdr:row>
      <xdr:rowOff>153499</xdr:rowOff>
    </xdr:from>
    <xdr:to>
      <xdr:col>5</xdr:col>
      <xdr:colOff>609600</xdr:colOff>
      <xdr:row>71</xdr:row>
      <xdr:rowOff>27213</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70</xdr:row>
      <xdr:rowOff>10707</xdr:rowOff>
    </xdr:from>
    <xdr:to>
      <xdr:col>5</xdr:col>
      <xdr:colOff>609600</xdr:colOff>
      <xdr:row>71</xdr:row>
      <xdr:rowOff>153146</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16812</xdr:rowOff>
    </xdr:from>
    <xdr:to>
      <xdr:col>5</xdr:col>
      <xdr:colOff>609600</xdr:colOff>
      <xdr:row>72</xdr:row>
      <xdr:rowOff>107273</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87</xdr:row>
      <xdr:rowOff>88724</xdr:rowOff>
    </xdr:from>
    <xdr:to>
      <xdr:col>5</xdr:col>
      <xdr:colOff>609600</xdr:colOff>
      <xdr:row>92</xdr:row>
      <xdr:rowOff>94017</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103090</xdr:rowOff>
    </xdr:from>
    <xdr:to>
      <xdr:col>5</xdr:col>
      <xdr:colOff>609600</xdr:colOff>
      <xdr:row>93</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102350</xdr:rowOff>
    </xdr:from>
    <xdr:to>
      <xdr:col>5</xdr:col>
      <xdr:colOff>609600</xdr:colOff>
      <xdr:row>93</xdr:row>
      <xdr:rowOff>197831</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152910</xdr:rowOff>
    </xdr:from>
    <xdr:to>
      <xdr:col>5</xdr:col>
      <xdr:colOff>609600</xdr:colOff>
      <xdr:row>94</xdr:row>
      <xdr:rowOff>142532</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114</xdr:row>
      <xdr:rowOff>85925</xdr:rowOff>
    </xdr:from>
    <xdr:to>
      <xdr:col>5</xdr:col>
      <xdr:colOff>609600</xdr:colOff>
      <xdr:row>114</xdr:row>
      <xdr:rowOff>86009</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68464</xdr:rowOff>
    </xdr:from>
    <xdr:to>
      <xdr:col>5</xdr:col>
      <xdr:colOff>609600</xdr:colOff>
      <xdr:row>138</xdr:row>
      <xdr:rowOff>155413</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68464</xdr:rowOff>
    </xdr:from>
    <xdr:to>
      <xdr:col>5</xdr:col>
      <xdr:colOff>609600</xdr:colOff>
      <xdr:row>137</xdr:row>
      <xdr:rowOff>46615</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28641</xdr:rowOff>
    </xdr:from>
    <xdr:to>
      <xdr:col>6</xdr:col>
      <xdr:colOff>57150</xdr:colOff>
      <xdr:row>126</xdr:row>
      <xdr:rowOff>123580</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83649</xdr:rowOff>
    </xdr:from>
    <xdr:to>
      <xdr:col>5</xdr:col>
      <xdr:colOff>628650</xdr:colOff>
      <xdr:row>83</xdr:row>
      <xdr:rowOff>140367</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172549</xdr:rowOff>
    </xdr:from>
    <xdr:to>
      <xdr:col>5</xdr:col>
      <xdr:colOff>628650</xdr:colOff>
      <xdr:row>83</xdr:row>
      <xdr:rowOff>126632</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69</xdr:row>
      <xdr:rowOff>152860</xdr:rowOff>
    </xdr:from>
    <xdr:to>
      <xdr:col>5</xdr:col>
      <xdr:colOff>628650</xdr:colOff>
      <xdr:row>74</xdr:row>
      <xdr:rowOff>12372</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160796</xdr:rowOff>
    </xdr:from>
    <xdr:to>
      <xdr:col>5</xdr:col>
      <xdr:colOff>628650</xdr:colOff>
      <xdr:row>73</xdr:row>
      <xdr:rowOff>30189</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75</xdr:row>
      <xdr:rowOff>172832</xdr:rowOff>
    </xdr:from>
    <xdr:to>
      <xdr:col>5</xdr:col>
      <xdr:colOff>609600</xdr:colOff>
      <xdr:row>77</xdr:row>
      <xdr:rowOff>152986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92</xdr:row>
      <xdr:rowOff>202400</xdr:rowOff>
    </xdr:from>
    <xdr:to>
      <xdr:col>5</xdr:col>
      <xdr:colOff>609600</xdr:colOff>
      <xdr:row>96</xdr:row>
      <xdr:rowOff>21164</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93</xdr:row>
      <xdr:rowOff>126154</xdr:rowOff>
    </xdr:from>
    <xdr:to>
      <xdr:col>5</xdr:col>
      <xdr:colOff>609600</xdr:colOff>
      <xdr:row>97</xdr:row>
      <xdr:rowOff>29513</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86336</xdr:rowOff>
    </xdr:from>
    <xdr:to>
      <xdr:col>5</xdr:col>
      <xdr:colOff>609600</xdr:colOff>
      <xdr:row>98</xdr:row>
      <xdr:rowOff>11000</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10860</xdr:rowOff>
    </xdr:from>
    <xdr:to>
      <xdr:col>5</xdr:col>
      <xdr:colOff>609600</xdr:colOff>
      <xdr:row>98</xdr:row>
      <xdr:rowOff>165036</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119</xdr:row>
      <xdr:rowOff>149988</xdr:rowOff>
    </xdr:from>
    <xdr:to>
      <xdr:col>5</xdr:col>
      <xdr:colOff>609600</xdr:colOff>
      <xdr:row>119</xdr:row>
      <xdr:rowOff>155184</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73803</xdr:rowOff>
    </xdr:from>
    <xdr:to>
      <xdr:col>5</xdr:col>
      <xdr:colOff>609600</xdr:colOff>
      <xdr:row>184</xdr:row>
      <xdr:rowOff>2641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73803</xdr:rowOff>
    </xdr:from>
    <xdr:to>
      <xdr:col>5</xdr:col>
      <xdr:colOff>609600</xdr:colOff>
      <xdr:row>182</xdr:row>
      <xdr:rowOff>96441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85444</xdr:rowOff>
    </xdr:from>
    <xdr:to>
      <xdr:col>6</xdr:col>
      <xdr:colOff>57150</xdr:colOff>
      <xdr:row>103</xdr:row>
      <xdr:rowOff>68792</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20112</xdr:rowOff>
    </xdr:from>
    <xdr:to>
      <xdr:col>5</xdr:col>
      <xdr:colOff>628650</xdr:colOff>
      <xdr:row>59</xdr:row>
      <xdr:rowOff>44552</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96312</xdr:rowOff>
    </xdr:from>
    <xdr:to>
      <xdr:col>5</xdr:col>
      <xdr:colOff>628650</xdr:colOff>
      <xdr:row>59</xdr:row>
      <xdr:rowOff>41025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52</xdr:row>
      <xdr:rowOff>370662</xdr:rowOff>
    </xdr:from>
    <xdr:to>
      <xdr:col>5</xdr:col>
      <xdr:colOff>628650</xdr:colOff>
      <xdr:row>54</xdr:row>
      <xdr:rowOff>55519</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53</xdr:row>
      <xdr:rowOff>57657</xdr:rowOff>
    </xdr:from>
    <xdr:to>
      <xdr:col>5</xdr:col>
      <xdr:colOff>628650</xdr:colOff>
      <xdr:row>53</xdr:row>
      <xdr:rowOff>325314</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56222</xdr:rowOff>
    </xdr:from>
    <xdr:to>
      <xdr:col>5</xdr:col>
      <xdr:colOff>609600</xdr:colOff>
      <xdr:row>57</xdr:row>
      <xdr:rowOff>54159</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83635</xdr:rowOff>
    </xdr:from>
    <xdr:to>
      <xdr:col>5</xdr:col>
      <xdr:colOff>609600</xdr:colOff>
      <xdr:row>74</xdr:row>
      <xdr:rowOff>12139</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97924</xdr:rowOff>
    </xdr:from>
    <xdr:to>
      <xdr:col>5</xdr:col>
      <xdr:colOff>609600</xdr:colOff>
      <xdr:row>75</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69347</xdr:rowOff>
    </xdr:from>
    <xdr:to>
      <xdr:col>5</xdr:col>
      <xdr:colOff>609600</xdr:colOff>
      <xdr:row>76</xdr:row>
      <xdr:rowOff>10553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67762</xdr:rowOff>
    </xdr:from>
    <xdr:to>
      <xdr:col>5</xdr:col>
      <xdr:colOff>609600</xdr:colOff>
      <xdr:row>77</xdr:row>
      <xdr:rowOff>10553</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49679</xdr:rowOff>
    </xdr:from>
    <xdr:to>
      <xdr:col>5</xdr:col>
      <xdr:colOff>609600</xdr:colOff>
      <xdr:row>98</xdr:row>
      <xdr:rowOff>122431</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121</xdr:row>
      <xdr:rowOff>140190</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120</xdr:row>
      <xdr:rowOff>86896</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95</xdr:row>
      <xdr:rowOff>82930</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92337</xdr:rowOff>
    </xdr:from>
    <xdr:to>
      <xdr:col>5</xdr:col>
      <xdr:colOff>609600</xdr:colOff>
      <xdr:row>52</xdr:row>
      <xdr:rowOff>392958</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152332</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287814</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69559</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182433</xdr:rowOff>
    </xdr:from>
    <xdr:to>
      <xdr:col>5</xdr:col>
      <xdr:colOff>609600</xdr:colOff>
      <xdr:row>94</xdr:row>
      <xdr:rowOff>29937</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143803</xdr:rowOff>
    </xdr:from>
    <xdr:to>
      <xdr:col>5</xdr:col>
      <xdr:colOff>609600</xdr:colOff>
      <xdr:row>121</xdr:row>
      <xdr:rowOff>45800</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143803</xdr:rowOff>
    </xdr:from>
    <xdr:to>
      <xdr:col>5</xdr:col>
      <xdr:colOff>609600</xdr:colOff>
      <xdr:row>121</xdr:row>
      <xdr:rowOff>45800</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95</xdr:row>
      <xdr:rowOff>82930</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177988</xdr:rowOff>
    </xdr:from>
    <xdr:to>
      <xdr:col>5</xdr:col>
      <xdr:colOff>609600</xdr:colOff>
      <xdr:row>94</xdr:row>
      <xdr:rowOff>10411</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123483</xdr:rowOff>
    </xdr:from>
    <xdr:to>
      <xdr:col>5</xdr:col>
      <xdr:colOff>609600</xdr:colOff>
      <xdr:row>121</xdr:row>
      <xdr:rowOff>45800</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123483</xdr:rowOff>
    </xdr:from>
    <xdr:to>
      <xdr:col>5</xdr:col>
      <xdr:colOff>609600</xdr:colOff>
      <xdr:row>121</xdr:row>
      <xdr:rowOff>45800</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121392</xdr:rowOff>
    </xdr:from>
    <xdr:to>
      <xdr:col>6</xdr:col>
      <xdr:colOff>38100</xdr:colOff>
      <xdr:row>95</xdr:row>
      <xdr:rowOff>82930</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177988</xdr:rowOff>
    </xdr:from>
    <xdr:to>
      <xdr:col>5</xdr:col>
      <xdr:colOff>609600</xdr:colOff>
      <xdr:row>94</xdr:row>
      <xdr:rowOff>10411</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123483</xdr:rowOff>
    </xdr:from>
    <xdr:to>
      <xdr:col>5</xdr:col>
      <xdr:colOff>609600</xdr:colOff>
      <xdr:row>121</xdr:row>
      <xdr:rowOff>45800</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123483</xdr:rowOff>
    </xdr:from>
    <xdr:to>
      <xdr:col>5</xdr:col>
      <xdr:colOff>609600</xdr:colOff>
      <xdr:row>121</xdr:row>
      <xdr:rowOff>45800</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102870</xdr:rowOff>
    </xdr:from>
    <xdr:to>
      <xdr:col>18</xdr:col>
      <xdr:colOff>440532</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48808</xdr:rowOff>
    </xdr:from>
    <xdr:to>
      <xdr:col>5</xdr:col>
      <xdr:colOff>621665</xdr:colOff>
      <xdr:row>100</xdr:row>
      <xdr:rowOff>122448</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10003</xdr:rowOff>
    </xdr:from>
    <xdr:to>
      <xdr:col>5</xdr:col>
      <xdr:colOff>621665</xdr:colOff>
      <xdr:row>102</xdr:row>
      <xdr:rowOff>102751</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58946</xdr:rowOff>
    </xdr:from>
    <xdr:to>
      <xdr:col>5</xdr:col>
      <xdr:colOff>621665</xdr:colOff>
      <xdr:row>105</xdr:row>
      <xdr:rowOff>123707</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67734</xdr:rowOff>
    </xdr:from>
    <xdr:to>
      <xdr:col>5</xdr:col>
      <xdr:colOff>621665</xdr:colOff>
      <xdr:row>106</xdr:row>
      <xdr:rowOff>57824</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2221</xdr:rowOff>
    </xdr:from>
    <xdr:to>
      <xdr:col>5</xdr:col>
      <xdr:colOff>621665</xdr:colOff>
      <xdr:row>94</xdr:row>
      <xdr:rowOff>142533</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31644</xdr:rowOff>
    </xdr:from>
    <xdr:to>
      <xdr:col>5</xdr:col>
      <xdr:colOff>621665</xdr:colOff>
      <xdr:row>95</xdr:row>
      <xdr:rowOff>88222</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222195</xdr:rowOff>
    </xdr:from>
    <xdr:to>
      <xdr:col>5</xdr:col>
      <xdr:colOff>621665</xdr:colOff>
      <xdr:row>96</xdr:row>
      <xdr:rowOff>40214</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145204</xdr:rowOff>
    </xdr:from>
    <xdr:to>
      <xdr:col>5</xdr:col>
      <xdr:colOff>621665</xdr:colOff>
      <xdr:row>97</xdr:row>
      <xdr:rowOff>29513</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102870</xdr:rowOff>
    </xdr:from>
    <xdr:to>
      <xdr:col>18</xdr:col>
      <xdr:colOff>440532</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48808</xdr:rowOff>
    </xdr:from>
    <xdr:to>
      <xdr:col>5</xdr:col>
      <xdr:colOff>621665</xdr:colOff>
      <xdr:row>100</xdr:row>
      <xdr:rowOff>122448</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10003</xdr:rowOff>
    </xdr:from>
    <xdr:to>
      <xdr:col>5</xdr:col>
      <xdr:colOff>621665</xdr:colOff>
      <xdr:row>102</xdr:row>
      <xdr:rowOff>102751</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58946</xdr:rowOff>
    </xdr:from>
    <xdr:to>
      <xdr:col>5</xdr:col>
      <xdr:colOff>621665</xdr:colOff>
      <xdr:row>105</xdr:row>
      <xdr:rowOff>123707</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67734</xdr:rowOff>
    </xdr:from>
    <xdr:to>
      <xdr:col>5</xdr:col>
      <xdr:colOff>621665</xdr:colOff>
      <xdr:row>106</xdr:row>
      <xdr:rowOff>57824</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2221</xdr:rowOff>
    </xdr:from>
    <xdr:to>
      <xdr:col>5</xdr:col>
      <xdr:colOff>621665</xdr:colOff>
      <xdr:row>94</xdr:row>
      <xdr:rowOff>142533</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31644</xdr:rowOff>
    </xdr:from>
    <xdr:to>
      <xdr:col>5</xdr:col>
      <xdr:colOff>621665</xdr:colOff>
      <xdr:row>95</xdr:row>
      <xdr:rowOff>88222</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222195</xdr:rowOff>
    </xdr:from>
    <xdr:to>
      <xdr:col>5</xdr:col>
      <xdr:colOff>621665</xdr:colOff>
      <xdr:row>96</xdr:row>
      <xdr:rowOff>40214</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145204</xdr:rowOff>
    </xdr:from>
    <xdr:to>
      <xdr:col>5</xdr:col>
      <xdr:colOff>621665</xdr:colOff>
      <xdr:row>97</xdr:row>
      <xdr:rowOff>29513</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64134</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104944</xdr:rowOff>
    </xdr:from>
    <xdr:to>
      <xdr:col>5</xdr:col>
      <xdr:colOff>609600</xdr:colOff>
      <xdr:row>189</xdr:row>
      <xdr:rowOff>122647</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102870</xdr:rowOff>
    </xdr:from>
    <xdr:to>
      <xdr:col>18</xdr:col>
      <xdr:colOff>440532</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99</xdr:row>
      <xdr:rowOff>48808</xdr:rowOff>
    </xdr:from>
    <xdr:to>
      <xdr:col>5</xdr:col>
      <xdr:colOff>621665</xdr:colOff>
      <xdr:row>100</xdr:row>
      <xdr:rowOff>122448</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10003</xdr:rowOff>
    </xdr:from>
    <xdr:to>
      <xdr:col>5</xdr:col>
      <xdr:colOff>621665</xdr:colOff>
      <xdr:row>102</xdr:row>
      <xdr:rowOff>102751</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58946</xdr:rowOff>
    </xdr:from>
    <xdr:to>
      <xdr:col>5</xdr:col>
      <xdr:colOff>621665</xdr:colOff>
      <xdr:row>105</xdr:row>
      <xdr:rowOff>123707</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67734</xdr:rowOff>
    </xdr:from>
    <xdr:to>
      <xdr:col>5</xdr:col>
      <xdr:colOff>621665</xdr:colOff>
      <xdr:row>106</xdr:row>
      <xdr:rowOff>57824</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2221</xdr:rowOff>
    </xdr:from>
    <xdr:to>
      <xdr:col>5</xdr:col>
      <xdr:colOff>621665</xdr:colOff>
      <xdr:row>94</xdr:row>
      <xdr:rowOff>142533</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31644</xdr:rowOff>
    </xdr:from>
    <xdr:to>
      <xdr:col>5</xdr:col>
      <xdr:colOff>621665</xdr:colOff>
      <xdr:row>95</xdr:row>
      <xdr:rowOff>88222</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222195</xdr:rowOff>
    </xdr:from>
    <xdr:to>
      <xdr:col>5</xdr:col>
      <xdr:colOff>621665</xdr:colOff>
      <xdr:row>96</xdr:row>
      <xdr:rowOff>40214</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145204</xdr:rowOff>
    </xdr:from>
    <xdr:to>
      <xdr:col>5</xdr:col>
      <xdr:colOff>621665</xdr:colOff>
      <xdr:row>97</xdr:row>
      <xdr:rowOff>29513</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92075</xdr:rowOff>
    </xdr:from>
    <xdr:to>
      <xdr:col>18</xdr:col>
      <xdr:colOff>440532</xdr:colOff>
      <xdr:row>30</xdr:row>
      <xdr:rowOff>125823</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620395</xdr:colOff>
      <xdr:row>100</xdr:row>
      <xdr:rowOff>122448</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10003</xdr:rowOff>
    </xdr:from>
    <xdr:to>
      <xdr:col>5</xdr:col>
      <xdr:colOff>620395</xdr:colOff>
      <xdr:row>102</xdr:row>
      <xdr:rowOff>103069</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620395</xdr:colOff>
      <xdr:row>105</xdr:row>
      <xdr:rowOff>123707</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67734</xdr:rowOff>
    </xdr:from>
    <xdr:to>
      <xdr:col>5</xdr:col>
      <xdr:colOff>620395</xdr:colOff>
      <xdr:row>106</xdr:row>
      <xdr:rowOff>57824</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620395</xdr:colOff>
      <xdr:row>94</xdr:row>
      <xdr:rowOff>142533</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620395</xdr:colOff>
      <xdr:row>95</xdr:row>
      <xdr:rowOff>88222</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222195</xdr:rowOff>
    </xdr:from>
    <xdr:to>
      <xdr:col>5</xdr:col>
      <xdr:colOff>620395</xdr:colOff>
      <xdr:row>96</xdr:row>
      <xdr:rowOff>40214</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145204</xdr:rowOff>
    </xdr:from>
    <xdr:to>
      <xdr:col>5</xdr:col>
      <xdr:colOff>620395</xdr:colOff>
      <xdr:row>97</xdr:row>
      <xdr:rowOff>29513</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92075</xdr:rowOff>
    </xdr:from>
    <xdr:to>
      <xdr:col>18</xdr:col>
      <xdr:colOff>440532</xdr:colOff>
      <xdr:row>30</xdr:row>
      <xdr:rowOff>125823</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620395</xdr:colOff>
      <xdr:row>100</xdr:row>
      <xdr:rowOff>122448</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10003</xdr:rowOff>
    </xdr:from>
    <xdr:to>
      <xdr:col>5</xdr:col>
      <xdr:colOff>620395</xdr:colOff>
      <xdr:row>102</xdr:row>
      <xdr:rowOff>103069</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620395</xdr:colOff>
      <xdr:row>105</xdr:row>
      <xdr:rowOff>123707</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67734</xdr:rowOff>
    </xdr:from>
    <xdr:to>
      <xdr:col>5</xdr:col>
      <xdr:colOff>620395</xdr:colOff>
      <xdr:row>106</xdr:row>
      <xdr:rowOff>57824</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620395</xdr:colOff>
      <xdr:row>94</xdr:row>
      <xdr:rowOff>142533</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620395</xdr:colOff>
      <xdr:row>95</xdr:row>
      <xdr:rowOff>88222</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222195</xdr:rowOff>
    </xdr:from>
    <xdr:to>
      <xdr:col>5</xdr:col>
      <xdr:colOff>620395</xdr:colOff>
      <xdr:row>96</xdr:row>
      <xdr:rowOff>40214</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145204</xdr:rowOff>
    </xdr:from>
    <xdr:to>
      <xdr:col>5</xdr:col>
      <xdr:colOff>620395</xdr:colOff>
      <xdr:row>97</xdr:row>
      <xdr:rowOff>29513</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64134</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92075</xdr:rowOff>
    </xdr:from>
    <xdr:to>
      <xdr:col>18</xdr:col>
      <xdr:colOff>440532</xdr:colOff>
      <xdr:row>30</xdr:row>
      <xdr:rowOff>125823</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620395</xdr:colOff>
      <xdr:row>100</xdr:row>
      <xdr:rowOff>122448</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10003</xdr:rowOff>
    </xdr:from>
    <xdr:to>
      <xdr:col>5</xdr:col>
      <xdr:colOff>620395</xdr:colOff>
      <xdr:row>102</xdr:row>
      <xdr:rowOff>103069</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620395</xdr:colOff>
      <xdr:row>105</xdr:row>
      <xdr:rowOff>123707</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67734</xdr:rowOff>
    </xdr:from>
    <xdr:to>
      <xdr:col>5</xdr:col>
      <xdr:colOff>620395</xdr:colOff>
      <xdr:row>106</xdr:row>
      <xdr:rowOff>57824</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620395</xdr:colOff>
      <xdr:row>94</xdr:row>
      <xdr:rowOff>142533</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620395</xdr:colOff>
      <xdr:row>95</xdr:row>
      <xdr:rowOff>88222</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222195</xdr:rowOff>
    </xdr:from>
    <xdr:to>
      <xdr:col>5</xdr:col>
      <xdr:colOff>620395</xdr:colOff>
      <xdr:row>96</xdr:row>
      <xdr:rowOff>40214</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145204</xdr:rowOff>
    </xdr:from>
    <xdr:to>
      <xdr:col>5</xdr:col>
      <xdr:colOff>620395</xdr:colOff>
      <xdr:row>97</xdr:row>
      <xdr:rowOff>29513</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171765</xdr:rowOff>
    </xdr:from>
    <xdr:to>
      <xdr:col>6</xdr:col>
      <xdr:colOff>38100</xdr:colOff>
      <xdr:row>192</xdr:row>
      <xdr:rowOff>64134</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106849</xdr:rowOff>
    </xdr:from>
    <xdr:to>
      <xdr:col>5</xdr:col>
      <xdr:colOff>609600</xdr:colOff>
      <xdr:row>189</xdr:row>
      <xdr:rowOff>121520</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121142</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673894</xdr:colOff>
      <xdr:row>26</xdr:row>
      <xdr:rowOff>92075</xdr:rowOff>
    </xdr:from>
    <xdr:to>
      <xdr:col>18</xdr:col>
      <xdr:colOff>440532</xdr:colOff>
      <xdr:row>30</xdr:row>
      <xdr:rowOff>125823</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609600</xdr:colOff>
      <xdr:row>100</xdr:row>
      <xdr:rowOff>122448</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10003</xdr:rowOff>
    </xdr:from>
    <xdr:to>
      <xdr:col>5</xdr:col>
      <xdr:colOff>609600</xdr:colOff>
      <xdr:row>102</xdr:row>
      <xdr:rowOff>103069</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58946</xdr:rowOff>
    </xdr:from>
    <xdr:to>
      <xdr:col>5</xdr:col>
      <xdr:colOff>609600</xdr:colOff>
      <xdr:row>105</xdr:row>
      <xdr:rowOff>123707</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67734</xdr:rowOff>
    </xdr:from>
    <xdr:to>
      <xdr:col>5</xdr:col>
      <xdr:colOff>609600</xdr:colOff>
      <xdr:row>106</xdr:row>
      <xdr:rowOff>57824</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2221</xdr:rowOff>
    </xdr:from>
    <xdr:to>
      <xdr:col>5</xdr:col>
      <xdr:colOff>609600</xdr:colOff>
      <xdr:row>94</xdr:row>
      <xdr:rowOff>142533</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31644</xdr:rowOff>
    </xdr:from>
    <xdr:to>
      <xdr:col>5</xdr:col>
      <xdr:colOff>609600</xdr:colOff>
      <xdr:row>95</xdr:row>
      <xdr:rowOff>88222</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222195</xdr:rowOff>
    </xdr:from>
    <xdr:to>
      <xdr:col>5</xdr:col>
      <xdr:colOff>609600</xdr:colOff>
      <xdr:row>96</xdr:row>
      <xdr:rowOff>40214</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145204</xdr:rowOff>
    </xdr:from>
    <xdr:to>
      <xdr:col>5</xdr:col>
      <xdr:colOff>609600</xdr:colOff>
      <xdr:row>97</xdr:row>
      <xdr:rowOff>29513</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82737</xdr:rowOff>
    </xdr:from>
    <xdr:to>
      <xdr:col>6</xdr:col>
      <xdr:colOff>38100</xdr:colOff>
      <xdr:row>95</xdr:row>
      <xdr:rowOff>83142</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92114</xdr:rowOff>
    </xdr:from>
    <xdr:to>
      <xdr:col>5</xdr:col>
      <xdr:colOff>609600</xdr:colOff>
      <xdr:row>92</xdr:row>
      <xdr:rowOff>199335</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145204</xdr:rowOff>
    </xdr:from>
    <xdr:to>
      <xdr:col>5</xdr:col>
      <xdr:colOff>609600</xdr:colOff>
      <xdr:row>118</xdr:row>
      <xdr:rowOff>103371</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145204</xdr:rowOff>
    </xdr:from>
    <xdr:to>
      <xdr:col>5</xdr:col>
      <xdr:colOff>609600</xdr:colOff>
      <xdr:row>118</xdr:row>
      <xdr:rowOff>103371</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135945</xdr:rowOff>
    </xdr:from>
    <xdr:to>
      <xdr:col>5</xdr:col>
      <xdr:colOff>609600</xdr:colOff>
      <xdr:row>191</xdr:row>
      <xdr:rowOff>121497</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107061</xdr:rowOff>
    </xdr:from>
    <xdr:to>
      <xdr:col>5</xdr:col>
      <xdr:colOff>609600</xdr:colOff>
      <xdr:row>192</xdr:row>
      <xdr:rowOff>8624</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107061</xdr:rowOff>
    </xdr:from>
    <xdr:to>
      <xdr:col>5</xdr:col>
      <xdr:colOff>609600</xdr:colOff>
      <xdr:row>195</xdr:row>
      <xdr:rowOff>64318</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120862</xdr:rowOff>
    </xdr:from>
    <xdr:to>
      <xdr:col>5</xdr:col>
      <xdr:colOff>609600</xdr:colOff>
      <xdr:row>196</xdr:row>
      <xdr:rowOff>65588</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121312</xdr:rowOff>
    </xdr:from>
    <xdr:to>
      <xdr:col>5</xdr:col>
      <xdr:colOff>609600</xdr:colOff>
      <xdr:row>141</xdr:row>
      <xdr:rowOff>79187</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122674</xdr:rowOff>
    </xdr:from>
    <xdr:to>
      <xdr:col>5</xdr:col>
      <xdr:colOff>609600</xdr:colOff>
      <xdr:row>182</xdr:row>
      <xdr:rowOff>38695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121947</xdr:rowOff>
    </xdr:from>
    <xdr:to>
      <xdr:col>5</xdr:col>
      <xdr:colOff>609600</xdr:colOff>
      <xdr:row>182</xdr:row>
      <xdr:rowOff>116166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121946</xdr:rowOff>
    </xdr:from>
    <xdr:to>
      <xdr:col>5</xdr:col>
      <xdr:colOff>609600</xdr:colOff>
      <xdr:row>183</xdr:row>
      <xdr:rowOff>152595</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40920</xdr:rowOff>
    </xdr:from>
    <xdr:to>
      <xdr:col>6</xdr:col>
      <xdr:colOff>38100</xdr:colOff>
      <xdr:row>95</xdr:row>
      <xdr:rowOff>69172</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58</xdr:row>
      <xdr:rowOff>30373</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123828</xdr:rowOff>
    </xdr:from>
    <xdr:to>
      <xdr:col>5</xdr:col>
      <xdr:colOff>609600</xdr:colOff>
      <xdr:row>52</xdr:row>
      <xdr:rowOff>429312</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65667</xdr:rowOff>
    </xdr:from>
    <xdr:to>
      <xdr:col>5</xdr:col>
      <xdr:colOff>609600</xdr:colOff>
      <xdr:row>52</xdr:row>
      <xdr:rowOff>360255</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113614</xdr:rowOff>
    </xdr:from>
    <xdr:to>
      <xdr:col>5</xdr:col>
      <xdr:colOff>609600</xdr:colOff>
      <xdr:row>54</xdr:row>
      <xdr:rowOff>154237</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283369</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71</xdr:row>
      <xdr:rowOff>87339</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123854</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72</xdr:row>
      <xdr:rowOff>123854</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94019</xdr:rowOff>
    </xdr:from>
    <xdr:to>
      <xdr:col>5</xdr:col>
      <xdr:colOff>609600</xdr:colOff>
      <xdr:row>92</xdr:row>
      <xdr:rowOff>169425</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145204</xdr:rowOff>
    </xdr:from>
    <xdr:to>
      <xdr:col>5</xdr:col>
      <xdr:colOff>609600</xdr:colOff>
      <xdr:row>118</xdr:row>
      <xdr:rowOff>104006</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145204</xdr:rowOff>
    </xdr:from>
    <xdr:to>
      <xdr:col>5</xdr:col>
      <xdr:colOff>609600</xdr:colOff>
      <xdr:row>118</xdr:row>
      <xdr:rowOff>104006</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125319</xdr:rowOff>
    </xdr:from>
    <xdr:to>
      <xdr:col>5</xdr:col>
      <xdr:colOff>609600</xdr:colOff>
      <xdr:row>191</xdr:row>
      <xdr:rowOff>121497</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192</xdr:row>
      <xdr:rowOff>1125</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195</xdr:row>
      <xdr:rowOff>45903</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105792</xdr:rowOff>
    </xdr:from>
    <xdr:to>
      <xdr:col>5</xdr:col>
      <xdr:colOff>609600</xdr:colOff>
      <xdr:row>196</xdr:row>
      <xdr:rowOff>64953</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120677</xdr:rowOff>
    </xdr:from>
    <xdr:to>
      <xdr:col>5</xdr:col>
      <xdr:colOff>609600</xdr:colOff>
      <xdr:row>141</xdr:row>
      <xdr:rowOff>79187</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122674</xdr:rowOff>
    </xdr:from>
    <xdr:to>
      <xdr:col>5</xdr:col>
      <xdr:colOff>609600</xdr:colOff>
      <xdr:row>182</xdr:row>
      <xdr:rowOff>39330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182</xdr:row>
      <xdr:rowOff>96480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152595</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64490</xdr:rowOff>
    </xdr:from>
    <xdr:to>
      <xdr:col>6</xdr:col>
      <xdr:colOff>38100</xdr:colOff>
      <xdr:row>96</xdr:row>
      <xdr:rowOff>21164</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60</xdr:row>
      <xdr:rowOff>8241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60</xdr:row>
      <xdr:rowOff>8241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125992</xdr:rowOff>
    </xdr:from>
    <xdr:to>
      <xdr:col>5</xdr:col>
      <xdr:colOff>609600</xdr:colOff>
      <xdr:row>53</xdr:row>
      <xdr:rowOff>134507</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73337</xdr:rowOff>
    </xdr:from>
    <xdr:to>
      <xdr:col>5</xdr:col>
      <xdr:colOff>609600</xdr:colOff>
      <xdr:row>53</xdr:row>
      <xdr:rowOff>26613</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134507</xdr:rowOff>
    </xdr:from>
    <xdr:to>
      <xdr:col>5</xdr:col>
      <xdr:colOff>609600</xdr:colOff>
      <xdr:row>54</xdr:row>
      <xdr:rowOff>332831</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69</xdr:row>
      <xdr:rowOff>57176</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85754</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73</xdr:row>
      <xdr:rowOff>101627</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22197</xdr:rowOff>
    </xdr:from>
    <xdr:to>
      <xdr:col>5</xdr:col>
      <xdr:colOff>609600</xdr:colOff>
      <xdr:row>73</xdr:row>
      <xdr:rowOff>101627</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26551</xdr:rowOff>
    </xdr:from>
    <xdr:to>
      <xdr:col>5</xdr:col>
      <xdr:colOff>609600</xdr:colOff>
      <xdr:row>93</xdr:row>
      <xdr:rowOff>45601</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124806</xdr:rowOff>
    </xdr:from>
    <xdr:to>
      <xdr:col>5</xdr:col>
      <xdr:colOff>609600</xdr:colOff>
      <xdr:row>119</xdr:row>
      <xdr:rowOff>73452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124806</xdr:rowOff>
    </xdr:from>
    <xdr:to>
      <xdr:col>5</xdr:col>
      <xdr:colOff>609600</xdr:colOff>
      <xdr:row>119</xdr:row>
      <xdr:rowOff>73452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193</xdr:row>
      <xdr:rowOff>64133</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193</xdr:row>
      <xdr:rowOff>20146</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121497</xdr:rowOff>
    </xdr:from>
    <xdr:to>
      <xdr:col>5</xdr:col>
      <xdr:colOff>609600</xdr:colOff>
      <xdr:row>196</xdr:row>
      <xdr:rowOff>45903</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45904</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104970</xdr:rowOff>
    </xdr:from>
    <xdr:to>
      <xdr:col>5</xdr:col>
      <xdr:colOff>609600</xdr:colOff>
      <xdr:row>182</xdr:row>
      <xdr:rowOff>160534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183</xdr:row>
      <xdr:rowOff>18693</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69493</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122674</xdr:rowOff>
    </xdr:from>
    <xdr:to>
      <xdr:col>5</xdr:col>
      <xdr:colOff>609600</xdr:colOff>
      <xdr:row>184</xdr:row>
      <xdr:rowOff>151009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64490</xdr:rowOff>
    </xdr:from>
    <xdr:to>
      <xdr:col>6</xdr:col>
      <xdr:colOff>38100</xdr:colOff>
      <xdr:row>96</xdr:row>
      <xdr:rowOff>21164</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60</xdr:row>
      <xdr:rowOff>8241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121711</xdr:rowOff>
    </xdr:from>
    <xdr:to>
      <xdr:col>5</xdr:col>
      <xdr:colOff>609600</xdr:colOff>
      <xdr:row>60</xdr:row>
      <xdr:rowOff>8241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125992</xdr:rowOff>
    </xdr:from>
    <xdr:to>
      <xdr:col>5</xdr:col>
      <xdr:colOff>609600</xdr:colOff>
      <xdr:row>53</xdr:row>
      <xdr:rowOff>134507</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73337</xdr:rowOff>
    </xdr:from>
    <xdr:to>
      <xdr:col>5</xdr:col>
      <xdr:colOff>609600</xdr:colOff>
      <xdr:row>53</xdr:row>
      <xdr:rowOff>26613</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53</xdr:row>
      <xdr:rowOff>134507</xdr:rowOff>
    </xdr:from>
    <xdr:to>
      <xdr:col>5</xdr:col>
      <xdr:colOff>609600</xdr:colOff>
      <xdr:row>54</xdr:row>
      <xdr:rowOff>332831</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11086</xdr:rowOff>
    </xdr:from>
    <xdr:to>
      <xdr:col>5</xdr:col>
      <xdr:colOff>609600</xdr:colOff>
      <xdr:row>69</xdr:row>
      <xdr:rowOff>57176</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7672</xdr:rowOff>
    </xdr:from>
    <xdr:to>
      <xdr:col>5</xdr:col>
      <xdr:colOff>609600</xdr:colOff>
      <xdr:row>72</xdr:row>
      <xdr:rowOff>85754</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49188</xdr:rowOff>
    </xdr:from>
    <xdr:to>
      <xdr:col>5</xdr:col>
      <xdr:colOff>609600</xdr:colOff>
      <xdr:row>73</xdr:row>
      <xdr:rowOff>101627</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22197</xdr:rowOff>
    </xdr:from>
    <xdr:to>
      <xdr:col>5</xdr:col>
      <xdr:colOff>609600</xdr:colOff>
      <xdr:row>73</xdr:row>
      <xdr:rowOff>101627</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26551</xdr:rowOff>
    </xdr:from>
    <xdr:to>
      <xdr:col>5</xdr:col>
      <xdr:colOff>609600</xdr:colOff>
      <xdr:row>93</xdr:row>
      <xdr:rowOff>45601</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124806</xdr:rowOff>
    </xdr:from>
    <xdr:to>
      <xdr:col>5</xdr:col>
      <xdr:colOff>609600</xdr:colOff>
      <xdr:row>119</xdr:row>
      <xdr:rowOff>73452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124806</xdr:rowOff>
    </xdr:from>
    <xdr:to>
      <xdr:col>5</xdr:col>
      <xdr:colOff>609600</xdr:colOff>
      <xdr:row>119</xdr:row>
      <xdr:rowOff>73452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121497</xdr:rowOff>
    </xdr:from>
    <xdr:to>
      <xdr:col>5</xdr:col>
      <xdr:colOff>609600</xdr:colOff>
      <xdr:row>193</xdr:row>
      <xdr:rowOff>64133</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121496</xdr:rowOff>
    </xdr:from>
    <xdr:to>
      <xdr:col>5</xdr:col>
      <xdr:colOff>609600</xdr:colOff>
      <xdr:row>193</xdr:row>
      <xdr:rowOff>20146</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121497</xdr:rowOff>
    </xdr:from>
    <xdr:to>
      <xdr:col>5</xdr:col>
      <xdr:colOff>609600</xdr:colOff>
      <xdr:row>196</xdr:row>
      <xdr:rowOff>45903</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45904</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104970</xdr:rowOff>
    </xdr:from>
    <xdr:to>
      <xdr:col>5</xdr:col>
      <xdr:colOff>609600</xdr:colOff>
      <xdr:row>182</xdr:row>
      <xdr:rowOff>160534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122674</xdr:rowOff>
    </xdr:from>
    <xdr:to>
      <xdr:col>5</xdr:col>
      <xdr:colOff>609600</xdr:colOff>
      <xdr:row>183</xdr:row>
      <xdr:rowOff>18693</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122674</xdr:rowOff>
    </xdr:from>
    <xdr:to>
      <xdr:col>5</xdr:col>
      <xdr:colOff>609600</xdr:colOff>
      <xdr:row>183</xdr:row>
      <xdr:rowOff>69493</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122674</xdr:rowOff>
    </xdr:from>
    <xdr:to>
      <xdr:col>5</xdr:col>
      <xdr:colOff>609600</xdr:colOff>
      <xdr:row>184</xdr:row>
      <xdr:rowOff>151009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341286</xdr:rowOff>
    </xdr:from>
    <xdr:to>
      <xdr:col>5</xdr:col>
      <xdr:colOff>628650</xdr:colOff>
      <xdr:row>54</xdr:row>
      <xdr:rowOff>165047</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145497</xdr:rowOff>
    </xdr:from>
    <xdr:to>
      <xdr:col>5</xdr:col>
      <xdr:colOff>628650</xdr:colOff>
      <xdr:row>53</xdr:row>
      <xdr:rowOff>212699</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250799</xdr:rowOff>
    </xdr:from>
    <xdr:to>
      <xdr:col>5</xdr:col>
      <xdr:colOff>628650</xdr:colOff>
      <xdr:row>55</xdr:row>
      <xdr:rowOff>180128</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11880</xdr:rowOff>
    </xdr:from>
    <xdr:to>
      <xdr:col>5</xdr:col>
      <xdr:colOff>628650</xdr:colOff>
      <xdr:row>54</xdr:row>
      <xdr:rowOff>369041</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10598</xdr:rowOff>
    </xdr:from>
    <xdr:to>
      <xdr:col>5</xdr:col>
      <xdr:colOff>628650</xdr:colOff>
      <xdr:row>58</xdr:row>
      <xdr:rowOff>161078</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203147</xdr:rowOff>
    </xdr:from>
    <xdr:to>
      <xdr:col>5</xdr:col>
      <xdr:colOff>628650</xdr:colOff>
      <xdr:row>57</xdr:row>
      <xdr:rowOff>173805</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36487</xdr:rowOff>
    </xdr:from>
    <xdr:to>
      <xdr:col>5</xdr:col>
      <xdr:colOff>628650</xdr:colOff>
      <xdr:row>60</xdr:row>
      <xdr:rowOff>106639</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199178</xdr:rowOff>
    </xdr:from>
    <xdr:to>
      <xdr:col>5</xdr:col>
      <xdr:colOff>628650</xdr:colOff>
      <xdr:row>59</xdr:row>
      <xdr:rowOff>132860</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8508</xdr:rowOff>
    </xdr:from>
    <xdr:to>
      <xdr:col>5</xdr:col>
      <xdr:colOff>628650</xdr:colOff>
      <xdr:row>62</xdr:row>
      <xdr:rowOff>97712</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49186</xdr:rowOff>
    </xdr:from>
    <xdr:to>
      <xdr:col>5</xdr:col>
      <xdr:colOff>628650</xdr:colOff>
      <xdr:row>61</xdr:row>
      <xdr:rowOff>85974</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19951</xdr:rowOff>
    </xdr:from>
    <xdr:to>
      <xdr:col>5</xdr:col>
      <xdr:colOff>628650</xdr:colOff>
      <xdr:row>81</xdr:row>
      <xdr:rowOff>66782</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19952</xdr:rowOff>
    </xdr:from>
    <xdr:to>
      <xdr:col>5</xdr:col>
      <xdr:colOff>628650</xdr:colOff>
      <xdr:row>80</xdr:row>
      <xdr:rowOff>63607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11219</xdr:rowOff>
    </xdr:from>
    <xdr:to>
      <xdr:col>5</xdr:col>
      <xdr:colOff>628650</xdr:colOff>
      <xdr:row>83</xdr:row>
      <xdr:rowOff>46939</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6458</xdr:rowOff>
    </xdr:from>
    <xdr:to>
      <xdr:col>5</xdr:col>
      <xdr:colOff>628650</xdr:colOff>
      <xdr:row>82</xdr:row>
      <xdr:rowOff>48526</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9632</xdr:rowOff>
    </xdr:from>
    <xdr:to>
      <xdr:col>5</xdr:col>
      <xdr:colOff>628650</xdr:colOff>
      <xdr:row>85</xdr:row>
      <xdr:rowOff>27889</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45351</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9632</xdr:rowOff>
    </xdr:from>
    <xdr:to>
      <xdr:col>5</xdr:col>
      <xdr:colOff>628650</xdr:colOff>
      <xdr:row>86</xdr:row>
      <xdr:rowOff>27889</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68565</xdr:rowOff>
    </xdr:from>
    <xdr:to>
      <xdr:col>5</xdr:col>
      <xdr:colOff>628650</xdr:colOff>
      <xdr:row>109</xdr:row>
      <xdr:rowOff>69217</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59042</xdr:rowOff>
    </xdr:from>
    <xdr:to>
      <xdr:col>5</xdr:col>
      <xdr:colOff>628650</xdr:colOff>
      <xdr:row>108</xdr:row>
      <xdr:rowOff>64454</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19593</xdr:rowOff>
    </xdr:from>
    <xdr:to>
      <xdr:col>5</xdr:col>
      <xdr:colOff>628650</xdr:colOff>
      <xdr:row>111</xdr:row>
      <xdr:rowOff>48579</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2685</xdr:rowOff>
    </xdr:from>
    <xdr:to>
      <xdr:col>5</xdr:col>
      <xdr:colOff>628650</xdr:colOff>
      <xdr:row>110</xdr:row>
      <xdr:rowOff>45404</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1097</xdr:rowOff>
    </xdr:from>
    <xdr:to>
      <xdr:col>5</xdr:col>
      <xdr:colOff>628650</xdr:colOff>
      <xdr:row>113</xdr:row>
      <xdr:rowOff>9631</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28085</xdr:rowOff>
    </xdr:from>
    <xdr:to>
      <xdr:col>5</xdr:col>
      <xdr:colOff>628650</xdr:colOff>
      <xdr:row>112</xdr:row>
      <xdr:rowOff>8838</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11549</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10755</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341286</xdr:rowOff>
    </xdr:from>
    <xdr:to>
      <xdr:col>5</xdr:col>
      <xdr:colOff>628650</xdr:colOff>
      <xdr:row>54</xdr:row>
      <xdr:rowOff>165047</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145497</xdr:rowOff>
    </xdr:from>
    <xdr:to>
      <xdr:col>5</xdr:col>
      <xdr:colOff>628650</xdr:colOff>
      <xdr:row>53</xdr:row>
      <xdr:rowOff>212699</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250799</xdr:rowOff>
    </xdr:from>
    <xdr:to>
      <xdr:col>5</xdr:col>
      <xdr:colOff>628650</xdr:colOff>
      <xdr:row>55</xdr:row>
      <xdr:rowOff>180128</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11880</xdr:rowOff>
    </xdr:from>
    <xdr:to>
      <xdr:col>5</xdr:col>
      <xdr:colOff>628650</xdr:colOff>
      <xdr:row>54</xdr:row>
      <xdr:rowOff>369041</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10598</xdr:rowOff>
    </xdr:from>
    <xdr:to>
      <xdr:col>5</xdr:col>
      <xdr:colOff>628650</xdr:colOff>
      <xdr:row>58</xdr:row>
      <xdr:rowOff>161078</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203147</xdr:rowOff>
    </xdr:from>
    <xdr:to>
      <xdr:col>5</xdr:col>
      <xdr:colOff>628650</xdr:colOff>
      <xdr:row>57</xdr:row>
      <xdr:rowOff>173805</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36487</xdr:rowOff>
    </xdr:from>
    <xdr:to>
      <xdr:col>5</xdr:col>
      <xdr:colOff>628650</xdr:colOff>
      <xdr:row>60</xdr:row>
      <xdr:rowOff>106639</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199178</xdr:rowOff>
    </xdr:from>
    <xdr:to>
      <xdr:col>5</xdr:col>
      <xdr:colOff>628650</xdr:colOff>
      <xdr:row>59</xdr:row>
      <xdr:rowOff>132860</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8508</xdr:rowOff>
    </xdr:from>
    <xdr:to>
      <xdr:col>5</xdr:col>
      <xdr:colOff>628650</xdr:colOff>
      <xdr:row>62</xdr:row>
      <xdr:rowOff>97712</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49186</xdr:rowOff>
    </xdr:from>
    <xdr:to>
      <xdr:col>5</xdr:col>
      <xdr:colOff>628650</xdr:colOff>
      <xdr:row>61</xdr:row>
      <xdr:rowOff>85974</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19951</xdr:rowOff>
    </xdr:from>
    <xdr:to>
      <xdr:col>5</xdr:col>
      <xdr:colOff>628650</xdr:colOff>
      <xdr:row>81</xdr:row>
      <xdr:rowOff>66782</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19952</xdr:rowOff>
    </xdr:from>
    <xdr:to>
      <xdr:col>5</xdr:col>
      <xdr:colOff>628650</xdr:colOff>
      <xdr:row>80</xdr:row>
      <xdr:rowOff>63607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11219</xdr:rowOff>
    </xdr:from>
    <xdr:to>
      <xdr:col>5</xdr:col>
      <xdr:colOff>628650</xdr:colOff>
      <xdr:row>83</xdr:row>
      <xdr:rowOff>46939</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6458</xdr:rowOff>
    </xdr:from>
    <xdr:to>
      <xdr:col>5</xdr:col>
      <xdr:colOff>628650</xdr:colOff>
      <xdr:row>82</xdr:row>
      <xdr:rowOff>48526</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9632</xdr:rowOff>
    </xdr:from>
    <xdr:to>
      <xdr:col>5</xdr:col>
      <xdr:colOff>628650</xdr:colOff>
      <xdr:row>85</xdr:row>
      <xdr:rowOff>27889</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45351</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9632</xdr:rowOff>
    </xdr:from>
    <xdr:to>
      <xdr:col>5</xdr:col>
      <xdr:colOff>628650</xdr:colOff>
      <xdr:row>86</xdr:row>
      <xdr:rowOff>27889</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68565</xdr:rowOff>
    </xdr:from>
    <xdr:to>
      <xdr:col>5</xdr:col>
      <xdr:colOff>628650</xdr:colOff>
      <xdr:row>109</xdr:row>
      <xdr:rowOff>69217</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59042</xdr:rowOff>
    </xdr:from>
    <xdr:to>
      <xdr:col>5</xdr:col>
      <xdr:colOff>628650</xdr:colOff>
      <xdr:row>108</xdr:row>
      <xdr:rowOff>64454</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19593</xdr:rowOff>
    </xdr:from>
    <xdr:to>
      <xdr:col>5</xdr:col>
      <xdr:colOff>628650</xdr:colOff>
      <xdr:row>111</xdr:row>
      <xdr:rowOff>48579</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2685</xdr:rowOff>
    </xdr:from>
    <xdr:to>
      <xdr:col>5</xdr:col>
      <xdr:colOff>628650</xdr:colOff>
      <xdr:row>110</xdr:row>
      <xdr:rowOff>45404</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1097</xdr:rowOff>
    </xdr:from>
    <xdr:to>
      <xdr:col>5</xdr:col>
      <xdr:colOff>628650</xdr:colOff>
      <xdr:row>113</xdr:row>
      <xdr:rowOff>9631</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28085</xdr:rowOff>
    </xdr:from>
    <xdr:to>
      <xdr:col>5</xdr:col>
      <xdr:colOff>628650</xdr:colOff>
      <xdr:row>112</xdr:row>
      <xdr:rowOff>8838</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11549</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10755</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7197</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159597</xdr:rowOff>
    </xdr:from>
    <xdr:to>
      <xdr:col>5</xdr:col>
      <xdr:colOff>609600</xdr:colOff>
      <xdr:row>234</xdr:row>
      <xdr:rowOff>106175</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126812</xdr:rowOff>
    </xdr:from>
    <xdr:to>
      <xdr:col>5</xdr:col>
      <xdr:colOff>609600</xdr:colOff>
      <xdr:row>236</xdr:row>
      <xdr:rowOff>7197</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126812</xdr:rowOff>
    </xdr:from>
    <xdr:to>
      <xdr:col>5</xdr:col>
      <xdr:colOff>609600</xdr:colOff>
      <xdr:row>223</xdr:row>
      <xdr:rowOff>126812</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106176</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126812</xdr:rowOff>
    </xdr:from>
    <xdr:to>
      <xdr:col>5</xdr:col>
      <xdr:colOff>609600</xdr:colOff>
      <xdr:row>201</xdr:row>
      <xdr:rowOff>140547</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126813</xdr:rowOff>
    </xdr:from>
    <xdr:to>
      <xdr:col>5</xdr:col>
      <xdr:colOff>609600</xdr:colOff>
      <xdr:row>203</xdr:row>
      <xdr:rowOff>7197</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126813</xdr:rowOff>
    </xdr:from>
    <xdr:to>
      <xdr:col>5</xdr:col>
      <xdr:colOff>609600</xdr:colOff>
      <xdr:row>209</xdr:row>
      <xdr:rowOff>159597</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341286</xdr:rowOff>
    </xdr:from>
    <xdr:to>
      <xdr:col>5</xdr:col>
      <xdr:colOff>628650</xdr:colOff>
      <xdr:row>54</xdr:row>
      <xdr:rowOff>165047</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145497</xdr:rowOff>
    </xdr:from>
    <xdr:to>
      <xdr:col>5</xdr:col>
      <xdr:colOff>628650</xdr:colOff>
      <xdr:row>53</xdr:row>
      <xdr:rowOff>212699</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250799</xdr:rowOff>
    </xdr:from>
    <xdr:to>
      <xdr:col>5</xdr:col>
      <xdr:colOff>628650</xdr:colOff>
      <xdr:row>55</xdr:row>
      <xdr:rowOff>180128</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11880</xdr:rowOff>
    </xdr:from>
    <xdr:to>
      <xdr:col>5</xdr:col>
      <xdr:colOff>628650</xdr:colOff>
      <xdr:row>54</xdr:row>
      <xdr:rowOff>369041</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10598</xdr:rowOff>
    </xdr:from>
    <xdr:to>
      <xdr:col>5</xdr:col>
      <xdr:colOff>628650</xdr:colOff>
      <xdr:row>58</xdr:row>
      <xdr:rowOff>161078</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203147</xdr:rowOff>
    </xdr:from>
    <xdr:to>
      <xdr:col>5</xdr:col>
      <xdr:colOff>628650</xdr:colOff>
      <xdr:row>57</xdr:row>
      <xdr:rowOff>173805</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36487</xdr:rowOff>
    </xdr:from>
    <xdr:to>
      <xdr:col>5</xdr:col>
      <xdr:colOff>628650</xdr:colOff>
      <xdr:row>60</xdr:row>
      <xdr:rowOff>106639</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199178</xdr:rowOff>
    </xdr:from>
    <xdr:to>
      <xdr:col>5</xdr:col>
      <xdr:colOff>628650</xdr:colOff>
      <xdr:row>59</xdr:row>
      <xdr:rowOff>132860</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8508</xdr:rowOff>
    </xdr:from>
    <xdr:to>
      <xdr:col>5</xdr:col>
      <xdr:colOff>628650</xdr:colOff>
      <xdr:row>62</xdr:row>
      <xdr:rowOff>97712</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49186</xdr:rowOff>
    </xdr:from>
    <xdr:to>
      <xdr:col>5</xdr:col>
      <xdr:colOff>628650</xdr:colOff>
      <xdr:row>61</xdr:row>
      <xdr:rowOff>85974</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19951</xdr:rowOff>
    </xdr:from>
    <xdr:to>
      <xdr:col>5</xdr:col>
      <xdr:colOff>628650</xdr:colOff>
      <xdr:row>81</xdr:row>
      <xdr:rowOff>66782</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19952</xdr:rowOff>
    </xdr:from>
    <xdr:to>
      <xdr:col>5</xdr:col>
      <xdr:colOff>628650</xdr:colOff>
      <xdr:row>80</xdr:row>
      <xdr:rowOff>63607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11219</xdr:rowOff>
    </xdr:from>
    <xdr:to>
      <xdr:col>5</xdr:col>
      <xdr:colOff>628650</xdr:colOff>
      <xdr:row>83</xdr:row>
      <xdr:rowOff>46939</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6458</xdr:rowOff>
    </xdr:from>
    <xdr:to>
      <xdr:col>5</xdr:col>
      <xdr:colOff>628650</xdr:colOff>
      <xdr:row>82</xdr:row>
      <xdr:rowOff>48526</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9632</xdr:rowOff>
    </xdr:from>
    <xdr:to>
      <xdr:col>5</xdr:col>
      <xdr:colOff>628650</xdr:colOff>
      <xdr:row>85</xdr:row>
      <xdr:rowOff>27889</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45351</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9632</xdr:rowOff>
    </xdr:from>
    <xdr:to>
      <xdr:col>5</xdr:col>
      <xdr:colOff>628650</xdr:colOff>
      <xdr:row>86</xdr:row>
      <xdr:rowOff>27889</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68565</xdr:rowOff>
    </xdr:from>
    <xdr:to>
      <xdr:col>5</xdr:col>
      <xdr:colOff>628650</xdr:colOff>
      <xdr:row>109</xdr:row>
      <xdr:rowOff>69217</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59042</xdr:rowOff>
    </xdr:from>
    <xdr:to>
      <xdr:col>5</xdr:col>
      <xdr:colOff>628650</xdr:colOff>
      <xdr:row>108</xdr:row>
      <xdr:rowOff>64454</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19593</xdr:rowOff>
    </xdr:from>
    <xdr:to>
      <xdr:col>5</xdr:col>
      <xdr:colOff>628650</xdr:colOff>
      <xdr:row>111</xdr:row>
      <xdr:rowOff>48579</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2685</xdr:rowOff>
    </xdr:from>
    <xdr:to>
      <xdr:col>5</xdr:col>
      <xdr:colOff>628650</xdr:colOff>
      <xdr:row>110</xdr:row>
      <xdr:rowOff>45404</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1097</xdr:rowOff>
    </xdr:from>
    <xdr:to>
      <xdr:col>5</xdr:col>
      <xdr:colOff>628650</xdr:colOff>
      <xdr:row>113</xdr:row>
      <xdr:rowOff>9631</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28085</xdr:rowOff>
    </xdr:from>
    <xdr:to>
      <xdr:col>5</xdr:col>
      <xdr:colOff>628650</xdr:colOff>
      <xdr:row>112</xdr:row>
      <xdr:rowOff>8838</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11549</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10755</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173831</xdr:rowOff>
    </xdr:from>
    <xdr:to>
      <xdr:col>5</xdr:col>
      <xdr:colOff>609600</xdr:colOff>
      <xdr:row>222</xdr:row>
      <xdr:rowOff>11112</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154781</xdr:rowOff>
    </xdr:from>
    <xdr:to>
      <xdr:col>5</xdr:col>
      <xdr:colOff>609600</xdr:colOff>
      <xdr:row>221</xdr:row>
      <xdr:rowOff>106362</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121034</xdr:rowOff>
    </xdr:from>
    <xdr:to>
      <xdr:col>5</xdr:col>
      <xdr:colOff>609600</xdr:colOff>
      <xdr:row>223</xdr:row>
      <xdr:rowOff>11112</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121033</xdr:rowOff>
    </xdr:from>
    <xdr:to>
      <xdr:col>5</xdr:col>
      <xdr:colOff>609600</xdr:colOff>
      <xdr:row>210</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163512</xdr:rowOff>
    </xdr:from>
    <xdr:to>
      <xdr:col>5</xdr:col>
      <xdr:colOff>609600</xdr:colOff>
      <xdr:row>187</xdr:row>
      <xdr:rowOff>133349</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171040</xdr:rowOff>
    </xdr:from>
    <xdr:to>
      <xdr:col>5</xdr:col>
      <xdr:colOff>609600</xdr:colOff>
      <xdr:row>188</xdr:row>
      <xdr:rowOff>134937</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163102</xdr:rowOff>
    </xdr:from>
    <xdr:to>
      <xdr:col>5</xdr:col>
      <xdr:colOff>609600</xdr:colOff>
      <xdr:row>190</xdr:row>
      <xdr:rowOff>11112</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144846</xdr:rowOff>
    </xdr:from>
    <xdr:to>
      <xdr:col>5</xdr:col>
      <xdr:colOff>609600</xdr:colOff>
      <xdr:row>196</xdr:row>
      <xdr:rowOff>145256</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126447</xdr:rowOff>
    </xdr:from>
    <xdr:to>
      <xdr:col>5</xdr:col>
      <xdr:colOff>628650</xdr:colOff>
      <xdr:row>53</xdr:row>
      <xdr:rowOff>212699</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163271</xdr:rowOff>
    </xdr:from>
    <xdr:to>
      <xdr:col>5</xdr:col>
      <xdr:colOff>628650</xdr:colOff>
      <xdr:row>54</xdr:row>
      <xdr:rowOff>22224</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212699</xdr:rowOff>
    </xdr:from>
    <xdr:to>
      <xdr:col>5</xdr:col>
      <xdr:colOff>628650</xdr:colOff>
      <xdr:row>55</xdr:row>
      <xdr:rowOff>152374</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28574</xdr:rowOff>
    </xdr:from>
    <xdr:to>
      <xdr:col>5</xdr:col>
      <xdr:colOff>628650</xdr:colOff>
      <xdr:row>56</xdr:row>
      <xdr:rowOff>161106</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207963</xdr:rowOff>
    </xdr:from>
    <xdr:to>
      <xdr:col>5</xdr:col>
      <xdr:colOff>628650</xdr:colOff>
      <xdr:row>57</xdr:row>
      <xdr:rowOff>149225</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71</xdr:row>
      <xdr:rowOff>48419</xdr:rowOff>
    </xdr:from>
    <xdr:to>
      <xdr:col>5</xdr:col>
      <xdr:colOff>628650</xdr:colOff>
      <xdr:row>75</xdr:row>
      <xdr:rowOff>97632</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46832</xdr:rowOff>
    </xdr:from>
    <xdr:to>
      <xdr:col>5</xdr:col>
      <xdr:colOff>628650</xdr:colOff>
      <xdr:row>76</xdr:row>
      <xdr:rowOff>84932</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29369</xdr:rowOff>
    </xdr:from>
    <xdr:to>
      <xdr:col>5</xdr:col>
      <xdr:colOff>628650</xdr:colOff>
      <xdr:row>77</xdr:row>
      <xdr:rowOff>86519</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30957</xdr:rowOff>
    </xdr:from>
    <xdr:to>
      <xdr:col>5</xdr:col>
      <xdr:colOff>628650</xdr:colOff>
      <xdr:row>78</xdr:row>
      <xdr:rowOff>66675</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63500</xdr:rowOff>
    </xdr:from>
    <xdr:to>
      <xdr:col>5</xdr:col>
      <xdr:colOff>628650</xdr:colOff>
      <xdr:row>99</xdr:row>
      <xdr:rowOff>85725</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7144</xdr:rowOff>
    </xdr:from>
    <xdr:to>
      <xdr:col>5</xdr:col>
      <xdr:colOff>628650</xdr:colOff>
      <xdr:row>100</xdr:row>
      <xdr:rowOff>47865</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10319</xdr:rowOff>
    </xdr:from>
    <xdr:to>
      <xdr:col>5</xdr:col>
      <xdr:colOff>628650</xdr:colOff>
      <xdr:row>101</xdr:row>
      <xdr:rowOff>57890</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2212</xdr:rowOff>
    </xdr:from>
    <xdr:to>
      <xdr:col>5</xdr:col>
      <xdr:colOff>628650</xdr:colOff>
      <xdr:row>101</xdr:row>
      <xdr:rowOff>96837</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164306</xdr:rowOff>
    </xdr:from>
    <xdr:to>
      <xdr:col>5</xdr:col>
      <xdr:colOff>609600</xdr:colOff>
      <xdr:row>221</xdr:row>
      <xdr:rowOff>164306</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126206</xdr:rowOff>
    </xdr:from>
    <xdr:to>
      <xdr:col>5</xdr:col>
      <xdr:colOff>609600</xdr:colOff>
      <xdr:row>221</xdr:row>
      <xdr:rowOff>88106</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126206</xdr:rowOff>
    </xdr:from>
    <xdr:to>
      <xdr:col>5</xdr:col>
      <xdr:colOff>609600</xdr:colOff>
      <xdr:row>222</xdr:row>
      <xdr:rowOff>164306</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126206</xdr:rowOff>
    </xdr:from>
    <xdr:to>
      <xdr:col>5</xdr:col>
      <xdr:colOff>609600</xdr:colOff>
      <xdr:row>210</xdr:row>
      <xdr:rowOff>88106</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114300</xdr:rowOff>
    </xdr:from>
    <xdr:to>
      <xdr:col>5</xdr:col>
      <xdr:colOff>609600</xdr:colOff>
      <xdr:row>187</xdr:row>
      <xdr:rowOff>123825</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794</xdr:rowOff>
    </xdr:from>
    <xdr:to>
      <xdr:col>5</xdr:col>
      <xdr:colOff>609600</xdr:colOff>
      <xdr:row>188</xdr:row>
      <xdr:rowOff>134937</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189</xdr:row>
      <xdr:rowOff>164306</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143668</xdr:rowOff>
    </xdr:from>
    <xdr:to>
      <xdr:col>5</xdr:col>
      <xdr:colOff>609600</xdr:colOff>
      <xdr:row>196</xdr:row>
      <xdr:rowOff>126206</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168516</xdr:rowOff>
    </xdr:from>
    <xdr:to>
      <xdr:col>5</xdr:col>
      <xdr:colOff>609600</xdr:colOff>
      <xdr:row>52</xdr:row>
      <xdr:rowOff>6903</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163271</xdr:rowOff>
    </xdr:from>
    <xdr:to>
      <xdr:col>5</xdr:col>
      <xdr:colOff>609600</xdr:colOff>
      <xdr:row>52</xdr:row>
      <xdr:rowOff>441085</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212699</xdr:rowOff>
    </xdr:from>
    <xdr:to>
      <xdr:col>5</xdr:col>
      <xdr:colOff>609600</xdr:colOff>
      <xdr:row>56</xdr:row>
      <xdr:rowOff>107131</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12237</xdr:rowOff>
    </xdr:from>
    <xdr:to>
      <xdr:col>5</xdr:col>
      <xdr:colOff>609600</xdr:colOff>
      <xdr:row>59</xdr:row>
      <xdr:rowOff>105569</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207963</xdr:rowOff>
    </xdr:from>
    <xdr:to>
      <xdr:col>5</xdr:col>
      <xdr:colOff>609600</xdr:colOff>
      <xdr:row>61</xdr:row>
      <xdr:rowOff>57150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46038</xdr:rowOff>
    </xdr:from>
    <xdr:to>
      <xdr:col>5</xdr:col>
      <xdr:colOff>609600</xdr:colOff>
      <xdr:row>75</xdr:row>
      <xdr:rowOff>97632</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7144</xdr:rowOff>
    </xdr:from>
    <xdr:to>
      <xdr:col>5</xdr:col>
      <xdr:colOff>609600</xdr:colOff>
      <xdr:row>76</xdr:row>
      <xdr:rowOff>84932</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86519</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11907</xdr:rowOff>
    </xdr:from>
    <xdr:to>
      <xdr:col>5</xdr:col>
      <xdr:colOff>609600</xdr:colOff>
      <xdr:row>78</xdr:row>
      <xdr:rowOff>66675</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69057</xdr:rowOff>
    </xdr:from>
    <xdr:to>
      <xdr:col>5</xdr:col>
      <xdr:colOff>609600</xdr:colOff>
      <xdr:row>99</xdr:row>
      <xdr:rowOff>162719</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0</xdr:rowOff>
    </xdr:from>
    <xdr:to>
      <xdr:col>5</xdr:col>
      <xdr:colOff>609600</xdr:colOff>
      <xdr:row>99</xdr:row>
      <xdr:rowOff>162719</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9525</xdr:rowOff>
    </xdr:from>
    <xdr:to>
      <xdr:col>5</xdr:col>
      <xdr:colOff>609600</xdr:colOff>
      <xdr:row>100</xdr:row>
      <xdr:rowOff>107103</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162719</xdr:rowOff>
    </xdr:from>
    <xdr:to>
      <xdr:col>5</xdr:col>
      <xdr:colOff>609600</xdr:colOff>
      <xdr:row>101</xdr:row>
      <xdr:rowOff>3121</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164306</xdr:rowOff>
    </xdr:from>
    <xdr:to>
      <xdr:col>5</xdr:col>
      <xdr:colOff>609600</xdr:colOff>
      <xdr:row>222</xdr:row>
      <xdr:rowOff>164306</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126206</xdr:rowOff>
    </xdr:from>
    <xdr:to>
      <xdr:col>5</xdr:col>
      <xdr:colOff>609600</xdr:colOff>
      <xdr:row>222</xdr:row>
      <xdr:rowOff>88106</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126206</xdr:rowOff>
    </xdr:from>
    <xdr:to>
      <xdr:col>5</xdr:col>
      <xdr:colOff>609600</xdr:colOff>
      <xdr:row>223</xdr:row>
      <xdr:rowOff>164306</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126206</xdr:rowOff>
    </xdr:from>
    <xdr:to>
      <xdr:col>5</xdr:col>
      <xdr:colOff>609600</xdr:colOff>
      <xdr:row>211</xdr:row>
      <xdr:rowOff>88106</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112712</xdr:rowOff>
    </xdr:from>
    <xdr:to>
      <xdr:col>5</xdr:col>
      <xdr:colOff>609600</xdr:colOff>
      <xdr:row>188</xdr:row>
      <xdr:rowOff>105568</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161925</xdr:rowOff>
    </xdr:from>
    <xdr:to>
      <xdr:col>5</xdr:col>
      <xdr:colOff>609600</xdr:colOff>
      <xdr:row>189</xdr:row>
      <xdr:rowOff>126206</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161925</xdr:rowOff>
    </xdr:from>
    <xdr:to>
      <xdr:col>5</xdr:col>
      <xdr:colOff>609600</xdr:colOff>
      <xdr:row>190</xdr:row>
      <xdr:rowOff>164306</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134937</xdr:rowOff>
    </xdr:from>
    <xdr:to>
      <xdr:col>5</xdr:col>
      <xdr:colOff>609600</xdr:colOff>
      <xdr:row>197</xdr:row>
      <xdr:rowOff>126206</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225425</xdr:rowOff>
    </xdr:from>
    <xdr:to>
      <xdr:col>5</xdr:col>
      <xdr:colOff>609600</xdr:colOff>
      <xdr:row>53</xdr:row>
      <xdr:rowOff>19051</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19051</xdr:rowOff>
    </xdr:from>
    <xdr:to>
      <xdr:col>5</xdr:col>
      <xdr:colOff>609600</xdr:colOff>
      <xdr:row>53</xdr:row>
      <xdr:rowOff>133351</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12237</xdr:rowOff>
    </xdr:from>
    <xdr:to>
      <xdr:col>5</xdr:col>
      <xdr:colOff>609600</xdr:colOff>
      <xdr:row>57</xdr:row>
      <xdr:rowOff>133350</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169863</xdr:rowOff>
    </xdr:from>
    <xdr:to>
      <xdr:col>5</xdr:col>
      <xdr:colOff>609600</xdr:colOff>
      <xdr:row>60</xdr:row>
      <xdr:rowOff>54769</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1</xdr:rowOff>
    </xdr:from>
    <xdr:to>
      <xdr:col>5</xdr:col>
      <xdr:colOff>609600</xdr:colOff>
      <xdr:row>62</xdr:row>
      <xdr:rowOff>40482</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7144</xdr:rowOff>
    </xdr:from>
    <xdr:to>
      <xdr:col>5</xdr:col>
      <xdr:colOff>609600</xdr:colOff>
      <xdr:row>76</xdr:row>
      <xdr:rowOff>84932</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86519</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11907</xdr:rowOff>
    </xdr:from>
    <xdr:to>
      <xdr:col>5</xdr:col>
      <xdr:colOff>609600</xdr:colOff>
      <xdr:row>78</xdr:row>
      <xdr:rowOff>66675</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0</xdr:rowOff>
    </xdr:from>
    <xdr:to>
      <xdr:col>5</xdr:col>
      <xdr:colOff>609600</xdr:colOff>
      <xdr:row>79</xdr:row>
      <xdr:rowOff>68262</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0</xdr:rowOff>
    </xdr:from>
    <xdr:to>
      <xdr:col>5</xdr:col>
      <xdr:colOff>609600</xdr:colOff>
      <xdr:row>101</xdr:row>
      <xdr:rowOff>49212</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9525</xdr:rowOff>
    </xdr:from>
    <xdr:to>
      <xdr:col>5</xdr:col>
      <xdr:colOff>609600</xdr:colOff>
      <xdr:row>101</xdr:row>
      <xdr:rowOff>49212</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9525</xdr:rowOff>
    </xdr:from>
    <xdr:to>
      <xdr:col>5</xdr:col>
      <xdr:colOff>609600</xdr:colOff>
      <xdr:row>101</xdr:row>
      <xdr:rowOff>57150</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162719</xdr:rowOff>
    </xdr:from>
    <xdr:to>
      <xdr:col>5</xdr:col>
      <xdr:colOff>609600</xdr:colOff>
      <xdr:row>101</xdr:row>
      <xdr:rowOff>161925</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692944</xdr:colOff>
      <xdr:row>8</xdr:row>
      <xdr:rowOff>76200</xdr:rowOff>
    </xdr:from>
    <xdr:to>
      <xdr:col>21</xdr:col>
      <xdr:colOff>616744</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13</xdr:row>
      <xdr:rowOff>130175</xdr:rowOff>
    </xdr:from>
    <xdr:to>
      <xdr:col>21</xdr:col>
      <xdr:colOff>445294</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24</xdr:row>
      <xdr:rowOff>130175</xdr:rowOff>
    </xdr:from>
    <xdr:to>
      <xdr:col>21</xdr:col>
      <xdr:colOff>445294</xdr:colOff>
      <xdr:row>28</xdr:row>
      <xdr:rowOff>168275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654844</xdr:colOff>
      <xdr:row>121</xdr:row>
      <xdr:rowOff>85724</xdr:rowOff>
    </xdr:from>
    <xdr:to>
      <xdr:col>21</xdr:col>
      <xdr:colOff>445294</xdr:colOff>
      <xdr:row>125</xdr:row>
      <xdr:rowOff>123031</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164306</xdr:rowOff>
    </xdr:from>
    <xdr:to>
      <xdr:col>5</xdr:col>
      <xdr:colOff>609600</xdr:colOff>
      <xdr:row>247</xdr:row>
      <xdr:rowOff>164306</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126206</xdr:rowOff>
    </xdr:from>
    <xdr:to>
      <xdr:col>5</xdr:col>
      <xdr:colOff>609600</xdr:colOff>
      <xdr:row>247</xdr:row>
      <xdr:rowOff>88106</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126206</xdr:rowOff>
    </xdr:from>
    <xdr:to>
      <xdr:col>5</xdr:col>
      <xdr:colOff>609600</xdr:colOff>
      <xdr:row>248</xdr:row>
      <xdr:rowOff>164306</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126206</xdr:rowOff>
    </xdr:from>
    <xdr:to>
      <xdr:col>5</xdr:col>
      <xdr:colOff>609600</xdr:colOff>
      <xdr:row>236</xdr:row>
      <xdr:rowOff>88106</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50006</xdr:rowOff>
    </xdr:from>
    <xdr:to>
      <xdr:col>5</xdr:col>
      <xdr:colOff>609600</xdr:colOff>
      <xdr:row>213</xdr:row>
      <xdr:rowOff>88106</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126206</xdr:rowOff>
    </xdr:from>
    <xdr:to>
      <xdr:col>5</xdr:col>
      <xdr:colOff>609600</xdr:colOff>
      <xdr:row>214</xdr:row>
      <xdr:rowOff>126206</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126206</xdr:rowOff>
    </xdr:from>
    <xdr:to>
      <xdr:col>5</xdr:col>
      <xdr:colOff>609600</xdr:colOff>
      <xdr:row>215</xdr:row>
      <xdr:rowOff>164306</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126206</xdr:rowOff>
    </xdr:from>
    <xdr:to>
      <xdr:col>5</xdr:col>
      <xdr:colOff>609600</xdr:colOff>
      <xdr:row>222</xdr:row>
      <xdr:rowOff>126206</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50007</xdr:rowOff>
    </xdr:from>
    <xdr:to>
      <xdr:col>5</xdr:col>
      <xdr:colOff>609600</xdr:colOff>
      <xdr:row>77</xdr:row>
      <xdr:rowOff>171450</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50007</xdr:rowOff>
    </xdr:from>
    <xdr:to>
      <xdr:col>5</xdr:col>
      <xdr:colOff>609600</xdr:colOff>
      <xdr:row>79</xdr:row>
      <xdr:rowOff>49212</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169069</xdr:rowOff>
    </xdr:from>
    <xdr:to>
      <xdr:col>5</xdr:col>
      <xdr:colOff>609600</xdr:colOff>
      <xdr:row>80</xdr:row>
      <xdr:rowOff>2381</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162720</xdr:rowOff>
    </xdr:from>
    <xdr:to>
      <xdr:col>5</xdr:col>
      <xdr:colOff>609600</xdr:colOff>
      <xdr:row>83</xdr:row>
      <xdr:rowOff>8732</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114300</xdr:rowOff>
    </xdr:from>
    <xdr:to>
      <xdr:col>5</xdr:col>
      <xdr:colOff>609600</xdr:colOff>
      <xdr:row>88</xdr:row>
      <xdr:rowOff>149225</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161925</xdr:rowOff>
    </xdr:from>
    <xdr:to>
      <xdr:col>5</xdr:col>
      <xdr:colOff>609600</xdr:colOff>
      <xdr:row>100</xdr:row>
      <xdr:rowOff>9525</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102394</xdr:rowOff>
    </xdr:from>
    <xdr:to>
      <xdr:col>5</xdr:col>
      <xdr:colOff>609600</xdr:colOff>
      <xdr:row>101</xdr:row>
      <xdr:rowOff>1587</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102394</xdr:rowOff>
    </xdr:from>
    <xdr:to>
      <xdr:col>5</xdr:col>
      <xdr:colOff>609600</xdr:colOff>
      <xdr:row>102</xdr:row>
      <xdr:rowOff>8731</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102394</xdr:rowOff>
    </xdr:from>
    <xdr:to>
      <xdr:col>5</xdr:col>
      <xdr:colOff>609600</xdr:colOff>
      <xdr:row>103</xdr:row>
      <xdr:rowOff>2382</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84137</xdr:rowOff>
    </xdr:from>
    <xdr:to>
      <xdr:col>5</xdr:col>
      <xdr:colOff>609600</xdr:colOff>
      <xdr:row>125</xdr:row>
      <xdr:rowOff>122237</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85724</xdr:rowOff>
    </xdr:from>
    <xdr:to>
      <xdr:col>5</xdr:col>
      <xdr:colOff>609600</xdr:colOff>
      <xdr:row>125</xdr:row>
      <xdr:rowOff>122237</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65087</xdr:rowOff>
    </xdr:from>
    <xdr:to>
      <xdr:col>5</xdr:col>
      <xdr:colOff>609600</xdr:colOff>
      <xdr:row>125</xdr:row>
      <xdr:rowOff>122237</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50799</xdr:rowOff>
    </xdr:from>
    <xdr:to>
      <xdr:col>5</xdr:col>
      <xdr:colOff>609600</xdr:colOff>
      <xdr:row>125</xdr:row>
      <xdr:rowOff>122237</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24</xdr:row>
      <xdr:rowOff>130175</xdr:rowOff>
    </xdr:from>
    <xdr:to>
      <xdr:col>21</xdr:col>
      <xdr:colOff>445294</xdr:colOff>
      <xdr:row>28</xdr:row>
      <xdr:rowOff>168275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146</xdr:row>
      <xdr:rowOff>50006</xdr:rowOff>
    </xdr:from>
    <xdr:to>
      <xdr:col>21</xdr:col>
      <xdr:colOff>445294</xdr:colOff>
      <xdr:row>150</xdr:row>
      <xdr:rowOff>88106</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673894</xdr:colOff>
      <xdr:row>30</xdr:row>
      <xdr:rowOff>92075</xdr:rowOff>
    </xdr:from>
    <xdr:to>
      <xdr:col>21</xdr:col>
      <xdr:colOff>407194</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863600</xdr:colOff>
      <xdr:row>31</xdr:row>
      <xdr:rowOff>92075</xdr:rowOff>
    </xdr:from>
    <xdr:to>
      <xdr:col>16</xdr:col>
      <xdr:colOff>407194</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142081</xdr:rowOff>
    </xdr:from>
    <xdr:to>
      <xdr:col>5</xdr:col>
      <xdr:colOff>609600</xdr:colOff>
      <xdr:row>243</xdr:row>
      <xdr:rowOff>142081</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103981</xdr:rowOff>
    </xdr:from>
    <xdr:to>
      <xdr:col>5</xdr:col>
      <xdr:colOff>609600</xdr:colOff>
      <xdr:row>243</xdr:row>
      <xdr:rowOff>65881</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103981</xdr:rowOff>
    </xdr:from>
    <xdr:to>
      <xdr:col>5</xdr:col>
      <xdr:colOff>609600</xdr:colOff>
      <xdr:row>244</xdr:row>
      <xdr:rowOff>142081</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103981</xdr:rowOff>
    </xdr:from>
    <xdr:to>
      <xdr:col>5</xdr:col>
      <xdr:colOff>609600</xdr:colOff>
      <xdr:row>232</xdr:row>
      <xdr:rowOff>65881</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27781</xdr:rowOff>
    </xdr:from>
    <xdr:to>
      <xdr:col>5</xdr:col>
      <xdr:colOff>609600</xdr:colOff>
      <xdr:row>209</xdr:row>
      <xdr:rowOff>65881</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103981</xdr:rowOff>
    </xdr:from>
    <xdr:to>
      <xdr:col>5</xdr:col>
      <xdr:colOff>609600</xdr:colOff>
      <xdr:row>210</xdr:row>
      <xdr:rowOff>123031</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103981</xdr:rowOff>
    </xdr:from>
    <xdr:to>
      <xdr:col>5</xdr:col>
      <xdr:colOff>609600</xdr:colOff>
      <xdr:row>211</xdr:row>
      <xdr:rowOff>142081</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103981</xdr:rowOff>
    </xdr:from>
    <xdr:to>
      <xdr:col>5</xdr:col>
      <xdr:colOff>609600</xdr:colOff>
      <xdr:row>218</xdr:row>
      <xdr:rowOff>123031</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29369</xdr:rowOff>
    </xdr:from>
    <xdr:to>
      <xdr:col>5</xdr:col>
      <xdr:colOff>609600</xdr:colOff>
      <xdr:row>73</xdr:row>
      <xdr:rowOff>170657</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29369</xdr:rowOff>
    </xdr:from>
    <xdr:to>
      <xdr:col>5</xdr:col>
      <xdr:colOff>609600</xdr:colOff>
      <xdr:row>75</xdr:row>
      <xdr:rowOff>48419</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143669</xdr:rowOff>
    </xdr:from>
    <xdr:to>
      <xdr:col>5</xdr:col>
      <xdr:colOff>609600</xdr:colOff>
      <xdr:row>76</xdr:row>
      <xdr:rowOff>11907</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143669</xdr:rowOff>
    </xdr:from>
    <xdr:to>
      <xdr:col>5</xdr:col>
      <xdr:colOff>609600</xdr:colOff>
      <xdr:row>79</xdr:row>
      <xdr:rowOff>28575</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116682</xdr:rowOff>
    </xdr:from>
    <xdr:to>
      <xdr:col>5</xdr:col>
      <xdr:colOff>609600</xdr:colOff>
      <xdr:row>84</xdr:row>
      <xdr:rowOff>123032</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163512</xdr:rowOff>
    </xdr:from>
    <xdr:to>
      <xdr:col>5</xdr:col>
      <xdr:colOff>609600</xdr:colOff>
      <xdr:row>96</xdr:row>
      <xdr:rowOff>0</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76994</xdr:rowOff>
    </xdr:from>
    <xdr:to>
      <xdr:col>5</xdr:col>
      <xdr:colOff>609600</xdr:colOff>
      <xdr:row>97</xdr:row>
      <xdr:rowOff>9525</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17463</xdr:rowOff>
    </xdr:from>
    <xdr:to>
      <xdr:col>5</xdr:col>
      <xdr:colOff>609600</xdr:colOff>
      <xdr:row>98</xdr:row>
      <xdr:rowOff>9525</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199232</xdr:rowOff>
    </xdr:from>
    <xdr:to>
      <xdr:col>5</xdr:col>
      <xdr:colOff>609600</xdr:colOff>
      <xdr:row>99</xdr:row>
      <xdr:rowOff>9526</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68262</xdr:rowOff>
    </xdr:from>
    <xdr:to>
      <xdr:col>5</xdr:col>
      <xdr:colOff>609600</xdr:colOff>
      <xdr:row>121</xdr:row>
      <xdr:rowOff>122237</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68262</xdr:rowOff>
    </xdr:from>
    <xdr:to>
      <xdr:col>5</xdr:col>
      <xdr:colOff>609600</xdr:colOff>
      <xdr:row>121</xdr:row>
      <xdr:rowOff>122237</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68262</xdr:rowOff>
    </xdr:from>
    <xdr:to>
      <xdr:col>5</xdr:col>
      <xdr:colOff>609600</xdr:colOff>
      <xdr:row>121</xdr:row>
      <xdr:rowOff>122237</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30162</xdr:rowOff>
    </xdr:from>
    <xdr:to>
      <xdr:col>5</xdr:col>
      <xdr:colOff>609600</xdr:colOff>
      <xdr:row>121</xdr:row>
      <xdr:rowOff>122237</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20</xdr:row>
      <xdr:rowOff>466725</xdr:rowOff>
    </xdr:from>
    <xdr:to>
      <xdr:col>21</xdr:col>
      <xdr:colOff>445294</xdr:colOff>
      <xdr:row>24</xdr:row>
      <xdr:rowOff>152400</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142</xdr:row>
      <xdr:rowOff>27781</xdr:rowOff>
    </xdr:from>
    <xdr:to>
      <xdr:col>21</xdr:col>
      <xdr:colOff>445294</xdr:colOff>
      <xdr:row>146</xdr:row>
      <xdr:rowOff>65881</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673894</xdr:colOff>
      <xdr:row>26</xdr:row>
      <xdr:rowOff>95250</xdr:rowOff>
    </xdr:from>
    <xdr:to>
      <xdr:col>21</xdr:col>
      <xdr:colOff>407194</xdr:colOff>
      <xdr:row>30</xdr:row>
      <xdr:rowOff>152400</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863600</xdr:colOff>
      <xdr:row>27</xdr:row>
      <xdr:rowOff>95250</xdr:rowOff>
    </xdr:from>
    <xdr:to>
      <xdr:col>16</xdr:col>
      <xdr:colOff>407194</xdr:colOff>
      <xdr:row>31</xdr:row>
      <xdr:rowOff>152400</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221</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76200</xdr:rowOff>
    </xdr:from>
    <xdr:to>
      <xdr:col>5</xdr:col>
      <xdr:colOff>609600</xdr:colOff>
      <xdr:row>186</xdr:row>
      <xdr:rowOff>114300</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152400</xdr:rowOff>
    </xdr:from>
    <xdr:to>
      <xdr:col>5</xdr:col>
      <xdr:colOff>609600</xdr:colOff>
      <xdr:row>187</xdr:row>
      <xdr:rowOff>171450</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152400</xdr:rowOff>
    </xdr:from>
    <xdr:to>
      <xdr:col>5</xdr:col>
      <xdr:colOff>609600</xdr:colOff>
      <xdr:row>189</xdr:row>
      <xdr:rowOff>0</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152400</xdr:rowOff>
    </xdr:from>
    <xdr:to>
      <xdr:col>5</xdr:col>
      <xdr:colOff>609600</xdr:colOff>
      <xdr:row>195</xdr:row>
      <xdr:rowOff>171450</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82551</xdr:rowOff>
    </xdr:from>
    <xdr:to>
      <xdr:col>5</xdr:col>
      <xdr:colOff>609600</xdr:colOff>
      <xdr:row>52</xdr:row>
      <xdr:rowOff>220663</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82551</xdr:rowOff>
    </xdr:from>
    <xdr:to>
      <xdr:col>5</xdr:col>
      <xdr:colOff>609600</xdr:colOff>
      <xdr:row>52</xdr:row>
      <xdr:rowOff>478632</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34925</xdr:rowOff>
    </xdr:from>
    <xdr:to>
      <xdr:col>5</xdr:col>
      <xdr:colOff>609600</xdr:colOff>
      <xdr:row>53</xdr:row>
      <xdr:rowOff>311150</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239713</xdr:rowOff>
    </xdr:from>
    <xdr:to>
      <xdr:col>5</xdr:col>
      <xdr:colOff>609600</xdr:colOff>
      <xdr:row>56</xdr:row>
      <xdr:rowOff>84932</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48418</xdr:rowOff>
    </xdr:from>
    <xdr:to>
      <xdr:col>5</xdr:col>
      <xdr:colOff>609600</xdr:colOff>
      <xdr:row>61</xdr:row>
      <xdr:rowOff>152400</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342107</xdr:rowOff>
    </xdr:from>
    <xdr:to>
      <xdr:col>5</xdr:col>
      <xdr:colOff>609600</xdr:colOff>
      <xdr:row>73</xdr:row>
      <xdr:rowOff>34925</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47625</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139700</xdr:rowOff>
    </xdr:from>
    <xdr:to>
      <xdr:col>5</xdr:col>
      <xdr:colOff>609600</xdr:colOff>
      <xdr:row>75</xdr:row>
      <xdr:rowOff>47625</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47625</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54769</xdr:rowOff>
    </xdr:from>
    <xdr:to>
      <xdr:col>5</xdr:col>
      <xdr:colOff>609600</xdr:colOff>
      <xdr:row>98</xdr:row>
      <xdr:rowOff>171450</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98</xdr:row>
      <xdr:rowOff>171450</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98</xdr:row>
      <xdr:rowOff>171450</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145256</xdr:rowOff>
    </xdr:from>
    <xdr:to>
      <xdr:col>5</xdr:col>
      <xdr:colOff>609600</xdr:colOff>
      <xdr:row>98</xdr:row>
      <xdr:rowOff>171450</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119</xdr:row>
      <xdr:rowOff>76200</xdr:rowOff>
    </xdr:from>
    <xdr:to>
      <xdr:col>21</xdr:col>
      <xdr:colOff>445294</xdr:colOff>
      <xdr:row>123</xdr:row>
      <xdr:rowOff>114300</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14</xdr:row>
      <xdr:rowOff>95250</xdr:rowOff>
    </xdr:from>
    <xdr:to>
      <xdr:col>22</xdr:col>
      <xdr:colOff>616744</xdr:colOff>
      <xdr:row>18</xdr:row>
      <xdr:rowOff>104775</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22</xdr:row>
      <xdr:rowOff>95250</xdr:rowOff>
    </xdr:from>
    <xdr:to>
      <xdr:col>22</xdr:col>
      <xdr:colOff>616744</xdr:colOff>
      <xdr:row>26</xdr:row>
      <xdr:rowOff>123825</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702469</xdr:colOff>
      <xdr:row>123</xdr:row>
      <xdr:rowOff>95250</xdr:rowOff>
    </xdr:from>
    <xdr:to>
      <xdr:col>22</xdr:col>
      <xdr:colOff>616744</xdr:colOff>
      <xdr:row>127</xdr:row>
      <xdr:rowOff>85725</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12478" name="Text Box 158" hidden="1">
          <a:extLst>
            <a:ext uri="{FF2B5EF4-FFF2-40B4-BE49-F238E27FC236}">
              <a16:creationId xmlns:a16="http://schemas.microsoft.com/office/drawing/2014/main" id="{845267AF-BF8B-CB2C-3BA3-985A3DFEEB6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12477" name="Text Box 157" hidden="1">
          <a:extLst>
            <a:ext uri="{FF2B5EF4-FFF2-40B4-BE49-F238E27FC236}">
              <a16:creationId xmlns:a16="http://schemas.microsoft.com/office/drawing/2014/main" id="{C534468E-2626-8EFA-AE62-5DC39719B638}"/>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12476" name="Text Box 156" hidden="1">
          <a:extLst>
            <a:ext uri="{FF2B5EF4-FFF2-40B4-BE49-F238E27FC236}">
              <a16:creationId xmlns:a16="http://schemas.microsoft.com/office/drawing/2014/main" id="{3C064C7C-C04B-B960-6EB2-BB90768E40C2}"/>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12475" name="Text Box 155" hidden="1">
          <a:extLst>
            <a:ext uri="{FF2B5EF4-FFF2-40B4-BE49-F238E27FC236}">
              <a16:creationId xmlns:a16="http://schemas.microsoft.com/office/drawing/2014/main" id="{73BB9345-E304-089F-6193-57C3A5F58509}"/>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12474" name="Text Box 154" hidden="1">
          <a:extLst>
            <a:ext uri="{FF2B5EF4-FFF2-40B4-BE49-F238E27FC236}">
              <a16:creationId xmlns:a16="http://schemas.microsoft.com/office/drawing/2014/main" id="{39B8AF94-BDBC-8C76-CE23-D87D28437683}"/>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85725</xdr:rowOff>
    </xdr:from>
    <xdr:to>
      <xdr:col>5</xdr:col>
      <xdr:colOff>609600</xdr:colOff>
      <xdr:row>187</xdr:row>
      <xdr:rowOff>114300</xdr:rowOff>
    </xdr:to>
    <xdr:sp macro="" textlink="">
      <xdr:nvSpPr>
        <xdr:cNvPr id="312473" name="Text Box 153" hidden="1">
          <a:extLst>
            <a:ext uri="{FF2B5EF4-FFF2-40B4-BE49-F238E27FC236}">
              <a16:creationId xmlns:a16="http://schemas.microsoft.com/office/drawing/2014/main" id="{1E8377F0-0A5C-81E2-F72F-C5CC0054A490}"/>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161925</xdr:rowOff>
    </xdr:from>
    <xdr:to>
      <xdr:col>5</xdr:col>
      <xdr:colOff>609600</xdr:colOff>
      <xdr:row>188</xdr:row>
      <xdr:rowOff>171450</xdr:rowOff>
    </xdr:to>
    <xdr:sp macro="" textlink="">
      <xdr:nvSpPr>
        <xdr:cNvPr id="312472" name="Text Box 152" hidden="1">
          <a:extLst>
            <a:ext uri="{FF2B5EF4-FFF2-40B4-BE49-F238E27FC236}">
              <a16:creationId xmlns:a16="http://schemas.microsoft.com/office/drawing/2014/main" id="{976A5749-690B-4C07-224A-C60A67D4B537}"/>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190</xdr:row>
      <xdr:rowOff>0</xdr:rowOff>
    </xdr:to>
    <xdr:sp macro="" textlink="">
      <xdr:nvSpPr>
        <xdr:cNvPr id="312471" name="Text Box 151" hidden="1">
          <a:extLst>
            <a:ext uri="{FF2B5EF4-FFF2-40B4-BE49-F238E27FC236}">
              <a16:creationId xmlns:a16="http://schemas.microsoft.com/office/drawing/2014/main" id="{8185C859-B82E-6C2E-4423-385430DB322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12470" name="Text Box 150" hidden="1">
          <a:extLst>
            <a:ext uri="{FF2B5EF4-FFF2-40B4-BE49-F238E27FC236}">
              <a16:creationId xmlns:a16="http://schemas.microsoft.com/office/drawing/2014/main" id="{B58EC60B-4C67-760F-130A-5474FB471022}"/>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52</xdr:row>
      <xdr:rowOff>492919</xdr:rowOff>
    </xdr:to>
    <xdr:sp macro="" textlink="">
      <xdr:nvSpPr>
        <xdr:cNvPr id="312469" name="Text Box 149" hidden="1">
          <a:extLst>
            <a:ext uri="{FF2B5EF4-FFF2-40B4-BE49-F238E27FC236}">
              <a16:creationId xmlns:a16="http://schemas.microsoft.com/office/drawing/2014/main" id="{1F4201A8-0053-A269-9098-DBBA9106F362}"/>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217487</xdr:rowOff>
    </xdr:to>
    <xdr:sp macro="" textlink="">
      <xdr:nvSpPr>
        <xdr:cNvPr id="312468" name="Text Box 148" hidden="1">
          <a:extLst>
            <a:ext uri="{FF2B5EF4-FFF2-40B4-BE49-F238E27FC236}">
              <a16:creationId xmlns:a16="http://schemas.microsoft.com/office/drawing/2014/main" id="{52485202-0A48-1D63-4A6D-5F684F4EF2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416719</xdr:rowOff>
    </xdr:from>
    <xdr:to>
      <xdr:col>5</xdr:col>
      <xdr:colOff>609600</xdr:colOff>
      <xdr:row>55</xdr:row>
      <xdr:rowOff>126206</xdr:rowOff>
    </xdr:to>
    <xdr:sp macro="" textlink="">
      <xdr:nvSpPr>
        <xdr:cNvPr id="312467" name="Text Box 147" hidden="1">
          <a:extLst>
            <a:ext uri="{FF2B5EF4-FFF2-40B4-BE49-F238E27FC236}">
              <a16:creationId xmlns:a16="http://schemas.microsoft.com/office/drawing/2014/main" id="{E682F73F-77D1-060E-4F5B-852C269F3631}"/>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454819</xdr:rowOff>
    </xdr:from>
    <xdr:to>
      <xdr:col>5</xdr:col>
      <xdr:colOff>609600</xdr:colOff>
      <xdr:row>59</xdr:row>
      <xdr:rowOff>67469</xdr:rowOff>
    </xdr:to>
    <xdr:sp macro="" textlink="">
      <xdr:nvSpPr>
        <xdr:cNvPr id="312466" name="Text Box 146" hidden="1">
          <a:extLst>
            <a:ext uri="{FF2B5EF4-FFF2-40B4-BE49-F238E27FC236}">
              <a16:creationId xmlns:a16="http://schemas.microsoft.com/office/drawing/2014/main" id="{1C1D455E-40B1-9967-304D-6776DD78CF27}"/>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236537</xdr:rowOff>
    </xdr:from>
    <xdr:to>
      <xdr:col>5</xdr:col>
      <xdr:colOff>609600</xdr:colOff>
      <xdr:row>63</xdr:row>
      <xdr:rowOff>2381</xdr:rowOff>
    </xdr:to>
    <xdr:sp macro="" textlink="">
      <xdr:nvSpPr>
        <xdr:cNvPr id="312465" name="Text Box 145" hidden="1">
          <a:extLst>
            <a:ext uri="{FF2B5EF4-FFF2-40B4-BE49-F238E27FC236}">
              <a16:creationId xmlns:a16="http://schemas.microsoft.com/office/drawing/2014/main" id="{8C945AA5-162D-AC38-34C9-D2D0B368ED04}"/>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47625</xdr:rowOff>
    </xdr:to>
    <xdr:sp macro="" textlink="">
      <xdr:nvSpPr>
        <xdr:cNvPr id="312464" name="Text Box 144" hidden="1">
          <a:extLst>
            <a:ext uri="{FF2B5EF4-FFF2-40B4-BE49-F238E27FC236}">
              <a16:creationId xmlns:a16="http://schemas.microsoft.com/office/drawing/2014/main" id="{BBE51AC7-D972-50CF-9BD5-AC3F15A7F693}"/>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139700</xdr:rowOff>
    </xdr:from>
    <xdr:to>
      <xdr:col>5</xdr:col>
      <xdr:colOff>609600</xdr:colOff>
      <xdr:row>75</xdr:row>
      <xdr:rowOff>47625</xdr:rowOff>
    </xdr:to>
    <xdr:sp macro="" textlink="">
      <xdr:nvSpPr>
        <xdr:cNvPr id="312463" name="Text Box 143" hidden="1">
          <a:extLst>
            <a:ext uri="{FF2B5EF4-FFF2-40B4-BE49-F238E27FC236}">
              <a16:creationId xmlns:a16="http://schemas.microsoft.com/office/drawing/2014/main" id="{E2061A42-ADE5-F57C-2817-B1F895E02F7E}"/>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47625</xdr:rowOff>
    </xdr:to>
    <xdr:sp macro="" textlink="">
      <xdr:nvSpPr>
        <xdr:cNvPr id="312462" name="Text Box 142" hidden="1">
          <a:extLst>
            <a:ext uri="{FF2B5EF4-FFF2-40B4-BE49-F238E27FC236}">
              <a16:creationId xmlns:a16="http://schemas.microsoft.com/office/drawing/2014/main" id="{8F453C92-FCF0-4D18-51E0-DE894F5E5DF9}"/>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47625</xdr:rowOff>
    </xdr:to>
    <xdr:sp macro="" textlink="">
      <xdr:nvSpPr>
        <xdr:cNvPr id="312461" name="Text Box 141" hidden="1">
          <a:extLst>
            <a:ext uri="{FF2B5EF4-FFF2-40B4-BE49-F238E27FC236}">
              <a16:creationId xmlns:a16="http://schemas.microsoft.com/office/drawing/2014/main" id="{D1CFB6AB-F62C-4861-5253-59152F41259A}"/>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99</xdr:row>
      <xdr:rowOff>171450</xdr:rowOff>
    </xdr:to>
    <xdr:sp macro="" textlink="">
      <xdr:nvSpPr>
        <xdr:cNvPr id="312460" name="Text Box 140" hidden="1">
          <a:extLst>
            <a:ext uri="{FF2B5EF4-FFF2-40B4-BE49-F238E27FC236}">
              <a16:creationId xmlns:a16="http://schemas.microsoft.com/office/drawing/2014/main" id="{6D348F64-9BD5-E0B9-2E72-F172C9BB3625}"/>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99</xdr:row>
      <xdr:rowOff>171450</xdr:rowOff>
    </xdr:to>
    <xdr:sp macro="" textlink="">
      <xdr:nvSpPr>
        <xdr:cNvPr id="312459" name="Text Box 139" hidden="1">
          <a:extLst>
            <a:ext uri="{FF2B5EF4-FFF2-40B4-BE49-F238E27FC236}">
              <a16:creationId xmlns:a16="http://schemas.microsoft.com/office/drawing/2014/main" id="{2818E02D-DA51-199A-1C2E-09234F60242F}"/>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12458" name="Text Box 138" hidden="1">
          <a:extLst>
            <a:ext uri="{FF2B5EF4-FFF2-40B4-BE49-F238E27FC236}">
              <a16:creationId xmlns:a16="http://schemas.microsoft.com/office/drawing/2014/main" id="{417BF8A8-CED5-FF4D-C4FD-BF0BF89E7A4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82550</xdr:rowOff>
    </xdr:from>
    <xdr:to>
      <xdr:col>5</xdr:col>
      <xdr:colOff>609600</xdr:colOff>
      <xdr:row>99</xdr:row>
      <xdr:rowOff>171450</xdr:rowOff>
    </xdr:to>
    <xdr:sp macro="" textlink="">
      <xdr:nvSpPr>
        <xdr:cNvPr id="312457" name="Text Box 137" hidden="1">
          <a:extLst>
            <a:ext uri="{FF2B5EF4-FFF2-40B4-BE49-F238E27FC236}">
              <a16:creationId xmlns:a16="http://schemas.microsoft.com/office/drawing/2014/main" id="{803C42D5-C5CC-1851-DE36-1629EE010267}"/>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120</xdr:row>
      <xdr:rowOff>76200</xdr:rowOff>
    </xdr:from>
    <xdr:to>
      <xdr:col>21</xdr:col>
      <xdr:colOff>445294</xdr:colOff>
      <xdr:row>124</xdr:row>
      <xdr:rowOff>114300</xdr:rowOff>
    </xdr:to>
    <xdr:sp macro="" textlink="">
      <xdr:nvSpPr>
        <xdr:cNvPr id="312456" name="Text Box 136" hidden="1">
          <a:extLst>
            <a:ext uri="{FF2B5EF4-FFF2-40B4-BE49-F238E27FC236}">
              <a16:creationId xmlns:a16="http://schemas.microsoft.com/office/drawing/2014/main" id="{1B7361AC-F063-C0BC-C9FD-2ED3940D34FD}"/>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95250</xdr:rowOff>
    </xdr:to>
    <xdr:sp macro="" textlink="">
      <xdr:nvSpPr>
        <xdr:cNvPr id="312455" name="Text Box 135" hidden="1">
          <a:extLst>
            <a:ext uri="{FF2B5EF4-FFF2-40B4-BE49-F238E27FC236}">
              <a16:creationId xmlns:a16="http://schemas.microsoft.com/office/drawing/2014/main" id="{7AF7C879-429A-9C1A-B63C-9032FC37A07B}"/>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23</xdr:row>
      <xdr:rowOff>95250</xdr:rowOff>
    </xdr:from>
    <xdr:to>
      <xdr:col>22</xdr:col>
      <xdr:colOff>616744</xdr:colOff>
      <xdr:row>27</xdr:row>
      <xdr:rowOff>114300</xdr:rowOff>
    </xdr:to>
    <xdr:sp macro="" textlink="">
      <xdr:nvSpPr>
        <xdr:cNvPr id="312454" name="Text Box 134" hidden="1">
          <a:extLst>
            <a:ext uri="{FF2B5EF4-FFF2-40B4-BE49-F238E27FC236}">
              <a16:creationId xmlns:a16="http://schemas.microsoft.com/office/drawing/2014/main" id="{25F6315A-DE7C-AE21-9B36-57BDBE98B5C3}"/>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124</xdr:row>
      <xdr:rowOff>95250</xdr:rowOff>
    </xdr:from>
    <xdr:to>
      <xdr:col>22</xdr:col>
      <xdr:colOff>616744</xdr:colOff>
      <xdr:row>128</xdr:row>
      <xdr:rowOff>76200</xdr:rowOff>
    </xdr:to>
    <xdr:sp macro="" textlink="">
      <xdr:nvSpPr>
        <xdr:cNvPr id="312453" name="Text Box 133" hidden="1">
          <a:extLst>
            <a:ext uri="{FF2B5EF4-FFF2-40B4-BE49-F238E27FC236}">
              <a16:creationId xmlns:a16="http://schemas.microsoft.com/office/drawing/2014/main" id="{D35B94F4-CAC4-28F5-F853-621B706E9E0C}"/>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75860" name="Text Box 52" hidden="1">
          <a:extLst>
            <a:ext uri="{FF2B5EF4-FFF2-40B4-BE49-F238E27FC236}">
              <a16:creationId xmlns:a16="http://schemas.microsoft.com/office/drawing/2014/main" id="{9BB0D879-7766-BA29-C5CD-2B2FF210C313}"/>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75859" name="Text Box 51" hidden="1">
          <a:extLst>
            <a:ext uri="{FF2B5EF4-FFF2-40B4-BE49-F238E27FC236}">
              <a16:creationId xmlns:a16="http://schemas.microsoft.com/office/drawing/2014/main" id="{54AF25F4-1B9B-1D56-BB9C-4EAAB778397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75858" name="Text Box 50" hidden="1">
          <a:extLst>
            <a:ext uri="{FF2B5EF4-FFF2-40B4-BE49-F238E27FC236}">
              <a16:creationId xmlns:a16="http://schemas.microsoft.com/office/drawing/2014/main" id="{779D5990-8C31-E68F-BA0D-420FBC8D4C31}"/>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75857" name="Text Box 49" hidden="1">
          <a:extLst>
            <a:ext uri="{FF2B5EF4-FFF2-40B4-BE49-F238E27FC236}">
              <a16:creationId xmlns:a16="http://schemas.microsoft.com/office/drawing/2014/main" id="{13F168C6-C549-C884-27AF-AE275C8A29E2}"/>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75856" name="Text Box 48" hidden="1">
          <a:extLst>
            <a:ext uri="{FF2B5EF4-FFF2-40B4-BE49-F238E27FC236}">
              <a16:creationId xmlns:a16="http://schemas.microsoft.com/office/drawing/2014/main" id="{41CB1053-87EA-1F97-5CAB-7611510B4E8B}"/>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85725</xdr:rowOff>
    </xdr:from>
    <xdr:to>
      <xdr:col>5</xdr:col>
      <xdr:colOff>609600</xdr:colOff>
      <xdr:row>187</xdr:row>
      <xdr:rowOff>114300</xdr:rowOff>
    </xdr:to>
    <xdr:sp macro="" textlink="">
      <xdr:nvSpPr>
        <xdr:cNvPr id="375855" name="Text Box 47" hidden="1">
          <a:extLst>
            <a:ext uri="{FF2B5EF4-FFF2-40B4-BE49-F238E27FC236}">
              <a16:creationId xmlns:a16="http://schemas.microsoft.com/office/drawing/2014/main" id="{005B4CBF-F7B7-DC20-0026-D830EF4317D1}"/>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161925</xdr:rowOff>
    </xdr:from>
    <xdr:to>
      <xdr:col>5</xdr:col>
      <xdr:colOff>609600</xdr:colOff>
      <xdr:row>188</xdr:row>
      <xdr:rowOff>171450</xdr:rowOff>
    </xdr:to>
    <xdr:sp macro="" textlink="">
      <xdr:nvSpPr>
        <xdr:cNvPr id="375854" name="Text Box 46" hidden="1">
          <a:extLst>
            <a:ext uri="{FF2B5EF4-FFF2-40B4-BE49-F238E27FC236}">
              <a16:creationId xmlns:a16="http://schemas.microsoft.com/office/drawing/2014/main" id="{8F18C1EC-D132-4BCA-E42D-773377474E4D}"/>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190</xdr:row>
      <xdr:rowOff>0</xdr:rowOff>
    </xdr:to>
    <xdr:sp macro="" textlink="">
      <xdr:nvSpPr>
        <xdr:cNvPr id="375853" name="Text Box 45" hidden="1">
          <a:extLst>
            <a:ext uri="{FF2B5EF4-FFF2-40B4-BE49-F238E27FC236}">
              <a16:creationId xmlns:a16="http://schemas.microsoft.com/office/drawing/2014/main" id="{030225DF-20C9-D1E5-9D1E-D0EBBE44AAF7}"/>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75852" name="Text Box 44" hidden="1">
          <a:extLst>
            <a:ext uri="{FF2B5EF4-FFF2-40B4-BE49-F238E27FC236}">
              <a16:creationId xmlns:a16="http://schemas.microsoft.com/office/drawing/2014/main" id="{C9F84F35-4BEC-8000-089F-60F1B2525BFD}"/>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52</xdr:row>
      <xdr:rowOff>492919</xdr:rowOff>
    </xdr:to>
    <xdr:sp macro="" textlink="">
      <xdr:nvSpPr>
        <xdr:cNvPr id="375851" name="Text Box 43" hidden="1">
          <a:extLst>
            <a:ext uri="{FF2B5EF4-FFF2-40B4-BE49-F238E27FC236}">
              <a16:creationId xmlns:a16="http://schemas.microsoft.com/office/drawing/2014/main" id="{569BDF41-FC98-5D04-FCC0-C9C57A1DBAAC}"/>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217487</xdr:rowOff>
    </xdr:to>
    <xdr:sp macro="" textlink="">
      <xdr:nvSpPr>
        <xdr:cNvPr id="375850" name="Text Box 42" hidden="1">
          <a:extLst>
            <a:ext uri="{FF2B5EF4-FFF2-40B4-BE49-F238E27FC236}">
              <a16:creationId xmlns:a16="http://schemas.microsoft.com/office/drawing/2014/main" id="{946AF4FC-C6A5-CFD5-7106-2DD8A0F2CC41}"/>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416719</xdr:rowOff>
    </xdr:from>
    <xdr:to>
      <xdr:col>5</xdr:col>
      <xdr:colOff>609600</xdr:colOff>
      <xdr:row>55</xdr:row>
      <xdr:rowOff>126206</xdr:rowOff>
    </xdr:to>
    <xdr:sp macro="" textlink="">
      <xdr:nvSpPr>
        <xdr:cNvPr id="375849" name="Text Box 41" hidden="1">
          <a:extLst>
            <a:ext uri="{FF2B5EF4-FFF2-40B4-BE49-F238E27FC236}">
              <a16:creationId xmlns:a16="http://schemas.microsoft.com/office/drawing/2014/main" id="{934DBEBB-6A49-8579-BA58-59F7C1E1FD39}"/>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454819</xdr:rowOff>
    </xdr:from>
    <xdr:to>
      <xdr:col>5</xdr:col>
      <xdr:colOff>609600</xdr:colOff>
      <xdr:row>59</xdr:row>
      <xdr:rowOff>67469</xdr:rowOff>
    </xdr:to>
    <xdr:sp macro="" textlink="">
      <xdr:nvSpPr>
        <xdr:cNvPr id="375848" name="Text Box 40" hidden="1">
          <a:extLst>
            <a:ext uri="{FF2B5EF4-FFF2-40B4-BE49-F238E27FC236}">
              <a16:creationId xmlns:a16="http://schemas.microsoft.com/office/drawing/2014/main" id="{F65A18DB-EDD8-7D4F-2AE5-042C3189403A}"/>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236537</xdr:rowOff>
    </xdr:from>
    <xdr:to>
      <xdr:col>5</xdr:col>
      <xdr:colOff>609600</xdr:colOff>
      <xdr:row>63</xdr:row>
      <xdr:rowOff>2381</xdr:rowOff>
    </xdr:to>
    <xdr:sp macro="" textlink="">
      <xdr:nvSpPr>
        <xdr:cNvPr id="375847" name="Text Box 39" hidden="1">
          <a:extLst>
            <a:ext uri="{FF2B5EF4-FFF2-40B4-BE49-F238E27FC236}">
              <a16:creationId xmlns:a16="http://schemas.microsoft.com/office/drawing/2014/main" id="{E4B1E98E-FB5F-2FEE-81EF-2AC28E6DF417}"/>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47625</xdr:rowOff>
    </xdr:to>
    <xdr:sp macro="" textlink="">
      <xdr:nvSpPr>
        <xdr:cNvPr id="375846" name="Text Box 38" hidden="1">
          <a:extLst>
            <a:ext uri="{FF2B5EF4-FFF2-40B4-BE49-F238E27FC236}">
              <a16:creationId xmlns:a16="http://schemas.microsoft.com/office/drawing/2014/main" id="{642D6D38-7351-AFDB-C370-BAA4B457F522}"/>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139700</xdr:rowOff>
    </xdr:from>
    <xdr:to>
      <xdr:col>5</xdr:col>
      <xdr:colOff>609600</xdr:colOff>
      <xdr:row>75</xdr:row>
      <xdr:rowOff>47625</xdr:rowOff>
    </xdr:to>
    <xdr:sp macro="" textlink="">
      <xdr:nvSpPr>
        <xdr:cNvPr id="375845" name="Text Box 37" hidden="1">
          <a:extLst>
            <a:ext uri="{FF2B5EF4-FFF2-40B4-BE49-F238E27FC236}">
              <a16:creationId xmlns:a16="http://schemas.microsoft.com/office/drawing/2014/main" id="{E6C71401-D8A1-0CD0-CAD0-688236CF87C3}"/>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47625</xdr:rowOff>
    </xdr:to>
    <xdr:sp macro="" textlink="">
      <xdr:nvSpPr>
        <xdr:cNvPr id="375844" name="Text Box 36" hidden="1">
          <a:extLst>
            <a:ext uri="{FF2B5EF4-FFF2-40B4-BE49-F238E27FC236}">
              <a16:creationId xmlns:a16="http://schemas.microsoft.com/office/drawing/2014/main" id="{33FFD8A1-E924-1101-4800-F64DDD92591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47625</xdr:rowOff>
    </xdr:to>
    <xdr:sp macro="" textlink="">
      <xdr:nvSpPr>
        <xdr:cNvPr id="375843" name="Text Box 35" hidden="1">
          <a:extLst>
            <a:ext uri="{FF2B5EF4-FFF2-40B4-BE49-F238E27FC236}">
              <a16:creationId xmlns:a16="http://schemas.microsoft.com/office/drawing/2014/main" id="{A2A88B2E-F1EA-023F-2A37-2C0517D30844}"/>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99</xdr:row>
      <xdr:rowOff>171450</xdr:rowOff>
    </xdr:to>
    <xdr:sp macro="" textlink="">
      <xdr:nvSpPr>
        <xdr:cNvPr id="375842" name="Text Box 34" hidden="1">
          <a:extLst>
            <a:ext uri="{FF2B5EF4-FFF2-40B4-BE49-F238E27FC236}">
              <a16:creationId xmlns:a16="http://schemas.microsoft.com/office/drawing/2014/main" id="{999D79A8-53E4-362E-D424-2662B60C6319}"/>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99</xdr:row>
      <xdr:rowOff>171450</xdr:rowOff>
    </xdr:to>
    <xdr:sp macro="" textlink="">
      <xdr:nvSpPr>
        <xdr:cNvPr id="375841" name="Text Box 33" hidden="1">
          <a:extLst>
            <a:ext uri="{FF2B5EF4-FFF2-40B4-BE49-F238E27FC236}">
              <a16:creationId xmlns:a16="http://schemas.microsoft.com/office/drawing/2014/main" id="{6B07B8A8-383C-E12D-6D2B-EE5B7C85D185}"/>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75840" name="Text Box 32" hidden="1">
          <a:extLst>
            <a:ext uri="{FF2B5EF4-FFF2-40B4-BE49-F238E27FC236}">
              <a16:creationId xmlns:a16="http://schemas.microsoft.com/office/drawing/2014/main" id="{E42AC223-9CCD-C156-9EEB-702DF63A4468}"/>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82550</xdr:rowOff>
    </xdr:from>
    <xdr:to>
      <xdr:col>5</xdr:col>
      <xdr:colOff>609600</xdr:colOff>
      <xdr:row>99</xdr:row>
      <xdr:rowOff>171450</xdr:rowOff>
    </xdr:to>
    <xdr:sp macro="" textlink="">
      <xdr:nvSpPr>
        <xdr:cNvPr id="375839" name="Text Box 31" hidden="1">
          <a:extLst>
            <a:ext uri="{FF2B5EF4-FFF2-40B4-BE49-F238E27FC236}">
              <a16:creationId xmlns:a16="http://schemas.microsoft.com/office/drawing/2014/main" id="{E0DA22E3-BFF2-BE25-0190-DB4AAAFDF07B}"/>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120</xdr:row>
      <xdr:rowOff>76200</xdr:rowOff>
    </xdr:from>
    <xdr:to>
      <xdr:col>21</xdr:col>
      <xdr:colOff>445294</xdr:colOff>
      <xdr:row>124</xdr:row>
      <xdr:rowOff>114300</xdr:rowOff>
    </xdr:to>
    <xdr:sp macro="" textlink="">
      <xdr:nvSpPr>
        <xdr:cNvPr id="375838" name="Text Box 30" hidden="1">
          <a:extLst>
            <a:ext uri="{FF2B5EF4-FFF2-40B4-BE49-F238E27FC236}">
              <a16:creationId xmlns:a16="http://schemas.microsoft.com/office/drawing/2014/main" id="{8884078D-B363-5302-AF76-DEAF3C9BB4E3}"/>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95250</xdr:rowOff>
    </xdr:to>
    <xdr:sp macro="" textlink="">
      <xdr:nvSpPr>
        <xdr:cNvPr id="375837" name="Text Box 29" hidden="1">
          <a:extLst>
            <a:ext uri="{FF2B5EF4-FFF2-40B4-BE49-F238E27FC236}">
              <a16:creationId xmlns:a16="http://schemas.microsoft.com/office/drawing/2014/main" id="{C3A613E3-05E9-F80A-1D9A-80788981F5A4}"/>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23</xdr:row>
      <xdr:rowOff>95250</xdr:rowOff>
    </xdr:from>
    <xdr:to>
      <xdr:col>22</xdr:col>
      <xdr:colOff>616744</xdr:colOff>
      <xdr:row>27</xdr:row>
      <xdr:rowOff>114300</xdr:rowOff>
    </xdr:to>
    <xdr:sp macro="" textlink="">
      <xdr:nvSpPr>
        <xdr:cNvPr id="375836" name="Text Box 28" hidden="1">
          <a:extLst>
            <a:ext uri="{FF2B5EF4-FFF2-40B4-BE49-F238E27FC236}">
              <a16:creationId xmlns:a16="http://schemas.microsoft.com/office/drawing/2014/main" id="{6DE4DCD4-4056-F9F2-F0B8-05E28EE17480}"/>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124</xdr:row>
      <xdr:rowOff>95250</xdr:rowOff>
    </xdr:from>
    <xdr:to>
      <xdr:col>22</xdr:col>
      <xdr:colOff>616744</xdr:colOff>
      <xdr:row>128</xdr:row>
      <xdr:rowOff>76200</xdr:rowOff>
    </xdr:to>
    <xdr:sp macro="" textlink="">
      <xdr:nvSpPr>
        <xdr:cNvPr id="375835" name="Text Box 27" hidden="1">
          <a:extLst>
            <a:ext uri="{FF2B5EF4-FFF2-40B4-BE49-F238E27FC236}">
              <a16:creationId xmlns:a16="http://schemas.microsoft.com/office/drawing/2014/main" id="{E9E26D3B-0228-E004-9E0F-0626BA833C9F}"/>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635794</xdr:colOff>
      <xdr:row>6</xdr:row>
      <xdr:rowOff>114300</xdr:rowOff>
    </xdr:from>
    <xdr:to>
      <xdr:col>18</xdr:col>
      <xdr:colOff>440532</xdr:colOff>
      <xdr:row>10</xdr:row>
      <xdr:rowOff>152400</xdr:rowOff>
    </xdr:to>
    <xdr:sp macro="" textlink="">
      <xdr:nvSpPr>
        <xdr:cNvPr id="375834" name="Text Box 26" hidden="1">
          <a:extLst>
            <a:ext uri="{FF2B5EF4-FFF2-40B4-BE49-F238E27FC236}">
              <a16:creationId xmlns:a16="http://schemas.microsoft.com/office/drawing/2014/main" id="{3022296A-0C69-DA5A-90A2-95EABD49BF41}"/>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0</xdr:rowOff>
    </xdr:from>
    <xdr:to>
      <xdr:col>5</xdr:col>
      <xdr:colOff>609600</xdr:colOff>
      <xdr:row>222</xdr:row>
      <xdr:rowOff>0</xdr:rowOff>
    </xdr:to>
    <xdr:sp macro="" textlink="">
      <xdr:nvSpPr>
        <xdr:cNvPr id="375833" name="Text Box 25" hidden="1">
          <a:extLst>
            <a:ext uri="{FF2B5EF4-FFF2-40B4-BE49-F238E27FC236}">
              <a16:creationId xmlns:a16="http://schemas.microsoft.com/office/drawing/2014/main" id="{4B5C7AF0-2BB6-1684-4C1C-B37C6082236E}"/>
            </a:ext>
          </a:extLst>
        </xdr:cNvPr>
        <xdr:cNvSpPr txBox="1">
          <a:spLocks noChangeArrowheads="1"/>
        </xdr:cNvSpPr>
      </xdr:nvSpPr>
      <xdr:spPr bwMode="auto">
        <a:xfrm>
          <a:off x="3994150" y="3990340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152400</xdr:rowOff>
    </xdr:from>
    <xdr:to>
      <xdr:col>5</xdr:col>
      <xdr:colOff>609600</xdr:colOff>
      <xdr:row>221</xdr:row>
      <xdr:rowOff>114300</xdr:rowOff>
    </xdr:to>
    <xdr:sp macro="" textlink="">
      <xdr:nvSpPr>
        <xdr:cNvPr id="375832" name="Text Box 24" hidden="1">
          <a:extLst>
            <a:ext uri="{FF2B5EF4-FFF2-40B4-BE49-F238E27FC236}">
              <a16:creationId xmlns:a16="http://schemas.microsoft.com/office/drawing/2014/main" id="{822FD925-FFB5-0DD3-AA2B-A1C26DDABCDF}"/>
            </a:ext>
          </a:extLst>
        </xdr:cNvPr>
        <xdr:cNvSpPr txBox="1">
          <a:spLocks noChangeArrowheads="1"/>
        </xdr:cNvSpPr>
      </xdr:nvSpPr>
      <xdr:spPr bwMode="auto">
        <a:xfrm>
          <a:off x="3994150" y="4023995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223</xdr:row>
      <xdr:rowOff>0</xdr:rowOff>
    </xdr:to>
    <xdr:sp macro="" textlink="">
      <xdr:nvSpPr>
        <xdr:cNvPr id="375831" name="Text Box 23" hidden="1">
          <a:extLst>
            <a:ext uri="{FF2B5EF4-FFF2-40B4-BE49-F238E27FC236}">
              <a16:creationId xmlns:a16="http://schemas.microsoft.com/office/drawing/2014/main" id="{1138CCD9-A4C9-5598-7FFD-268B1A3B461D}"/>
            </a:ext>
          </a:extLst>
        </xdr:cNvPr>
        <xdr:cNvSpPr txBox="1">
          <a:spLocks noChangeArrowheads="1"/>
        </xdr:cNvSpPr>
      </xdr:nvSpPr>
      <xdr:spPr bwMode="auto">
        <a:xfrm>
          <a:off x="3994150" y="4079240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152400</xdr:rowOff>
    </xdr:from>
    <xdr:to>
      <xdr:col>5</xdr:col>
      <xdr:colOff>609600</xdr:colOff>
      <xdr:row>210</xdr:row>
      <xdr:rowOff>114300</xdr:rowOff>
    </xdr:to>
    <xdr:sp macro="" textlink="">
      <xdr:nvSpPr>
        <xdr:cNvPr id="375830" name="Text Box 22" hidden="1">
          <a:extLst>
            <a:ext uri="{FF2B5EF4-FFF2-40B4-BE49-F238E27FC236}">
              <a16:creationId xmlns:a16="http://schemas.microsoft.com/office/drawing/2014/main" id="{9E35B8A7-E487-D549-B0C8-31DF93668931}"/>
            </a:ext>
          </a:extLst>
        </xdr:cNvPr>
        <xdr:cNvSpPr txBox="1">
          <a:spLocks noChangeArrowheads="1"/>
        </xdr:cNvSpPr>
      </xdr:nvSpPr>
      <xdr:spPr bwMode="auto">
        <a:xfrm>
          <a:off x="3994150" y="409765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85725</xdr:rowOff>
    </xdr:from>
    <xdr:to>
      <xdr:col>5</xdr:col>
      <xdr:colOff>609600</xdr:colOff>
      <xdr:row>187</xdr:row>
      <xdr:rowOff>114300</xdr:rowOff>
    </xdr:to>
    <xdr:sp macro="" textlink="">
      <xdr:nvSpPr>
        <xdr:cNvPr id="375829" name="Text Box 21" hidden="1">
          <a:extLst>
            <a:ext uri="{FF2B5EF4-FFF2-40B4-BE49-F238E27FC236}">
              <a16:creationId xmlns:a16="http://schemas.microsoft.com/office/drawing/2014/main" id="{99B33BD4-3440-CA33-3C4A-CE3154F76FF6}"/>
            </a:ext>
          </a:extLst>
        </xdr:cNvPr>
        <xdr:cNvSpPr txBox="1">
          <a:spLocks noChangeArrowheads="1"/>
        </xdr:cNvSpPr>
      </xdr:nvSpPr>
      <xdr:spPr bwMode="auto">
        <a:xfrm>
          <a:off x="3994150" y="3666490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161925</xdr:rowOff>
    </xdr:from>
    <xdr:to>
      <xdr:col>5</xdr:col>
      <xdr:colOff>609600</xdr:colOff>
      <xdr:row>188</xdr:row>
      <xdr:rowOff>171450</xdr:rowOff>
    </xdr:to>
    <xdr:sp macro="" textlink="">
      <xdr:nvSpPr>
        <xdr:cNvPr id="375828" name="Text Box 20" hidden="1">
          <a:extLst>
            <a:ext uri="{FF2B5EF4-FFF2-40B4-BE49-F238E27FC236}">
              <a16:creationId xmlns:a16="http://schemas.microsoft.com/office/drawing/2014/main" id="{3BEC16E4-FBBB-C88C-CB90-7A5FF6F2F2F1}"/>
            </a:ext>
          </a:extLst>
        </xdr:cNvPr>
        <xdr:cNvSpPr txBox="1">
          <a:spLocks noChangeArrowheads="1"/>
        </xdr:cNvSpPr>
      </xdr:nvSpPr>
      <xdr:spPr bwMode="auto">
        <a:xfrm>
          <a:off x="3994150" y="371094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161925</xdr:rowOff>
    </xdr:from>
    <xdr:to>
      <xdr:col>5</xdr:col>
      <xdr:colOff>609600</xdr:colOff>
      <xdr:row>190</xdr:row>
      <xdr:rowOff>0</xdr:rowOff>
    </xdr:to>
    <xdr:sp macro="" textlink="">
      <xdr:nvSpPr>
        <xdr:cNvPr id="375827" name="Text Box 19" hidden="1">
          <a:extLst>
            <a:ext uri="{FF2B5EF4-FFF2-40B4-BE49-F238E27FC236}">
              <a16:creationId xmlns:a16="http://schemas.microsoft.com/office/drawing/2014/main" id="{69D4C724-0434-13A7-4863-5BC7E9EBE0A3}"/>
            </a:ext>
          </a:extLst>
        </xdr:cNvPr>
        <xdr:cNvSpPr txBox="1">
          <a:spLocks noChangeArrowheads="1"/>
        </xdr:cNvSpPr>
      </xdr:nvSpPr>
      <xdr:spPr bwMode="auto">
        <a:xfrm>
          <a:off x="3994150" y="3747770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152400</xdr:rowOff>
    </xdr:from>
    <xdr:to>
      <xdr:col>5</xdr:col>
      <xdr:colOff>609600</xdr:colOff>
      <xdr:row>196</xdr:row>
      <xdr:rowOff>171450</xdr:rowOff>
    </xdr:to>
    <xdr:sp macro="" textlink="">
      <xdr:nvSpPr>
        <xdr:cNvPr id="375826" name="Text Box 18" hidden="1">
          <a:extLst>
            <a:ext uri="{FF2B5EF4-FFF2-40B4-BE49-F238E27FC236}">
              <a16:creationId xmlns:a16="http://schemas.microsoft.com/office/drawing/2014/main" id="{63D9F8BC-F3B6-A0AD-C16F-07A03249B59F}"/>
            </a:ext>
          </a:extLst>
        </xdr:cNvPr>
        <xdr:cNvSpPr txBox="1">
          <a:spLocks noChangeArrowheads="1"/>
        </xdr:cNvSpPr>
      </xdr:nvSpPr>
      <xdr:spPr bwMode="auto">
        <a:xfrm>
          <a:off x="3994150" y="378460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52</xdr:row>
      <xdr:rowOff>492919</xdr:rowOff>
    </xdr:to>
    <xdr:sp macro="" textlink="">
      <xdr:nvSpPr>
        <xdr:cNvPr id="375825" name="Text Box 17" hidden="1">
          <a:extLst>
            <a:ext uri="{FF2B5EF4-FFF2-40B4-BE49-F238E27FC236}">
              <a16:creationId xmlns:a16="http://schemas.microsoft.com/office/drawing/2014/main" id="{CC35A40E-81DD-A5DA-22F6-D625E6E03329}"/>
            </a:ext>
          </a:extLst>
        </xdr:cNvPr>
        <xdr:cNvSpPr txBox="1">
          <a:spLocks noChangeArrowheads="1"/>
        </xdr:cNvSpPr>
      </xdr:nvSpPr>
      <xdr:spPr bwMode="auto">
        <a:xfrm>
          <a:off x="3994150" y="10699750"/>
          <a:ext cx="1314450" cy="56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95250</xdr:rowOff>
    </xdr:from>
    <xdr:to>
      <xdr:col>5</xdr:col>
      <xdr:colOff>609600</xdr:colOff>
      <xdr:row>54</xdr:row>
      <xdr:rowOff>217487</xdr:rowOff>
    </xdr:to>
    <xdr:sp macro="" textlink="">
      <xdr:nvSpPr>
        <xdr:cNvPr id="375824" name="Text Box 16" hidden="1">
          <a:extLst>
            <a:ext uri="{FF2B5EF4-FFF2-40B4-BE49-F238E27FC236}">
              <a16:creationId xmlns:a16="http://schemas.microsoft.com/office/drawing/2014/main" id="{5253BBB6-1743-BAF3-93B4-67ED2F7BDB4F}"/>
            </a:ext>
          </a:extLst>
        </xdr:cNvPr>
        <xdr:cNvSpPr txBox="1">
          <a:spLocks noChangeArrowheads="1"/>
        </xdr:cNvSpPr>
      </xdr:nvSpPr>
      <xdr:spPr bwMode="auto">
        <a:xfrm>
          <a:off x="3994150" y="106997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416719</xdr:rowOff>
    </xdr:from>
    <xdr:to>
      <xdr:col>5</xdr:col>
      <xdr:colOff>609600</xdr:colOff>
      <xdr:row>55</xdr:row>
      <xdr:rowOff>126206</xdr:rowOff>
    </xdr:to>
    <xdr:sp macro="" textlink="">
      <xdr:nvSpPr>
        <xdr:cNvPr id="375823" name="Text Box 15" hidden="1">
          <a:extLst>
            <a:ext uri="{FF2B5EF4-FFF2-40B4-BE49-F238E27FC236}">
              <a16:creationId xmlns:a16="http://schemas.microsoft.com/office/drawing/2014/main" id="{C9453DAD-4746-C17A-6C43-FAF0A0E7156B}"/>
            </a:ext>
          </a:extLst>
        </xdr:cNvPr>
        <xdr:cNvSpPr txBox="1">
          <a:spLocks noChangeArrowheads="1"/>
        </xdr:cNvSpPr>
      </xdr:nvSpPr>
      <xdr:spPr bwMode="auto">
        <a:xfrm>
          <a:off x="3994150" y="11188700"/>
          <a:ext cx="131445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454819</xdr:rowOff>
    </xdr:from>
    <xdr:to>
      <xdr:col>5</xdr:col>
      <xdr:colOff>609600</xdr:colOff>
      <xdr:row>59</xdr:row>
      <xdr:rowOff>67469</xdr:rowOff>
    </xdr:to>
    <xdr:sp macro="" textlink="">
      <xdr:nvSpPr>
        <xdr:cNvPr id="375822" name="Text Box 14" hidden="1">
          <a:extLst>
            <a:ext uri="{FF2B5EF4-FFF2-40B4-BE49-F238E27FC236}">
              <a16:creationId xmlns:a16="http://schemas.microsoft.com/office/drawing/2014/main" id="{34B97C51-8DC3-26E0-2DFB-0A2EFF617730}"/>
            </a:ext>
          </a:extLst>
        </xdr:cNvPr>
        <xdr:cNvSpPr txBox="1">
          <a:spLocks noChangeArrowheads="1"/>
        </xdr:cNvSpPr>
      </xdr:nvSpPr>
      <xdr:spPr bwMode="auto">
        <a:xfrm>
          <a:off x="3994150" y="11226800"/>
          <a:ext cx="1314450" cy="170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236537</xdr:rowOff>
    </xdr:from>
    <xdr:to>
      <xdr:col>5</xdr:col>
      <xdr:colOff>609600</xdr:colOff>
      <xdr:row>63</xdr:row>
      <xdr:rowOff>2381</xdr:rowOff>
    </xdr:to>
    <xdr:sp macro="" textlink="">
      <xdr:nvSpPr>
        <xdr:cNvPr id="375821" name="Text Box 13" hidden="1">
          <a:extLst>
            <a:ext uri="{FF2B5EF4-FFF2-40B4-BE49-F238E27FC236}">
              <a16:creationId xmlns:a16="http://schemas.microsoft.com/office/drawing/2014/main" id="{AE465D29-72E9-B30C-E3D3-D80C358A4E6A}"/>
            </a:ext>
          </a:extLst>
        </xdr:cNvPr>
        <xdr:cNvSpPr txBox="1">
          <a:spLocks noChangeArrowheads="1"/>
        </xdr:cNvSpPr>
      </xdr:nvSpPr>
      <xdr:spPr bwMode="auto">
        <a:xfrm>
          <a:off x="3994150" y="11938000"/>
          <a:ext cx="13144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130175</xdr:rowOff>
    </xdr:from>
    <xdr:to>
      <xdr:col>5</xdr:col>
      <xdr:colOff>609600</xdr:colOff>
      <xdr:row>74</xdr:row>
      <xdr:rowOff>47625</xdr:rowOff>
    </xdr:to>
    <xdr:sp macro="" textlink="">
      <xdr:nvSpPr>
        <xdr:cNvPr id="375820" name="Text Box 12" hidden="1">
          <a:extLst>
            <a:ext uri="{FF2B5EF4-FFF2-40B4-BE49-F238E27FC236}">
              <a16:creationId xmlns:a16="http://schemas.microsoft.com/office/drawing/2014/main" id="{A9D92175-0E83-3B46-5B3D-818F52B814A4}"/>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139700</xdr:rowOff>
    </xdr:from>
    <xdr:to>
      <xdr:col>5</xdr:col>
      <xdr:colOff>609600</xdr:colOff>
      <xdr:row>75</xdr:row>
      <xdr:rowOff>47625</xdr:rowOff>
    </xdr:to>
    <xdr:sp macro="" textlink="">
      <xdr:nvSpPr>
        <xdr:cNvPr id="375819" name="Text Box 11" hidden="1">
          <a:extLst>
            <a:ext uri="{FF2B5EF4-FFF2-40B4-BE49-F238E27FC236}">
              <a16:creationId xmlns:a16="http://schemas.microsoft.com/office/drawing/2014/main" id="{BA7C2936-8AB1-44BC-35E3-2D8D615D378F}"/>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47625</xdr:rowOff>
    </xdr:to>
    <xdr:sp macro="" textlink="">
      <xdr:nvSpPr>
        <xdr:cNvPr id="375818" name="Text Box 10" hidden="1">
          <a:extLst>
            <a:ext uri="{FF2B5EF4-FFF2-40B4-BE49-F238E27FC236}">
              <a16:creationId xmlns:a16="http://schemas.microsoft.com/office/drawing/2014/main" id="{480BF800-D1E6-EA02-8F41-0989E551A8A6}"/>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133350</xdr:rowOff>
    </xdr:from>
    <xdr:to>
      <xdr:col>5</xdr:col>
      <xdr:colOff>609600</xdr:colOff>
      <xdr:row>77</xdr:row>
      <xdr:rowOff>47625</xdr:rowOff>
    </xdr:to>
    <xdr:sp macro="" textlink="">
      <xdr:nvSpPr>
        <xdr:cNvPr id="375817" name="Text Box 9" hidden="1">
          <a:extLst>
            <a:ext uri="{FF2B5EF4-FFF2-40B4-BE49-F238E27FC236}">
              <a16:creationId xmlns:a16="http://schemas.microsoft.com/office/drawing/2014/main" id="{4FAB4BF9-6EB3-51CA-5A2A-33779128A38D}"/>
            </a:ext>
          </a:extLst>
        </xdr:cNvPr>
        <xdr:cNvSpPr txBox="1">
          <a:spLocks noChangeArrowheads="1"/>
        </xdr:cNvSpPr>
      </xdr:nvSpPr>
      <xdr:spPr bwMode="auto">
        <a:xfrm>
          <a:off x="3994150" y="157035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1588</xdr:rowOff>
    </xdr:from>
    <xdr:to>
      <xdr:col>5</xdr:col>
      <xdr:colOff>609600</xdr:colOff>
      <xdr:row>99</xdr:row>
      <xdr:rowOff>171450</xdr:rowOff>
    </xdr:to>
    <xdr:sp macro="" textlink="">
      <xdr:nvSpPr>
        <xdr:cNvPr id="375816" name="Text Box 8" hidden="1">
          <a:extLst>
            <a:ext uri="{FF2B5EF4-FFF2-40B4-BE49-F238E27FC236}">
              <a16:creationId xmlns:a16="http://schemas.microsoft.com/office/drawing/2014/main" id="{B912171B-B130-4FA3-F862-D62919EF310C}"/>
            </a:ext>
          </a:extLst>
        </xdr:cNvPr>
        <xdr:cNvSpPr txBox="1">
          <a:spLocks noChangeArrowheads="1"/>
        </xdr:cNvSpPr>
      </xdr:nvSpPr>
      <xdr:spPr bwMode="auto">
        <a:xfrm>
          <a:off x="3994150" y="199707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173831</xdr:rowOff>
    </xdr:from>
    <xdr:to>
      <xdr:col>5</xdr:col>
      <xdr:colOff>609600</xdr:colOff>
      <xdr:row>99</xdr:row>
      <xdr:rowOff>171450</xdr:rowOff>
    </xdr:to>
    <xdr:sp macro="" textlink="">
      <xdr:nvSpPr>
        <xdr:cNvPr id="375815" name="Text Box 7" hidden="1">
          <a:extLst>
            <a:ext uri="{FF2B5EF4-FFF2-40B4-BE49-F238E27FC236}">
              <a16:creationId xmlns:a16="http://schemas.microsoft.com/office/drawing/2014/main" id="{9ACD6825-9C4F-5283-524B-F2D630D53DE9}"/>
            </a:ext>
          </a:extLst>
        </xdr:cNvPr>
        <xdr:cNvSpPr txBox="1">
          <a:spLocks noChangeArrowheads="1"/>
        </xdr:cNvSpPr>
      </xdr:nvSpPr>
      <xdr:spPr bwMode="auto">
        <a:xfrm>
          <a:off x="3994150" y="201549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114300</xdr:rowOff>
    </xdr:from>
    <xdr:to>
      <xdr:col>5</xdr:col>
      <xdr:colOff>609600</xdr:colOff>
      <xdr:row>99</xdr:row>
      <xdr:rowOff>171450</xdr:rowOff>
    </xdr:to>
    <xdr:sp macro="" textlink="">
      <xdr:nvSpPr>
        <xdr:cNvPr id="375814" name="Text Box 6" hidden="1">
          <a:extLst>
            <a:ext uri="{FF2B5EF4-FFF2-40B4-BE49-F238E27FC236}">
              <a16:creationId xmlns:a16="http://schemas.microsoft.com/office/drawing/2014/main" id="{245EA03C-D59A-2EE6-7797-77B58C9B0C77}"/>
            </a:ext>
          </a:extLst>
        </xdr:cNvPr>
        <xdr:cNvSpPr txBox="1">
          <a:spLocks noChangeArrowheads="1"/>
        </xdr:cNvSpPr>
      </xdr:nvSpPr>
      <xdr:spPr bwMode="auto">
        <a:xfrm>
          <a:off x="3994150" y="2033905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82550</xdr:rowOff>
    </xdr:from>
    <xdr:to>
      <xdr:col>5</xdr:col>
      <xdr:colOff>609600</xdr:colOff>
      <xdr:row>99</xdr:row>
      <xdr:rowOff>171450</xdr:rowOff>
    </xdr:to>
    <xdr:sp macro="" textlink="">
      <xdr:nvSpPr>
        <xdr:cNvPr id="375813" name="Text Box 5" hidden="1">
          <a:extLst>
            <a:ext uri="{FF2B5EF4-FFF2-40B4-BE49-F238E27FC236}">
              <a16:creationId xmlns:a16="http://schemas.microsoft.com/office/drawing/2014/main" id="{A6F89D68-CB6B-6CD8-F766-E9DD99A9EB96}"/>
            </a:ext>
          </a:extLst>
        </xdr:cNvPr>
        <xdr:cNvSpPr txBox="1">
          <a:spLocks noChangeArrowheads="1"/>
        </xdr:cNvSpPr>
      </xdr:nvSpPr>
      <xdr:spPr bwMode="auto">
        <a:xfrm>
          <a:off x="3994150" y="2030095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635794</xdr:colOff>
      <xdr:row>120</xdr:row>
      <xdr:rowOff>76200</xdr:rowOff>
    </xdr:from>
    <xdr:to>
      <xdr:col>21</xdr:col>
      <xdr:colOff>445294</xdr:colOff>
      <xdr:row>124</xdr:row>
      <xdr:rowOff>114300</xdr:rowOff>
    </xdr:to>
    <xdr:sp macro="" textlink="">
      <xdr:nvSpPr>
        <xdr:cNvPr id="375812" name="Text Box 4" hidden="1">
          <a:extLst>
            <a:ext uri="{FF2B5EF4-FFF2-40B4-BE49-F238E27FC236}">
              <a16:creationId xmlns:a16="http://schemas.microsoft.com/office/drawing/2014/main" id="{64F9AA27-C9E4-7622-5D38-8A5C9C852838}"/>
            </a:ext>
          </a:extLst>
        </xdr:cNvPr>
        <xdr:cNvSpPr txBox="1">
          <a:spLocks noChangeArrowheads="1"/>
        </xdr:cNvSpPr>
      </xdr:nvSpPr>
      <xdr:spPr bwMode="auto">
        <a:xfrm>
          <a:off x="17526000" y="24771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14</xdr:row>
      <xdr:rowOff>95250</xdr:rowOff>
    </xdr:from>
    <xdr:to>
      <xdr:col>22</xdr:col>
      <xdr:colOff>616744</xdr:colOff>
      <xdr:row>18</xdr:row>
      <xdr:rowOff>95250</xdr:rowOff>
    </xdr:to>
    <xdr:sp macro="" textlink="">
      <xdr:nvSpPr>
        <xdr:cNvPr id="375811" name="Text Box 3" hidden="1">
          <a:extLst>
            <a:ext uri="{FF2B5EF4-FFF2-40B4-BE49-F238E27FC236}">
              <a16:creationId xmlns:a16="http://schemas.microsoft.com/office/drawing/2014/main" id="{240378C1-7DBF-144D-3F07-AA9AF848FFC3}"/>
            </a:ext>
          </a:extLst>
        </xdr:cNvPr>
        <xdr:cNvSpPr txBox="1">
          <a:spLocks noChangeArrowheads="1"/>
        </xdr:cNvSpPr>
      </xdr:nvSpPr>
      <xdr:spPr bwMode="auto">
        <a:xfrm>
          <a:off x="1834515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23</xdr:row>
      <xdr:rowOff>95250</xdr:rowOff>
    </xdr:from>
    <xdr:to>
      <xdr:col>22</xdr:col>
      <xdr:colOff>616744</xdr:colOff>
      <xdr:row>27</xdr:row>
      <xdr:rowOff>114300</xdr:rowOff>
    </xdr:to>
    <xdr:sp macro="" textlink="">
      <xdr:nvSpPr>
        <xdr:cNvPr id="375810" name="Text Box 2" hidden="1">
          <a:extLst>
            <a:ext uri="{FF2B5EF4-FFF2-40B4-BE49-F238E27FC236}">
              <a16:creationId xmlns:a16="http://schemas.microsoft.com/office/drawing/2014/main" id="{F036D932-0543-954F-D851-6131B4CEFF98}"/>
            </a:ext>
          </a:extLst>
        </xdr:cNvPr>
        <xdr:cNvSpPr txBox="1">
          <a:spLocks noChangeArrowheads="1"/>
        </xdr:cNvSpPr>
      </xdr:nvSpPr>
      <xdr:spPr bwMode="auto">
        <a:xfrm>
          <a:off x="18345150" y="556260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692944</xdr:colOff>
      <xdr:row>124</xdr:row>
      <xdr:rowOff>95250</xdr:rowOff>
    </xdr:from>
    <xdr:to>
      <xdr:col>22</xdr:col>
      <xdr:colOff>616744</xdr:colOff>
      <xdr:row>128</xdr:row>
      <xdr:rowOff>76200</xdr:rowOff>
    </xdr:to>
    <xdr:sp macro="" textlink="">
      <xdr:nvSpPr>
        <xdr:cNvPr id="375809" name="Text Box 1" hidden="1">
          <a:extLst>
            <a:ext uri="{FF2B5EF4-FFF2-40B4-BE49-F238E27FC236}">
              <a16:creationId xmlns:a16="http://schemas.microsoft.com/office/drawing/2014/main" id="{04C33CE1-4E84-6780-DA42-711BAF590574}"/>
            </a:ext>
          </a:extLst>
        </xdr:cNvPr>
        <xdr:cNvSpPr txBox="1">
          <a:spLocks noChangeArrowheads="1"/>
        </xdr:cNvSpPr>
      </xdr:nvSpPr>
      <xdr:spPr bwMode="auto">
        <a:xfrm>
          <a:off x="18345150" y="255270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886" name="Text Box 78" hidden="1">
          <a:extLst>
            <a:ext uri="{FF2B5EF4-FFF2-40B4-BE49-F238E27FC236}">
              <a16:creationId xmlns:a16="http://schemas.microsoft.com/office/drawing/2014/main" id="{679F7B95-5434-264E-13DF-9AE506C4620C}"/>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885" name="Text Box 77" hidden="1">
          <a:extLst>
            <a:ext uri="{FF2B5EF4-FFF2-40B4-BE49-F238E27FC236}">
              <a16:creationId xmlns:a16="http://schemas.microsoft.com/office/drawing/2014/main" id="{3D9376BA-800C-B7F3-29A9-B799A49ED420}"/>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120650</xdr:rowOff>
    </xdr:to>
    <xdr:sp macro="" textlink="">
      <xdr:nvSpPr>
        <xdr:cNvPr id="375884" name="Text Box 76" hidden="1">
          <a:extLst>
            <a:ext uri="{FF2B5EF4-FFF2-40B4-BE49-F238E27FC236}">
              <a16:creationId xmlns:a16="http://schemas.microsoft.com/office/drawing/2014/main" id="{72FE50D5-6536-E247-265E-92E41734ADBB}"/>
            </a:ext>
          </a:extLst>
        </xdr:cNvPr>
        <xdr:cNvSpPr txBox="1">
          <a:spLocks noChangeArrowheads="1"/>
        </xdr:cNvSpPr>
      </xdr:nvSpPr>
      <xdr:spPr bwMode="auto">
        <a:xfrm>
          <a:off x="3994150" y="4116070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883" name="Text Box 75" hidden="1">
          <a:extLst>
            <a:ext uri="{FF2B5EF4-FFF2-40B4-BE49-F238E27FC236}">
              <a16:creationId xmlns:a16="http://schemas.microsoft.com/office/drawing/2014/main" id="{AD145783-0DC9-6B4B-93F3-25A92C3838AD}"/>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120650</xdr:rowOff>
    </xdr:to>
    <xdr:sp macro="" textlink="">
      <xdr:nvSpPr>
        <xdr:cNvPr id="375882" name="Text Box 74" hidden="1">
          <a:extLst>
            <a:ext uri="{FF2B5EF4-FFF2-40B4-BE49-F238E27FC236}">
              <a16:creationId xmlns:a16="http://schemas.microsoft.com/office/drawing/2014/main" id="{A655FB3A-20E4-9B5F-99BB-957BBA1AD730}"/>
            </a:ext>
          </a:extLst>
        </xdr:cNvPr>
        <xdr:cNvSpPr txBox="1">
          <a:spLocks noChangeArrowheads="1"/>
        </xdr:cNvSpPr>
      </xdr:nvSpPr>
      <xdr:spPr bwMode="auto">
        <a:xfrm>
          <a:off x="3994150" y="4189730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120650</xdr:rowOff>
    </xdr:to>
    <xdr:sp macro="" textlink="">
      <xdr:nvSpPr>
        <xdr:cNvPr id="375881" name="Text Box 73" hidden="1">
          <a:extLst>
            <a:ext uri="{FF2B5EF4-FFF2-40B4-BE49-F238E27FC236}">
              <a16:creationId xmlns:a16="http://schemas.microsoft.com/office/drawing/2014/main" id="{64580842-18B6-3EBE-C04B-22DA2E4502B7}"/>
            </a:ext>
          </a:extLst>
        </xdr:cNvPr>
        <xdr:cNvSpPr txBox="1">
          <a:spLocks noChangeArrowheads="1"/>
        </xdr:cNvSpPr>
      </xdr:nvSpPr>
      <xdr:spPr bwMode="auto">
        <a:xfrm>
          <a:off x="3994150" y="37585650"/>
          <a:ext cx="1314450" cy="1149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880" name="Text Box 72" hidden="1">
          <a:extLst>
            <a:ext uri="{FF2B5EF4-FFF2-40B4-BE49-F238E27FC236}">
              <a16:creationId xmlns:a16="http://schemas.microsoft.com/office/drawing/2014/main" id="{33DC4FA7-4E2F-224B-41E7-712557D55992}"/>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879" name="Text Box 71" hidden="1">
          <a:extLst>
            <a:ext uri="{FF2B5EF4-FFF2-40B4-BE49-F238E27FC236}">
              <a16:creationId xmlns:a16="http://schemas.microsoft.com/office/drawing/2014/main" id="{071349C9-271F-0405-05DB-D2BFC7D58937}"/>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878" name="Text Box 70" hidden="1">
          <a:extLst>
            <a:ext uri="{FF2B5EF4-FFF2-40B4-BE49-F238E27FC236}">
              <a16:creationId xmlns:a16="http://schemas.microsoft.com/office/drawing/2014/main" id="{D8DA05B9-DB7C-7BEC-636D-D2395642F0BD}"/>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53</xdr:row>
      <xdr:rowOff>25400</xdr:rowOff>
    </xdr:to>
    <xdr:sp macro="" textlink="">
      <xdr:nvSpPr>
        <xdr:cNvPr id="375877" name="Text Box 69" hidden="1">
          <a:extLst>
            <a:ext uri="{FF2B5EF4-FFF2-40B4-BE49-F238E27FC236}">
              <a16:creationId xmlns:a16="http://schemas.microsoft.com/office/drawing/2014/main" id="{53E04E3D-EA08-BC34-DE1C-2D0E2AD90DAD}"/>
            </a:ext>
          </a:extLst>
        </xdr:cNvPr>
        <xdr:cNvSpPr txBox="1">
          <a:spLocks noChangeArrowheads="1"/>
        </xdr:cNvSpPr>
      </xdr:nvSpPr>
      <xdr:spPr bwMode="auto">
        <a:xfrm>
          <a:off x="3994150" y="11334750"/>
          <a:ext cx="1314450" cy="2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64</xdr:row>
      <xdr:rowOff>82550</xdr:rowOff>
    </xdr:to>
    <xdr:sp macro="" textlink="">
      <xdr:nvSpPr>
        <xdr:cNvPr id="375876" name="Text Box 68" hidden="1">
          <a:extLst>
            <a:ext uri="{FF2B5EF4-FFF2-40B4-BE49-F238E27FC236}">
              <a16:creationId xmlns:a16="http://schemas.microsoft.com/office/drawing/2014/main" id="{4F0939EA-E708-9510-9ACE-17AF22C1D70C}"/>
            </a:ext>
          </a:extLst>
        </xdr:cNvPr>
        <xdr:cNvSpPr txBox="1">
          <a:spLocks noChangeArrowheads="1"/>
        </xdr:cNvSpPr>
      </xdr:nvSpPr>
      <xdr:spPr bwMode="auto">
        <a:xfrm>
          <a:off x="3994150" y="11334750"/>
          <a:ext cx="1314450" cy="261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95250</xdr:rowOff>
    </xdr:from>
    <xdr:to>
      <xdr:col>5</xdr:col>
      <xdr:colOff>609600</xdr:colOff>
      <xdr:row>68</xdr:row>
      <xdr:rowOff>120650</xdr:rowOff>
    </xdr:to>
    <xdr:sp macro="" textlink="">
      <xdr:nvSpPr>
        <xdr:cNvPr id="375875" name="Text Box 67" hidden="1">
          <a:extLst>
            <a:ext uri="{FF2B5EF4-FFF2-40B4-BE49-F238E27FC236}">
              <a16:creationId xmlns:a16="http://schemas.microsoft.com/office/drawing/2014/main" id="{E3C1E128-0C18-051A-1A16-B84B2887543F}"/>
            </a:ext>
          </a:extLst>
        </xdr:cNvPr>
        <xdr:cNvSpPr txBox="1">
          <a:spLocks noChangeArrowheads="1"/>
        </xdr:cNvSpPr>
      </xdr:nvSpPr>
      <xdr:spPr bwMode="auto">
        <a:xfrm>
          <a:off x="3994150" y="1143000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114300</xdr:rowOff>
    </xdr:from>
    <xdr:to>
      <xdr:col>5</xdr:col>
      <xdr:colOff>609600</xdr:colOff>
      <xdr:row>68</xdr:row>
      <xdr:rowOff>139700</xdr:rowOff>
    </xdr:to>
    <xdr:sp macro="" textlink="">
      <xdr:nvSpPr>
        <xdr:cNvPr id="375874" name="Text Box 66" hidden="1">
          <a:extLst>
            <a:ext uri="{FF2B5EF4-FFF2-40B4-BE49-F238E27FC236}">
              <a16:creationId xmlns:a16="http://schemas.microsoft.com/office/drawing/2014/main" id="{C91672DD-02B9-EB7B-FA40-1F2B7C1D9690}"/>
            </a:ext>
          </a:extLst>
        </xdr:cNvPr>
        <xdr:cNvSpPr txBox="1">
          <a:spLocks noChangeArrowheads="1"/>
        </xdr:cNvSpPr>
      </xdr:nvSpPr>
      <xdr:spPr bwMode="auto">
        <a:xfrm>
          <a:off x="3994150" y="11449050"/>
          <a:ext cx="1314450" cy="332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57150</xdr:rowOff>
    </xdr:from>
    <xdr:to>
      <xdr:col>5</xdr:col>
      <xdr:colOff>609600</xdr:colOff>
      <xdr:row>68</xdr:row>
      <xdr:rowOff>95250</xdr:rowOff>
    </xdr:to>
    <xdr:sp macro="" textlink="">
      <xdr:nvSpPr>
        <xdr:cNvPr id="375873" name="Text Box 65" hidden="1">
          <a:extLst>
            <a:ext uri="{FF2B5EF4-FFF2-40B4-BE49-F238E27FC236}">
              <a16:creationId xmlns:a16="http://schemas.microsoft.com/office/drawing/2014/main" id="{70C9E381-3BC2-6948-057F-E334D7400D5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133350</xdr:rowOff>
    </xdr:from>
    <xdr:to>
      <xdr:col>5</xdr:col>
      <xdr:colOff>609600</xdr:colOff>
      <xdr:row>80</xdr:row>
      <xdr:rowOff>95250</xdr:rowOff>
    </xdr:to>
    <xdr:sp macro="" textlink="">
      <xdr:nvSpPr>
        <xdr:cNvPr id="375872" name="Text Box 64" hidden="1">
          <a:extLst>
            <a:ext uri="{FF2B5EF4-FFF2-40B4-BE49-F238E27FC236}">
              <a16:creationId xmlns:a16="http://schemas.microsoft.com/office/drawing/2014/main" id="{4F3F9146-45EF-BCEA-3AE9-DEF58C5EAC03}"/>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57150</xdr:rowOff>
    </xdr:from>
    <xdr:to>
      <xdr:col>5</xdr:col>
      <xdr:colOff>609600</xdr:colOff>
      <xdr:row>80</xdr:row>
      <xdr:rowOff>25400</xdr:rowOff>
    </xdr:to>
    <xdr:sp macro="" textlink="">
      <xdr:nvSpPr>
        <xdr:cNvPr id="375871" name="Text Box 63" hidden="1">
          <a:extLst>
            <a:ext uri="{FF2B5EF4-FFF2-40B4-BE49-F238E27FC236}">
              <a16:creationId xmlns:a16="http://schemas.microsoft.com/office/drawing/2014/main" id="{1C166D5A-52FC-EA79-61D2-0C5FB276A52C}"/>
            </a:ext>
          </a:extLst>
        </xdr:cNvPr>
        <xdr:cNvSpPr txBox="1">
          <a:spLocks noChangeArrowheads="1"/>
        </xdr:cNvSpPr>
      </xdr:nvSpPr>
      <xdr:spPr bwMode="auto">
        <a:xfrm>
          <a:off x="3994150" y="1617980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6350</xdr:rowOff>
    </xdr:from>
    <xdr:to>
      <xdr:col>5</xdr:col>
      <xdr:colOff>609600</xdr:colOff>
      <xdr:row>82</xdr:row>
      <xdr:rowOff>101600</xdr:rowOff>
    </xdr:to>
    <xdr:sp macro="" textlink="">
      <xdr:nvSpPr>
        <xdr:cNvPr id="375870" name="Text Box 62" hidden="1">
          <a:extLst>
            <a:ext uri="{FF2B5EF4-FFF2-40B4-BE49-F238E27FC236}">
              <a16:creationId xmlns:a16="http://schemas.microsoft.com/office/drawing/2014/main" id="{60F4B0B1-0856-1224-664C-C42347A819B0}"/>
            </a:ext>
          </a:extLst>
        </xdr:cNvPr>
        <xdr:cNvSpPr txBox="1">
          <a:spLocks noChangeArrowheads="1"/>
        </xdr:cNvSpPr>
      </xdr:nvSpPr>
      <xdr:spPr bwMode="auto">
        <a:xfrm>
          <a:off x="3994150" y="1631315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0</xdr:rowOff>
    </xdr:from>
    <xdr:to>
      <xdr:col>5</xdr:col>
      <xdr:colOff>609600</xdr:colOff>
      <xdr:row>83</xdr:row>
      <xdr:rowOff>120650</xdr:rowOff>
    </xdr:to>
    <xdr:sp macro="" textlink="">
      <xdr:nvSpPr>
        <xdr:cNvPr id="375869" name="Text Box 61" hidden="1">
          <a:extLst>
            <a:ext uri="{FF2B5EF4-FFF2-40B4-BE49-F238E27FC236}">
              <a16:creationId xmlns:a16="http://schemas.microsoft.com/office/drawing/2014/main" id="{3DB740B5-1B3C-1DE3-FC27-91C258600CA0}"/>
            </a:ext>
          </a:extLst>
        </xdr:cNvPr>
        <xdr:cNvSpPr txBox="1">
          <a:spLocks noChangeArrowheads="1"/>
        </xdr:cNvSpPr>
      </xdr:nvSpPr>
      <xdr:spPr bwMode="auto">
        <a:xfrm>
          <a:off x="3994150" y="16490950"/>
          <a:ext cx="1314450" cy="122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95250</xdr:rowOff>
    </xdr:from>
    <xdr:to>
      <xdr:col>5</xdr:col>
      <xdr:colOff>609600</xdr:colOff>
      <xdr:row>106</xdr:row>
      <xdr:rowOff>57150</xdr:rowOff>
    </xdr:to>
    <xdr:sp macro="" textlink="">
      <xdr:nvSpPr>
        <xdr:cNvPr id="375868" name="Text Box 60" hidden="1">
          <a:extLst>
            <a:ext uri="{FF2B5EF4-FFF2-40B4-BE49-F238E27FC236}">
              <a16:creationId xmlns:a16="http://schemas.microsoft.com/office/drawing/2014/main" id="{03CCD19D-F9A0-1F6A-30F1-31A1C1B37333}"/>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152400</xdr:rowOff>
    </xdr:from>
    <xdr:to>
      <xdr:col>5</xdr:col>
      <xdr:colOff>609600</xdr:colOff>
      <xdr:row>106</xdr:row>
      <xdr:rowOff>0</xdr:rowOff>
    </xdr:to>
    <xdr:sp macro="" textlink="">
      <xdr:nvSpPr>
        <xdr:cNvPr id="375867" name="Text Box 59" hidden="1">
          <a:extLst>
            <a:ext uri="{FF2B5EF4-FFF2-40B4-BE49-F238E27FC236}">
              <a16:creationId xmlns:a16="http://schemas.microsoft.com/office/drawing/2014/main" id="{38E776EE-BD98-3CAF-E32D-8DADA44C00A5}"/>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152400</xdr:rowOff>
    </xdr:from>
    <xdr:to>
      <xdr:col>5</xdr:col>
      <xdr:colOff>609600</xdr:colOff>
      <xdr:row>105</xdr:row>
      <xdr:rowOff>190500</xdr:rowOff>
    </xdr:to>
    <xdr:sp macro="" textlink="">
      <xdr:nvSpPr>
        <xdr:cNvPr id="375866" name="Text Box 58" hidden="1">
          <a:extLst>
            <a:ext uri="{FF2B5EF4-FFF2-40B4-BE49-F238E27FC236}">
              <a16:creationId xmlns:a16="http://schemas.microsoft.com/office/drawing/2014/main" id="{F9D20BFD-4193-C82A-51DE-65D482BEA7D1}"/>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114300</xdr:rowOff>
    </xdr:from>
    <xdr:to>
      <xdr:col>5</xdr:col>
      <xdr:colOff>609600</xdr:colOff>
      <xdr:row>105</xdr:row>
      <xdr:rowOff>190500</xdr:rowOff>
    </xdr:to>
    <xdr:sp macro="" textlink="">
      <xdr:nvSpPr>
        <xdr:cNvPr id="375865" name="Text Box 57" hidden="1">
          <a:extLst>
            <a:ext uri="{FF2B5EF4-FFF2-40B4-BE49-F238E27FC236}">
              <a16:creationId xmlns:a16="http://schemas.microsoft.com/office/drawing/2014/main" id="{17EDF8B4-3753-4A8E-CBFB-B10C276AF0A9}"/>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120650</xdr:rowOff>
    </xdr:to>
    <xdr:sp macro="" textlink="">
      <xdr:nvSpPr>
        <xdr:cNvPr id="375864" name="Text Box 56" hidden="1">
          <a:extLst>
            <a:ext uri="{FF2B5EF4-FFF2-40B4-BE49-F238E27FC236}">
              <a16:creationId xmlns:a16="http://schemas.microsoft.com/office/drawing/2014/main" id="{4CC3D817-0B0C-6326-1008-C857DF345F57}"/>
            </a:ext>
          </a:extLst>
        </xdr:cNvPr>
        <xdr:cNvSpPr txBox="1">
          <a:spLocks noChangeArrowheads="1"/>
        </xdr:cNvSpPr>
      </xdr:nvSpPr>
      <xdr:spPr bwMode="auto">
        <a:xfrm>
          <a:off x="17519650" y="256921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863" name="Text Box 55" hidden="1">
          <a:extLst>
            <a:ext uri="{FF2B5EF4-FFF2-40B4-BE49-F238E27FC236}">
              <a16:creationId xmlns:a16="http://schemas.microsoft.com/office/drawing/2014/main" id="{2EEFA84B-5377-1CB5-E59B-F988FA72B48D}"/>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95250</xdr:rowOff>
    </xdr:from>
    <xdr:to>
      <xdr:col>22</xdr:col>
      <xdr:colOff>609600</xdr:colOff>
      <xdr:row>28</xdr:row>
      <xdr:rowOff>114300</xdr:rowOff>
    </xdr:to>
    <xdr:sp macro="" textlink="">
      <xdr:nvSpPr>
        <xdr:cNvPr id="375862" name="Text Box 54" hidden="1">
          <a:extLst>
            <a:ext uri="{FF2B5EF4-FFF2-40B4-BE49-F238E27FC236}">
              <a16:creationId xmlns:a16="http://schemas.microsoft.com/office/drawing/2014/main" id="{A9C8D5C5-848E-5ED8-2BC8-930055E7F8D9}"/>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861" name="Text Box 53" hidden="1">
          <a:extLst>
            <a:ext uri="{FF2B5EF4-FFF2-40B4-BE49-F238E27FC236}">
              <a16:creationId xmlns:a16="http://schemas.microsoft.com/office/drawing/2014/main" id="{DC114991-8955-4B92-68B5-2BE375D32495}"/>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890" name="Text Box 82" hidden="1">
          <a:extLst>
            <a:ext uri="{FF2B5EF4-FFF2-40B4-BE49-F238E27FC236}">
              <a16:creationId xmlns:a16="http://schemas.microsoft.com/office/drawing/2014/main" id="{4360794E-E690-B56D-7B25-2EE78FDDAF4A}"/>
            </a:ext>
          </a:extLst>
        </xdr:cNvPr>
        <xdr:cNvSpPr txBox="1">
          <a:spLocks noChangeArrowheads="1"/>
        </xdr:cNvSpPr>
      </xdr:nvSpPr>
      <xdr:spPr bwMode="auto">
        <a:xfrm>
          <a:off x="936625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101600</xdr:rowOff>
    </xdr:from>
    <xdr:to>
      <xdr:col>24</xdr:col>
      <xdr:colOff>654050</xdr:colOff>
      <xdr:row>19</xdr:row>
      <xdr:rowOff>0</xdr:rowOff>
    </xdr:to>
    <xdr:sp macro="" textlink="">
      <xdr:nvSpPr>
        <xdr:cNvPr id="375891" name="Text Box 83" hidden="1">
          <a:extLst>
            <a:ext uri="{FF2B5EF4-FFF2-40B4-BE49-F238E27FC236}">
              <a16:creationId xmlns:a16="http://schemas.microsoft.com/office/drawing/2014/main" id="{7D44F9D2-1D57-65C5-F1B5-EC650A796C8C}"/>
            </a:ext>
          </a:extLst>
        </xdr:cNvPr>
        <xdr:cNvSpPr txBox="1">
          <a:spLocks noChangeArrowheads="1"/>
        </xdr:cNvSpPr>
      </xdr:nvSpPr>
      <xdr:spPr bwMode="auto">
        <a:xfrm>
          <a:off x="20034250" y="356235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101600</xdr:rowOff>
    </xdr:from>
    <xdr:to>
      <xdr:col>24</xdr:col>
      <xdr:colOff>654050</xdr:colOff>
      <xdr:row>29</xdr:row>
      <xdr:rowOff>0</xdr:rowOff>
    </xdr:to>
    <xdr:sp macro="" textlink="">
      <xdr:nvSpPr>
        <xdr:cNvPr id="375892" name="Text Box 84" hidden="1">
          <a:extLst>
            <a:ext uri="{FF2B5EF4-FFF2-40B4-BE49-F238E27FC236}">
              <a16:creationId xmlns:a16="http://schemas.microsoft.com/office/drawing/2014/main" id="{29122F4A-FFD1-5628-93C4-6FD5E488A5C4}"/>
            </a:ext>
          </a:extLst>
        </xdr:cNvPr>
        <xdr:cNvSpPr txBox="1">
          <a:spLocks noChangeArrowheads="1"/>
        </xdr:cNvSpPr>
      </xdr:nvSpPr>
      <xdr:spPr bwMode="auto">
        <a:xfrm>
          <a:off x="20034250" y="5753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101600</xdr:rowOff>
    </xdr:from>
    <xdr:to>
      <xdr:col>24</xdr:col>
      <xdr:colOff>654050</xdr:colOff>
      <xdr:row>134</xdr:row>
      <xdr:rowOff>0</xdr:rowOff>
    </xdr:to>
    <xdr:sp macro="" textlink="">
      <xdr:nvSpPr>
        <xdr:cNvPr id="375893" name="Text Box 85" hidden="1">
          <a:extLst>
            <a:ext uri="{FF2B5EF4-FFF2-40B4-BE49-F238E27FC236}">
              <a16:creationId xmlns:a16="http://schemas.microsoft.com/office/drawing/2014/main" id="{444C4E1F-6595-D8E7-EB8F-1993A239585B}"/>
            </a:ext>
          </a:extLst>
        </xdr:cNvPr>
        <xdr:cNvSpPr txBox="1">
          <a:spLocks noChangeArrowheads="1"/>
        </xdr:cNvSpPr>
      </xdr:nvSpPr>
      <xdr:spPr bwMode="auto">
        <a:xfrm>
          <a:off x="20034250" y="26454100"/>
          <a:ext cx="13208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23" name="Text Box 115" hidden="1">
          <a:extLst>
            <a:ext uri="{FF2B5EF4-FFF2-40B4-BE49-F238E27FC236}">
              <a16:creationId xmlns:a16="http://schemas.microsoft.com/office/drawing/2014/main" id="{0B851AE6-E5CF-9605-3051-2AFCD5BF057A}"/>
            </a:ext>
          </a:extLst>
        </xdr:cNvPr>
        <xdr:cNvSpPr txBox="1">
          <a:spLocks noChangeArrowheads="1"/>
        </xdr:cNvSpPr>
      </xdr:nvSpPr>
      <xdr:spPr bwMode="auto">
        <a:xfrm>
          <a:off x="1515745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922" name="Text Box 114" hidden="1">
          <a:extLst>
            <a:ext uri="{FF2B5EF4-FFF2-40B4-BE49-F238E27FC236}">
              <a16:creationId xmlns:a16="http://schemas.microsoft.com/office/drawing/2014/main" id="{A9F0A090-7671-FCF8-2F0C-CAFE573D738F}"/>
            </a:ext>
          </a:extLst>
        </xdr:cNvPr>
        <xdr:cNvSpPr txBox="1">
          <a:spLocks noChangeArrowheads="1"/>
        </xdr:cNvSpPr>
      </xdr:nvSpPr>
      <xdr:spPr bwMode="auto">
        <a:xfrm>
          <a:off x="3994150" y="408241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114300</xdr:rowOff>
    </xdr:to>
    <xdr:sp macro="" textlink="">
      <xdr:nvSpPr>
        <xdr:cNvPr id="375921" name="Text Box 113" hidden="1">
          <a:extLst>
            <a:ext uri="{FF2B5EF4-FFF2-40B4-BE49-F238E27FC236}">
              <a16:creationId xmlns:a16="http://schemas.microsoft.com/office/drawing/2014/main" id="{69622A66-0E1D-101C-78BE-8363EF463123}"/>
            </a:ext>
          </a:extLst>
        </xdr:cNvPr>
        <xdr:cNvSpPr txBox="1">
          <a:spLocks noChangeArrowheads="1"/>
        </xdr:cNvSpPr>
      </xdr:nvSpPr>
      <xdr:spPr bwMode="auto">
        <a:xfrm>
          <a:off x="3994150" y="411607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920" name="Text Box 112" hidden="1">
          <a:extLst>
            <a:ext uri="{FF2B5EF4-FFF2-40B4-BE49-F238E27FC236}">
              <a16:creationId xmlns:a16="http://schemas.microsoft.com/office/drawing/2014/main" id="{08D21B0F-2F82-31D6-A761-BC37F1F58744}"/>
            </a:ext>
          </a:extLst>
        </xdr:cNvPr>
        <xdr:cNvSpPr txBox="1">
          <a:spLocks noChangeArrowheads="1"/>
        </xdr:cNvSpPr>
      </xdr:nvSpPr>
      <xdr:spPr bwMode="auto">
        <a:xfrm>
          <a:off x="3994150" y="417131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114300</xdr:rowOff>
    </xdr:to>
    <xdr:sp macro="" textlink="">
      <xdr:nvSpPr>
        <xdr:cNvPr id="375919" name="Text Box 111" hidden="1">
          <a:extLst>
            <a:ext uri="{FF2B5EF4-FFF2-40B4-BE49-F238E27FC236}">
              <a16:creationId xmlns:a16="http://schemas.microsoft.com/office/drawing/2014/main" id="{CDA1EE3C-CF72-E12D-121D-57C90A024E95}"/>
            </a:ext>
          </a:extLst>
        </xdr:cNvPr>
        <xdr:cNvSpPr txBox="1">
          <a:spLocks noChangeArrowheads="1"/>
        </xdr:cNvSpPr>
      </xdr:nvSpPr>
      <xdr:spPr bwMode="auto">
        <a:xfrm>
          <a:off x="3994150" y="418973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114300</xdr:rowOff>
    </xdr:to>
    <xdr:sp macro="" textlink="">
      <xdr:nvSpPr>
        <xdr:cNvPr id="375918" name="Text Box 110" hidden="1">
          <a:extLst>
            <a:ext uri="{FF2B5EF4-FFF2-40B4-BE49-F238E27FC236}">
              <a16:creationId xmlns:a16="http://schemas.microsoft.com/office/drawing/2014/main" id="{E5FBA9DC-F08F-4FE2-D724-068E0209C097}"/>
            </a:ext>
          </a:extLst>
        </xdr:cNvPr>
        <xdr:cNvSpPr txBox="1">
          <a:spLocks noChangeArrowheads="1"/>
        </xdr:cNvSpPr>
      </xdr:nvSpPr>
      <xdr:spPr bwMode="auto">
        <a:xfrm>
          <a:off x="3994150" y="375856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917" name="Text Box 109" hidden="1">
          <a:extLst>
            <a:ext uri="{FF2B5EF4-FFF2-40B4-BE49-F238E27FC236}">
              <a16:creationId xmlns:a16="http://schemas.microsoft.com/office/drawing/2014/main" id="{C1FDBBE8-0523-B855-3C46-8B75ECA5E1E3}"/>
            </a:ext>
          </a:extLst>
        </xdr:cNvPr>
        <xdr:cNvSpPr txBox="1">
          <a:spLocks noChangeArrowheads="1"/>
        </xdr:cNvSpPr>
      </xdr:nvSpPr>
      <xdr:spPr bwMode="auto">
        <a:xfrm>
          <a:off x="3994150" y="380301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916" name="Text Box 108" hidden="1">
          <a:extLst>
            <a:ext uri="{FF2B5EF4-FFF2-40B4-BE49-F238E27FC236}">
              <a16:creationId xmlns:a16="http://schemas.microsoft.com/office/drawing/2014/main" id="{91E5D39C-716B-C539-0BEB-587680BC913E}"/>
            </a:ext>
          </a:extLst>
        </xdr:cNvPr>
        <xdr:cNvSpPr txBox="1">
          <a:spLocks noChangeArrowheads="1"/>
        </xdr:cNvSpPr>
      </xdr:nvSpPr>
      <xdr:spPr bwMode="auto">
        <a:xfrm>
          <a:off x="3994150" y="38398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915" name="Text Box 107" hidden="1">
          <a:extLst>
            <a:ext uri="{FF2B5EF4-FFF2-40B4-BE49-F238E27FC236}">
              <a16:creationId xmlns:a16="http://schemas.microsoft.com/office/drawing/2014/main" id="{F29A053D-3092-8561-EBAF-EFE50E32383C}"/>
            </a:ext>
          </a:extLst>
        </xdr:cNvPr>
        <xdr:cNvSpPr txBox="1">
          <a:spLocks noChangeArrowheads="1"/>
        </xdr:cNvSpPr>
      </xdr:nvSpPr>
      <xdr:spPr bwMode="auto">
        <a:xfrm>
          <a:off x="3994150" y="387667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53</xdr:row>
      <xdr:rowOff>19050</xdr:rowOff>
    </xdr:to>
    <xdr:sp macro="" textlink="">
      <xdr:nvSpPr>
        <xdr:cNvPr id="375914" name="Text Box 106" hidden="1">
          <a:extLst>
            <a:ext uri="{FF2B5EF4-FFF2-40B4-BE49-F238E27FC236}">
              <a16:creationId xmlns:a16="http://schemas.microsoft.com/office/drawing/2014/main" id="{101BB53F-B551-7EF6-78C2-71B69A661DEA}"/>
            </a:ext>
          </a:extLst>
        </xdr:cNvPr>
        <xdr:cNvSpPr txBox="1">
          <a:spLocks noChangeArrowheads="1"/>
        </xdr:cNvSpPr>
      </xdr:nvSpPr>
      <xdr:spPr bwMode="auto">
        <a:xfrm>
          <a:off x="3994150" y="11334750"/>
          <a:ext cx="13144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64</xdr:row>
      <xdr:rowOff>76200</xdr:rowOff>
    </xdr:to>
    <xdr:sp macro="" textlink="">
      <xdr:nvSpPr>
        <xdr:cNvPr id="375913" name="Text Box 105" hidden="1">
          <a:extLst>
            <a:ext uri="{FF2B5EF4-FFF2-40B4-BE49-F238E27FC236}">
              <a16:creationId xmlns:a16="http://schemas.microsoft.com/office/drawing/2014/main" id="{0EB126BD-7322-1C2A-D5F8-30EA46AC8DFB}"/>
            </a:ext>
          </a:extLst>
        </xdr:cNvPr>
        <xdr:cNvSpPr txBox="1">
          <a:spLocks noChangeArrowheads="1"/>
        </xdr:cNvSpPr>
      </xdr:nvSpPr>
      <xdr:spPr bwMode="auto">
        <a:xfrm>
          <a:off x="3994150" y="11334750"/>
          <a:ext cx="1314450" cy="2609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95250</xdr:rowOff>
    </xdr:from>
    <xdr:to>
      <xdr:col>5</xdr:col>
      <xdr:colOff>609600</xdr:colOff>
      <xdr:row>68</xdr:row>
      <xdr:rowOff>114300</xdr:rowOff>
    </xdr:to>
    <xdr:sp macro="" textlink="">
      <xdr:nvSpPr>
        <xdr:cNvPr id="375912" name="Text Box 104" hidden="1">
          <a:extLst>
            <a:ext uri="{FF2B5EF4-FFF2-40B4-BE49-F238E27FC236}">
              <a16:creationId xmlns:a16="http://schemas.microsoft.com/office/drawing/2014/main" id="{794F27E4-19B6-464E-80D3-0433F642EC0D}"/>
            </a:ext>
          </a:extLst>
        </xdr:cNvPr>
        <xdr:cNvSpPr txBox="1">
          <a:spLocks noChangeArrowheads="1"/>
        </xdr:cNvSpPr>
      </xdr:nvSpPr>
      <xdr:spPr bwMode="auto">
        <a:xfrm>
          <a:off x="3994150" y="1143000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114300</xdr:rowOff>
    </xdr:from>
    <xdr:to>
      <xdr:col>5</xdr:col>
      <xdr:colOff>609600</xdr:colOff>
      <xdr:row>68</xdr:row>
      <xdr:rowOff>133350</xdr:rowOff>
    </xdr:to>
    <xdr:sp macro="" textlink="">
      <xdr:nvSpPr>
        <xdr:cNvPr id="375911" name="Text Box 103" hidden="1">
          <a:extLst>
            <a:ext uri="{FF2B5EF4-FFF2-40B4-BE49-F238E27FC236}">
              <a16:creationId xmlns:a16="http://schemas.microsoft.com/office/drawing/2014/main" id="{C43FF1ED-E0E4-EDFB-DD0E-18972E56EFE9}"/>
            </a:ext>
          </a:extLst>
        </xdr:cNvPr>
        <xdr:cNvSpPr txBox="1">
          <a:spLocks noChangeArrowheads="1"/>
        </xdr:cNvSpPr>
      </xdr:nvSpPr>
      <xdr:spPr bwMode="auto">
        <a:xfrm>
          <a:off x="3994150" y="11449050"/>
          <a:ext cx="1314450" cy="332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57150</xdr:rowOff>
    </xdr:from>
    <xdr:to>
      <xdr:col>5</xdr:col>
      <xdr:colOff>609600</xdr:colOff>
      <xdr:row>68</xdr:row>
      <xdr:rowOff>95250</xdr:rowOff>
    </xdr:to>
    <xdr:sp macro="" textlink="">
      <xdr:nvSpPr>
        <xdr:cNvPr id="375910" name="Text Box 102" hidden="1">
          <a:extLst>
            <a:ext uri="{FF2B5EF4-FFF2-40B4-BE49-F238E27FC236}">
              <a16:creationId xmlns:a16="http://schemas.microsoft.com/office/drawing/2014/main" id="{DA8B00A9-3100-C25A-C6D0-C780DDFA14D8}"/>
            </a:ext>
          </a:extLst>
        </xdr:cNvPr>
        <xdr:cNvSpPr txBox="1">
          <a:spLocks noChangeArrowheads="1"/>
        </xdr:cNvSpPr>
      </xdr:nvSpPr>
      <xdr:spPr bwMode="auto">
        <a:xfrm>
          <a:off x="3994150" y="12954000"/>
          <a:ext cx="13144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133350</xdr:rowOff>
    </xdr:from>
    <xdr:to>
      <xdr:col>5</xdr:col>
      <xdr:colOff>609600</xdr:colOff>
      <xdr:row>80</xdr:row>
      <xdr:rowOff>95250</xdr:rowOff>
    </xdr:to>
    <xdr:sp macro="" textlink="">
      <xdr:nvSpPr>
        <xdr:cNvPr id="375909" name="Text Box 101" hidden="1">
          <a:extLst>
            <a:ext uri="{FF2B5EF4-FFF2-40B4-BE49-F238E27FC236}">
              <a16:creationId xmlns:a16="http://schemas.microsoft.com/office/drawing/2014/main" id="{942034FF-A541-4883-45A5-782D504092F7}"/>
            </a:ext>
          </a:extLst>
        </xdr:cNvPr>
        <xdr:cNvSpPr txBox="1">
          <a:spLocks noChangeArrowheads="1"/>
        </xdr:cNvSpPr>
      </xdr:nvSpPr>
      <xdr:spPr bwMode="auto">
        <a:xfrm>
          <a:off x="3994150" y="1607185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57150</xdr:rowOff>
    </xdr:from>
    <xdr:to>
      <xdr:col>5</xdr:col>
      <xdr:colOff>609600</xdr:colOff>
      <xdr:row>80</xdr:row>
      <xdr:rowOff>19050</xdr:rowOff>
    </xdr:to>
    <xdr:sp macro="" textlink="">
      <xdr:nvSpPr>
        <xdr:cNvPr id="375908" name="Text Box 100" hidden="1">
          <a:extLst>
            <a:ext uri="{FF2B5EF4-FFF2-40B4-BE49-F238E27FC236}">
              <a16:creationId xmlns:a16="http://schemas.microsoft.com/office/drawing/2014/main" id="{D1AAB25D-5300-72CD-C8EB-E40C387EF240}"/>
            </a:ext>
          </a:extLst>
        </xdr:cNvPr>
        <xdr:cNvSpPr txBox="1">
          <a:spLocks noChangeArrowheads="1"/>
        </xdr:cNvSpPr>
      </xdr:nvSpPr>
      <xdr:spPr bwMode="auto">
        <a:xfrm>
          <a:off x="3994150" y="161798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0</xdr:rowOff>
    </xdr:from>
    <xdr:to>
      <xdr:col>5</xdr:col>
      <xdr:colOff>609600</xdr:colOff>
      <xdr:row>82</xdr:row>
      <xdr:rowOff>95250</xdr:rowOff>
    </xdr:to>
    <xdr:sp macro="" textlink="">
      <xdr:nvSpPr>
        <xdr:cNvPr id="375907" name="Text Box 99" hidden="1">
          <a:extLst>
            <a:ext uri="{FF2B5EF4-FFF2-40B4-BE49-F238E27FC236}">
              <a16:creationId xmlns:a16="http://schemas.microsoft.com/office/drawing/2014/main" id="{27CD9360-36DD-4068-A217-5D03A9C10236}"/>
            </a:ext>
          </a:extLst>
        </xdr:cNvPr>
        <xdr:cNvSpPr txBox="1">
          <a:spLocks noChangeArrowheads="1"/>
        </xdr:cNvSpPr>
      </xdr:nvSpPr>
      <xdr:spPr bwMode="auto">
        <a:xfrm>
          <a:off x="3994150" y="16306800"/>
          <a:ext cx="1314450" cy="1200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0</xdr:rowOff>
    </xdr:from>
    <xdr:to>
      <xdr:col>5</xdr:col>
      <xdr:colOff>609600</xdr:colOff>
      <xdr:row>83</xdr:row>
      <xdr:rowOff>114300</xdr:rowOff>
    </xdr:to>
    <xdr:sp macro="" textlink="">
      <xdr:nvSpPr>
        <xdr:cNvPr id="375906" name="Text Box 98" hidden="1">
          <a:extLst>
            <a:ext uri="{FF2B5EF4-FFF2-40B4-BE49-F238E27FC236}">
              <a16:creationId xmlns:a16="http://schemas.microsoft.com/office/drawing/2014/main" id="{0998EE4F-DA05-623E-DC93-83A7670AEDC9}"/>
            </a:ext>
          </a:extLst>
        </xdr:cNvPr>
        <xdr:cNvSpPr txBox="1">
          <a:spLocks noChangeArrowheads="1"/>
        </xdr:cNvSpPr>
      </xdr:nvSpPr>
      <xdr:spPr bwMode="auto">
        <a:xfrm>
          <a:off x="3994150" y="16490950"/>
          <a:ext cx="131445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95250</xdr:rowOff>
    </xdr:from>
    <xdr:to>
      <xdr:col>5</xdr:col>
      <xdr:colOff>609600</xdr:colOff>
      <xdr:row>106</xdr:row>
      <xdr:rowOff>57150</xdr:rowOff>
    </xdr:to>
    <xdr:sp macro="" textlink="">
      <xdr:nvSpPr>
        <xdr:cNvPr id="375905" name="Text Box 97" hidden="1">
          <a:extLst>
            <a:ext uri="{FF2B5EF4-FFF2-40B4-BE49-F238E27FC236}">
              <a16:creationId xmlns:a16="http://schemas.microsoft.com/office/drawing/2014/main" id="{D091AB2C-0016-3AE7-3CDA-511DD6E2862E}"/>
            </a:ext>
          </a:extLst>
        </xdr:cNvPr>
        <xdr:cNvSpPr txBox="1">
          <a:spLocks noChangeArrowheads="1"/>
        </xdr:cNvSpPr>
      </xdr:nvSpPr>
      <xdr:spPr bwMode="auto">
        <a:xfrm>
          <a:off x="3994150" y="20872450"/>
          <a:ext cx="131445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152400</xdr:rowOff>
    </xdr:from>
    <xdr:to>
      <xdr:col>5</xdr:col>
      <xdr:colOff>609600</xdr:colOff>
      <xdr:row>106</xdr:row>
      <xdr:rowOff>0</xdr:rowOff>
    </xdr:to>
    <xdr:sp macro="" textlink="">
      <xdr:nvSpPr>
        <xdr:cNvPr id="375904" name="Text Box 96" hidden="1">
          <a:extLst>
            <a:ext uri="{FF2B5EF4-FFF2-40B4-BE49-F238E27FC236}">
              <a16:creationId xmlns:a16="http://schemas.microsoft.com/office/drawing/2014/main" id="{AB7FA3C7-FFBC-08BC-A09E-56DEF836CC79}"/>
            </a:ext>
          </a:extLst>
        </xdr:cNvPr>
        <xdr:cNvSpPr txBox="1">
          <a:spLocks noChangeArrowheads="1"/>
        </xdr:cNvSpPr>
      </xdr:nvSpPr>
      <xdr:spPr bwMode="auto">
        <a:xfrm>
          <a:off x="3994150" y="21113750"/>
          <a:ext cx="1314450" cy="1003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152400</xdr:rowOff>
    </xdr:from>
    <xdr:to>
      <xdr:col>5</xdr:col>
      <xdr:colOff>609600</xdr:colOff>
      <xdr:row>105</xdr:row>
      <xdr:rowOff>190500</xdr:rowOff>
    </xdr:to>
    <xdr:sp macro="" textlink="">
      <xdr:nvSpPr>
        <xdr:cNvPr id="375903" name="Text Box 95" hidden="1">
          <a:extLst>
            <a:ext uri="{FF2B5EF4-FFF2-40B4-BE49-F238E27FC236}">
              <a16:creationId xmlns:a16="http://schemas.microsoft.com/office/drawing/2014/main" id="{B634E961-4089-16E4-C15B-6A1A7EE774F6}"/>
            </a:ext>
          </a:extLst>
        </xdr:cNvPr>
        <xdr:cNvSpPr txBox="1">
          <a:spLocks noChangeArrowheads="1"/>
        </xdr:cNvSpPr>
      </xdr:nvSpPr>
      <xdr:spPr bwMode="auto">
        <a:xfrm>
          <a:off x="3994150" y="21297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114300</xdr:rowOff>
    </xdr:from>
    <xdr:to>
      <xdr:col>5</xdr:col>
      <xdr:colOff>609600</xdr:colOff>
      <xdr:row>105</xdr:row>
      <xdr:rowOff>190500</xdr:rowOff>
    </xdr:to>
    <xdr:sp macro="" textlink="">
      <xdr:nvSpPr>
        <xdr:cNvPr id="375902" name="Text Box 94" hidden="1">
          <a:extLst>
            <a:ext uri="{FF2B5EF4-FFF2-40B4-BE49-F238E27FC236}">
              <a16:creationId xmlns:a16="http://schemas.microsoft.com/office/drawing/2014/main" id="{F0755C43-9A70-366D-E2EE-A3ECC187F3FF}"/>
            </a:ext>
          </a:extLst>
        </xdr:cNvPr>
        <xdr:cNvSpPr txBox="1">
          <a:spLocks noChangeArrowheads="1"/>
        </xdr:cNvSpPr>
      </xdr:nvSpPr>
      <xdr:spPr bwMode="auto">
        <a:xfrm>
          <a:off x="3994150" y="21259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114300</xdr:rowOff>
    </xdr:to>
    <xdr:sp macro="" textlink="">
      <xdr:nvSpPr>
        <xdr:cNvPr id="375901" name="Text Box 93" hidden="1">
          <a:extLst>
            <a:ext uri="{FF2B5EF4-FFF2-40B4-BE49-F238E27FC236}">
              <a16:creationId xmlns:a16="http://schemas.microsoft.com/office/drawing/2014/main" id="{2D6E15EF-2053-7331-3FC6-F7DD2EACB2B8}"/>
            </a:ext>
          </a:extLst>
        </xdr:cNvPr>
        <xdr:cNvSpPr txBox="1">
          <a:spLocks noChangeArrowheads="1"/>
        </xdr:cNvSpPr>
      </xdr:nvSpPr>
      <xdr:spPr bwMode="auto">
        <a:xfrm>
          <a:off x="17519650" y="256921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900" name="Text Box 92" hidden="1">
          <a:extLst>
            <a:ext uri="{FF2B5EF4-FFF2-40B4-BE49-F238E27FC236}">
              <a16:creationId xmlns:a16="http://schemas.microsoft.com/office/drawing/2014/main" id="{B5667A02-88FC-3C6E-0127-CBD62A0905C2}"/>
            </a:ext>
          </a:extLst>
        </xdr:cNvPr>
        <xdr:cNvSpPr txBox="1">
          <a:spLocks noChangeArrowheads="1"/>
        </xdr:cNvSpPr>
      </xdr:nvSpPr>
      <xdr:spPr bwMode="auto">
        <a:xfrm>
          <a:off x="18338800" y="35560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95250</xdr:rowOff>
    </xdr:from>
    <xdr:to>
      <xdr:col>22</xdr:col>
      <xdr:colOff>609600</xdr:colOff>
      <xdr:row>28</xdr:row>
      <xdr:rowOff>114300</xdr:rowOff>
    </xdr:to>
    <xdr:sp macro="" textlink="">
      <xdr:nvSpPr>
        <xdr:cNvPr id="375899" name="Text Box 91" hidden="1">
          <a:extLst>
            <a:ext uri="{FF2B5EF4-FFF2-40B4-BE49-F238E27FC236}">
              <a16:creationId xmlns:a16="http://schemas.microsoft.com/office/drawing/2014/main" id="{8F2A9109-09E1-D2DF-837A-C0B7117761FF}"/>
            </a:ext>
          </a:extLst>
        </xdr:cNvPr>
        <xdr:cNvSpPr txBox="1">
          <a:spLocks noChangeArrowheads="1"/>
        </xdr:cNvSpPr>
      </xdr:nvSpPr>
      <xdr:spPr bwMode="auto">
        <a:xfrm>
          <a:off x="18338800" y="57467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898" name="Text Box 90" hidden="1">
          <a:extLst>
            <a:ext uri="{FF2B5EF4-FFF2-40B4-BE49-F238E27FC236}">
              <a16:creationId xmlns:a16="http://schemas.microsoft.com/office/drawing/2014/main" id="{C2733543-54DC-0013-8FAB-3FCCFA11486F}"/>
            </a:ext>
          </a:extLst>
        </xdr:cNvPr>
        <xdr:cNvSpPr txBox="1">
          <a:spLocks noChangeArrowheads="1"/>
        </xdr:cNvSpPr>
      </xdr:nvSpPr>
      <xdr:spPr bwMode="auto">
        <a:xfrm>
          <a:off x="18338800" y="2644775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897" name="Text Box 89" hidden="1">
          <a:extLst>
            <a:ext uri="{FF2B5EF4-FFF2-40B4-BE49-F238E27FC236}">
              <a16:creationId xmlns:a16="http://schemas.microsoft.com/office/drawing/2014/main" id="{63740A62-4A83-CA3D-17FF-7EAD1E220E5F}"/>
            </a:ext>
          </a:extLst>
        </xdr:cNvPr>
        <xdr:cNvSpPr txBox="1">
          <a:spLocks noChangeArrowheads="1"/>
        </xdr:cNvSpPr>
      </xdr:nvSpPr>
      <xdr:spPr bwMode="auto">
        <a:xfrm>
          <a:off x="9366250" y="7588250"/>
          <a:ext cx="1314450" cy="863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19</xdr:row>
      <xdr:rowOff>0</xdr:rowOff>
    </xdr:to>
    <xdr:sp macro="" textlink="">
      <xdr:nvSpPr>
        <xdr:cNvPr id="375896" name="Text Box 88" hidden="1">
          <a:extLst>
            <a:ext uri="{FF2B5EF4-FFF2-40B4-BE49-F238E27FC236}">
              <a16:creationId xmlns:a16="http://schemas.microsoft.com/office/drawing/2014/main" id="{A88BA161-C5A2-DF1A-FC12-16193BFF41DD}"/>
            </a:ext>
          </a:extLst>
        </xdr:cNvPr>
        <xdr:cNvSpPr txBox="1">
          <a:spLocks noChangeArrowheads="1"/>
        </xdr:cNvSpPr>
      </xdr:nvSpPr>
      <xdr:spPr bwMode="auto">
        <a:xfrm>
          <a:off x="20034250" y="35560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95250</xdr:rowOff>
    </xdr:from>
    <xdr:to>
      <xdr:col>24</xdr:col>
      <xdr:colOff>647700</xdr:colOff>
      <xdr:row>29</xdr:row>
      <xdr:rowOff>0</xdr:rowOff>
    </xdr:to>
    <xdr:sp macro="" textlink="">
      <xdr:nvSpPr>
        <xdr:cNvPr id="375895" name="Text Box 87" hidden="1">
          <a:extLst>
            <a:ext uri="{FF2B5EF4-FFF2-40B4-BE49-F238E27FC236}">
              <a16:creationId xmlns:a16="http://schemas.microsoft.com/office/drawing/2014/main" id="{DDAB76A3-CBBB-20C6-89FE-1A3186DC5E82}"/>
            </a:ext>
          </a:extLst>
        </xdr:cNvPr>
        <xdr:cNvSpPr txBox="1">
          <a:spLocks noChangeArrowheads="1"/>
        </xdr:cNvSpPr>
      </xdr:nvSpPr>
      <xdr:spPr bwMode="auto">
        <a:xfrm>
          <a:off x="20034250" y="5746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95250</xdr:rowOff>
    </xdr:from>
    <xdr:to>
      <xdr:col>24</xdr:col>
      <xdr:colOff>647700</xdr:colOff>
      <xdr:row>134</xdr:row>
      <xdr:rowOff>0</xdr:rowOff>
    </xdr:to>
    <xdr:sp macro="" textlink="">
      <xdr:nvSpPr>
        <xdr:cNvPr id="375894" name="Text Box 86" hidden="1">
          <a:extLst>
            <a:ext uri="{FF2B5EF4-FFF2-40B4-BE49-F238E27FC236}">
              <a16:creationId xmlns:a16="http://schemas.microsoft.com/office/drawing/2014/main" id="{EFB92CEA-0683-9059-AEC5-6EF18E608C4F}"/>
            </a:ext>
          </a:extLst>
        </xdr:cNvPr>
        <xdr:cNvSpPr txBox="1">
          <a:spLocks noChangeArrowheads="1"/>
        </xdr:cNvSpPr>
      </xdr:nvSpPr>
      <xdr:spPr bwMode="auto">
        <a:xfrm>
          <a:off x="20034250" y="264477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53" name="Text Box 145" hidden="1">
          <a:extLst>
            <a:ext uri="{FF2B5EF4-FFF2-40B4-BE49-F238E27FC236}">
              <a16:creationId xmlns:a16="http://schemas.microsoft.com/office/drawing/2014/main" id="{AFAB564F-BC57-6F89-59A1-9336DBE954CA}"/>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952" name="Text Box 144" hidden="1">
          <a:extLst>
            <a:ext uri="{FF2B5EF4-FFF2-40B4-BE49-F238E27FC236}">
              <a16:creationId xmlns:a16="http://schemas.microsoft.com/office/drawing/2014/main" id="{91B686DF-388E-AAD2-A22C-F881891AB67D}"/>
            </a:ext>
          </a:extLst>
        </xdr:cNvPr>
        <xdr:cNvSpPr txBox="1">
          <a:spLocks noChangeArrowheads="1"/>
        </xdr:cNvSpPr>
      </xdr:nvSpPr>
      <xdr:spPr bwMode="auto">
        <a:xfrm>
          <a:off x="3994150" y="408241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114300</xdr:rowOff>
    </xdr:to>
    <xdr:sp macro="" textlink="">
      <xdr:nvSpPr>
        <xdr:cNvPr id="375951" name="Text Box 143" hidden="1">
          <a:extLst>
            <a:ext uri="{FF2B5EF4-FFF2-40B4-BE49-F238E27FC236}">
              <a16:creationId xmlns:a16="http://schemas.microsoft.com/office/drawing/2014/main" id="{7A3B0374-F8BE-D6D3-9A6D-6E023E918DCE}"/>
            </a:ext>
          </a:extLst>
        </xdr:cNvPr>
        <xdr:cNvSpPr txBox="1">
          <a:spLocks noChangeArrowheads="1"/>
        </xdr:cNvSpPr>
      </xdr:nvSpPr>
      <xdr:spPr bwMode="auto">
        <a:xfrm>
          <a:off x="3994150" y="4116070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950" name="Text Box 142" hidden="1">
          <a:extLst>
            <a:ext uri="{FF2B5EF4-FFF2-40B4-BE49-F238E27FC236}">
              <a16:creationId xmlns:a16="http://schemas.microsoft.com/office/drawing/2014/main" id="{BEF7188E-5D0D-F4D4-9AD8-F7FA2212BA8C}"/>
            </a:ext>
          </a:extLst>
        </xdr:cNvPr>
        <xdr:cNvSpPr txBox="1">
          <a:spLocks noChangeArrowheads="1"/>
        </xdr:cNvSpPr>
      </xdr:nvSpPr>
      <xdr:spPr bwMode="auto">
        <a:xfrm>
          <a:off x="3994150" y="4171315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114300</xdr:rowOff>
    </xdr:to>
    <xdr:sp macro="" textlink="">
      <xdr:nvSpPr>
        <xdr:cNvPr id="375949" name="Text Box 141" hidden="1">
          <a:extLst>
            <a:ext uri="{FF2B5EF4-FFF2-40B4-BE49-F238E27FC236}">
              <a16:creationId xmlns:a16="http://schemas.microsoft.com/office/drawing/2014/main" id="{37CCA463-B563-7968-9087-4AA7CAA71C90}"/>
            </a:ext>
          </a:extLst>
        </xdr:cNvPr>
        <xdr:cNvSpPr txBox="1">
          <a:spLocks noChangeArrowheads="1"/>
        </xdr:cNvSpPr>
      </xdr:nvSpPr>
      <xdr:spPr bwMode="auto">
        <a:xfrm>
          <a:off x="3994150" y="4189730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114300</xdr:rowOff>
    </xdr:to>
    <xdr:sp macro="" textlink="">
      <xdr:nvSpPr>
        <xdr:cNvPr id="375948" name="Text Box 140" hidden="1">
          <a:extLst>
            <a:ext uri="{FF2B5EF4-FFF2-40B4-BE49-F238E27FC236}">
              <a16:creationId xmlns:a16="http://schemas.microsoft.com/office/drawing/2014/main" id="{EC37C7C4-36D1-3862-7E83-88AB418BB180}"/>
            </a:ext>
          </a:extLst>
        </xdr:cNvPr>
        <xdr:cNvSpPr txBox="1">
          <a:spLocks noChangeArrowheads="1"/>
        </xdr:cNvSpPr>
      </xdr:nvSpPr>
      <xdr:spPr bwMode="auto">
        <a:xfrm>
          <a:off x="3994150" y="3758565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947" name="Text Box 139" hidden="1">
          <a:extLst>
            <a:ext uri="{FF2B5EF4-FFF2-40B4-BE49-F238E27FC236}">
              <a16:creationId xmlns:a16="http://schemas.microsoft.com/office/drawing/2014/main" id="{74CCB67F-D272-CEF4-005E-965322170C87}"/>
            </a:ext>
          </a:extLst>
        </xdr:cNvPr>
        <xdr:cNvSpPr txBox="1">
          <a:spLocks noChangeArrowheads="1"/>
        </xdr:cNvSpPr>
      </xdr:nvSpPr>
      <xdr:spPr bwMode="auto">
        <a:xfrm>
          <a:off x="3994150" y="380301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946" name="Text Box 138" hidden="1">
          <a:extLst>
            <a:ext uri="{FF2B5EF4-FFF2-40B4-BE49-F238E27FC236}">
              <a16:creationId xmlns:a16="http://schemas.microsoft.com/office/drawing/2014/main" id="{6A887F85-C22D-FF79-00FE-F6698D7AA4DE}"/>
            </a:ext>
          </a:extLst>
        </xdr:cNvPr>
        <xdr:cNvSpPr txBox="1">
          <a:spLocks noChangeArrowheads="1"/>
        </xdr:cNvSpPr>
      </xdr:nvSpPr>
      <xdr:spPr bwMode="auto">
        <a:xfrm>
          <a:off x="3994150" y="383984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945" name="Text Box 137" hidden="1">
          <a:extLst>
            <a:ext uri="{FF2B5EF4-FFF2-40B4-BE49-F238E27FC236}">
              <a16:creationId xmlns:a16="http://schemas.microsoft.com/office/drawing/2014/main" id="{625CC563-8542-8B62-CD65-1AC9F66E3893}"/>
            </a:ext>
          </a:extLst>
        </xdr:cNvPr>
        <xdr:cNvSpPr txBox="1">
          <a:spLocks noChangeArrowheads="1"/>
        </xdr:cNvSpPr>
      </xdr:nvSpPr>
      <xdr:spPr bwMode="auto">
        <a:xfrm>
          <a:off x="3994150" y="387667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53</xdr:row>
      <xdr:rowOff>19050</xdr:rowOff>
    </xdr:to>
    <xdr:sp macro="" textlink="">
      <xdr:nvSpPr>
        <xdr:cNvPr id="375944" name="Text Box 136" hidden="1">
          <a:extLst>
            <a:ext uri="{FF2B5EF4-FFF2-40B4-BE49-F238E27FC236}">
              <a16:creationId xmlns:a16="http://schemas.microsoft.com/office/drawing/2014/main" id="{B548ED0B-5C36-A26E-8922-8DEA8047B0A3}"/>
            </a:ext>
          </a:extLst>
        </xdr:cNvPr>
        <xdr:cNvSpPr txBox="1">
          <a:spLocks noChangeArrowheads="1"/>
        </xdr:cNvSpPr>
      </xdr:nvSpPr>
      <xdr:spPr bwMode="auto">
        <a:xfrm>
          <a:off x="3994150" y="113347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64</xdr:row>
      <xdr:rowOff>76200</xdr:rowOff>
    </xdr:to>
    <xdr:sp macro="" textlink="">
      <xdr:nvSpPr>
        <xdr:cNvPr id="375943" name="Text Box 135" hidden="1">
          <a:extLst>
            <a:ext uri="{FF2B5EF4-FFF2-40B4-BE49-F238E27FC236}">
              <a16:creationId xmlns:a16="http://schemas.microsoft.com/office/drawing/2014/main" id="{075964B5-B16A-22F3-981D-1E57EBDA1CB7}"/>
            </a:ext>
          </a:extLst>
        </xdr:cNvPr>
        <xdr:cNvSpPr txBox="1">
          <a:spLocks noChangeArrowheads="1"/>
        </xdr:cNvSpPr>
      </xdr:nvSpPr>
      <xdr:spPr bwMode="auto">
        <a:xfrm>
          <a:off x="3994150" y="1133475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95250</xdr:rowOff>
    </xdr:from>
    <xdr:to>
      <xdr:col>5</xdr:col>
      <xdr:colOff>609600</xdr:colOff>
      <xdr:row>68</xdr:row>
      <xdr:rowOff>114300</xdr:rowOff>
    </xdr:to>
    <xdr:sp macro="" textlink="">
      <xdr:nvSpPr>
        <xdr:cNvPr id="375942" name="Text Box 134" hidden="1">
          <a:extLst>
            <a:ext uri="{FF2B5EF4-FFF2-40B4-BE49-F238E27FC236}">
              <a16:creationId xmlns:a16="http://schemas.microsoft.com/office/drawing/2014/main" id="{DE9C68D9-A398-25FC-F371-9D3548489A9B}"/>
            </a:ext>
          </a:extLst>
        </xdr:cNvPr>
        <xdr:cNvSpPr txBox="1">
          <a:spLocks noChangeArrowheads="1"/>
        </xdr:cNvSpPr>
      </xdr:nvSpPr>
      <xdr:spPr bwMode="auto">
        <a:xfrm>
          <a:off x="3994150" y="1143000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114300</xdr:rowOff>
    </xdr:from>
    <xdr:to>
      <xdr:col>5</xdr:col>
      <xdr:colOff>609600</xdr:colOff>
      <xdr:row>68</xdr:row>
      <xdr:rowOff>133350</xdr:rowOff>
    </xdr:to>
    <xdr:sp macro="" textlink="">
      <xdr:nvSpPr>
        <xdr:cNvPr id="375941" name="Text Box 133" hidden="1">
          <a:extLst>
            <a:ext uri="{FF2B5EF4-FFF2-40B4-BE49-F238E27FC236}">
              <a16:creationId xmlns:a16="http://schemas.microsoft.com/office/drawing/2014/main" id="{A1E70EA2-BB78-BBEC-4581-BF16FDBB1FC2}"/>
            </a:ext>
          </a:extLst>
        </xdr:cNvPr>
        <xdr:cNvSpPr txBox="1">
          <a:spLocks noChangeArrowheads="1"/>
        </xdr:cNvSpPr>
      </xdr:nvSpPr>
      <xdr:spPr bwMode="auto">
        <a:xfrm>
          <a:off x="3994150" y="1144905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57150</xdr:rowOff>
    </xdr:from>
    <xdr:to>
      <xdr:col>5</xdr:col>
      <xdr:colOff>609600</xdr:colOff>
      <xdr:row>68</xdr:row>
      <xdr:rowOff>95250</xdr:rowOff>
    </xdr:to>
    <xdr:sp macro="" textlink="">
      <xdr:nvSpPr>
        <xdr:cNvPr id="375940" name="Text Box 132" hidden="1">
          <a:extLst>
            <a:ext uri="{FF2B5EF4-FFF2-40B4-BE49-F238E27FC236}">
              <a16:creationId xmlns:a16="http://schemas.microsoft.com/office/drawing/2014/main" id="{8722ECB3-E2E6-78F5-B634-5867D2F21EE7}"/>
            </a:ext>
          </a:extLst>
        </xdr:cNvPr>
        <xdr:cNvSpPr txBox="1">
          <a:spLocks noChangeArrowheads="1"/>
        </xdr:cNvSpPr>
      </xdr:nvSpPr>
      <xdr:spPr bwMode="auto">
        <a:xfrm>
          <a:off x="3994150" y="12954000"/>
          <a:ext cx="131445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133350</xdr:rowOff>
    </xdr:from>
    <xdr:to>
      <xdr:col>5</xdr:col>
      <xdr:colOff>609600</xdr:colOff>
      <xdr:row>80</xdr:row>
      <xdr:rowOff>95250</xdr:rowOff>
    </xdr:to>
    <xdr:sp macro="" textlink="">
      <xdr:nvSpPr>
        <xdr:cNvPr id="375939" name="Text Box 131" hidden="1">
          <a:extLst>
            <a:ext uri="{FF2B5EF4-FFF2-40B4-BE49-F238E27FC236}">
              <a16:creationId xmlns:a16="http://schemas.microsoft.com/office/drawing/2014/main" id="{5353114D-A872-A0F4-0DC2-6F67EF5DCF0A}"/>
            </a:ext>
          </a:extLst>
        </xdr:cNvPr>
        <xdr:cNvSpPr txBox="1">
          <a:spLocks noChangeArrowheads="1"/>
        </xdr:cNvSpPr>
      </xdr:nvSpPr>
      <xdr:spPr bwMode="auto">
        <a:xfrm>
          <a:off x="3994150" y="160718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57150</xdr:rowOff>
    </xdr:from>
    <xdr:to>
      <xdr:col>5</xdr:col>
      <xdr:colOff>609600</xdr:colOff>
      <xdr:row>80</xdr:row>
      <xdr:rowOff>19050</xdr:rowOff>
    </xdr:to>
    <xdr:sp macro="" textlink="">
      <xdr:nvSpPr>
        <xdr:cNvPr id="375938" name="Text Box 130" hidden="1">
          <a:extLst>
            <a:ext uri="{FF2B5EF4-FFF2-40B4-BE49-F238E27FC236}">
              <a16:creationId xmlns:a16="http://schemas.microsoft.com/office/drawing/2014/main" id="{227660FD-C430-088B-6F65-37542D21F912}"/>
            </a:ext>
          </a:extLst>
        </xdr:cNvPr>
        <xdr:cNvSpPr txBox="1">
          <a:spLocks noChangeArrowheads="1"/>
        </xdr:cNvSpPr>
      </xdr:nvSpPr>
      <xdr:spPr bwMode="auto">
        <a:xfrm>
          <a:off x="3994150" y="16179800"/>
          <a:ext cx="131445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0</xdr:rowOff>
    </xdr:from>
    <xdr:to>
      <xdr:col>5</xdr:col>
      <xdr:colOff>609600</xdr:colOff>
      <xdr:row>82</xdr:row>
      <xdr:rowOff>95250</xdr:rowOff>
    </xdr:to>
    <xdr:sp macro="" textlink="">
      <xdr:nvSpPr>
        <xdr:cNvPr id="375937" name="Text Box 129" hidden="1">
          <a:extLst>
            <a:ext uri="{FF2B5EF4-FFF2-40B4-BE49-F238E27FC236}">
              <a16:creationId xmlns:a16="http://schemas.microsoft.com/office/drawing/2014/main" id="{A38F248E-8940-7BC9-9DDA-D05C2FA16D6C}"/>
            </a:ext>
          </a:extLst>
        </xdr:cNvPr>
        <xdr:cNvSpPr txBox="1">
          <a:spLocks noChangeArrowheads="1"/>
        </xdr:cNvSpPr>
      </xdr:nvSpPr>
      <xdr:spPr bwMode="auto">
        <a:xfrm>
          <a:off x="3994150" y="1630680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0</xdr:rowOff>
    </xdr:from>
    <xdr:to>
      <xdr:col>5</xdr:col>
      <xdr:colOff>609600</xdr:colOff>
      <xdr:row>83</xdr:row>
      <xdr:rowOff>114300</xdr:rowOff>
    </xdr:to>
    <xdr:sp macro="" textlink="">
      <xdr:nvSpPr>
        <xdr:cNvPr id="375936" name="Text Box 128" hidden="1">
          <a:extLst>
            <a:ext uri="{FF2B5EF4-FFF2-40B4-BE49-F238E27FC236}">
              <a16:creationId xmlns:a16="http://schemas.microsoft.com/office/drawing/2014/main" id="{F5A152E9-B8D8-F3A8-261F-DD6339ABDD0D}"/>
            </a:ext>
          </a:extLst>
        </xdr:cNvPr>
        <xdr:cNvSpPr txBox="1">
          <a:spLocks noChangeArrowheads="1"/>
        </xdr:cNvSpPr>
      </xdr:nvSpPr>
      <xdr:spPr bwMode="auto">
        <a:xfrm>
          <a:off x="3994150" y="1649095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95250</xdr:rowOff>
    </xdr:from>
    <xdr:to>
      <xdr:col>5</xdr:col>
      <xdr:colOff>609600</xdr:colOff>
      <xdr:row>106</xdr:row>
      <xdr:rowOff>57150</xdr:rowOff>
    </xdr:to>
    <xdr:sp macro="" textlink="">
      <xdr:nvSpPr>
        <xdr:cNvPr id="375935" name="Text Box 127" hidden="1">
          <a:extLst>
            <a:ext uri="{FF2B5EF4-FFF2-40B4-BE49-F238E27FC236}">
              <a16:creationId xmlns:a16="http://schemas.microsoft.com/office/drawing/2014/main" id="{30F3BE31-FA1D-3635-91F1-932F0CABAD13}"/>
            </a:ext>
          </a:extLst>
        </xdr:cNvPr>
        <xdr:cNvSpPr txBox="1">
          <a:spLocks noChangeArrowheads="1"/>
        </xdr:cNvSpPr>
      </xdr:nvSpPr>
      <xdr:spPr bwMode="auto">
        <a:xfrm>
          <a:off x="3994150" y="20872450"/>
          <a:ext cx="1314450" cy="1301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152400</xdr:rowOff>
    </xdr:from>
    <xdr:to>
      <xdr:col>5</xdr:col>
      <xdr:colOff>609600</xdr:colOff>
      <xdr:row>106</xdr:row>
      <xdr:rowOff>0</xdr:rowOff>
    </xdr:to>
    <xdr:sp macro="" textlink="">
      <xdr:nvSpPr>
        <xdr:cNvPr id="375934" name="Text Box 126" hidden="1">
          <a:extLst>
            <a:ext uri="{FF2B5EF4-FFF2-40B4-BE49-F238E27FC236}">
              <a16:creationId xmlns:a16="http://schemas.microsoft.com/office/drawing/2014/main" id="{1B12DFA8-2B8D-F355-05C8-CB3BCFFA4EC7}"/>
            </a:ext>
          </a:extLst>
        </xdr:cNvPr>
        <xdr:cNvSpPr txBox="1">
          <a:spLocks noChangeArrowheads="1"/>
        </xdr:cNvSpPr>
      </xdr:nvSpPr>
      <xdr:spPr bwMode="auto">
        <a:xfrm>
          <a:off x="3994150" y="21113750"/>
          <a:ext cx="1314450" cy="1003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152400</xdr:rowOff>
    </xdr:from>
    <xdr:to>
      <xdr:col>5</xdr:col>
      <xdr:colOff>609600</xdr:colOff>
      <xdr:row>105</xdr:row>
      <xdr:rowOff>190500</xdr:rowOff>
    </xdr:to>
    <xdr:sp macro="" textlink="">
      <xdr:nvSpPr>
        <xdr:cNvPr id="375933" name="Text Box 125" hidden="1">
          <a:extLst>
            <a:ext uri="{FF2B5EF4-FFF2-40B4-BE49-F238E27FC236}">
              <a16:creationId xmlns:a16="http://schemas.microsoft.com/office/drawing/2014/main" id="{437B4AFB-0EC8-AADC-096A-44EC19E0D421}"/>
            </a:ext>
          </a:extLst>
        </xdr:cNvPr>
        <xdr:cNvSpPr txBox="1">
          <a:spLocks noChangeArrowheads="1"/>
        </xdr:cNvSpPr>
      </xdr:nvSpPr>
      <xdr:spPr bwMode="auto">
        <a:xfrm>
          <a:off x="3994150" y="21297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114300</xdr:rowOff>
    </xdr:from>
    <xdr:to>
      <xdr:col>5</xdr:col>
      <xdr:colOff>609600</xdr:colOff>
      <xdr:row>105</xdr:row>
      <xdr:rowOff>190500</xdr:rowOff>
    </xdr:to>
    <xdr:sp macro="" textlink="">
      <xdr:nvSpPr>
        <xdr:cNvPr id="375932" name="Text Box 124" hidden="1">
          <a:extLst>
            <a:ext uri="{FF2B5EF4-FFF2-40B4-BE49-F238E27FC236}">
              <a16:creationId xmlns:a16="http://schemas.microsoft.com/office/drawing/2014/main" id="{B07A994F-B360-7D42-99B2-D151409FF42D}"/>
            </a:ext>
          </a:extLst>
        </xdr:cNvPr>
        <xdr:cNvSpPr txBox="1">
          <a:spLocks noChangeArrowheads="1"/>
        </xdr:cNvSpPr>
      </xdr:nvSpPr>
      <xdr:spPr bwMode="auto">
        <a:xfrm>
          <a:off x="3994150" y="212598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114300</xdr:rowOff>
    </xdr:to>
    <xdr:sp macro="" textlink="">
      <xdr:nvSpPr>
        <xdr:cNvPr id="375931" name="Text Box 123" hidden="1">
          <a:extLst>
            <a:ext uri="{FF2B5EF4-FFF2-40B4-BE49-F238E27FC236}">
              <a16:creationId xmlns:a16="http://schemas.microsoft.com/office/drawing/2014/main" id="{C68BDD8B-6F09-31D6-F34A-262A05137F41}"/>
            </a:ext>
          </a:extLst>
        </xdr:cNvPr>
        <xdr:cNvSpPr txBox="1">
          <a:spLocks noChangeArrowheads="1"/>
        </xdr:cNvSpPr>
      </xdr:nvSpPr>
      <xdr:spPr bwMode="auto">
        <a:xfrm>
          <a:off x="17513300" y="256921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930" name="Text Box 122" hidden="1">
          <a:extLst>
            <a:ext uri="{FF2B5EF4-FFF2-40B4-BE49-F238E27FC236}">
              <a16:creationId xmlns:a16="http://schemas.microsoft.com/office/drawing/2014/main" id="{C10AB60D-256B-04F5-D046-01230C2AF916}"/>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95250</xdr:rowOff>
    </xdr:from>
    <xdr:to>
      <xdr:col>22</xdr:col>
      <xdr:colOff>609600</xdr:colOff>
      <xdr:row>28</xdr:row>
      <xdr:rowOff>114300</xdr:rowOff>
    </xdr:to>
    <xdr:sp macro="" textlink="">
      <xdr:nvSpPr>
        <xdr:cNvPr id="375929" name="Text Box 121" hidden="1">
          <a:extLst>
            <a:ext uri="{FF2B5EF4-FFF2-40B4-BE49-F238E27FC236}">
              <a16:creationId xmlns:a16="http://schemas.microsoft.com/office/drawing/2014/main" id="{A7DCB2D0-6063-25B8-F902-80B50155419F}"/>
            </a:ext>
          </a:extLst>
        </xdr:cNvPr>
        <xdr:cNvSpPr txBox="1">
          <a:spLocks noChangeArrowheads="1"/>
        </xdr:cNvSpPr>
      </xdr:nvSpPr>
      <xdr:spPr bwMode="auto">
        <a:xfrm>
          <a:off x="18332450" y="5746750"/>
          <a:ext cx="14478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928" name="Text Box 120" hidden="1">
          <a:extLst>
            <a:ext uri="{FF2B5EF4-FFF2-40B4-BE49-F238E27FC236}">
              <a16:creationId xmlns:a16="http://schemas.microsoft.com/office/drawing/2014/main" id="{729C288C-2D89-90AE-A818-7BF18756FB43}"/>
            </a:ext>
          </a:extLst>
        </xdr:cNvPr>
        <xdr:cNvSpPr txBox="1">
          <a:spLocks noChangeArrowheads="1"/>
        </xdr:cNvSpPr>
      </xdr:nvSpPr>
      <xdr:spPr bwMode="auto">
        <a:xfrm>
          <a:off x="18332450" y="26447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927" name="Text Box 119" hidden="1">
          <a:extLst>
            <a:ext uri="{FF2B5EF4-FFF2-40B4-BE49-F238E27FC236}">
              <a16:creationId xmlns:a16="http://schemas.microsoft.com/office/drawing/2014/main" id="{D2992C62-1B9B-4DE6-F40F-41D2048DDBFD}"/>
            </a:ext>
          </a:extLst>
        </xdr:cNvPr>
        <xdr:cNvSpPr txBox="1">
          <a:spLocks noChangeArrowheads="1"/>
        </xdr:cNvSpPr>
      </xdr:nvSpPr>
      <xdr:spPr bwMode="auto">
        <a:xfrm>
          <a:off x="935990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19</xdr:row>
      <xdr:rowOff>0</xdr:rowOff>
    </xdr:to>
    <xdr:sp macro="" textlink="">
      <xdr:nvSpPr>
        <xdr:cNvPr id="375926" name="Text Box 118" hidden="1">
          <a:extLst>
            <a:ext uri="{FF2B5EF4-FFF2-40B4-BE49-F238E27FC236}">
              <a16:creationId xmlns:a16="http://schemas.microsoft.com/office/drawing/2014/main" id="{3A415EE0-A6F5-378A-45BA-758849D69494}"/>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95250</xdr:rowOff>
    </xdr:from>
    <xdr:to>
      <xdr:col>24</xdr:col>
      <xdr:colOff>647700</xdr:colOff>
      <xdr:row>29</xdr:row>
      <xdr:rowOff>0</xdr:rowOff>
    </xdr:to>
    <xdr:sp macro="" textlink="">
      <xdr:nvSpPr>
        <xdr:cNvPr id="375925" name="Text Box 117" hidden="1">
          <a:extLst>
            <a:ext uri="{FF2B5EF4-FFF2-40B4-BE49-F238E27FC236}">
              <a16:creationId xmlns:a16="http://schemas.microsoft.com/office/drawing/2014/main" id="{9C81C5F2-109C-2892-1719-CB8B7D81DD53}"/>
            </a:ext>
          </a:extLst>
        </xdr:cNvPr>
        <xdr:cNvSpPr txBox="1">
          <a:spLocks noChangeArrowheads="1"/>
        </xdr:cNvSpPr>
      </xdr:nvSpPr>
      <xdr:spPr bwMode="auto">
        <a:xfrm>
          <a:off x="20027900" y="5746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95250</xdr:rowOff>
    </xdr:from>
    <xdr:to>
      <xdr:col>24</xdr:col>
      <xdr:colOff>647700</xdr:colOff>
      <xdr:row>134</xdr:row>
      <xdr:rowOff>0</xdr:rowOff>
    </xdr:to>
    <xdr:sp macro="" textlink="">
      <xdr:nvSpPr>
        <xdr:cNvPr id="375924" name="Text Box 116" hidden="1">
          <a:extLst>
            <a:ext uri="{FF2B5EF4-FFF2-40B4-BE49-F238E27FC236}">
              <a16:creationId xmlns:a16="http://schemas.microsoft.com/office/drawing/2014/main" id="{D848D0A5-714E-5B2B-DAB0-89AE96418637}"/>
            </a:ext>
          </a:extLst>
        </xdr:cNvPr>
        <xdr:cNvSpPr txBox="1">
          <a:spLocks noChangeArrowheads="1"/>
        </xdr:cNvSpPr>
      </xdr:nvSpPr>
      <xdr:spPr bwMode="auto">
        <a:xfrm>
          <a:off x="20027900" y="26447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628650</xdr:colOff>
      <xdr:row>6</xdr:row>
      <xdr:rowOff>114300</xdr:rowOff>
    </xdr:from>
    <xdr:to>
      <xdr:col>18</xdr:col>
      <xdr:colOff>438150</xdr:colOff>
      <xdr:row>10</xdr:row>
      <xdr:rowOff>152400</xdr:rowOff>
    </xdr:to>
    <xdr:sp macro="" textlink="">
      <xdr:nvSpPr>
        <xdr:cNvPr id="375983" name="Text Box 175" hidden="1">
          <a:extLst>
            <a:ext uri="{FF2B5EF4-FFF2-40B4-BE49-F238E27FC236}">
              <a16:creationId xmlns:a16="http://schemas.microsoft.com/office/drawing/2014/main" id="{803CB105-DA05-36B8-59A0-A46DAE83B02A}"/>
            </a:ext>
          </a:extLst>
        </xdr:cNvPr>
        <xdr:cNvSpPr txBox="1">
          <a:spLocks noChangeArrowheads="1"/>
        </xdr:cNvSpPr>
      </xdr:nvSpPr>
      <xdr:spPr bwMode="auto">
        <a:xfrm>
          <a:off x="15151100" y="210185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0</xdr:rowOff>
    </xdr:from>
    <xdr:to>
      <xdr:col>5</xdr:col>
      <xdr:colOff>609600</xdr:colOff>
      <xdr:row>227</xdr:row>
      <xdr:rowOff>0</xdr:rowOff>
    </xdr:to>
    <xdr:sp macro="" textlink="">
      <xdr:nvSpPr>
        <xdr:cNvPr id="375982" name="Text Box 174" hidden="1">
          <a:extLst>
            <a:ext uri="{FF2B5EF4-FFF2-40B4-BE49-F238E27FC236}">
              <a16:creationId xmlns:a16="http://schemas.microsoft.com/office/drawing/2014/main" id="{A141038D-8045-E1A1-C6AA-FD53967CC93A}"/>
            </a:ext>
          </a:extLst>
        </xdr:cNvPr>
        <xdr:cNvSpPr txBox="1">
          <a:spLocks noChangeArrowheads="1"/>
        </xdr:cNvSpPr>
      </xdr:nvSpPr>
      <xdr:spPr bwMode="auto">
        <a:xfrm>
          <a:off x="3994150" y="40824150"/>
          <a:ext cx="1314450" cy="4235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152400</xdr:rowOff>
    </xdr:from>
    <xdr:to>
      <xdr:col>5</xdr:col>
      <xdr:colOff>609600</xdr:colOff>
      <xdr:row>226</xdr:row>
      <xdr:rowOff>114300</xdr:rowOff>
    </xdr:to>
    <xdr:sp macro="" textlink="">
      <xdr:nvSpPr>
        <xdr:cNvPr id="375981" name="Text Box 173" hidden="1">
          <a:extLst>
            <a:ext uri="{FF2B5EF4-FFF2-40B4-BE49-F238E27FC236}">
              <a16:creationId xmlns:a16="http://schemas.microsoft.com/office/drawing/2014/main" id="{A1C2BF6C-13B7-BCE3-6C34-9A9AB1970598}"/>
            </a:ext>
          </a:extLst>
        </xdr:cNvPr>
        <xdr:cNvSpPr txBox="1">
          <a:spLocks noChangeArrowheads="1"/>
        </xdr:cNvSpPr>
      </xdr:nvSpPr>
      <xdr:spPr bwMode="auto">
        <a:xfrm>
          <a:off x="3994150" y="41160700"/>
          <a:ext cx="1314450" cy="382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208</xdr:row>
      <xdr:rowOff>152400</xdr:rowOff>
    </xdr:from>
    <xdr:to>
      <xdr:col>5</xdr:col>
      <xdr:colOff>609600</xdr:colOff>
      <xdr:row>228</xdr:row>
      <xdr:rowOff>0</xdr:rowOff>
    </xdr:to>
    <xdr:sp macro="" textlink="">
      <xdr:nvSpPr>
        <xdr:cNvPr id="375980" name="Text Box 172" hidden="1">
          <a:extLst>
            <a:ext uri="{FF2B5EF4-FFF2-40B4-BE49-F238E27FC236}">
              <a16:creationId xmlns:a16="http://schemas.microsoft.com/office/drawing/2014/main" id="{F4EA7B0E-54B2-4212-F9E6-7E0D6666BF7A}"/>
            </a:ext>
          </a:extLst>
        </xdr:cNvPr>
        <xdr:cNvSpPr txBox="1">
          <a:spLocks noChangeArrowheads="1"/>
        </xdr:cNvSpPr>
      </xdr:nvSpPr>
      <xdr:spPr bwMode="auto">
        <a:xfrm>
          <a:off x="3994150" y="41713150"/>
          <a:ext cx="1314450" cy="3530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152400</xdr:rowOff>
    </xdr:from>
    <xdr:to>
      <xdr:col>5</xdr:col>
      <xdr:colOff>609600</xdr:colOff>
      <xdr:row>215</xdr:row>
      <xdr:rowOff>114300</xdr:rowOff>
    </xdr:to>
    <xdr:sp macro="" textlink="">
      <xdr:nvSpPr>
        <xdr:cNvPr id="375979" name="Text Box 171" hidden="1">
          <a:extLst>
            <a:ext uri="{FF2B5EF4-FFF2-40B4-BE49-F238E27FC236}">
              <a16:creationId xmlns:a16="http://schemas.microsoft.com/office/drawing/2014/main" id="{4B849349-E46D-B2BB-9303-A136BA7AA2C0}"/>
            </a:ext>
          </a:extLst>
        </xdr:cNvPr>
        <xdr:cNvSpPr txBox="1">
          <a:spLocks noChangeArrowheads="1"/>
        </xdr:cNvSpPr>
      </xdr:nvSpPr>
      <xdr:spPr bwMode="auto">
        <a:xfrm>
          <a:off x="3994150" y="4189730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76200</xdr:rowOff>
    </xdr:from>
    <xdr:to>
      <xdr:col>5</xdr:col>
      <xdr:colOff>609600</xdr:colOff>
      <xdr:row>192</xdr:row>
      <xdr:rowOff>114300</xdr:rowOff>
    </xdr:to>
    <xdr:sp macro="" textlink="">
      <xdr:nvSpPr>
        <xdr:cNvPr id="375978" name="Text Box 170" hidden="1">
          <a:extLst>
            <a:ext uri="{FF2B5EF4-FFF2-40B4-BE49-F238E27FC236}">
              <a16:creationId xmlns:a16="http://schemas.microsoft.com/office/drawing/2014/main" id="{CD46FE38-D34C-BDB3-CB85-AA8A3487503E}"/>
            </a:ext>
          </a:extLst>
        </xdr:cNvPr>
        <xdr:cNvSpPr txBox="1">
          <a:spLocks noChangeArrowheads="1"/>
        </xdr:cNvSpPr>
      </xdr:nvSpPr>
      <xdr:spPr bwMode="auto">
        <a:xfrm>
          <a:off x="3994150" y="37585650"/>
          <a:ext cx="1314450" cy="1143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152400</xdr:rowOff>
    </xdr:from>
    <xdr:to>
      <xdr:col>5</xdr:col>
      <xdr:colOff>609600</xdr:colOff>
      <xdr:row>193</xdr:row>
      <xdr:rowOff>171450</xdr:rowOff>
    </xdr:to>
    <xdr:sp macro="" textlink="">
      <xdr:nvSpPr>
        <xdr:cNvPr id="375977" name="Text Box 169" hidden="1">
          <a:extLst>
            <a:ext uri="{FF2B5EF4-FFF2-40B4-BE49-F238E27FC236}">
              <a16:creationId xmlns:a16="http://schemas.microsoft.com/office/drawing/2014/main" id="{03C6498C-1EA6-7C05-88F7-4E3AEBA77881}"/>
            </a:ext>
          </a:extLst>
        </xdr:cNvPr>
        <xdr:cNvSpPr txBox="1">
          <a:spLocks noChangeArrowheads="1"/>
        </xdr:cNvSpPr>
      </xdr:nvSpPr>
      <xdr:spPr bwMode="auto">
        <a:xfrm>
          <a:off x="3994150" y="38030150"/>
          <a:ext cx="131445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152400</xdr:rowOff>
    </xdr:from>
    <xdr:to>
      <xdr:col>5</xdr:col>
      <xdr:colOff>609600</xdr:colOff>
      <xdr:row>195</xdr:row>
      <xdr:rowOff>0</xdr:rowOff>
    </xdr:to>
    <xdr:sp macro="" textlink="">
      <xdr:nvSpPr>
        <xdr:cNvPr id="375976" name="Text Box 168" hidden="1">
          <a:extLst>
            <a:ext uri="{FF2B5EF4-FFF2-40B4-BE49-F238E27FC236}">
              <a16:creationId xmlns:a16="http://schemas.microsoft.com/office/drawing/2014/main" id="{305084BA-BD52-B40D-C5BA-513561A485C9}"/>
            </a:ext>
          </a:extLst>
        </xdr:cNvPr>
        <xdr:cNvSpPr txBox="1">
          <a:spLocks noChangeArrowheads="1"/>
        </xdr:cNvSpPr>
      </xdr:nvSpPr>
      <xdr:spPr bwMode="auto">
        <a:xfrm>
          <a:off x="3994150" y="383984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152400</xdr:rowOff>
    </xdr:from>
    <xdr:to>
      <xdr:col>5</xdr:col>
      <xdr:colOff>609600</xdr:colOff>
      <xdr:row>201</xdr:row>
      <xdr:rowOff>171450</xdr:rowOff>
    </xdr:to>
    <xdr:sp macro="" textlink="">
      <xdr:nvSpPr>
        <xdr:cNvPr id="375975" name="Text Box 167" hidden="1">
          <a:extLst>
            <a:ext uri="{FF2B5EF4-FFF2-40B4-BE49-F238E27FC236}">
              <a16:creationId xmlns:a16="http://schemas.microsoft.com/office/drawing/2014/main" id="{BC9E4A6F-8CE2-5756-4231-A6EBA9F1C1BE}"/>
            </a:ext>
          </a:extLst>
        </xdr:cNvPr>
        <xdr:cNvSpPr txBox="1">
          <a:spLocks noChangeArrowheads="1"/>
        </xdr:cNvSpPr>
      </xdr:nvSpPr>
      <xdr:spPr bwMode="auto">
        <a:xfrm>
          <a:off x="3994150" y="38766750"/>
          <a:ext cx="131445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53</xdr:row>
      <xdr:rowOff>19050</xdr:rowOff>
    </xdr:to>
    <xdr:sp macro="" textlink="">
      <xdr:nvSpPr>
        <xdr:cNvPr id="375974" name="Text Box 166" hidden="1">
          <a:extLst>
            <a:ext uri="{FF2B5EF4-FFF2-40B4-BE49-F238E27FC236}">
              <a16:creationId xmlns:a16="http://schemas.microsoft.com/office/drawing/2014/main" id="{9CEEDF96-439D-7704-3018-1F933B0DCC10}"/>
            </a:ext>
          </a:extLst>
        </xdr:cNvPr>
        <xdr:cNvSpPr txBox="1">
          <a:spLocks noChangeArrowheads="1"/>
        </xdr:cNvSpPr>
      </xdr:nvSpPr>
      <xdr:spPr bwMode="auto">
        <a:xfrm>
          <a:off x="3994150" y="11334750"/>
          <a:ext cx="1314450" cy="19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0</xdr:rowOff>
    </xdr:from>
    <xdr:to>
      <xdr:col>5</xdr:col>
      <xdr:colOff>609600</xdr:colOff>
      <xdr:row>64</xdr:row>
      <xdr:rowOff>76200</xdr:rowOff>
    </xdr:to>
    <xdr:sp macro="" textlink="">
      <xdr:nvSpPr>
        <xdr:cNvPr id="375973" name="Text Box 165" hidden="1">
          <a:extLst>
            <a:ext uri="{FF2B5EF4-FFF2-40B4-BE49-F238E27FC236}">
              <a16:creationId xmlns:a16="http://schemas.microsoft.com/office/drawing/2014/main" id="{57F8BDEB-FCC1-3AF6-DE59-1F02845F7BBA}"/>
            </a:ext>
          </a:extLst>
        </xdr:cNvPr>
        <xdr:cNvSpPr txBox="1">
          <a:spLocks noChangeArrowheads="1"/>
        </xdr:cNvSpPr>
      </xdr:nvSpPr>
      <xdr:spPr bwMode="auto">
        <a:xfrm>
          <a:off x="3994150" y="11334750"/>
          <a:ext cx="1314450" cy="2609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95250</xdr:rowOff>
    </xdr:from>
    <xdr:to>
      <xdr:col>5</xdr:col>
      <xdr:colOff>609600</xdr:colOff>
      <xdr:row>68</xdr:row>
      <xdr:rowOff>114300</xdr:rowOff>
    </xdr:to>
    <xdr:sp macro="" textlink="">
      <xdr:nvSpPr>
        <xdr:cNvPr id="375972" name="Text Box 164" hidden="1">
          <a:extLst>
            <a:ext uri="{FF2B5EF4-FFF2-40B4-BE49-F238E27FC236}">
              <a16:creationId xmlns:a16="http://schemas.microsoft.com/office/drawing/2014/main" id="{6B9874A2-2830-FABD-F542-A5731CF9998B}"/>
            </a:ext>
          </a:extLst>
        </xdr:cNvPr>
        <xdr:cNvSpPr txBox="1">
          <a:spLocks noChangeArrowheads="1"/>
        </xdr:cNvSpPr>
      </xdr:nvSpPr>
      <xdr:spPr bwMode="auto">
        <a:xfrm>
          <a:off x="3994150" y="1143000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114300</xdr:rowOff>
    </xdr:from>
    <xdr:to>
      <xdr:col>5</xdr:col>
      <xdr:colOff>609600</xdr:colOff>
      <xdr:row>68</xdr:row>
      <xdr:rowOff>133350</xdr:rowOff>
    </xdr:to>
    <xdr:sp macro="" textlink="">
      <xdr:nvSpPr>
        <xdr:cNvPr id="375971" name="Text Box 163" hidden="1">
          <a:extLst>
            <a:ext uri="{FF2B5EF4-FFF2-40B4-BE49-F238E27FC236}">
              <a16:creationId xmlns:a16="http://schemas.microsoft.com/office/drawing/2014/main" id="{04C68E9C-76EF-589F-8E5E-E239B08D7384}"/>
            </a:ext>
          </a:extLst>
        </xdr:cNvPr>
        <xdr:cNvSpPr txBox="1">
          <a:spLocks noChangeArrowheads="1"/>
        </xdr:cNvSpPr>
      </xdr:nvSpPr>
      <xdr:spPr bwMode="auto">
        <a:xfrm>
          <a:off x="3994150" y="11449050"/>
          <a:ext cx="1314450" cy="332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57150</xdr:rowOff>
    </xdr:from>
    <xdr:to>
      <xdr:col>5</xdr:col>
      <xdr:colOff>609600</xdr:colOff>
      <xdr:row>68</xdr:row>
      <xdr:rowOff>95250</xdr:rowOff>
    </xdr:to>
    <xdr:sp macro="" textlink="">
      <xdr:nvSpPr>
        <xdr:cNvPr id="375970" name="Text Box 162" hidden="1">
          <a:extLst>
            <a:ext uri="{FF2B5EF4-FFF2-40B4-BE49-F238E27FC236}">
              <a16:creationId xmlns:a16="http://schemas.microsoft.com/office/drawing/2014/main" id="{9F63C317-9531-76AB-46FB-4D003054678B}"/>
            </a:ext>
          </a:extLst>
        </xdr:cNvPr>
        <xdr:cNvSpPr txBox="1">
          <a:spLocks noChangeArrowheads="1"/>
        </xdr:cNvSpPr>
      </xdr:nvSpPr>
      <xdr:spPr bwMode="auto">
        <a:xfrm>
          <a:off x="3994150" y="12954000"/>
          <a:ext cx="131445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133350</xdr:rowOff>
    </xdr:from>
    <xdr:to>
      <xdr:col>5</xdr:col>
      <xdr:colOff>609600</xdr:colOff>
      <xdr:row>80</xdr:row>
      <xdr:rowOff>95250</xdr:rowOff>
    </xdr:to>
    <xdr:sp macro="" textlink="">
      <xdr:nvSpPr>
        <xdr:cNvPr id="375969" name="Text Box 161" hidden="1">
          <a:extLst>
            <a:ext uri="{FF2B5EF4-FFF2-40B4-BE49-F238E27FC236}">
              <a16:creationId xmlns:a16="http://schemas.microsoft.com/office/drawing/2014/main" id="{F808C4C6-88DC-B75D-17BC-302F3E145B98}"/>
            </a:ext>
          </a:extLst>
        </xdr:cNvPr>
        <xdr:cNvSpPr txBox="1">
          <a:spLocks noChangeArrowheads="1"/>
        </xdr:cNvSpPr>
      </xdr:nvSpPr>
      <xdr:spPr bwMode="auto">
        <a:xfrm>
          <a:off x="3994150" y="16071850"/>
          <a:ext cx="1314450" cy="1066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57150</xdr:rowOff>
    </xdr:from>
    <xdr:to>
      <xdr:col>5</xdr:col>
      <xdr:colOff>609600</xdr:colOff>
      <xdr:row>80</xdr:row>
      <xdr:rowOff>19050</xdr:rowOff>
    </xdr:to>
    <xdr:sp macro="" textlink="">
      <xdr:nvSpPr>
        <xdr:cNvPr id="375968" name="Text Box 160" hidden="1">
          <a:extLst>
            <a:ext uri="{FF2B5EF4-FFF2-40B4-BE49-F238E27FC236}">
              <a16:creationId xmlns:a16="http://schemas.microsoft.com/office/drawing/2014/main" id="{CCA93F76-126D-8ADE-7293-79080283A728}"/>
            </a:ext>
          </a:extLst>
        </xdr:cNvPr>
        <xdr:cNvSpPr txBox="1">
          <a:spLocks noChangeArrowheads="1"/>
        </xdr:cNvSpPr>
      </xdr:nvSpPr>
      <xdr:spPr bwMode="auto">
        <a:xfrm>
          <a:off x="3994150" y="16179800"/>
          <a:ext cx="131445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0</xdr:rowOff>
    </xdr:from>
    <xdr:to>
      <xdr:col>5</xdr:col>
      <xdr:colOff>609600</xdr:colOff>
      <xdr:row>82</xdr:row>
      <xdr:rowOff>95250</xdr:rowOff>
    </xdr:to>
    <xdr:sp macro="" textlink="">
      <xdr:nvSpPr>
        <xdr:cNvPr id="375967" name="Text Box 159" hidden="1">
          <a:extLst>
            <a:ext uri="{FF2B5EF4-FFF2-40B4-BE49-F238E27FC236}">
              <a16:creationId xmlns:a16="http://schemas.microsoft.com/office/drawing/2014/main" id="{FA7DBA68-BFA4-F504-22AC-EA2A2B55986B}"/>
            </a:ext>
          </a:extLst>
        </xdr:cNvPr>
        <xdr:cNvSpPr txBox="1">
          <a:spLocks noChangeArrowheads="1"/>
        </xdr:cNvSpPr>
      </xdr:nvSpPr>
      <xdr:spPr bwMode="auto">
        <a:xfrm>
          <a:off x="3994150" y="16306800"/>
          <a:ext cx="1314450" cy="1200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0</xdr:rowOff>
    </xdr:from>
    <xdr:to>
      <xdr:col>5</xdr:col>
      <xdr:colOff>609600</xdr:colOff>
      <xdr:row>83</xdr:row>
      <xdr:rowOff>114300</xdr:rowOff>
    </xdr:to>
    <xdr:sp macro="" textlink="">
      <xdr:nvSpPr>
        <xdr:cNvPr id="375966" name="Text Box 158" hidden="1">
          <a:extLst>
            <a:ext uri="{FF2B5EF4-FFF2-40B4-BE49-F238E27FC236}">
              <a16:creationId xmlns:a16="http://schemas.microsoft.com/office/drawing/2014/main" id="{548FFCDE-2FC2-46AC-66C9-7321A5BDA925}"/>
            </a:ext>
          </a:extLst>
        </xdr:cNvPr>
        <xdr:cNvSpPr txBox="1">
          <a:spLocks noChangeArrowheads="1"/>
        </xdr:cNvSpPr>
      </xdr:nvSpPr>
      <xdr:spPr bwMode="auto">
        <a:xfrm>
          <a:off x="3994150" y="16490950"/>
          <a:ext cx="1314450" cy="1219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95250</xdr:rowOff>
    </xdr:from>
    <xdr:to>
      <xdr:col>5</xdr:col>
      <xdr:colOff>609600</xdr:colOff>
      <xdr:row>106</xdr:row>
      <xdr:rowOff>57150</xdr:rowOff>
    </xdr:to>
    <xdr:sp macro="" textlink="">
      <xdr:nvSpPr>
        <xdr:cNvPr id="375965" name="Text Box 157" hidden="1">
          <a:extLst>
            <a:ext uri="{FF2B5EF4-FFF2-40B4-BE49-F238E27FC236}">
              <a16:creationId xmlns:a16="http://schemas.microsoft.com/office/drawing/2014/main" id="{5ABE033D-19AA-C7EA-04BB-9B88C13149EA}"/>
            </a:ext>
          </a:extLst>
        </xdr:cNvPr>
        <xdr:cNvSpPr txBox="1">
          <a:spLocks noChangeArrowheads="1"/>
        </xdr:cNvSpPr>
      </xdr:nvSpPr>
      <xdr:spPr bwMode="auto">
        <a:xfrm>
          <a:off x="3994150" y="20872450"/>
          <a:ext cx="1314450" cy="1301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152400</xdr:rowOff>
    </xdr:from>
    <xdr:to>
      <xdr:col>5</xdr:col>
      <xdr:colOff>609600</xdr:colOff>
      <xdr:row>106</xdr:row>
      <xdr:rowOff>0</xdr:rowOff>
    </xdr:to>
    <xdr:sp macro="" textlink="">
      <xdr:nvSpPr>
        <xdr:cNvPr id="375964" name="Text Box 156" hidden="1">
          <a:extLst>
            <a:ext uri="{FF2B5EF4-FFF2-40B4-BE49-F238E27FC236}">
              <a16:creationId xmlns:a16="http://schemas.microsoft.com/office/drawing/2014/main" id="{C47A4A8A-CF63-6B5C-4A09-32FC34423054}"/>
            </a:ext>
          </a:extLst>
        </xdr:cNvPr>
        <xdr:cNvSpPr txBox="1">
          <a:spLocks noChangeArrowheads="1"/>
        </xdr:cNvSpPr>
      </xdr:nvSpPr>
      <xdr:spPr bwMode="auto">
        <a:xfrm>
          <a:off x="3994150" y="21113750"/>
          <a:ext cx="1314450" cy="1003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152400</xdr:rowOff>
    </xdr:from>
    <xdr:to>
      <xdr:col>5</xdr:col>
      <xdr:colOff>609600</xdr:colOff>
      <xdr:row>105</xdr:row>
      <xdr:rowOff>190500</xdr:rowOff>
    </xdr:to>
    <xdr:sp macro="" textlink="">
      <xdr:nvSpPr>
        <xdr:cNvPr id="375963" name="Text Box 155" hidden="1">
          <a:extLst>
            <a:ext uri="{FF2B5EF4-FFF2-40B4-BE49-F238E27FC236}">
              <a16:creationId xmlns:a16="http://schemas.microsoft.com/office/drawing/2014/main" id="{715378B3-6083-8599-0348-7402FBB43A36}"/>
            </a:ext>
          </a:extLst>
        </xdr:cNvPr>
        <xdr:cNvSpPr txBox="1">
          <a:spLocks noChangeArrowheads="1"/>
        </xdr:cNvSpPr>
      </xdr:nvSpPr>
      <xdr:spPr bwMode="auto">
        <a:xfrm>
          <a:off x="3994150" y="212979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114300</xdr:rowOff>
    </xdr:from>
    <xdr:to>
      <xdr:col>5</xdr:col>
      <xdr:colOff>609600</xdr:colOff>
      <xdr:row>105</xdr:row>
      <xdr:rowOff>190500</xdr:rowOff>
    </xdr:to>
    <xdr:sp macro="" textlink="">
      <xdr:nvSpPr>
        <xdr:cNvPr id="375962" name="Text Box 154" hidden="1">
          <a:extLst>
            <a:ext uri="{FF2B5EF4-FFF2-40B4-BE49-F238E27FC236}">
              <a16:creationId xmlns:a16="http://schemas.microsoft.com/office/drawing/2014/main" id="{AFA7273E-CBBD-894F-0262-50CEB5B02B6E}"/>
            </a:ext>
          </a:extLst>
        </xdr:cNvPr>
        <xdr:cNvSpPr txBox="1">
          <a:spLocks noChangeArrowheads="1"/>
        </xdr:cNvSpPr>
      </xdr:nvSpPr>
      <xdr:spPr bwMode="auto">
        <a:xfrm>
          <a:off x="3994150" y="212598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628650</xdr:colOff>
      <xdr:row>125</xdr:row>
      <xdr:rowOff>76200</xdr:rowOff>
    </xdr:from>
    <xdr:to>
      <xdr:col>21</xdr:col>
      <xdr:colOff>438150</xdr:colOff>
      <xdr:row>129</xdr:row>
      <xdr:rowOff>114300</xdr:rowOff>
    </xdr:to>
    <xdr:sp macro="" textlink="">
      <xdr:nvSpPr>
        <xdr:cNvPr id="375961" name="Text Box 153" hidden="1">
          <a:extLst>
            <a:ext uri="{FF2B5EF4-FFF2-40B4-BE49-F238E27FC236}">
              <a16:creationId xmlns:a16="http://schemas.microsoft.com/office/drawing/2014/main" id="{534F5159-385C-45F4-E1B5-5E1072BC0D2B}"/>
            </a:ext>
          </a:extLst>
        </xdr:cNvPr>
        <xdr:cNvSpPr txBox="1">
          <a:spLocks noChangeArrowheads="1"/>
        </xdr:cNvSpPr>
      </xdr:nvSpPr>
      <xdr:spPr bwMode="auto">
        <a:xfrm>
          <a:off x="17513300" y="25692100"/>
          <a:ext cx="13335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14</xdr:row>
      <xdr:rowOff>95250</xdr:rowOff>
    </xdr:from>
    <xdr:to>
      <xdr:col>22</xdr:col>
      <xdr:colOff>609600</xdr:colOff>
      <xdr:row>18</xdr:row>
      <xdr:rowOff>95250</xdr:rowOff>
    </xdr:to>
    <xdr:sp macro="" textlink="">
      <xdr:nvSpPr>
        <xdr:cNvPr id="375960" name="Text Box 152" hidden="1">
          <a:extLst>
            <a:ext uri="{FF2B5EF4-FFF2-40B4-BE49-F238E27FC236}">
              <a16:creationId xmlns:a16="http://schemas.microsoft.com/office/drawing/2014/main" id="{97E4913C-737E-710D-6CF3-27E4858E844F}"/>
            </a:ext>
          </a:extLst>
        </xdr:cNvPr>
        <xdr:cNvSpPr txBox="1">
          <a:spLocks noChangeArrowheads="1"/>
        </xdr:cNvSpPr>
      </xdr:nvSpPr>
      <xdr:spPr bwMode="auto">
        <a:xfrm>
          <a:off x="18332450" y="3556000"/>
          <a:ext cx="14478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24</xdr:row>
      <xdr:rowOff>95250</xdr:rowOff>
    </xdr:from>
    <xdr:to>
      <xdr:col>22</xdr:col>
      <xdr:colOff>609600</xdr:colOff>
      <xdr:row>28</xdr:row>
      <xdr:rowOff>114300</xdr:rowOff>
    </xdr:to>
    <xdr:sp macro="" textlink="">
      <xdr:nvSpPr>
        <xdr:cNvPr id="375959" name="Text Box 151" hidden="1">
          <a:extLst>
            <a:ext uri="{FF2B5EF4-FFF2-40B4-BE49-F238E27FC236}">
              <a16:creationId xmlns:a16="http://schemas.microsoft.com/office/drawing/2014/main" id="{58E4EF65-A8A1-23E5-FC17-98786BDDB5AE}"/>
            </a:ext>
          </a:extLst>
        </xdr:cNvPr>
        <xdr:cNvSpPr txBox="1">
          <a:spLocks noChangeArrowheads="1"/>
        </xdr:cNvSpPr>
      </xdr:nvSpPr>
      <xdr:spPr bwMode="auto">
        <a:xfrm>
          <a:off x="18332450" y="5746750"/>
          <a:ext cx="14478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685800</xdr:colOff>
      <xdr:row>129</xdr:row>
      <xdr:rowOff>95250</xdr:rowOff>
    </xdr:from>
    <xdr:to>
      <xdr:col>22</xdr:col>
      <xdr:colOff>609600</xdr:colOff>
      <xdr:row>133</xdr:row>
      <xdr:rowOff>76200</xdr:rowOff>
    </xdr:to>
    <xdr:sp macro="" textlink="">
      <xdr:nvSpPr>
        <xdr:cNvPr id="375958" name="Text Box 150" hidden="1">
          <a:extLst>
            <a:ext uri="{FF2B5EF4-FFF2-40B4-BE49-F238E27FC236}">
              <a16:creationId xmlns:a16="http://schemas.microsoft.com/office/drawing/2014/main" id="{CE92BBB1-5135-681F-22A7-8A14866C5F9F}"/>
            </a:ext>
          </a:extLst>
        </xdr:cNvPr>
        <xdr:cNvSpPr txBox="1">
          <a:spLocks noChangeArrowheads="1"/>
        </xdr:cNvSpPr>
      </xdr:nvSpPr>
      <xdr:spPr bwMode="auto">
        <a:xfrm>
          <a:off x="18332450" y="26447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95250</xdr:colOff>
      <xdr:row>34</xdr:row>
      <xdr:rowOff>95250</xdr:rowOff>
    </xdr:from>
    <xdr:to>
      <xdr:col>11</xdr:col>
      <xdr:colOff>1409700</xdr:colOff>
      <xdr:row>39</xdr:row>
      <xdr:rowOff>38100</xdr:rowOff>
    </xdr:to>
    <xdr:sp macro="" textlink="">
      <xdr:nvSpPr>
        <xdr:cNvPr id="375957" name="Text Box 149" hidden="1">
          <a:extLst>
            <a:ext uri="{FF2B5EF4-FFF2-40B4-BE49-F238E27FC236}">
              <a16:creationId xmlns:a16="http://schemas.microsoft.com/office/drawing/2014/main" id="{77598CC2-B56E-5319-AC9A-7300FF7AA642}"/>
            </a:ext>
          </a:extLst>
        </xdr:cNvPr>
        <xdr:cNvSpPr txBox="1">
          <a:spLocks noChangeArrowheads="1"/>
        </xdr:cNvSpPr>
      </xdr:nvSpPr>
      <xdr:spPr bwMode="auto">
        <a:xfrm>
          <a:off x="9359900" y="7588250"/>
          <a:ext cx="1314450" cy="863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14</xdr:row>
      <xdr:rowOff>95250</xdr:rowOff>
    </xdr:from>
    <xdr:to>
      <xdr:col>24</xdr:col>
      <xdr:colOff>647700</xdr:colOff>
      <xdr:row>19</xdr:row>
      <xdr:rowOff>0</xdr:rowOff>
    </xdr:to>
    <xdr:sp macro="" textlink="">
      <xdr:nvSpPr>
        <xdr:cNvPr id="375956" name="Text Box 148" hidden="1">
          <a:extLst>
            <a:ext uri="{FF2B5EF4-FFF2-40B4-BE49-F238E27FC236}">
              <a16:creationId xmlns:a16="http://schemas.microsoft.com/office/drawing/2014/main" id="{B6B06366-A62C-DF2A-891C-D69521A42B89}"/>
            </a:ext>
          </a:extLst>
        </xdr:cNvPr>
        <xdr:cNvSpPr txBox="1">
          <a:spLocks noChangeArrowheads="1"/>
        </xdr:cNvSpPr>
      </xdr:nvSpPr>
      <xdr:spPr bwMode="auto">
        <a:xfrm>
          <a:off x="20027900" y="355600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95250</xdr:rowOff>
    </xdr:from>
    <xdr:to>
      <xdr:col>24</xdr:col>
      <xdr:colOff>647700</xdr:colOff>
      <xdr:row>29</xdr:row>
      <xdr:rowOff>0</xdr:rowOff>
    </xdr:to>
    <xdr:sp macro="" textlink="">
      <xdr:nvSpPr>
        <xdr:cNvPr id="375955" name="Text Box 147" hidden="1">
          <a:extLst>
            <a:ext uri="{FF2B5EF4-FFF2-40B4-BE49-F238E27FC236}">
              <a16:creationId xmlns:a16="http://schemas.microsoft.com/office/drawing/2014/main" id="{DC7A2932-D6DD-C643-BF21-9EBA2EDFBC99}"/>
            </a:ext>
          </a:extLst>
        </xdr:cNvPr>
        <xdr:cNvSpPr txBox="1">
          <a:spLocks noChangeArrowheads="1"/>
        </xdr:cNvSpPr>
      </xdr:nvSpPr>
      <xdr:spPr bwMode="auto">
        <a:xfrm>
          <a:off x="20027900" y="5746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129</xdr:row>
      <xdr:rowOff>95250</xdr:rowOff>
    </xdr:from>
    <xdr:to>
      <xdr:col>24</xdr:col>
      <xdr:colOff>647700</xdr:colOff>
      <xdr:row>134</xdr:row>
      <xdr:rowOff>0</xdr:rowOff>
    </xdr:to>
    <xdr:sp macro="" textlink="">
      <xdr:nvSpPr>
        <xdr:cNvPr id="375954" name="Text Box 146" hidden="1">
          <a:extLst>
            <a:ext uri="{FF2B5EF4-FFF2-40B4-BE49-F238E27FC236}">
              <a16:creationId xmlns:a16="http://schemas.microsoft.com/office/drawing/2014/main" id="{5E7AC962-4985-2771-4273-3948FF23C985}"/>
            </a:ext>
          </a:extLst>
        </xdr:cNvPr>
        <xdr:cNvSpPr txBox="1">
          <a:spLocks noChangeArrowheads="1"/>
        </xdr:cNvSpPr>
      </xdr:nvSpPr>
      <xdr:spPr bwMode="auto">
        <a:xfrm>
          <a:off x="20027900" y="26447750"/>
          <a:ext cx="1314450" cy="825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14</xdr:row>
      <xdr:rowOff>114300</xdr:rowOff>
    </xdr:from>
    <xdr:to>
      <xdr:col>25</xdr:col>
      <xdr:colOff>654050</xdr:colOff>
      <xdr:row>18</xdr:row>
      <xdr:rowOff>152400</xdr:rowOff>
    </xdr:to>
    <xdr:sp macro="" textlink="">
      <xdr:nvSpPr>
        <xdr:cNvPr id="375984" name="Text Box 176" hidden="1">
          <a:extLst>
            <a:ext uri="{FF2B5EF4-FFF2-40B4-BE49-F238E27FC236}">
              <a16:creationId xmlns:a16="http://schemas.microsoft.com/office/drawing/2014/main" id="{AE1D7549-0259-B4B6-9114-5B299780C280}"/>
            </a:ext>
          </a:extLst>
        </xdr:cNvPr>
        <xdr:cNvSpPr txBox="1">
          <a:spLocks noChangeArrowheads="1"/>
        </xdr:cNvSpPr>
      </xdr:nvSpPr>
      <xdr:spPr bwMode="auto">
        <a:xfrm>
          <a:off x="20789900" y="35750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24</xdr:row>
      <xdr:rowOff>114300</xdr:rowOff>
    </xdr:from>
    <xdr:to>
      <xdr:col>25</xdr:col>
      <xdr:colOff>654050</xdr:colOff>
      <xdr:row>28</xdr:row>
      <xdr:rowOff>152400</xdr:rowOff>
    </xdr:to>
    <xdr:sp macro="" textlink="">
      <xdr:nvSpPr>
        <xdr:cNvPr id="375985" name="Text Box 177" hidden="1">
          <a:extLst>
            <a:ext uri="{FF2B5EF4-FFF2-40B4-BE49-F238E27FC236}">
              <a16:creationId xmlns:a16="http://schemas.microsoft.com/office/drawing/2014/main" id="{85391003-A2C0-483F-C093-C42F3011C66A}"/>
            </a:ext>
          </a:extLst>
        </xdr:cNvPr>
        <xdr:cNvSpPr txBox="1">
          <a:spLocks noChangeArrowheads="1"/>
        </xdr:cNvSpPr>
      </xdr:nvSpPr>
      <xdr:spPr bwMode="auto">
        <a:xfrm>
          <a:off x="20789900" y="576580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129</xdr:row>
      <xdr:rowOff>114300</xdr:rowOff>
    </xdr:from>
    <xdr:to>
      <xdr:col>25</xdr:col>
      <xdr:colOff>654050</xdr:colOff>
      <xdr:row>133</xdr:row>
      <xdr:rowOff>152400</xdr:rowOff>
    </xdr:to>
    <xdr:sp macro="" textlink="">
      <xdr:nvSpPr>
        <xdr:cNvPr id="375986" name="Text Box 178" hidden="1">
          <a:extLst>
            <a:ext uri="{FF2B5EF4-FFF2-40B4-BE49-F238E27FC236}">
              <a16:creationId xmlns:a16="http://schemas.microsoft.com/office/drawing/2014/main" id="{558E45C6-092E-A41B-16DB-425D9C7A201F}"/>
            </a:ext>
          </a:extLst>
        </xdr:cNvPr>
        <xdr:cNvSpPr txBox="1">
          <a:spLocks noChangeArrowheads="1"/>
        </xdr:cNvSpPr>
      </xdr:nvSpPr>
      <xdr:spPr bwMode="auto">
        <a:xfrm>
          <a:off x="20789900" y="2646680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2</xdr:col>
      <xdr:colOff>140335</xdr:colOff>
      <xdr:row>53</xdr:row>
      <xdr:rowOff>549</xdr:rowOff>
    </xdr:from>
    <xdr:to>
      <xdr:col>3</xdr:col>
      <xdr:colOff>635635</xdr:colOff>
      <xdr:row>53</xdr:row>
      <xdr:rowOff>549</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53</xdr:row>
      <xdr:rowOff>549</xdr:rowOff>
    </xdr:from>
    <xdr:to>
      <xdr:col>3</xdr:col>
      <xdr:colOff>628650</xdr:colOff>
      <xdr:row>53</xdr:row>
      <xdr:rowOff>549</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53</xdr:row>
      <xdr:rowOff>549</xdr:rowOff>
    </xdr:from>
    <xdr:to>
      <xdr:col>3</xdr:col>
      <xdr:colOff>609600</xdr:colOff>
      <xdr:row>53</xdr:row>
      <xdr:rowOff>549</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53</xdr:row>
      <xdr:rowOff>549</xdr:rowOff>
    </xdr:from>
    <xdr:to>
      <xdr:col>3</xdr:col>
      <xdr:colOff>609600</xdr:colOff>
      <xdr:row>53</xdr:row>
      <xdr:rowOff>549</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57</xdr:row>
      <xdr:rowOff>154015</xdr:rowOff>
    </xdr:from>
    <xdr:to>
      <xdr:col>3</xdr:col>
      <xdr:colOff>609600</xdr:colOff>
      <xdr:row>57</xdr:row>
      <xdr:rowOff>154015</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14372" name="Text Box 4" hidden="1">
          <a:extLst>
            <a:ext uri="{FF2B5EF4-FFF2-40B4-BE49-F238E27FC236}">
              <a16:creationId xmlns:a16="http://schemas.microsoft.com/office/drawing/2014/main" id="{C9437685-B101-7B7F-792A-4F4210A01200}"/>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14373" name="Text Box 5" hidden="1">
          <a:extLst>
            <a:ext uri="{FF2B5EF4-FFF2-40B4-BE49-F238E27FC236}">
              <a16:creationId xmlns:a16="http://schemas.microsoft.com/office/drawing/2014/main" id="{32B9AF91-0C65-9F5A-1029-2DF868BD4193}"/>
            </a:ext>
          </a:extLst>
        </xdr:cNvPr>
        <xdr:cNvSpPr txBox="1">
          <a:spLocks noChangeArrowheads="1"/>
        </xdr:cNvSpPr>
      </xdr:nvSpPr>
      <xdr:spPr bwMode="auto">
        <a:xfrm>
          <a:off x="2705100" y="9886950"/>
          <a:ext cx="13208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58</xdr:row>
      <xdr:rowOff>320710</xdr:rowOff>
    </xdr:to>
    <xdr:sp macro="" textlink="">
      <xdr:nvSpPr>
        <xdr:cNvPr id="314374" name="Text Box 6" hidden="1">
          <a:extLst>
            <a:ext uri="{FF2B5EF4-FFF2-40B4-BE49-F238E27FC236}">
              <a16:creationId xmlns:a16="http://schemas.microsoft.com/office/drawing/2014/main" id="{995F31B6-AEBB-6CA1-0E56-4BEB3B915864}"/>
            </a:ext>
          </a:extLst>
        </xdr:cNvPr>
        <xdr:cNvSpPr txBox="1">
          <a:spLocks noChangeArrowheads="1"/>
        </xdr:cNvSpPr>
      </xdr:nvSpPr>
      <xdr:spPr bwMode="auto">
        <a:xfrm>
          <a:off x="2705100" y="10242550"/>
          <a:ext cx="13208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87260</xdr:rowOff>
    </xdr:to>
    <xdr:sp macro="" textlink="">
      <xdr:nvSpPr>
        <xdr:cNvPr id="314375" name="Text Box 7" hidden="1">
          <a:extLst>
            <a:ext uri="{FF2B5EF4-FFF2-40B4-BE49-F238E27FC236}">
              <a16:creationId xmlns:a16="http://schemas.microsoft.com/office/drawing/2014/main" id="{92D01D35-145A-7AC9-71F7-8157C6EB555D}"/>
            </a:ext>
          </a:extLst>
        </xdr:cNvPr>
        <xdr:cNvSpPr txBox="1">
          <a:spLocks noChangeArrowheads="1"/>
        </xdr:cNvSpPr>
      </xdr:nvSpPr>
      <xdr:spPr bwMode="auto">
        <a:xfrm>
          <a:off x="2705100" y="105854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217540</xdr:rowOff>
    </xdr:from>
    <xdr:to>
      <xdr:col>3</xdr:col>
      <xdr:colOff>495300</xdr:colOff>
      <xdr:row>61</xdr:row>
      <xdr:rowOff>59034</xdr:rowOff>
    </xdr:to>
    <xdr:sp macro="" textlink="">
      <xdr:nvSpPr>
        <xdr:cNvPr id="314376" name="Text Box 8" hidden="1">
          <a:extLst>
            <a:ext uri="{FF2B5EF4-FFF2-40B4-BE49-F238E27FC236}">
              <a16:creationId xmlns:a16="http://schemas.microsoft.com/office/drawing/2014/main" id="{C2F7CA66-A973-AF4D-AF6B-49FA6B613788}"/>
            </a:ext>
          </a:extLst>
        </xdr:cNvPr>
        <xdr:cNvSpPr txBox="1">
          <a:spLocks noChangeArrowheads="1"/>
        </xdr:cNvSpPr>
      </xdr:nvSpPr>
      <xdr:spPr bwMode="auto">
        <a:xfrm>
          <a:off x="2705100" y="109156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45392</xdr:rowOff>
    </xdr:to>
    <xdr:sp macro="" textlink="">
      <xdr:nvSpPr>
        <xdr:cNvPr id="314377" name="Text Box 9" hidden="1">
          <a:extLst>
            <a:ext uri="{FF2B5EF4-FFF2-40B4-BE49-F238E27FC236}">
              <a16:creationId xmlns:a16="http://schemas.microsoft.com/office/drawing/2014/main" id="{60A38524-E963-8B80-979B-C2315751019D}"/>
            </a:ext>
          </a:extLst>
        </xdr:cNvPr>
        <xdr:cNvSpPr txBox="1">
          <a:spLocks noChangeArrowheads="1"/>
        </xdr:cNvSpPr>
      </xdr:nvSpPr>
      <xdr:spPr bwMode="auto">
        <a:xfrm>
          <a:off x="2705100" y="112458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315860</xdr:rowOff>
    </xdr:from>
    <xdr:to>
      <xdr:col>3</xdr:col>
      <xdr:colOff>495300</xdr:colOff>
      <xdr:row>63</xdr:row>
      <xdr:rowOff>49161</xdr:rowOff>
    </xdr:to>
    <xdr:sp macro="" textlink="">
      <xdr:nvSpPr>
        <xdr:cNvPr id="314378" name="Text Box 10" hidden="1">
          <a:extLst>
            <a:ext uri="{FF2B5EF4-FFF2-40B4-BE49-F238E27FC236}">
              <a16:creationId xmlns:a16="http://schemas.microsoft.com/office/drawing/2014/main" id="{32AB8D24-E55B-90C9-015F-B3FCE7BB1662}"/>
            </a:ext>
          </a:extLst>
        </xdr:cNvPr>
        <xdr:cNvSpPr txBox="1">
          <a:spLocks noChangeArrowheads="1"/>
        </xdr:cNvSpPr>
      </xdr:nvSpPr>
      <xdr:spPr bwMode="auto">
        <a:xfrm>
          <a:off x="2705100" y="11576050"/>
          <a:ext cx="13208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76846" name="Text Box 14" hidden="1">
          <a:extLst>
            <a:ext uri="{FF2B5EF4-FFF2-40B4-BE49-F238E27FC236}">
              <a16:creationId xmlns:a16="http://schemas.microsoft.com/office/drawing/2014/main" id="{6C2115BB-9915-0A80-470A-42F40441B9E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76845" name="Text Box 13" hidden="1">
          <a:extLst>
            <a:ext uri="{FF2B5EF4-FFF2-40B4-BE49-F238E27FC236}">
              <a16:creationId xmlns:a16="http://schemas.microsoft.com/office/drawing/2014/main" id="{DF0D79B3-D2A7-0881-FD41-39A6CE84B355}"/>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58</xdr:row>
      <xdr:rowOff>320710</xdr:rowOff>
    </xdr:to>
    <xdr:sp macro="" textlink="">
      <xdr:nvSpPr>
        <xdr:cNvPr id="376844" name="Text Box 12" hidden="1">
          <a:extLst>
            <a:ext uri="{FF2B5EF4-FFF2-40B4-BE49-F238E27FC236}">
              <a16:creationId xmlns:a16="http://schemas.microsoft.com/office/drawing/2014/main" id="{69961090-54CC-90F9-8955-ADB0AC6E6786}"/>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87260</xdr:rowOff>
    </xdr:to>
    <xdr:sp macro="" textlink="">
      <xdr:nvSpPr>
        <xdr:cNvPr id="376843" name="Text Box 11" hidden="1">
          <a:extLst>
            <a:ext uri="{FF2B5EF4-FFF2-40B4-BE49-F238E27FC236}">
              <a16:creationId xmlns:a16="http://schemas.microsoft.com/office/drawing/2014/main" id="{B0F5A10F-2148-1BE9-532D-DFB19D02B91B}"/>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217540</xdr:rowOff>
    </xdr:from>
    <xdr:to>
      <xdr:col>3</xdr:col>
      <xdr:colOff>495300</xdr:colOff>
      <xdr:row>61</xdr:row>
      <xdr:rowOff>59034</xdr:rowOff>
    </xdr:to>
    <xdr:sp macro="" textlink="">
      <xdr:nvSpPr>
        <xdr:cNvPr id="376842" name="Text Box 10" hidden="1">
          <a:extLst>
            <a:ext uri="{FF2B5EF4-FFF2-40B4-BE49-F238E27FC236}">
              <a16:creationId xmlns:a16="http://schemas.microsoft.com/office/drawing/2014/main" id="{52661AFB-2E75-B046-C6E5-11483E38760C}"/>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45392</xdr:rowOff>
    </xdr:to>
    <xdr:sp macro="" textlink="">
      <xdr:nvSpPr>
        <xdr:cNvPr id="376841" name="Text Box 9" hidden="1">
          <a:extLst>
            <a:ext uri="{FF2B5EF4-FFF2-40B4-BE49-F238E27FC236}">
              <a16:creationId xmlns:a16="http://schemas.microsoft.com/office/drawing/2014/main" id="{BBCC77F7-1D78-362D-BE45-659520E87F15}"/>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315860</xdr:rowOff>
    </xdr:from>
    <xdr:to>
      <xdr:col>3</xdr:col>
      <xdr:colOff>495300</xdr:colOff>
      <xdr:row>63</xdr:row>
      <xdr:rowOff>49161</xdr:rowOff>
    </xdr:to>
    <xdr:sp macro="" textlink="">
      <xdr:nvSpPr>
        <xdr:cNvPr id="376840" name="Text Box 8" hidden="1">
          <a:extLst>
            <a:ext uri="{FF2B5EF4-FFF2-40B4-BE49-F238E27FC236}">
              <a16:creationId xmlns:a16="http://schemas.microsoft.com/office/drawing/2014/main" id="{96BB2F95-5DFA-599E-715D-227912B90441}"/>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76839" name="Text Box 7" hidden="1">
          <a:extLst>
            <a:ext uri="{FF2B5EF4-FFF2-40B4-BE49-F238E27FC236}">
              <a16:creationId xmlns:a16="http://schemas.microsoft.com/office/drawing/2014/main" id="{E32DBF97-A175-E466-5C3E-A26463D38FFA}"/>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76838" name="Text Box 6" hidden="1">
          <a:extLst>
            <a:ext uri="{FF2B5EF4-FFF2-40B4-BE49-F238E27FC236}">
              <a16:creationId xmlns:a16="http://schemas.microsoft.com/office/drawing/2014/main" id="{47A5E5BB-17FC-AD54-221A-D7406891D356}"/>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58</xdr:row>
      <xdr:rowOff>320710</xdr:rowOff>
    </xdr:to>
    <xdr:sp macro="" textlink="">
      <xdr:nvSpPr>
        <xdr:cNvPr id="376837" name="Text Box 5" hidden="1">
          <a:extLst>
            <a:ext uri="{FF2B5EF4-FFF2-40B4-BE49-F238E27FC236}">
              <a16:creationId xmlns:a16="http://schemas.microsoft.com/office/drawing/2014/main" id="{59696B4B-1A67-6DAC-AC2F-9CA6784E3B2F}"/>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87260</xdr:rowOff>
    </xdr:to>
    <xdr:sp macro="" textlink="">
      <xdr:nvSpPr>
        <xdr:cNvPr id="376836" name="Text Box 4" hidden="1">
          <a:extLst>
            <a:ext uri="{FF2B5EF4-FFF2-40B4-BE49-F238E27FC236}">
              <a16:creationId xmlns:a16="http://schemas.microsoft.com/office/drawing/2014/main" id="{35DC972F-4700-FD8B-04CC-13FAB52B622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217540</xdr:rowOff>
    </xdr:from>
    <xdr:to>
      <xdr:col>3</xdr:col>
      <xdr:colOff>495300</xdr:colOff>
      <xdr:row>61</xdr:row>
      <xdr:rowOff>59034</xdr:rowOff>
    </xdr:to>
    <xdr:sp macro="" textlink="">
      <xdr:nvSpPr>
        <xdr:cNvPr id="376835" name="Text Box 3" hidden="1">
          <a:extLst>
            <a:ext uri="{FF2B5EF4-FFF2-40B4-BE49-F238E27FC236}">
              <a16:creationId xmlns:a16="http://schemas.microsoft.com/office/drawing/2014/main" id="{7A954F4E-D872-8F35-436F-57A11F8F3222}"/>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45392</xdr:rowOff>
    </xdr:to>
    <xdr:sp macro="" textlink="">
      <xdr:nvSpPr>
        <xdr:cNvPr id="376834" name="Text Box 2" hidden="1">
          <a:extLst>
            <a:ext uri="{FF2B5EF4-FFF2-40B4-BE49-F238E27FC236}">
              <a16:creationId xmlns:a16="http://schemas.microsoft.com/office/drawing/2014/main" id="{F19B3451-482D-E00C-F28E-FDC954D2E94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315860</xdr:rowOff>
    </xdr:from>
    <xdr:to>
      <xdr:col>3</xdr:col>
      <xdr:colOff>495300</xdr:colOff>
      <xdr:row>63</xdr:row>
      <xdr:rowOff>49161</xdr:rowOff>
    </xdr:to>
    <xdr:sp macro="" textlink="">
      <xdr:nvSpPr>
        <xdr:cNvPr id="376833" name="Text Box 1" hidden="1">
          <a:extLst>
            <a:ext uri="{FF2B5EF4-FFF2-40B4-BE49-F238E27FC236}">
              <a16:creationId xmlns:a16="http://schemas.microsoft.com/office/drawing/2014/main" id="{9906005B-BF3F-CEEE-5706-D57DF7596368}"/>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76853" name="Text Box 21" hidden="1">
          <a:extLst>
            <a:ext uri="{FF2B5EF4-FFF2-40B4-BE49-F238E27FC236}">
              <a16:creationId xmlns:a16="http://schemas.microsoft.com/office/drawing/2014/main" id="{B1331059-F79B-52E1-5B4B-E2FBF1E38294}"/>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76852" name="Text Box 20" hidden="1">
          <a:extLst>
            <a:ext uri="{FF2B5EF4-FFF2-40B4-BE49-F238E27FC236}">
              <a16:creationId xmlns:a16="http://schemas.microsoft.com/office/drawing/2014/main" id="{76E7B475-FBDA-4443-12BD-3FF0466397CB}"/>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58</xdr:row>
      <xdr:rowOff>320710</xdr:rowOff>
    </xdr:to>
    <xdr:sp macro="" textlink="">
      <xdr:nvSpPr>
        <xdr:cNvPr id="376851" name="Text Box 19" hidden="1">
          <a:extLst>
            <a:ext uri="{FF2B5EF4-FFF2-40B4-BE49-F238E27FC236}">
              <a16:creationId xmlns:a16="http://schemas.microsoft.com/office/drawing/2014/main" id="{77C5E091-9FF2-8DF4-BF52-5B2B5BB4B775}"/>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87260</xdr:rowOff>
    </xdr:to>
    <xdr:sp macro="" textlink="">
      <xdr:nvSpPr>
        <xdr:cNvPr id="376850" name="Text Box 18" hidden="1">
          <a:extLst>
            <a:ext uri="{FF2B5EF4-FFF2-40B4-BE49-F238E27FC236}">
              <a16:creationId xmlns:a16="http://schemas.microsoft.com/office/drawing/2014/main" id="{C4986A94-73C2-E519-C120-3B1AEB1C74DF}"/>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217540</xdr:rowOff>
    </xdr:from>
    <xdr:to>
      <xdr:col>3</xdr:col>
      <xdr:colOff>495300</xdr:colOff>
      <xdr:row>61</xdr:row>
      <xdr:rowOff>59034</xdr:rowOff>
    </xdr:to>
    <xdr:sp macro="" textlink="">
      <xdr:nvSpPr>
        <xdr:cNvPr id="376849" name="Text Box 17" hidden="1">
          <a:extLst>
            <a:ext uri="{FF2B5EF4-FFF2-40B4-BE49-F238E27FC236}">
              <a16:creationId xmlns:a16="http://schemas.microsoft.com/office/drawing/2014/main" id="{6A7380A4-506B-2EE1-F553-EF8F1615FC45}"/>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45392</xdr:rowOff>
    </xdr:to>
    <xdr:sp macro="" textlink="">
      <xdr:nvSpPr>
        <xdr:cNvPr id="376848" name="Text Box 16" hidden="1">
          <a:extLst>
            <a:ext uri="{FF2B5EF4-FFF2-40B4-BE49-F238E27FC236}">
              <a16:creationId xmlns:a16="http://schemas.microsoft.com/office/drawing/2014/main" id="{08DA302D-FC61-D973-087D-4B996894C258}"/>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315860</xdr:rowOff>
    </xdr:from>
    <xdr:to>
      <xdr:col>3</xdr:col>
      <xdr:colOff>495300</xdr:colOff>
      <xdr:row>63</xdr:row>
      <xdr:rowOff>49161</xdr:rowOff>
    </xdr:to>
    <xdr:sp macro="" textlink="">
      <xdr:nvSpPr>
        <xdr:cNvPr id="376847" name="Text Box 15" hidden="1">
          <a:extLst>
            <a:ext uri="{FF2B5EF4-FFF2-40B4-BE49-F238E27FC236}">
              <a16:creationId xmlns:a16="http://schemas.microsoft.com/office/drawing/2014/main" id="{B6A7CFB3-FCC7-676F-086E-0C13FAE0EE8D}"/>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62</xdr:row>
      <xdr:rowOff>7292</xdr:rowOff>
    </xdr:from>
    <xdr:to>
      <xdr:col>3</xdr:col>
      <xdr:colOff>609600</xdr:colOff>
      <xdr:row>62</xdr:row>
      <xdr:rowOff>7292</xdr:rowOff>
    </xdr:to>
    <xdr:sp macro="" textlink="">
      <xdr:nvSpPr>
        <xdr:cNvPr id="376860" name="Text Box 28" hidden="1">
          <a:extLst>
            <a:ext uri="{FF2B5EF4-FFF2-40B4-BE49-F238E27FC236}">
              <a16:creationId xmlns:a16="http://schemas.microsoft.com/office/drawing/2014/main" id="{3A8234B8-7123-96A5-7120-7330EE848047}"/>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53</xdr:row>
      <xdr:rowOff>107008</xdr:rowOff>
    </xdr:from>
    <xdr:to>
      <xdr:col>3</xdr:col>
      <xdr:colOff>495300</xdr:colOff>
      <xdr:row>57</xdr:row>
      <xdr:rowOff>141479</xdr:rowOff>
    </xdr:to>
    <xdr:sp macro="" textlink="">
      <xdr:nvSpPr>
        <xdr:cNvPr id="376859" name="Text Box 27" hidden="1">
          <a:extLst>
            <a:ext uri="{FF2B5EF4-FFF2-40B4-BE49-F238E27FC236}">
              <a16:creationId xmlns:a16="http://schemas.microsoft.com/office/drawing/2014/main" id="{B8A31A81-9927-0CF5-5AEB-7F9B723928C2}"/>
            </a:ext>
          </a:extLst>
        </xdr:cNvPr>
        <xdr:cNvSpPr txBox="1">
          <a:spLocks noChangeArrowheads="1"/>
        </xdr:cNvSpPr>
      </xdr:nvSpPr>
      <xdr:spPr bwMode="auto">
        <a:xfrm>
          <a:off x="2705100" y="988695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55</xdr:row>
      <xdr:rowOff>83701</xdr:rowOff>
    </xdr:from>
    <xdr:to>
      <xdr:col>3</xdr:col>
      <xdr:colOff>495300</xdr:colOff>
      <xdr:row>58</xdr:row>
      <xdr:rowOff>320710</xdr:rowOff>
    </xdr:to>
    <xdr:sp macro="" textlink="">
      <xdr:nvSpPr>
        <xdr:cNvPr id="376858" name="Text Box 26" hidden="1">
          <a:extLst>
            <a:ext uri="{FF2B5EF4-FFF2-40B4-BE49-F238E27FC236}">
              <a16:creationId xmlns:a16="http://schemas.microsoft.com/office/drawing/2014/main" id="{E128DB61-2E11-AF27-3D31-EE354CA9150E}"/>
            </a:ext>
          </a:extLst>
        </xdr:cNvPr>
        <xdr:cNvSpPr txBox="1">
          <a:spLocks noChangeArrowheads="1"/>
        </xdr:cNvSpPr>
      </xdr:nvSpPr>
      <xdr:spPr bwMode="auto">
        <a:xfrm>
          <a:off x="2705100" y="102425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57</xdr:row>
      <xdr:rowOff>57359</xdr:rowOff>
    </xdr:from>
    <xdr:to>
      <xdr:col>3</xdr:col>
      <xdr:colOff>495300</xdr:colOff>
      <xdr:row>60</xdr:row>
      <xdr:rowOff>87260</xdr:rowOff>
    </xdr:to>
    <xdr:sp macro="" textlink="">
      <xdr:nvSpPr>
        <xdr:cNvPr id="376857" name="Text Box 25" hidden="1">
          <a:extLst>
            <a:ext uri="{FF2B5EF4-FFF2-40B4-BE49-F238E27FC236}">
              <a16:creationId xmlns:a16="http://schemas.microsoft.com/office/drawing/2014/main" id="{079F3B85-6EF0-F945-803E-BC0A0D0E9C8C}"/>
            </a:ext>
          </a:extLst>
        </xdr:cNvPr>
        <xdr:cNvSpPr txBox="1">
          <a:spLocks noChangeArrowheads="1"/>
        </xdr:cNvSpPr>
      </xdr:nvSpPr>
      <xdr:spPr bwMode="auto">
        <a:xfrm>
          <a:off x="2705100" y="105854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58</xdr:row>
      <xdr:rowOff>217540</xdr:rowOff>
    </xdr:from>
    <xdr:to>
      <xdr:col>3</xdr:col>
      <xdr:colOff>495300</xdr:colOff>
      <xdr:row>61</xdr:row>
      <xdr:rowOff>59034</xdr:rowOff>
    </xdr:to>
    <xdr:sp macro="" textlink="">
      <xdr:nvSpPr>
        <xdr:cNvPr id="376856" name="Text Box 24" hidden="1">
          <a:extLst>
            <a:ext uri="{FF2B5EF4-FFF2-40B4-BE49-F238E27FC236}">
              <a16:creationId xmlns:a16="http://schemas.microsoft.com/office/drawing/2014/main" id="{354A9F75-C0CB-CC05-9CDA-48363820F368}"/>
            </a:ext>
          </a:extLst>
        </xdr:cNvPr>
        <xdr:cNvSpPr txBox="1">
          <a:spLocks noChangeArrowheads="1"/>
        </xdr:cNvSpPr>
      </xdr:nvSpPr>
      <xdr:spPr bwMode="auto">
        <a:xfrm>
          <a:off x="2705100" y="109156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59</xdr:row>
      <xdr:rowOff>172496</xdr:rowOff>
    </xdr:from>
    <xdr:to>
      <xdr:col>3</xdr:col>
      <xdr:colOff>495300</xdr:colOff>
      <xdr:row>62</xdr:row>
      <xdr:rowOff>45392</xdr:rowOff>
    </xdr:to>
    <xdr:sp macro="" textlink="">
      <xdr:nvSpPr>
        <xdr:cNvPr id="376855" name="Text Box 23" hidden="1">
          <a:extLst>
            <a:ext uri="{FF2B5EF4-FFF2-40B4-BE49-F238E27FC236}">
              <a16:creationId xmlns:a16="http://schemas.microsoft.com/office/drawing/2014/main" id="{D792366D-8BAE-3FCC-1E17-CB98574BD300}"/>
            </a:ext>
          </a:extLst>
        </xdr:cNvPr>
        <xdr:cNvSpPr txBox="1">
          <a:spLocks noChangeArrowheads="1"/>
        </xdr:cNvSpPr>
      </xdr:nvSpPr>
      <xdr:spPr bwMode="auto">
        <a:xfrm>
          <a:off x="2705100" y="112458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60</xdr:row>
      <xdr:rowOff>315860</xdr:rowOff>
    </xdr:from>
    <xdr:to>
      <xdr:col>3</xdr:col>
      <xdr:colOff>495300</xdr:colOff>
      <xdr:row>63</xdr:row>
      <xdr:rowOff>49161</xdr:rowOff>
    </xdr:to>
    <xdr:sp macro="" textlink="">
      <xdr:nvSpPr>
        <xdr:cNvPr id="376854" name="Text Box 22" hidden="1">
          <a:extLst>
            <a:ext uri="{FF2B5EF4-FFF2-40B4-BE49-F238E27FC236}">
              <a16:creationId xmlns:a16="http://schemas.microsoft.com/office/drawing/2014/main" id="{541A32F3-73D8-CE15-9C55-F0E7DFCBE256}"/>
            </a:ext>
          </a:extLst>
        </xdr:cNvPr>
        <xdr:cNvSpPr txBox="1">
          <a:spLocks noChangeArrowheads="1"/>
        </xdr:cNvSpPr>
      </xdr:nvSpPr>
      <xdr:spPr bwMode="auto">
        <a:xfrm>
          <a:off x="2705100" y="1157605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66</xdr:row>
      <xdr:rowOff>0</xdr:rowOff>
    </xdr:from>
    <xdr:to>
      <xdr:col>3</xdr:col>
      <xdr:colOff>609600</xdr:colOff>
      <xdr:row>66</xdr:row>
      <xdr:rowOff>0</xdr:rowOff>
    </xdr:to>
    <xdr:sp macro="" textlink="">
      <xdr:nvSpPr>
        <xdr:cNvPr id="376867" name="Text Box 35" hidden="1">
          <a:extLst>
            <a:ext uri="{FF2B5EF4-FFF2-40B4-BE49-F238E27FC236}">
              <a16:creationId xmlns:a16="http://schemas.microsoft.com/office/drawing/2014/main" id="{4F6D94EF-0F14-3A6A-BBFA-89F79388AF08}"/>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62</xdr:row>
      <xdr:rowOff>95250</xdr:rowOff>
    </xdr:from>
    <xdr:to>
      <xdr:col>3</xdr:col>
      <xdr:colOff>495300</xdr:colOff>
      <xdr:row>63</xdr:row>
      <xdr:rowOff>38100</xdr:rowOff>
    </xdr:to>
    <xdr:sp macro="" textlink="">
      <xdr:nvSpPr>
        <xdr:cNvPr id="376866" name="Text Box 34" hidden="1">
          <a:extLst>
            <a:ext uri="{FF2B5EF4-FFF2-40B4-BE49-F238E27FC236}">
              <a16:creationId xmlns:a16="http://schemas.microsoft.com/office/drawing/2014/main" id="{64D370F8-7476-4A06-7E4C-24114413E624}"/>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38100</xdr:rowOff>
    </xdr:from>
    <xdr:to>
      <xdr:col>3</xdr:col>
      <xdr:colOff>495300</xdr:colOff>
      <xdr:row>63</xdr:row>
      <xdr:rowOff>228600</xdr:rowOff>
    </xdr:to>
    <xdr:sp macro="" textlink="">
      <xdr:nvSpPr>
        <xdr:cNvPr id="376865" name="Text Box 33" hidden="1">
          <a:extLst>
            <a:ext uri="{FF2B5EF4-FFF2-40B4-BE49-F238E27FC236}">
              <a16:creationId xmlns:a16="http://schemas.microsoft.com/office/drawing/2014/main" id="{05AB9054-457F-7E36-2947-BEB253B960A2}"/>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228600</xdr:rowOff>
    </xdr:from>
    <xdr:to>
      <xdr:col>3</xdr:col>
      <xdr:colOff>495300</xdr:colOff>
      <xdr:row>64</xdr:row>
      <xdr:rowOff>76200</xdr:rowOff>
    </xdr:to>
    <xdr:sp macro="" textlink="">
      <xdr:nvSpPr>
        <xdr:cNvPr id="376864" name="Text Box 32" hidden="1">
          <a:extLst>
            <a:ext uri="{FF2B5EF4-FFF2-40B4-BE49-F238E27FC236}">
              <a16:creationId xmlns:a16="http://schemas.microsoft.com/office/drawing/2014/main" id="{25DAB710-59E7-96BE-5D93-B624EE2B0DB9}"/>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76200</xdr:rowOff>
    </xdr:from>
    <xdr:to>
      <xdr:col>3</xdr:col>
      <xdr:colOff>495300</xdr:colOff>
      <xdr:row>64</xdr:row>
      <xdr:rowOff>266700</xdr:rowOff>
    </xdr:to>
    <xdr:sp macro="" textlink="">
      <xdr:nvSpPr>
        <xdr:cNvPr id="376863" name="Text Box 31" hidden="1">
          <a:extLst>
            <a:ext uri="{FF2B5EF4-FFF2-40B4-BE49-F238E27FC236}">
              <a16:creationId xmlns:a16="http://schemas.microsoft.com/office/drawing/2014/main" id="{2E4E2617-DB92-7E4C-4B21-FA5330FAA006}"/>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266700</xdr:rowOff>
    </xdr:from>
    <xdr:to>
      <xdr:col>3</xdr:col>
      <xdr:colOff>495300</xdr:colOff>
      <xdr:row>65</xdr:row>
      <xdr:rowOff>114300</xdr:rowOff>
    </xdr:to>
    <xdr:sp macro="" textlink="">
      <xdr:nvSpPr>
        <xdr:cNvPr id="376862" name="Text Box 30" hidden="1">
          <a:extLst>
            <a:ext uri="{FF2B5EF4-FFF2-40B4-BE49-F238E27FC236}">
              <a16:creationId xmlns:a16="http://schemas.microsoft.com/office/drawing/2014/main" id="{D65EC217-9F7B-5B33-2424-4C99CB54C578}"/>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133350</xdr:rowOff>
    </xdr:from>
    <xdr:to>
      <xdr:col>3</xdr:col>
      <xdr:colOff>495300</xdr:colOff>
      <xdr:row>66</xdr:row>
      <xdr:rowOff>76200</xdr:rowOff>
    </xdr:to>
    <xdr:sp macro="" textlink="">
      <xdr:nvSpPr>
        <xdr:cNvPr id="376861" name="Text Box 29" hidden="1">
          <a:extLst>
            <a:ext uri="{FF2B5EF4-FFF2-40B4-BE49-F238E27FC236}">
              <a16:creationId xmlns:a16="http://schemas.microsoft.com/office/drawing/2014/main" id="{38FC253F-B4E6-7DB0-A120-5049230B97A4}"/>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66</xdr:row>
      <xdr:rowOff>0</xdr:rowOff>
    </xdr:from>
    <xdr:to>
      <xdr:col>3</xdr:col>
      <xdr:colOff>609600</xdr:colOff>
      <xdr:row>66</xdr:row>
      <xdr:rowOff>0</xdr:rowOff>
    </xdr:to>
    <xdr:sp macro="" textlink="">
      <xdr:nvSpPr>
        <xdr:cNvPr id="376874" name="Text Box 42" hidden="1">
          <a:extLst>
            <a:ext uri="{FF2B5EF4-FFF2-40B4-BE49-F238E27FC236}">
              <a16:creationId xmlns:a16="http://schemas.microsoft.com/office/drawing/2014/main" id="{5A0CA82E-ED17-F119-D2A2-FECBF1369F8B}"/>
            </a:ext>
          </a:extLst>
        </xdr:cNvPr>
        <xdr:cNvSpPr txBox="1">
          <a:spLocks noChangeArrowheads="1"/>
        </xdr:cNvSpPr>
      </xdr:nvSpPr>
      <xdr:spPr bwMode="auto">
        <a:xfrm>
          <a:off x="2724150" y="13258800"/>
          <a:ext cx="141605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62</xdr:row>
      <xdr:rowOff>95250</xdr:rowOff>
    </xdr:from>
    <xdr:to>
      <xdr:col>3</xdr:col>
      <xdr:colOff>495300</xdr:colOff>
      <xdr:row>63</xdr:row>
      <xdr:rowOff>38100</xdr:rowOff>
    </xdr:to>
    <xdr:sp macro="" textlink="">
      <xdr:nvSpPr>
        <xdr:cNvPr id="376873" name="Text Box 41" hidden="1">
          <a:extLst>
            <a:ext uri="{FF2B5EF4-FFF2-40B4-BE49-F238E27FC236}">
              <a16:creationId xmlns:a16="http://schemas.microsoft.com/office/drawing/2014/main" id="{0D98C27B-2B30-5C49-4F06-7168B370995F}"/>
            </a:ext>
          </a:extLst>
        </xdr:cNvPr>
        <xdr:cNvSpPr txBox="1">
          <a:spLocks noChangeArrowheads="1"/>
        </xdr:cNvSpPr>
      </xdr:nvSpPr>
      <xdr:spPr bwMode="auto">
        <a:xfrm>
          <a:off x="2705100" y="120332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38100</xdr:rowOff>
    </xdr:from>
    <xdr:to>
      <xdr:col>3</xdr:col>
      <xdr:colOff>495300</xdr:colOff>
      <xdr:row>63</xdr:row>
      <xdr:rowOff>228600</xdr:rowOff>
    </xdr:to>
    <xdr:sp macro="" textlink="">
      <xdr:nvSpPr>
        <xdr:cNvPr id="376872" name="Text Box 40" hidden="1">
          <a:extLst>
            <a:ext uri="{FF2B5EF4-FFF2-40B4-BE49-F238E27FC236}">
              <a16:creationId xmlns:a16="http://schemas.microsoft.com/office/drawing/2014/main" id="{95B62CE9-0174-35AF-396B-BC44193E99D9}"/>
            </a:ext>
          </a:extLst>
        </xdr:cNvPr>
        <xdr:cNvSpPr txBox="1">
          <a:spLocks noChangeArrowheads="1"/>
        </xdr:cNvSpPr>
      </xdr:nvSpPr>
      <xdr:spPr bwMode="auto">
        <a:xfrm>
          <a:off x="2705100" y="123063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63</xdr:row>
      <xdr:rowOff>228600</xdr:rowOff>
    </xdr:from>
    <xdr:to>
      <xdr:col>3</xdr:col>
      <xdr:colOff>495300</xdr:colOff>
      <xdr:row>64</xdr:row>
      <xdr:rowOff>76200</xdr:rowOff>
    </xdr:to>
    <xdr:sp macro="" textlink="">
      <xdr:nvSpPr>
        <xdr:cNvPr id="376871" name="Text Box 39" hidden="1">
          <a:extLst>
            <a:ext uri="{FF2B5EF4-FFF2-40B4-BE49-F238E27FC236}">
              <a16:creationId xmlns:a16="http://schemas.microsoft.com/office/drawing/2014/main" id="{E076671A-8D57-642C-2997-55E729F4337E}"/>
            </a:ext>
          </a:extLst>
        </xdr:cNvPr>
        <xdr:cNvSpPr txBox="1">
          <a:spLocks noChangeArrowheads="1"/>
        </xdr:cNvSpPr>
      </xdr:nvSpPr>
      <xdr:spPr bwMode="auto">
        <a:xfrm>
          <a:off x="2705100" y="124968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76200</xdr:rowOff>
    </xdr:from>
    <xdr:to>
      <xdr:col>3</xdr:col>
      <xdr:colOff>495300</xdr:colOff>
      <xdr:row>64</xdr:row>
      <xdr:rowOff>266700</xdr:rowOff>
    </xdr:to>
    <xdr:sp macro="" textlink="">
      <xdr:nvSpPr>
        <xdr:cNvPr id="376870" name="Text Box 38" hidden="1">
          <a:extLst>
            <a:ext uri="{FF2B5EF4-FFF2-40B4-BE49-F238E27FC236}">
              <a16:creationId xmlns:a16="http://schemas.microsoft.com/office/drawing/2014/main" id="{08F5D72C-6282-8C67-DA0F-CF3F549165EC}"/>
            </a:ext>
          </a:extLst>
        </xdr:cNvPr>
        <xdr:cNvSpPr txBox="1">
          <a:spLocks noChangeArrowheads="1"/>
        </xdr:cNvSpPr>
      </xdr:nvSpPr>
      <xdr:spPr bwMode="auto">
        <a:xfrm>
          <a:off x="2705100" y="12674600"/>
          <a:ext cx="1320800" cy="190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64</xdr:row>
      <xdr:rowOff>266700</xdr:rowOff>
    </xdr:from>
    <xdr:to>
      <xdr:col>3</xdr:col>
      <xdr:colOff>495300</xdr:colOff>
      <xdr:row>65</xdr:row>
      <xdr:rowOff>114300</xdr:rowOff>
    </xdr:to>
    <xdr:sp macro="" textlink="">
      <xdr:nvSpPr>
        <xdr:cNvPr id="376869" name="Text Box 37" hidden="1">
          <a:extLst>
            <a:ext uri="{FF2B5EF4-FFF2-40B4-BE49-F238E27FC236}">
              <a16:creationId xmlns:a16="http://schemas.microsoft.com/office/drawing/2014/main" id="{DDA41B91-9DCB-5C45-10B3-FBB64514850A}"/>
            </a:ext>
          </a:extLst>
        </xdr:cNvPr>
        <xdr:cNvSpPr txBox="1">
          <a:spLocks noChangeArrowheads="1"/>
        </xdr:cNvSpPr>
      </xdr:nvSpPr>
      <xdr:spPr bwMode="auto">
        <a:xfrm>
          <a:off x="2705100" y="12865100"/>
          <a:ext cx="1320800" cy="177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65</xdr:row>
      <xdr:rowOff>133350</xdr:rowOff>
    </xdr:from>
    <xdr:to>
      <xdr:col>3</xdr:col>
      <xdr:colOff>495300</xdr:colOff>
      <xdr:row>66</xdr:row>
      <xdr:rowOff>76200</xdr:rowOff>
    </xdr:to>
    <xdr:sp macro="" textlink="">
      <xdr:nvSpPr>
        <xdr:cNvPr id="376868" name="Text Box 36" hidden="1">
          <a:extLst>
            <a:ext uri="{FF2B5EF4-FFF2-40B4-BE49-F238E27FC236}">
              <a16:creationId xmlns:a16="http://schemas.microsoft.com/office/drawing/2014/main" id="{3E034B40-D236-5C2A-61D6-831BAAE76517}"/>
            </a:ext>
          </a:extLst>
        </xdr:cNvPr>
        <xdr:cNvSpPr txBox="1">
          <a:spLocks noChangeArrowheads="1"/>
        </xdr:cNvSpPr>
      </xdr:nvSpPr>
      <xdr:spPr bwMode="auto">
        <a:xfrm>
          <a:off x="2705100" y="13061950"/>
          <a:ext cx="1320800" cy="273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6.xml><?xml version="1.0" encoding="utf-8"?>
<xdr:wsDr xmlns:xdr="http://schemas.openxmlformats.org/drawingml/2006/spreadsheetDrawing" xmlns:a="http://schemas.openxmlformats.org/drawingml/2006/main">
  <xdr:twoCellAnchor editAs="absolute">
    <xdr:from>
      <xdr:col>11</xdr:col>
      <xdr:colOff>133350</xdr:colOff>
      <xdr:row>29</xdr:row>
      <xdr:rowOff>95250</xdr:rowOff>
    </xdr:from>
    <xdr:to>
      <xdr:col>13</xdr:col>
      <xdr:colOff>57150</xdr:colOff>
      <xdr:row>33</xdr:row>
      <xdr:rowOff>76200</xdr:rowOff>
    </xdr:to>
    <xdr:sp macro="" textlink="">
      <xdr:nvSpPr>
        <xdr:cNvPr id="396289" name="Text Box 1025" hidden="1">
          <a:extLst>
            <a:ext uri="{FF2B5EF4-FFF2-40B4-BE49-F238E27FC236}">
              <a16:creationId xmlns:a16="http://schemas.microsoft.com/office/drawing/2014/main" id="{FB9BADDC-3C45-2035-65B0-52959F3850C8}"/>
            </a:ext>
          </a:extLst>
        </xdr:cNvPr>
        <xdr:cNvSpPr txBox="1">
          <a:spLocks noChangeArrowheads="1"/>
        </xdr:cNvSpPr>
      </xdr:nvSpPr>
      <xdr:spPr bwMode="auto">
        <a:xfrm>
          <a:off x="851535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133350</xdr:colOff>
      <xdr:row>10</xdr:row>
      <xdr:rowOff>95250</xdr:rowOff>
    </xdr:from>
    <xdr:to>
      <xdr:col>8</xdr:col>
      <xdr:colOff>57150</xdr:colOff>
      <xdr:row>14</xdr:row>
      <xdr:rowOff>76200</xdr:rowOff>
    </xdr:to>
    <xdr:sp macro="" textlink="">
      <xdr:nvSpPr>
        <xdr:cNvPr id="396290" name="Text Box 1026" hidden="1">
          <a:extLst>
            <a:ext uri="{FF2B5EF4-FFF2-40B4-BE49-F238E27FC236}">
              <a16:creationId xmlns:a16="http://schemas.microsoft.com/office/drawing/2014/main" id="{8BD3D822-5854-EDF7-6052-F85DF2285FF2}"/>
            </a:ext>
          </a:extLst>
        </xdr:cNvPr>
        <xdr:cNvSpPr txBox="1">
          <a:spLocks noChangeArrowheads="1"/>
        </xdr:cNvSpPr>
      </xdr:nvSpPr>
      <xdr:spPr bwMode="auto">
        <a:xfrm>
          <a:off x="470535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133350</xdr:colOff>
      <xdr:row>29</xdr:row>
      <xdr:rowOff>95250</xdr:rowOff>
    </xdr:from>
    <xdr:to>
      <xdr:col>13</xdr:col>
      <xdr:colOff>57150</xdr:colOff>
      <xdr:row>33</xdr:row>
      <xdr:rowOff>76200</xdr:rowOff>
    </xdr:to>
    <xdr:sp macro="" textlink="">
      <xdr:nvSpPr>
        <xdr:cNvPr id="396292" name="Text Box 1028" hidden="1">
          <a:extLst>
            <a:ext uri="{FF2B5EF4-FFF2-40B4-BE49-F238E27FC236}">
              <a16:creationId xmlns:a16="http://schemas.microsoft.com/office/drawing/2014/main" id="{9C14A378-906C-EC2C-075F-830681768C56}"/>
            </a:ext>
          </a:extLst>
        </xdr:cNvPr>
        <xdr:cNvSpPr txBox="1">
          <a:spLocks noChangeArrowheads="1"/>
        </xdr:cNvSpPr>
      </xdr:nvSpPr>
      <xdr:spPr bwMode="auto">
        <a:xfrm>
          <a:off x="8515350" y="654050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133350</xdr:colOff>
      <xdr:row>10</xdr:row>
      <xdr:rowOff>95250</xdr:rowOff>
    </xdr:from>
    <xdr:to>
      <xdr:col>8</xdr:col>
      <xdr:colOff>57150</xdr:colOff>
      <xdr:row>14</xdr:row>
      <xdr:rowOff>76200</xdr:rowOff>
    </xdr:to>
    <xdr:sp macro="" textlink="">
      <xdr:nvSpPr>
        <xdr:cNvPr id="396291" name="Text Box 1027" hidden="1">
          <a:extLst>
            <a:ext uri="{FF2B5EF4-FFF2-40B4-BE49-F238E27FC236}">
              <a16:creationId xmlns:a16="http://schemas.microsoft.com/office/drawing/2014/main" id="{1461D900-7C9E-1AF7-402D-8B5CD90993DC}"/>
            </a:ext>
          </a:extLst>
        </xdr:cNvPr>
        <xdr:cNvSpPr txBox="1">
          <a:spLocks noChangeArrowheads="1"/>
        </xdr:cNvSpPr>
      </xdr:nvSpPr>
      <xdr:spPr bwMode="auto">
        <a:xfrm>
          <a:off x="4705350" y="1936750"/>
          <a:ext cx="1447800" cy="717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7.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20" name="Text Box 4" hidden="1">
          <a:extLst>
            <a:ext uri="{FF2B5EF4-FFF2-40B4-BE49-F238E27FC236}">
              <a16:creationId xmlns:a16="http://schemas.microsoft.com/office/drawing/2014/main" id="{76A24A9D-7C4D-4481-F1B3-41B3B1A7508F}"/>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2" name="Text Box 2" hidden="1">
          <a:extLst>
            <a:ext uri="{FF2B5EF4-FFF2-40B4-BE49-F238E27FC236}">
              <a16:creationId xmlns:a16="http://schemas.microsoft.com/office/drawing/2014/main" id="{7C244F61-FE66-9D0A-2AC8-9FA9FFF1177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1" name="Text Box 1" hidden="1">
          <a:extLst>
            <a:ext uri="{FF2B5EF4-FFF2-40B4-BE49-F238E27FC236}">
              <a16:creationId xmlns:a16="http://schemas.microsoft.com/office/drawing/2014/main" id="{822F1D04-9803-2498-3951-645537B1B30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3" name="Text Box 3" hidden="1">
          <a:extLst>
            <a:ext uri="{FF2B5EF4-FFF2-40B4-BE49-F238E27FC236}">
              <a16:creationId xmlns:a16="http://schemas.microsoft.com/office/drawing/2014/main" id="{84026776-A2C0-02AF-57C4-6FD1AE853926}"/>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78884" name="Text Box 4" hidden="1">
          <a:extLst>
            <a:ext uri="{FF2B5EF4-FFF2-40B4-BE49-F238E27FC236}">
              <a16:creationId xmlns:a16="http://schemas.microsoft.com/office/drawing/2014/main" id="{9645C95A-3253-F08B-3925-91FFBB16EC4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3" name="Text Box 1" hidden="1">
          <a:extLst>
            <a:ext uri="{FF2B5EF4-FFF2-40B4-BE49-F238E27FC236}">
              <a16:creationId xmlns:a16="http://schemas.microsoft.com/office/drawing/2014/main" id="{F0B7B312-9E78-ED13-6C6A-F1B4BFFA8066}"/>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97314" name="Text Box 2" hidden="1">
          <a:extLst>
            <a:ext uri="{FF2B5EF4-FFF2-40B4-BE49-F238E27FC236}">
              <a16:creationId xmlns:a16="http://schemas.microsoft.com/office/drawing/2014/main" id="{452AB3AE-6299-45C7-83F0-F3416D80E019}"/>
            </a:ext>
          </a:extLst>
        </xdr:cNvPr>
        <xdr:cNvSpPr txBox="1">
          <a:spLocks noChangeArrowheads="1"/>
        </xdr:cNvSpPr>
      </xdr:nvSpPr>
      <xdr:spPr bwMode="auto">
        <a:xfrm>
          <a:off x="11017250" y="558800"/>
          <a:ext cx="101600" cy="882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8.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8" name="Text Box 8" hidden="1">
          <a:extLst>
            <a:ext uri="{FF2B5EF4-FFF2-40B4-BE49-F238E27FC236}">
              <a16:creationId xmlns:a16="http://schemas.microsoft.com/office/drawing/2014/main" id="{E92BBF9F-B747-15C8-5092-10ECA1814D2F}"/>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7" name="Text Box 7" hidden="1">
          <a:extLst>
            <a:ext uri="{FF2B5EF4-FFF2-40B4-BE49-F238E27FC236}">
              <a16:creationId xmlns:a16="http://schemas.microsoft.com/office/drawing/2014/main" id="{B2356A14-7F7C-0AB6-7659-CBB38B1D3F1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8" name="Text Box 4" hidden="1">
          <a:extLst>
            <a:ext uri="{FF2B5EF4-FFF2-40B4-BE49-F238E27FC236}">
              <a16:creationId xmlns:a16="http://schemas.microsoft.com/office/drawing/2014/main" id="{13933BBD-B4A6-FCF5-97E3-E58EDAFC4BA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7" name="Text Box 3" hidden="1">
          <a:extLst>
            <a:ext uri="{FF2B5EF4-FFF2-40B4-BE49-F238E27FC236}">
              <a16:creationId xmlns:a16="http://schemas.microsoft.com/office/drawing/2014/main" id="{666B2AF9-6C65-EAC2-1D5D-BB2BEC6AAEC9}"/>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06" name="Text Box 2" hidden="1">
          <a:extLst>
            <a:ext uri="{FF2B5EF4-FFF2-40B4-BE49-F238E27FC236}">
              <a16:creationId xmlns:a16="http://schemas.microsoft.com/office/drawing/2014/main" id="{FC0D7CF4-D7E5-5BB0-3BE1-5BC5F03C59F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5" name="Text Box 1" hidden="1">
          <a:extLst>
            <a:ext uri="{FF2B5EF4-FFF2-40B4-BE49-F238E27FC236}">
              <a16:creationId xmlns:a16="http://schemas.microsoft.com/office/drawing/2014/main" id="{80048F9B-0F8A-AB74-248D-254E0BE07E8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0" name="Text Box 6" hidden="1">
          <a:extLst>
            <a:ext uri="{FF2B5EF4-FFF2-40B4-BE49-F238E27FC236}">
              <a16:creationId xmlns:a16="http://schemas.microsoft.com/office/drawing/2014/main" id="{0F25DF69-9EE2-058B-8711-5253ACF487D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09" name="Text Box 5" hidden="1">
          <a:extLst>
            <a:ext uri="{FF2B5EF4-FFF2-40B4-BE49-F238E27FC236}">
              <a16:creationId xmlns:a16="http://schemas.microsoft.com/office/drawing/2014/main" id="{142B2179-8147-B96A-2487-9BD91688D95A}"/>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2" name="Text Box 8" hidden="1">
          <a:extLst>
            <a:ext uri="{FF2B5EF4-FFF2-40B4-BE49-F238E27FC236}">
              <a16:creationId xmlns:a16="http://schemas.microsoft.com/office/drawing/2014/main" id="{F1454D3D-C6EE-FDC6-1E48-07738CCD1D0A}"/>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1" name="Text Box 7" hidden="1">
          <a:extLst>
            <a:ext uri="{FF2B5EF4-FFF2-40B4-BE49-F238E27FC236}">
              <a16:creationId xmlns:a16="http://schemas.microsoft.com/office/drawing/2014/main" id="{29F74655-6C4F-FC5C-8899-504F75A6FB6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79914" name="Text Box 10" hidden="1">
          <a:extLst>
            <a:ext uri="{FF2B5EF4-FFF2-40B4-BE49-F238E27FC236}">
              <a16:creationId xmlns:a16="http://schemas.microsoft.com/office/drawing/2014/main" id="{6816D2F9-3908-A60C-4552-7CD11F2B8D42}"/>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79913" name="Text Box 9" hidden="1">
          <a:extLst>
            <a:ext uri="{FF2B5EF4-FFF2-40B4-BE49-F238E27FC236}">
              <a16:creationId xmlns:a16="http://schemas.microsoft.com/office/drawing/2014/main" id="{81013CB1-FA6C-E8BB-E2BD-63AA330A1DB7}"/>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98338" name="Text Box 2" hidden="1">
          <a:extLst>
            <a:ext uri="{FF2B5EF4-FFF2-40B4-BE49-F238E27FC236}">
              <a16:creationId xmlns:a16="http://schemas.microsoft.com/office/drawing/2014/main" id="{2AFCAABF-77A9-E581-3950-A9F86B8605C3}"/>
            </a:ext>
          </a:extLst>
        </xdr:cNvPr>
        <xdr:cNvSpPr txBox="1">
          <a:spLocks noChangeArrowheads="1"/>
        </xdr:cNvSpPr>
      </xdr:nvSpPr>
      <xdr:spPr bwMode="auto">
        <a:xfrm>
          <a:off x="5156200" y="1504950"/>
          <a:ext cx="13906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98337" name="Text Box 1" hidden="1">
          <a:extLst>
            <a:ext uri="{FF2B5EF4-FFF2-40B4-BE49-F238E27FC236}">
              <a16:creationId xmlns:a16="http://schemas.microsoft.com/office/drawing/2014/main" id="{D2C0B349-883F-2D4A-07E6-B3E8258B6E39}"/>
            </a:ext>
          </a:extLst>
        </xdr:cNvPr>
        <xdr:cNvSpPr txBox="1">
          <a:spLocks noChangeArrowheads="1"/>
        </xdr:cNvSpPr>
      </xdr:nvSpPr>
      <xdr:spPr bwMode="auto">
        <a:xfrm>
          <a:off x="9220200" y="16192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5" name="Text Box 1" hidden="1">
          <a:extLst>
            <a:ext uri="{FF2B5EF4-FFF2-40B4-BE49-F238E27FC236}">
              <a16:creationId xmlns:a16="http://schemas.microsoft.com/office/drawing/2014/main" id="{57591A0A-96CD-9CE6-5034-15ACF0DA891A}"/>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7" name="Text Box 1027" hidden="1">
          <a:extLst>
            <a:ext uri="{FF2B5EF4-FFF2-40B4-BE49-F238E27FC236}">
              <a16:creationId xmlns:a16="http://schemas.microsoft.com/office/drawing/2014/main" id="{629F8263-B26F-484C-6832-5A29C9040DE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6" name="Text Box 1026" hidden="1">
          <a:extLst>
            <a:ext uri="{FF2B5EF4-FFF2-40B4-BE49-F238E27FC236}">
              <a16:creationId xmlns:a16="http://schemas.microsoft.com/office/drawing/2014/main" id="{AA3D9C71-178A-C320-6608-380C95BF408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8" name="Text Box 1028" hidden="1">
          <a:extLst>
            <a:ext uri="{FF2B5EF4-FFF2-40B4-BE49-F238E27FC236}">
              <a16:creationId xmlns:a16="http://schemas.microsoft.com/office/drawing/2014/main" id="{33216E7F-4501-CDF8-D8A8-16DD7B77B9B3}"/>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49" name="Text Box 1029" hidden="1">
          <a:extLst>
            <a:ext uri="{FF2B5EF4-FFF2-40B4-BE49-F238E27FC236}">
              <a16:creationId xmlns:a16="http://schemas.microsoft.com/office/drawing/2014/main" id="{09AFA688-399E-86BE-A913-FDE226A6649F}"/>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0" name="Text Box 1030" hidden="1">
          <a:extLst>
            <a:ext uri="{FF2B5EF4-FFF2-40B4-BE49-F238E27FC236}">
              <a16:creationId xmlns:a16="http://schemas.microsoft.com/office/drawing/2014/main" id="{96F03471-F2A5-FEDE-015A-5097826EA6DC}"/>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64551" name="Text Box 1031" hidden="1">
          <a:extLst>
            <a:ext uri="{FF2B5EF4-FFF2-40B4-BE49-F238E27FC236}">
              <a16:creationId xmlns:a16="http://schemas.microsoft.com/office/drawing/2014/main" id="{A34D15F6-2C18-6D3E-CCB6-32978A04B3CD}"/>
            </a:ext>
          </a:extLst>
        </xdr:cNvPr>
        <xdr:cNvSpPr txBox="1">
          <a:spLocks noChangeArrowheads="1"/>
        </xdr:cNvSpPr>
      </xdr:nvSpPr>
      <xdr:spPr bwMode="auto">
        <a:xfrm>
          <a:off x="17589500" y="188595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9" name="Text Box 45" hidden="1">
          <a:extLst>
            <a:ext uri="{FF2B5EF4-FFF2-40B4-BE49-F238E27FC236}">
              <a16:creationId xmlns:a16="http://schemas.microsoft.com/office/drawing/2014/main" id="{5FE45257-A7CA-9B70-D2B2-4A2276FFDCE3}"/>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8" name="Text Box 44" hidden="1">
          <a:extLst>
            <a:ext uri="{FF2B5EF4-FFF2-40B4-BE49-F238E27FC236}">
              <a16:creationId xmlns:a16="http://schemas.microsoft.com/office/drawing/2014/main" id="{73EA9274-894B-F7BD-BDF8-FF1B56D49F7C}"/>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7" name="Text Box 43" hidden="1">
          <a:extLst>
            <a:ext uri="{FF2B5EF4-FFF2-40B4-BE49-F238E27FC236}">
              <a16:creationId xmlns:a16="http://schemas.microsoft.com/office/drawing/2014/main" id="{921266E3-2122-77DF-C5DA-7C218F438AD4}"/>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4" name="Text Box 6" hidden="1">
          <a:extLst>
            <a:ext uri="{FF2B5EF4-FFF2-40B4-BE49-F238E27FC236}">
              <a16:creationId xmlns:a16="http://schemas.microsoft.com/office/drawing/2014/main" id="{909A6A4C-6A5D-4CF6-2D57-88FCB72967BF}"/>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3" name="Text Box 5" hidden="1">
          <a:extLst>
            <a:ext uri="{FF2B5EF4-FFF2-40B4-BE49-F238E27FC236}">
              <a16:creationId xmlns:a16="http://schemas.microsoft.com/office/drawing/2014/main" id="{DF140B59-D4A1-AEF0-3CB2-7BF7A25A8064}"/>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2" name="Text Box 4" hidden="1">
          <a:extLst>
            <a:ext uri="{FF2B5EF4-FFF2-40B4-BE49-F238E27FC236}">
              <a16:creationId xmlns:a16="http://schemas.microsoft.com/office/drawing/2014/main" id="{652B5534-8628-3DEF-AAE1-2F4EE625A952}"/>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1" name="Text Box 3" hidden="1">
          <a:extLst>
            <a:ext uri="{FF2B5EF4-FFF2-40B4-BE49-F238E27FC236}">
              <a16:creationId xmlns:a16="http://schemas.microsoft.com/office/drawing/2014/main" id="{CE1AECB9-7A6D-4396-5A06-45A4B5B60D12}"/>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0" name="Text Box 2" hidden="1">
          <a:extLst>
            <a:ext uri="{FF2B5EF4-FFF2-40B4-BE49-F238E27FC236}">
              <a16:creationId xmlns:a16="http://schemas.microsoft.com/office/drawing/2014/main" id="{C89ACE0E-F785-7DAA-918D-7B91955CE6C3}"/>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69" name="Text Box 1" hidden="1">
          <a:extLst>
            <a:ext uri="{FF2B5EF4-FFF2-40B4-BE49-F238E27FC236}">
              <a16:creationId xmlns:a16="http://schemas.microsoft.com/office/drawing/2014/main" id="{9DAF1CFE-C5D0-7875-21F1-2B7C380548EC}"/>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77" name="Text Box 9" hidden="1">
          <a:extLst>
            <a:ext uri="{FF2B5EF4-FFF2-40B4-BE49-F238E27FC236}">
              <a16:creationId xmlns:a16="http://schemas.microsoft.com/office/drawing/2014/main" id="{E3CC37DD-4513-AD37-5955-882E8F9B5E07}"/>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6" name="Text Box 8" hidden="1">
          <a:extLst>
            <a:ext uri="{FF2B5EF4-FFF2-40B4-BE49-F238E27FC236}">
              <a16:creationId xmlns:a16="http://schemas.microsoft.com/office/drawing/2014/main" id="{3FACB48C-C75F-CCD4-9F34-06E938D5BC0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5" name="Text Box 7" hidden="1">
          <a:extLst>
            <a:ext uri="{FF2B5EF4-FFF2-40B4-BE49-F238E27FC236}">
              <a16:creationId xmlns:a16="http://schemas.microsoft.com/office/drawing/2014/main" id="{964F59D1-0016-4F3B-FD15-8C3E51CC2A7B}"/>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0" name="Text Box 12" hidden="1">
          <a:extLst>
            <a:ext uri="{FF2B5EF4-FFF2-40B4-BE49-F238E27FC236}">
              <a16:creationId xmlns:a16="http://schemas.microsoft.com/office/drawing/2014/main" id="{A57AE242-44C5-6571-28DF-729A1FA59D36}"/>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79" name="Text Box 11" hidden="1">
          <a:extLst>
            <a:ext uri="{FF2B5EF4-FFF2-40B4-BE49-F238E27FC236}">
              <a16:creationId xmlns:a16="http://schemas.microsoft.com/office/drawing/2014/main" id="{2BDF44C8-B606-53E7-FC90-8F4A60E37F81}"/>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78" name="Text Box 10" hidden="1">
          <a:extLst>
            <a:ext uri="{FF2B5EF4-FFF2-40B4-BE49-F238E27FC236}">
              <a16:creationId xmlns:a16="http://schemas.microsoft.com/office/drawing/2014/main" id="{5D1EA86D-07A4-4DAD-3341-1B44A98EBBE6}"/>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3" name="Text Box 15" hidden="1">
          <a:extLst>
            <a:ext uri="{FF2B5EF4-FFF2-40B4-BE49-F238E27FC236}">
              <a16:creationId xmlns:a16="http://schemas.microsoft.com/office/drawing/2014/main" id="{05A02FCF-65D0-F9FF-DBD5-2A13237C5DBB}"/>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2" name="Text Box 14" hidden="1">
          <a:extLst>
            <a:ext uri="{FF2B5EF4-FFF2-40B4-BE49-F238E27FC236}">
              <a16:creationId xmlns:a16="http://schemas.microsoft.com/office/drawing/2014/main" id="{1482CC5A-6AA9-A150-7627-2E34C2081E70}"/>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1" name="Text Box 13" hidden="1">
          <a:extLst>
            <a:ext uri="{FF2B5EF4-FFF2-40B4-BE49-F238E27FC236}">
              <a16:creationId xmlns:a16="http://schemas.microsoft.com/office/drawing/2014/main" id="{59AE6AFE-BE59-69AE-8056-4E6D343A6744}"/>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365586" name="Text Box 18" hidden="1">
          <a:extLst>
            <a:ext uri="{FF2B5EF4-FFF2-40B4-BE49-F238E27FC236}">
              <a16:creationId xmlns:a16="http://schemas.microsoft.com/office/drawing/2014/main" id="{BF6E6B34-6536-133A-69F9-E201C5736454}"/>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365585" name="Text Box 17" hidden="1">
          <a:extLst>
            <a:ext uri="{FF2B5EF4-FFF2-40B4-BE49-F238E27FC236}">
              <a16:creationId xmlns:a16="http://schemas.microsoft.com/office/drawing/2014/main" id="{6B3728F5-16A7-0BD9-5E6C-66CFE80F011B}"/>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365584" name="Text Box 16" hidden="1">
          <a:extLst>
            <a:ext uri="{FF2B5EF4-FFF2-40B4-BE49-F238E27FC236}">
              <a16:creationId xmlns:a16="http://schemas.microsoft.com/office/drawing/2014/main" id="{FAE92ADE-D3D6-E013-6DC8-0BBEA46AB98F}"/>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7" name="Text Box 15" hidden="1">
          <a:extLst>
            <a:ext uri="{FF2B5EF4-FFF2-40B4-BE49-F238E27FC236}">
              <a16:creationId xmlns:a16="http://schemas.microsoft.com/office/drawing/2014/main" id="{6740CFCA-E830-9625-CF49-920FCBCAC02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6" name="Text Box 14" hidden="1">
          <a:extLst>
            <a:ext uri="{FF2B5EF4-FFF2-40B4-BE49-F238E27FC236}">
              <a16:creationId xmlns:a16="http://schemas.microsoft.com/office/drawing/2014/main" id="{67A248F0-7982-2EA7-70C5-7DB34894D91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5" name="Text Box 13" hidden="1">
          <a:extLst>
            <a:ext uri="{FF2B5EF4-FFF2-40B4-BE49-F238E27FC236}">
              <a16:creationId xmlns:a16="http://schemas.microsoft.com/office/drawing/2014/main" id="{5A7FFB96-487D-EF12-E3A5-8F8F53354675}"/>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8" name="Text Box 6" hidden="1">
          <a:extLst>
            <a:ext uri="{FF2B5EF4-FFF2-40B4-BE49-F238E27FC236}">
              <a16:creationId xmlns:a16="http://schemas.microsoft.com/office/drawing/2014/main" id="{F1C5FA47-6129-26B9-E86D-1A05FD324A3A}"/>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7" name="Text Box 5" hidden="1">
          <a:extLst>
            <a:ext uri="{FF2B5EF4-FFF2-40B4-BE49-F238E27FC236}">
              <a16:creationId xmlns:a16="http://schemas.microsoft.com/office/drawing/2014/main" id="{0C5277D0-752F-ADB6-3E1D-09323BBC9BE2}"/>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6" name="Text Box 4" hidden="1">
          <a:extLst>
            <a:ext uri="{FF2B5EF4-FFF2-40B4-BE49-F238E27FC236}">
              <a16:creationId xmlns:a16="http://schemas.microsoft.com/office/drawing/2014/main" id="{A12E1175-B113-F137-6D38-295FB2C98123}"/>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595" name="Text Box 3" hidden="1">
          <a:extLst>
            <a:ext uri="{FF2B5EF4-FFF2-40B4-BE49-F238E27FC236}">
              <a16:creationId xmlns:a16="http://schemas.microsoft.com/office/drawing/2014/main" id="{F8DE31D0-47A9-8C75-8335-C4A554634E6B}"/>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594" name="Text Box 2" hidden="1">
          <a:extLst>
            <a:ext uri="{FF2B5EF4-FFF2-40B4-BE49-F238E27FC236}">
              <a16:creationId xmlns:a16="http://schemas.microsoft.com/office/drawing/2014/main" id="{E5714DC6-2F00-39AE-AB6F-7791F0200C90}"/>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3" name="Text Box 1" hidden="1">
          <a:extLst>
            <a:ext uri="{FF2B5EF4-FFF2-40B4-BE49-F238E27FC236}">
              <a16:creationId xmlns:a16="http://schemas.microsoft.com/office/drawing/2014/main" id="{5C4E1F5D-1B82-B474-8732-45C2578B034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1" name="Text Box 9" hidden="1">
          <a:extLst>
            <a:ext uri="{FF2B5EF4-FFF2-40B4-BE49-F238E27FC236}">
              <a16:creationId xmlns:a16="http://schemas.microsoft.com/office/drawing/2014/main" id="{FAB88593-252F-78B1-289D-934462856D90}"/>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0" name="Text Box 8" hidden="1">
          <a:extLst>
            <a:ext uri="{FF2B5EF4-FFF2-40B4-BE49-F238E27FC236}">
              <a16:creationId xmlns:a16="http://schemas.microsoft.com/office/drawing/2014/main" id="{A2001170-08A6-FE22-1CDA-4494ABCB2F4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599" name="Text Box 7" hidden="1">
          <a:extLst>
            <a:ext uri="{FF2B5EF4-FFF2-40B4-BE49-F238E27FC236}">
              <a16:creationId xmlns:a16="http://schemas.microsoft.com/office/drawing/2014/main" id="{BD58DA73-CBF2-B60F-8C24-E2ECC7BDC2E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4" name="Text Box 12" hidden="1">
          <a:extLst>
            <a:ext uri="{FF2B5EF4-FFF2-40B4-BE49-F238E27FC236}">
              <a16:creationId xmlns:a16="http://schemas.microsoft.com/office/drawing/2014/main" id="{8CCE2989-BC19-25AB-508B-E30245A4A306}"/>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3" name="Text Box 11" hidden="1">
          <a:extLst>
            <a:ext uri="{FF2B5EF4-FFF2-40B4-BE49-F238E27FC236}">
              <a16:creationId xmlns:a16="http://schemas.microsoft.com/office/drawing/2014/main" id="{C7F64EF5-AB2F-9372-7758-6B972CA70B9C}"/>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2" name="Text Box 10" hidden="1">
          <a:extLst>
            <a:ext uri="{FF2B5EF4-FFF2-40B4-BE49-F238E27FC236}">
              <a16:creationId xmlns:a16="http://schemas.microsoft.com/office/drawing/2014/main" id="{6F398CBC-107B-59DB-3A18-EDB0BD37F9B1}"/>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07" name="Text Box 15" hidden="1">
          <a:extLst>
            <a:ext uri="{FF2B5EF4-FFF2-40B4-BE49-F238E27FC236}">
              <a16:creationId xmlns:a16="http://schemas.microsoft.com/office/drawing/2014/main" id="{CFFD0B42-C987-5119-351C-D16AF1AB1DA4}"/>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6" name="Text Box 14" hidden="1">
          <a:extLst>
            <a:ext uri="{FF2B5EF4-FFF2-40B4-BE49-F238E27FC236}">
              <a16:creationId xmlns:a16="http://schemas.microsoft.com/office/drawing/2014/main" id="{0C231712-E793-3FDB-6140-BA201C6A4E1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5" name="Text Box 13" hidden="1">
          <a:extLst>
            <a:ext uri="{FF2B5EF4-FFF2-40B4-BE49-F238E27FC236}">
              <a16:creationId xmlns:a16="http://schemas.microsoft.com/office/drawing/2014/main" id="{79473F5A-6324-72F8-ECA4-26E07097E276}"/>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66610" name="Text Box 18" hidden="1">
          <a:extLst>
            <a:ext uri="{FF2B5EF4-FFF2-40B4-BE49-F238E27FC236}">
              <a16:creationId xmlns:a16="http://schemas.microsoft.com/office/drawing/2014/main" id="{8059AAEE-0524-858F-6D02-31C2C7DBEBFD}"/>
            </a:ext>
          </a:extLst>
        </xdr:cNvPr>
        <xdr:cNvSpPr txBox="1">
          <a:spLocks noChangeArrowheads="1"/>
        </xdr:cNvSpPr>
      </xdr:nvSpPr>
      <xdr:spPr bwMode="auto">
        <a:xfrm>
          <a:off x="19627850" y="3695700"/>
          <a:ext cx="13208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66609" name="Text Box 17" hidden="1">
          <a:extLst>
            <a:ext uri="{FF2B5EF4-FFF2-40B4-BE49-F238E27FC236}">
              <a16:creationId xmlns:a16="http://schemas.microsoft.com/office/drawing/2014/main" id="{3C84D185-C2FB-3D89-C360-3A2EBC8213AA}"/>
            </a:ext>
          </a:extLst>
        </xdr:cNvPr>
        <xdr:cNvSpPr txBox="1">
          <a:spLocks noChangeArrowheads="1"/>
        </xdr:cNvSpPr>
      </xdr:nvSpPr>
      <xdr:spPr bwMode="auto">
        <a:xfrm>
          <a:off x="4502150" y="42481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66608" name="Text Box 16" hidden="1">
          <a:extLst>
            <a:ext uri="{FF2B5EF4-FFF2-40B4-BE49-F238E27FC236}">
              <a16:creationId xmlns:a16="http://schemas.microsoft.com/office/drawing/2014/main" id="{C28B156D-8455-7D23-6C2F-5F63308D7825}"/>
            </a:ext>
          </a:extLst>
        </xdr:cNvPr>
        <xdr:cNvSpPr txBox="1">
          <a:spLocks noChangeArrowheads="1"/>
        </xdr:cNvSpPr>
      </xdr:nvSpPr>
      <xdr:spPr bwMode="auto">
        <a:xfrm>
          <a:off x="16700500" y="4432300"/>
          <a:ext cx="13208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304800</xdr:colOff>
      <xdr:row>68</xdr:row>
      <xdr:rowOff>8537</xdr:rowOff>
    </xdr:from>
    <xdr:to>
      <xdr:col>5</xdr:col>
      <xdr:colOff>0</xdr:colOff>
      <xdr:row>72</xdr:row>
      <xdr:rowOff>133319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40371</xdr:rowOff>
    </xdr:from>
    <xdr:to>
      <xdr:col>4</xdr:col>
      <xdr:colOff>800100</xdr:colOff>
      <xdr:row>67</xdr:row>
      <xdr:rowOff>103879</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8537</xdr:rowOff>
    </xdr:from>
    <xdr:to>
      <xdr:col>5</xdr:col>
      <xdr:colOff>0</xdr:colOff>
      <xdr:row>72</xdr:row>
      <xdr:rowOff>133319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102</xdr:row>
      <xdr:rowOff>106966</xdr:rowOff>
    </xdr:from>
    <xdr:to>
      <xdr:col>20</xdr:col>
      <xdr:colOff>381000</xdr:colOff>
      <xdr:row>106</xdr:row>
      <xdr:rowOff>162743</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100</xdr:row>
      <xdr:rowOff>226917</xdr:rowOff>
    </xdr:from>
    <xdr:to>
      <xdr:col>20</xdr:col>
      <xdr:colOff>381000</xdr:colOff>
      <xdr:row>105</xdr:row>
      <xdr:rowOff>59522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100</xdr:row>
      <xdr:rowOff>226917</xdr:rowOff>
    </xdr:from>
    <xdr:to>
      <xdr:col>20</xdr:col>
      <xdr:colOff>381000</xdr:colOff>
      <xdr:row>105</xdr:row>
      <xdr:rowOff>59522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226917</xdr:rowOff>
    </xdr:from>
    <xdr:to>
      <xdr:col>20</xdr:col>
      <xdr:colOff>381000</xdr:colOff>
      <xdr:row>105</xdr:row>
      <xdr:rowOff>59522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226917</xdr:rowOff>
    </xdr:from>
    <xdr:to>
      <xdr:col>20</xdr:col>
      <xdr:colOff>381000</xdr:colOff>
      <xdr:row>105</xdr:row>
      <xdr:rowOff>59522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64114</xdr:rowOff>
    </xdr:from>
    <xdr:to>
      <xdr:col>20</xdr:col>
      <xdr:colOff>381000</xdr:colOff>
      <xdr:row>106</xdr:row>
      <xdr:rowOff>83368</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103507</xdr:rowOff>
    </xdr:from>
    <xdr:to>
      <xdr:col>4</xdr:col>
      <xdr:colOff>800100</xdr:colOff>
      <xdr:row>75</xdr:row>
      <xdr:rowOff>125097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164102</xdr:rowOff>
    </xdr:from>
    <xdr:to>
      <xdr:col>20</xdr:col>
      <xdr:colOff>381000</xdr:colOff>
      <xdr:row>138</xdr:row>
      <xdr:rowOff>172805</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4</xdr:col>
      <xdr:colOff>800100</xdr:colOff>
      <xdr:row>75</xdr:row>
      <xdr:rowOff>88267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171351</xdr:rowOff>
    </xdr:from>
    <xdr:to>
      <xdr:col>20</xdr:col>
      <xdr:colOff>381000</xdr:colOff>
      <xdr:row>138</xdr:row>
      <xdr:rowOff>154390</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135267</xdr:rowOff>
    </xdr:from>
    <xdr:to>
      <xdr:col>21</xdr:col>
      <xdr:colOff>438150</xdr:colOff>
      <xdr:row>45</xdr:row>
      <xdr:rowOff>57506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99</xdr:row>
      <xdr:rowOff>164778</xdr:rowOff>
    </xdr:from>
    <xdr:to>
      <xdr:col>13</xdr:col>
      <xdr:colOff>19050</xdr:colOff>
      <xdr:row>103</xdr:row>
      <xdr:rowOff>139995</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66372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30</xdr:row>
      <xdr:rowOff>332144</xdr:rowOff>
    </xdr:from>
    <xdr:to>
      <xdr:col>21</xdr:col>
      <xdr:colOff>438150</xdr:colOff>
      <xdr:row>33</xdr:row>
      <xdr:rowOff>164358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511942</xdr:rowOff>
    </xdr:from>
    <xdr:to>
      <xdr:col>13</xdr:col>
      <xdr:colOff>19050</xdr:colOff>
      <xdr:row>89</xdr:row>
      <xdr:rowOff>47874</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740</xdr:rowOff>
    </xdr:from>
    <xdr:to>
      <xdr:col>21</xdr:col>
      <xdr:colOff>266700</xdr:colOff>
      <xdr:row>114</xdr:row>
      <xdr:rowOff>160445</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163870</xdr:rowOff>
    </xdr:from>
    <xdr:to>
      <xdr:col>20</xdr:col>
      <xdr:colOff>381000</xdr:colOff>
      <xdr:row>113</xdr:row>
      <xdr:rowOff>92405</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89</xdr:row>
      <xdr:rowOff>47874</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740</xdr:rowOff>
    </xdr:from>
    <xdr:to>
      <xdr:col>21</xdr:col>
      <xdr:colOff>266700</xdr:colOff>
      <xdr:row>114</xdr:row>
      <xdr:rowOff>122514</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115040</xdr:rowOff>
    </xdr:from>
    <xdr:to>
      <xdr:col>4</xdr:col>
      <xdr:colOff>133350</xdr:colOff>
      <xdr:row>102</xdr:row>
      <xdr:rowOff>86714</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123059</xdr:rowOff>
    </xdr:from>
    <xdr:to>
      <xdr:col>20</xdr:col>
      <xdr:colOff>381000</xdr:colOff>
      <xdr:row>97</xdr:row>
      <xdr:rowOff>144792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20093</xdr:rowOff>
    </xdr:from>
    <xdr:to>
      <xdr:col>21</xdr:col>
      <xdr:colOff>266700</xdr:colOff>
      <xdr:row>98</xdr:row>
      <xdr:rowOff>76940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98</xdr:row>
      <xdr:rowOff>115040</xdr:rowOff>
    </xdr:from>
    <xdr:to>
      <xdr:col>4</xdr:col>
      <xdr:colOff>114300</xdr:colOff>
      <xdr:row>102</xdr:row>
      <xdr:rowOff>67664</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114</xdr:row>
      <xdr:rowOff>85342</xdr:rowOff>
    </xdr:from>
    <xdr:to>
      <xdr:col>20</xdr:col>
      <xdr:colOff>381000</xdr:colOff>
      <xdr:row>127</xdr:row>
      <xdr:rowOff>86796</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85342</xdr:rowOff>
    </xdr:from>
    <xdr:to>
      <xdr:col>21</xdr:col>
      <xdr:colOff>266700</xdr:colOff>
      <xdr:row>123</xdr:row>
      <xdr:rowOff>120954</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114</xdr:row>
      <xdr:rowOff>85342</xdr:rowOff>
    </xdr:from>
    <xdr:to>
      <xdr:col>4</xdr:col>
      <xdr:colOff>114300</xdr:colOff>
      <xdr:row>121</xdr:row>
      <xdr:rowOff>115014</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73025</xdr:rowOff>
    </xdr:from>
    <xdr:to>
      <xdr:col>20</xdr:col>
      <xdr:colOff>381000</xdr:colOff>
      <xdr:row>166</xdr:row>
      <xdr:rowOff>114300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108</xdr:row>
      <xdr:rowOff>56356</xdr:rowOff>
    </xdr:from>
    <xdr:to>
      <xdr:col>13</xdr:col>
      <xdr:colOff>0</xdr:colOff>
      <xdr:row>121</xdr:row>
      <xdr:rowOff>11907</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73025</xdr:rowOff>
    </xdr:from>
    <xdr:to>
      <xdr:col>21</xdr:col>
      <xdr:colOff>266700</xdr:colOff>
      <xdr:row>163</xdr:row>
      <xdr:rowOff>47625</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50007</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73025</xdr:rowOff>
    </xdr:from>
    <xdr:to>
      <xdr:col>4</xdr:col>
      <xdr:colOff>114300</xdr:colOff>
      <xdr:row>160</xdr:row>
      <xdr:rowOff>111125</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105569</xdr:rowOff>
    </xdr:from>
    <xdr:to>
      <xdr:col>4</xdr:col>
      <xdr:colOff>266700</xdr:colOff>
      <xdr:row>135</xdr:row>
      <xdr:rowOff>134938</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154781</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73025</xdr:rowOff>
    </xdr:from>
    <xdr:to>
      <xdr:col>20</xdr:col>
      <xdr:colOff>381000</xdr:colOff>
      <xdr:row>166</xdr:row>
      <xdr:rowOff>114300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108</xdr:row>
      <xdr:rowOff>56356</xdr:rowOff>
    </xdr:from>
    <xdr:to>
      <xdr:col>13</xdr:col>
      <xdr:colOff>0</xdr:colOff>
      <xdr:row>121</xdr:row>
      <xdr:rowOff>11907</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73025</xdr:rowOff>
    </xdr:from>
    <xdr:to>
      <xdr:col>21</xdr:col>
      <xdr:colOff>266700</xdr:colOff>
      <xdr:row>163</xdr:row>
      <xdr:rowOff>47625</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50007</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73025</xdr:rowOff>
    </xdr:from>
    <xdr:to>
      <xdr:col>4</xdr:col>
      <xdr:colOff>114300</xdr:colOff>
      <xdr:row>160</xdr:row>
      <xdr:rowOff>111125</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105569</xdr:rowOff>
    </xdr:from>
    <xdr:to>
      <xdr:col>4</xdr:col>
      <xdr:colOff>266700</xdr:colOff>
      <xdr:row>135</xdr:row>
      <xdr:rowOff>134938</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4</xdr:col>
      <xdr:colOff>800100</xdr:colOff>
      <xdr:row>52</xdr:row>
      <xdr:rowOff>57150</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108</xdr:row>
      <xdr:rowOff>120650</xdr:rowOff>
    </xdr:from>
    <xdr:to>
      <xdr:col>20</xdr:col>
      <xdr:colOff>381000</xdr:colOff>
      <xdr:row>120</xdr:row>
      <xdr:rowOff>92075</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75</xdr:row>
      <xdr:rowOff>104775</xdr:rowOff>
    </xdr:from>
    <xdr:to>
      <xdr:col>13</xdr:col>
      <xdr:colOff>0</xdr:colOff>
      <xdr:row>85</xdr:row>
      <xdr:rowOff>533400</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123825</xdr:colOff>
      <xdr:row>85</xdr:row>
      <xdr:rowOff>504825</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123825</xdr:colOff>
      <xdr:row>114</xdr:row>
      <xdr:rowOff>73025</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5" name="Text Box 59" hidden="1">
          <a:extLst>
            <a:ext uri="{FF2B5EF4-FFF2-40B4-BE49-F238E27FC236}">
              <a16:creationId xmlns:a16="http://schemas.microsoft.com/office/drawing/2014/main" id="{0D00DC6B-42F0-C01A-48CF-24839C858F5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06234" name="Text Box 58" hidden="1">
          <a:extLst>
            <a:ext uri="{FF2B5EF4-FFF2-40B4-BE49-F238E27FC236}">
              <a16:creationId xmlns:a16="http://schemas.microsoft.com/office/drawing/2014/main" id="{898B7E11-403D-46C7-83EC-E0F515DB7821}"/>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06233" name="Text Box 57" hidden="1">
          <a:extLst>
            <a:ext uri="{FF2B5EF4-FFF2-40B4-BE49-F238E27FC236}">
              <a16:creationId xmlns:a16="http://schemas.microsoft.com/office/drawing/2014/main" id="{CEB0AE62-A8CF-F481-0B85-9FB0A88F3E2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120650</xdr:rowOff>
    </xdr:from>
    <xdr:to>
      <xdr:col>20</xdr:col>
      <xdr:colOff>381000</xdr:colOff>
      <xdr:row>120</xdr:row>
      <xdr:rowOff>92075</xdr:rowOff>
    </xdr:to>
    <xdr:sp macro="" textlink="">
      <xdr:nvSpPr>
        <xdr:cNvPr id="306232" name="Text Box 56" hidden="1">
          <a:extLst>
            <a:ext uri="{FF2B5EF4-FFF2-40B4-BE49-F238E27FC236}">
              <a16:creationId xmlns:a16="http://schemas.microsoft.com/office/drawing/2014/main" id="{36F5F04C-D85D-1DA7-5C37-BAAA3DB62282}"/>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06231" name="Text Box 55" hidden="1">
          <a:extLst>
            <a:ext uri="{FF2B5EF4-FFF2-40B4-BE49-F238E27FC236}">
              <a16:creationId xmlns:a16="http://schemas.microsoft.com/office/drawing/2014/main" id="{98D72F2C-1DDB-0A83-F04E-7986652EA1EC}"/>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06230" name="Text Box 54" hidden="1">
          <a:extLst>
            <a:ext uri="{FF2B5EF4-FFF2-40B4-BE49-F238E27FC236}">
              <a16:creationId xmlns:a16="http://schemas.microsoft.com/office/drawing/2014/main" id="{A5641EBA-B25A-4B87-9042-28E69EBBFF29}"/>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06229" name="Text Box 53" hidden="1">
          <a:extLst>
            <a:ext uri="{FF2B5EF4-FFF2-40B4-BE49-F238E27FC236}">
              <a16:creationId xmlns:a16="http://schemas.microsoft.com/office/drawing/2014/main" id="{AA09E97E-700D-FDDC-848D-45832F1A894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28" name="Text Box 52" hidden="1">
          <a:extLst>
            <a:ext uri="{FF2B5EF4-FFF2-40B4-BE49-F238E27FC236}">
              <a16:creationId xmlns:a16="http://schemas.microsoft.com/office/drawing/2014/main" id="{E4C1838D-85EA-5B66-6188-2AE53CA397A7}"/>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06227" name="Text Box 51" hidden="1">
          <a:extLst>
            <a:ext uri="{FF2B5EF4-FFF2-40B4-BE49-F238E27FC236}">
              <a16:creationId xmlns:a16="http://schemas.microsoft.com/office/drawing/2014/main" id="{D6FFD7A9-5877-546C-9BE1-E83B574342B6}"/>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114300</xdr:colOff>
      <xdr:row>114</xdr:row>
      <xdr:rowOff>73025</xdr:rowOff>
    </xdr:to>
    <xdr:sp macro="" textlink="">
      <xdr:nvSpPr>
        <xdr:cNvPr id="306226" name="Text Box 50" hidden="1">
          <a:extLst>
            <a:ext uri="{FF2B5EF4-FFF2-40B4-BE49-F238E27FC236}">
              <a16:creationId xmlns:a16="http://schemas.microsoft.com/office/drawing/2014/main" id="{A6BA0ECE-3DA1-B4CA-5433-FC2CFA0555CD}"/>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25" name="Text Box 49" hidden="1">
          <a:extLst>
            <a:ext uri="{FF2B5EF4-FFF2-40B4-BE49-F238E27FC236}">
              <a16:creationId xmlns:a16="http://schemas.microsoft.com/office/drawing/2014/main" id="{9FB324D6-D676-C502-9235-ADAE168BDEEC}"/>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06236" name="Text Box 60" hidden="1">
          <a:extLst>
            <a:ext uri="{FF2B5EF4-FFF2-40B4-BE49-F238E27FC236}">
              <a16:creationId xmlns:a16="http://schemas.microsoft.com/office/drawing/2014/main" id="{F4C3FEC3-9C97-1757-113B-9992C663E85F}"/>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06237" name="Text Box 61" hidden="1">
          <a:extLst>
            <a:ext uri="{FF2B5EF4-FFF2-40B4-BE49-F238E27FC236}">
              <a16:creationId xmlns:a16="http://schemas.microsoft.com/office/drawing/2014/main" id="{0A067CA0-52B5-C9E4-510C-AA36D0BBB57D}"/>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42" name="Text Box 26" hidden="1">
          <a:extLst>
            <a:ext uri="{FF2B5EF4-FFF2-40B4-BE49-F238E27FC236}">
              <a16:creationId xmlns:a16="http://schemas.microsoft.com/office/drawing/2014/main" id="{8DA4791F-4EFA-3D22-0D3A-12F8EB2C0BA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41" name="Text Box 25" hidden="1">
          <a:extLst>
            <a:ext uri="{FF2B5EF4-FFF2-40B4-BE49-F238E27FC236}">
              <a16:creationId xmlns:a16="http://schemas.microsoft.com/office/drawing/2014/main" id="{99152CDE-855D-5837-29BD-DD89082E3593}"/>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40" name="Text Box 24" hidden="1">
          <a:extLst>
            <a:ext uri="{FF2B5EF4-FFF2-40B4-BE49-F238E27FC236}">
              <a16:creationId xmlns:a16="http://schemas.microsoft.com/office/drawing/2014/main" id="{7D3BE3F7-E250-627B-149D-D30ABFFF964C}"/>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120650</xdr:rowOff>
    </xdr:from>
    <xdr:to>
      <xdr:col>20</xdr:col>
      <xdr:colOff>381000</xdr:colOff>
      <xdr:row>120</xdr:row>
      <xdr:rowOff>92075</xdr:rowOff>
    </xdr:to>
    <xdr:sp macro="" textlink="">
      <xdr:nvSpPr>
        <xdr:cNvPr id="367639" name="Text Box 23" hidden="1">
          <a:extLst>
            <a:ext uri="{FF2B5EF4-FFF2-40B4-BE49-F238E27FC236}">
              <a16:creationId xmlns:a16="http://schemas.microsoft.com/office/drawing/2014/main" id="{FC98C220-CA8A-A3C3-C94E-DECE9A352A8F}"/>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38" name="Text Box 22" hidden="1">
          <a:extLst>
            <a:ext uri="{FF2B5EF4-FFF2-40B4-BE49-F238E27FC236}">
              <a16:creationId xmlns:a16="http://schemas.microsoft.com/office/drawing/2014/main" id="{408DD1FE-3182-FC57-5CBB-8C19CDF4677D}"/>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37" name="Text Box 21" hidden="1">
          <a:extLst>
            <a:ext uri="{FF2B5EF4-FFF2-40B4-BE49-F238E27FC236}">
              <a16:creationId xmlns:a16="http://schemas.microsoft.com/office/drawing/2014/main" id="{A6A8B7C4-15EE-5A22-DBC5-C7A32C220E73}"/>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67636" name="Text Box 20" hidden="1">
          <a:extLst>
            <a:ext uri="{FF2B5EF4-FFF2-40B4-BE49-F238E27FC236}">
              <a16:creationId xmlns:a16="http://schemas.microsoft.com/office/drawing/2014/main" id="{95055690-ED54-648A-41C1-13BE3B4F6558}"/>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35" name="Text Box 19" hidden="1">
          <a:extLst>
            <a:ext uri="{FF2B5EF4-FFF2-40B4-BE49-F238E27FC236}">
              <a16:creationId xmlns:a16="http://schemas.microsoft.com/office/drawing/2014/main" id="{1C73FEE1-54B6-3CAF-6278-19A51D5483A9}"/>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34" name="Text Box 18" hidden="1">
          <a:extLst>
            <a:ext uri="{FF2B5EF4-FFF2-40B4-BE49-F238E27FC236}">
              <a16:creationId xmlns:a16="http://schemas.microsoft.com/office/drawing/2014/main" id="{001B567C-71A0-96D9-23CD-69C12D3EFCBE}"/>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114300</xdr:colOff>
      <xdr:row>114</xdr:row>
      <xdr:rowOff>73025</xdr:rowOff>
    </xdr:to>
    <xdr:sp macro="" textlink="">
      <xdr:nvSpPr>
        <xdr:cNvPr id="367633" name="Text Box 17" hidden="1">
          <a:extLst>
            <a:ext uri="{FF2B5EF4-FFF2-40B4-BE49-F238E27FC236}">
              <a16:creationId xmlns:a16="http://schemas.microsoft.com/office/drawing/2014/main" id="{5FB03DA6-434D-32E6-46A0-EB709BB0153E}"/>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32" name="Text Box 16" hidden="1">
          <a:extLst>
            <a:ext uri="{FF2B5EF4-FFF2-40B4-BE49-F238E27FC236}">
              <a16:creationId xmlns:a16="http://schemas.microsoft.com/office/drawing/2014/main" id="{0FC56CB1-DF4D-AD4C-622A-037B658DADA3}"/>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31" name="Text Box 15" hidden="1">
          <a:extLst>
            <a:ext uri="{FF2B5EF4-FFF2-40B4-BE49-F238E27FC236}">
              <a16:creationId xmlns:a16="http://schemas.microsoft.com/office/drawing/2014/main" id="{0BB9AE78-439C-1B80-2B89-38B42D901B6C}"/>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30" name="Text Box 14" hidden="1">
          <a:extLst>
            <a:ext uri="{FF2B5EF4-FFF2-40B4-BE49-F238E27FC236}">
              <a16:creationId xmlns:a16="http://schemas.microsoft.com/office/drawing/2014/main" id="{78FEEF54-AE30-0D49-9FAF-036539B87D5A}"/>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29" name="Text Box 13" hidden="1">
          <a:extLst>
            <a:ext uri="{FF2B5EF4-FFF2-40B4-BE49-F238E27FC236}">
              <a16:creationId xmlns:a16="http://schemas.microsoft.com/office/drawing/2014/main" id="{0AE8EBCA-88CE-7242-2ABD-87BE852A4ACF}"/>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28" name="Text Box 12" hidden="1">
          <a:extLst>
            <a:ext uri="{FF2B5EF4-FFF2-40B4-BE49-F238E27FC236}">
              <a16:creationId xmlns:a16="http://schemas.microsoft.com/office/drawing/2014/main" id="{67365CCF-9321-13AF-CFD6-CBAAD3EBE9F7}"/>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27" name="Text Box 11" hidden="1">
          <a:extLst>
            <a:ext uri="{FF2B5EF4-FFF2-40B4-BE49-F238E27FC236}">
              <a16:creationId xmlns:a16="http://schemas.microsoft.com/office/drawing/2014/main" id="{1D64E1D0-CAB0-E7EE-9BA5-219BE03C00FD}"/>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120650</xdr:rowOff>
    </xdr:from>
    <xdr:to>
      <xdr:col>20</xdr:col>
      <xdr:colOff>381000</xdr:colOff>
      <xdr:row>120</xdr:row>
      <xdr:rowOff>92075</xdr:rowOff>
    </xdr:to>
    <xdr:sp macro="" textlink="">
      <xdr:nvSpPr>
        <xdr:cNvPr id="367626" name="Text Box 10" hidden="1">
          <a:extLst>
            <a:ext uri="{FF2B5EF4-FFF2-40B4-BE49-F238E27FC236}">
              <a16:creationId xmlns:a16="http://schemas.microsoft.com/office/drawing/2014/main" id="{C2121305-4B50-91DE-0E4C-B489692E1F71}"/>
            </a:ext>
          </a:extLst>
        </xdr:cNvPr>
        <xdr:cNvSpPr txBox="1">
          <a:spLocks noChangeArrowheads="1"/>
        </xdr:cNvSpPr>
      </xdr:nvSpPr>
      <xdr:spPr bwMode="auto">
        <a:xfrm>
          <a:off x="13157200" y="24415750"/>
          <a:ext cx="1454150" cy="226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25" name="Text Box 9" hidden="1">
          <a:extLst>
            <a:ext uri="{FF2B5EF4-FFF2-40B4-BE49-F238E27FC236}">
              <a16:creationId xmlns:a16="http://schemas.microsoft.com/office/drawing/2014/main" id="{B6A303C6-7C00-4736-57E4-BF17D9CB5A62}"/>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24" name="Text Box 8" hidden="1">
          <a:extLst>
            <a:ext uri="{FF2B5EF4-FFF2-40B4-BE49-F238E27FC236}">
              <a16:creationId xmlns:a16="http://schemas.microsoft.com/office/drawing/2014/main" id="{CB2DC365-6604-3799-A1A2-D59BB10A2A32}"/>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120650</xdr:rowOff>
    </xdr:from>
    <xdr:to>
      <xdr:col>21</xdr:col>
      <xdr:colOff>266700</xdr:colOff>
      <xdr:row>117</xdr:row>
      <xdr:rowOff>0</xdr:rowOff>
    </xdr:to>
    <xdr:sp macro="" textlink="">
      <xdr:nvSpPr>
        <xdr:cNvPr id="367623" name="Text Box 7" hidden="1">
          <a:extLst>
            <a:ext uri="{FF2B5EF4-FFF2-40B4-BE49-F238E27FC236}">
              <a16:creationId xmlns:a16="http://schemas.microsoft.com/office/drawing/2014/main" id="{5C43D4E9-9C24-869A-E081-F46EFC8A0807}"/>
            </a:ext>
          </a:extLst>
        </xdr:cNvPr>
        <xdr:cNvSpPr txBox="1">
          <a:spLocks noChangeArrowheads="1"/>
        </xdr:cNvSpPr>
      </xdr:nvSpPr>
      <xdr:spPr bwMode="auto">
        <a:xfrm>
          <a:off x="13735050" y="24415750"/>
          <a:ext cx="1333500" cy="1638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22" name="Text Box 6" hidden="1">
          <a:extLst>
            <a:ext uri="{FF2B5EF4-FFF2-40B4-BE49-F238E27FC236}">
              <a16:creationId xmlns:a16="http://schemas.microsoft.com/office/drawing/2014/main" id="{514B25BA-6398-B57D-D715-69D31D64012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21" name="Text Box 5" hidden="1">
          <a:extLst>
            <a:ext uri="{FF2B5EF4-FFF2-40B4-BE49-F238E27FC236}">
              <a16:creationId xmlns:a16="http://schemas.microsoft.com/office/drawing/2014/main" id="{315618D7-D378-7D28-CA60-9EC1AE1FED7B}"/>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120650</xdr:rowOff>
    </xdr:from>
    <xdr:to>
      <xdr:col>4</xdr:col>
      <xdr:colOff>114300</xdr:colOff>
      <xdr:row>114</xdr:row>
      <xdr:rowOff>73025</xdr:rowOff>
    </xdr:to>
    <xdr:sp macro="" textlink="">
      <xdr:nvSpPr>
        <xdr:cNvPr id="367620" name="Text Box 4" hidden="1">
          <a:extLst>
            <a:ext uri="{FF2B5EF4-FFF2-40B4-BE49-F238E27FC236}">
              <a16:creationId xmlns:a16="http://schemas.microsoft.com/office/drawing/2014/main" id="{CBFC325A-23CB-D3F4-4086-879218DD9134}"/>
            </a:ext>
          </a:extLst>
        </xdr:cNvPr>
        <xdr:cNvSpPr txBox="1">
          <a:spLocks noChangeArrowheads="1"/>
        </xdr:cNvSpPr>
      </xdr:nvSpPr>
      <xdr:spPr bwMode="auto">
        <a:xfrm>
          <a:off x="3492500" y="24415750"/>
          <a:ext cx="132080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19" name="Text Box 3" hidden="1">
          <a:extLst>
            <a:ext uri="{FF2B5EF4-FFF2-40B4-BE49-F238E27FC236}">
              <a16:creationId xmlns:a16="http://schemas.microsoft.com/office/drawing/2014/main" id="{266C2F47-9660-5150-4B9D-C7BBF00452E4}"/>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18" name="Text Box 2" hidden="1">
          <a:extLst>
            <a:ext uri="{FF2B5EF4-FFF2-40B4-BE49-F238E27FC236}">
              <a16:creationId xmlns:a16="http://schemas.microsoft.com/office/drawing/2014/main" id="{59C2CA1A-ED8A-373E-B836-9F5F7DB4F475}"/>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17" name="Text Box 1" hidden="1">
          <a:extLst>
            <a:ext uri="{FF2B5EF4-FFF2-40B4-BE49-F238E27FC236}">
              <a16:creationId xmlns:a16="http://schemas.microsoft.com/office/drawing/2014/main" id="{4B972311-C628-EA04-7BB0-B65693E45DB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55" name="Text Box 39" hidden="1">
          <a:extLst>
            <a:ext uri="{FF2B5EF4-FFF2-40B4-BE49-F238E27FC236}">
              <a16:creationId xmlns:a16="http://schemas.microsoft.com/office/drawing/2014/main" id="{88CD9EDD-65F7-B15E-99E5-A181D3E98E7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54" name="Text Box 38" hidden="1">
          <a:extLst>
            <a:ext uri="{FF2B5EF4-FFF2-40B4-BE49-F238E27FC236}">
              <a16:creationId xmlns:a16="http://schemas.microsoft.com/office/drawing/2014/main" id="{394C53A2-A87A-A5E0-5CA9-2F6EC8B3BCDF}"/>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53" name="Text Box 37" hidden="1">
          <a:extLst>
            <a:ext uri="{FF2B5EF4-FFF2-40B4-BE49-F238E27FC236}">
              <a16:creationId xmlns:a16="http://schemas.microsoft.com/office/drawing/2014/main" id="{E956C27E-51D5-D8EA-37E5-1955049B2AC9}"/>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120</xdr:row>
      <xdr:rowOff>19050</xdr:rowOff>
    </xdr:from>
    <xdr:to>
      <xdr:col>20</xdr:col>
      <xdr:colOff>381000</xdr:colOff>
      <xdr:row>138</xdr:row>
      <xdr:rowOff>95250</xdr:rowOff>
    </xdr:to>
    <xdr:sp macro="" textlink="">
      <xdr:nvSpPr>
        <xdr:cNvPr id="367652" name="Text Box 36" hidden="1">
          <a:extLst>
            <a:ext uri="{FF2B5EF4-FFF2-40B4-BE49-F238E27FC236}">
              <a16:creationId xmlns:a16="http://schemas.microsoft.com/office/drawing/2014/main" id="{25786F20-F36E-8D3E-59F0-73C9428CA833}"/>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51" name="Text Box 35" hidden="1">
          <a:extLst>
            <a:ext uri="{FF2B5EF4-FFF2-40B4-BE49-F238E27FC236}">
              <a16:creationId xmlns:a16="http://schemas.microsoft.com/office/drawing/2014/main" id="{90815B53-FC53-D45D-6F40-98A2D04B62A4}"/>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50" name="Text Box 34" hidden="1">
          <a:extLst>
            <a:ext uri="{FF2B5EF4-FFF2-40B4-BE49-F238E27FC236}">
              <a16:creationId xmlns:a16="http://schemas.microsoft.com/office/drawing/2014/main" id="{AB95AFD5-0C0F-3EE3-108C-2AD11A701A4C}"/>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120</xdr:row>
      <xdr:rowOff>19050</xdr:rowOff>
    </xdr:from>
    <xdr:to>
      <xdr:col>21</xdr:col>
      <xdr:colOff>266700</xdr:colOff>
      <xdr:row>134</xdr:row>
      <xdr:rowOff>152400</xdr:rowOff>
    </xdr:to>
    <xdr:sp macro="" textlink="">
      <xdr:nvSpPr>
        <xdr:cNvPr id="367649" name="Text Box 33" hidden="1">
          <a:extLst>
            <a:ext uri="{FF2B5EF4-FFF2-40B4-BE49-F238E27FC236}">
              <a16:creationId xmlns:a16="http://schemas.microsoft.com/office/drawing/2014/main" id="{6F6DF78B-2EAA-6605-2264-9C3B1B0FE29C}"/>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48" name="Text Box 32" hidden="1">
          <a:extLst>
            <a:ext uri="{FF2B5EF4-FFF2-40B4-BE49-F238E27FC236}">
              <a16:creationId xmlns:a16="http://schemas.microsoft.com/office/drawing/2014/main" id="{BF28CCAB-93DB-7ABF-2A0F-2FAB296D76C8}"/>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47" name="Text Box 31" hidden="1">
          <a:extLst>
            <a:ext uri="{FF2B5EF4-FFF2-40B4-BE49-F238E27FC236}">
              <a16:creationId xmlns:a16="http://schemas.microsoft.com/office/drawing/2014/main" id="{DBA037C6-9E3A-0223-05A4-38F6295D9318}"/>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120</xdr:row>
      <xdr:rowOff>19050</xdr:rowOff>
    </xdr:from>
    <xdr:to>
      <xdr:col>4</xdr:col>
      <xdr:colOff>120650</xdr:colOff>
      <xdr:row>132</xdr:row>
      <xdr:rowOff>38100</xdr:rowOff>
    </xdr:to>
    <xdr:sp macro="" textlink="">
      <xdr:nvSpPr>
        <xdr:cNvPr id="367646" name="Text Box 30" hidden="1">
          <a:extLst>
            <a:ext uri="{FF2B5EF4-FFF2-40B4-BE49-F238E27FC236}">
              <a16:creationId xmlns:a16="http://schemas.microsoft.com/office/drawing/2014/main" id="{790CDD54-C74B-F41E-C6B2-9C24766BE7CE}"/>
            </a:ext>
          </a:extLst>
        </xdr:cNvPr>
        <xdr:cNvSpPr txBox="1">
          <a:spLocks noChangeArrowheads="1"/>
        </xdr:cNvSpPr>
      </xdr:nvSpPr>
      <xdr:spPr bwMode="auto">
        <a:xfrm>
          <a:off x="3492500" y="26625550"/>
          <a:ext cx="132715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45" name="Text Box 29" hidden="1">
          <a:extLst>
            <a:ext uri="{FF2B5EF4-FFF2-40B4-BE49-F238E27FC236}">
              <a16:creationId xmlns:a16="http://schemas.microsoft.com/office/drawing/2014/main" id="{8DD5EA5B-CA74-8BD8-323A-B1588E7F526D}"/>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44" name="Text Box 28" hidden="1">
          <a:extLst>
            <a:ext uri="{FF2B5EF4-FFF2-40B4-BE49-F238E27FC236}">
              <a16:creationId xmlns:a16="http://schemas.microsoft.com/office/drawing/2014/main" id="{F5B421D8-EB7E-9F11-869E-05EE767886FA}"/>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43" name="Text Box 27" hidden="1">
          <a:extLst>
            <a:ext uri="{FF2B5EF4-FFF2-40B4-BE49-F238E27FC236}">
              <a16:creationId xmlns:a16="http://schemas.microsoft.com/office/drawing/2014/main" id="{DAD6A8A9-E00C-1FC1-5325-F35D18BA9C60}"/>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68" name="Text Box 52" hidden="1">
          <a:extLst>
            <a:ext uri="{FF2B5EF4-FFF2-40B4-BE49-F238E27FC236}">
              <a16:creationId xmlns:a16="http://schemas.microsoft.com/office/drawing/2014/main" id="{283C1A9F-50DC-3305-6D7C-6CF53D392B74}"/>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67" name="Text Box 51" hidden="1">
          <a:extLst>
            <a:ext uri="{FF2B5EF4-FFF2-40B4-BE49-F238E27FC236}">
              <a16:creationId xmlns:a16="http://schemas.microsoft.com/office/drawing/2014/main" id="{C62FC30B-77F3-622E-782B-B10B07E7EB7C}"/>
            </a:ext>
          </a:extLst>
        </xdr:cNvPr>
        <xdr:cNvSpPr txBox="1">
          <a:spLocks noChangeArrowheads="1"/>
        </xdr:cNvSpPr>
      </xdr:nvSpPr>
      <xdr:spPr bwMode="auto">
        <a:xfrm>
          <a:off x="4222750" y="124904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66" name="Text Box 50" hidden="1">
          <a:extLst>
            <a:ext uri="{FF2B5EF4-FFF2-40B4-BE49-F238E27FC236}">
              <a16:creationId xmlns:a16="http://schemas.microsoft.com/office/drawing/2014/main" id="{32FB4BBD-B19B-675E-DD7D-3FFCFFBFB657}"/>
            </a:ext>
          </a:extLst>
        </xdr:cNvPr>
        <xdr:cNvSpPr txBox="1">
          <a:spLocks noChangeArrowheads="1"/>
        </xdr:cNvSpPr>
      </xdr:nvSpPr>
      <xdr:spPr bwMode="auto">
        <a:xfrm>
          <a:off x="4222750" y="12490450"/>
          <a:ext cx="134620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120</xdr:row>
      <xdr:rowOff>19050</xdr:rowOff>
    </xdr:from>
    <xdr:to>
      <xdr:col>20</xdr:col>
      <xdr:colOff>381000</xdr:colOff>
      <xdr:row>138</xdr:row>
      <xdr:rowOff>95250</xdr:rowOff>
    </xdr:to>
    <xdr:sp macro="" textlink="">
      <xdr:nvSpPr>
        <xdr:cNvPr id="367665" name="Text Box 49" hidden="1">
          <a:extLst>
            <a:ext uri="{FF2B5EF4-FFF2-40B4-BE49-F238E27FC236}">
              <a16:creationId xmlns:a16="http://schemas.microsoft.com/office/drawing/2014/main" id="{D47544F4-6B0D-9776-C78E-3847B2D07CA7}"/>
            </a:ext>
          </a:extLst>
        </xdr:cNvPr>
        <xdr:cNvSpPr txBox="1">
          <a:spLocks noChangeArrowheads="1"/>
        </xdr:cNvSpPr>
      </xdr:nvSpPr>
      <xdr:spPr bwMode="auto">
        <a:xfrm>
          <a:off x="13157200" y="26625550"/>
          <a:ext cx="1454150" cy="339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64" name="Text Box 48" hidden="1">
          <a:extLst>
            <a:ext uri="{FF2B5EF4-FFF2-40B4-BE49-F238E27FC236}">
              <a16:creationId xmlns:a16="http://schemas.microsoft.com/office/drawing/2014/main" id="{399D773F-190D-6A32-50B4-7AC276CB6307}"/>
            </a:ext>
          </a:extLst>
        </xdr:cNvPr>
        <xdr:cNvSpPr txBox="1">
          <a:spLocks noChangeArrowheads="1"/>
        </xdr:cNvSpPr>
      </xdr:nvSpPr>
      <xdr:spPr bwMode="auto">
        <a:xfrm>
          <a:off x="13773150" y="4076700"/>
          <a:ext cx="144780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63" name="Text Box 47" hidden="1">
          <a:extLst>
            <a:ext uri="{FF2B5EF4-FFF2-40B4-BE49-F238E27FC236}">
              <a16:creationId xmlns:a16="http://schemas.microsoft.com/office/drawing/2014/main" id="{2C96A9EB-848B-3B48-78FF-E7191AADE7A8}"/>
            </a:ext>
          </a:extLst>
        </xdr:cNvPr>
        <xdr:cNvSpPr txBox="1">
          <a:spLocks noChangeArrowheads="1"/>
        </xdr:cNvSpPr>
      </xdr:nvSpPr>
      <xdr:spPr bwMode="auto">
        <a:xfrm>
          <a:off x="8737600" y="17506950"/>
          <a:ext cx="1447800" cy="2514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120</xdr:row>
      <xdr:rowOff>19050</xdr:rowOff>
    </xdr:from>
    <xdr:to>
      <xdr:col>21</xdr:col>
      <xdr:colOff>266700</xdr:colOff>
      <xdr:row>134</xdr:row>
      <xdr:rowOff>152400</xdr:rowOff>
    </xdr:to>
    <xdr:sp macro="" textlink="">
      <xdr:nvSpPr>
        <xdr:cNvPr id="367662" name="Text Box 46" hidden="1">
          <a:extLst>
            <a:ext uri="{FF2B5EF4-FFF2-40B4-BE49-F238E27FC236}">
              <a16:creationId xmlns:a16="http://schemas.microsoft.com/office/drawing/2014/main" id="{C8B5E089-DE76-6E36-B397-6B633A58F814}"/>
            </a:ext>
          </a:extLst>
        </xdr:cNvPr>
        <xdr:cNvSpPr txBox="1">
          <a:spLocks noChangeArrowheads="1"/>
        </xdr:cNvSpPr>
      </xdr:nvSpPr>
      <xdr:spPr bwMode="auto">
        <a:xfrm>
          <a:off x="13735050" y="26625550"/>
          <a:ext cx="1333500" cy="2711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61" name="Text Box 45" hidden="1">
          <a:extLst>
            <a:ext uri="{FF2B5EF4-FFF2-40B4-BE49-F238E27FC236}">
              <a16:creationId xmlns:a16="http://schemas.microsoft.com/office/drawing/2014/main" id="{EB7C8AE6-D8EC-620D-86B2-3B39AFA1A9F6}"/>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60" name="Text Box 44" hidden="1">
          <a:extLst>
            <a:ext uri="{FF2B5EF4-FFF2-40B4-BE49-F238E27FC236}">
              <a16:creationId xmlns:a16="http://schemas.microsoft.com/office/drawing/2014/main" id="{BA43D89B-3D75-4354-574C-3D30519966F4}"/>
            </a:ext>
          </a:extLst>
        </xdr:cNvPr>
        <xdr:cNvSpPr txBox="1">
          <a:spLocks noChangeArrowheads="1"/>
        </xdr:cNvSpPr>
      </xdr:nvSpPr>
      <xdr:spPr bwMode="auto">
        <a:xfrm>
          <a:off x="3492500" y="18376900"/>
          <a:ext cx="1320800" cy="1606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120</xdr:row>
      <xdr:rowOff>19050</xdr:rowOff>
    </xdr:from>
    <xdr:to>
      <xdr:col>4</xdr:col>
      <xdr:colOff>114300</xdr:colOff>
      <xdr:row>132</xdr:row>
      <xdr:rowOff>38100</xdr:rowOff>
    </xdr:to>
    <xdr:sp macro="" textlink="">
      <xdr:nvSpPr>
        <xdr:cNvPr id="367659" name="Text Box 43" hidden="1">
          <a:extLst>
            <a:ext uri="{FF2B5EF4-FFF2-40B4-BE49-F238E27FC236}">
              <a16:creationId xmlns:a16="http://schemas.microsoft.com/office/drawing/2014/main" id="{9805DFD8-4933-F8BB-6C56-97B5FD2FE0BC}"/>
            </a:ext>
          </a:extLst>
        </xdr:cNvPr>
        <xdr:cNvSpPr txBox="1">
          <a:spLocks noChangeArrowheads="1"/>
        </xdr:cNvSpPr>
      </xdr:nvSpPr>
      <xdr:spPr bwMode="auto">
        <a:xfrm>
          <a:off x="3492500" y="26625550"/>
          <a:ext cx="1320800" cy="222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58" name="Text Box 42" hidden="1">
          <a:extLst>
            <a:ext uri="{FF2B5EF4-FFF2-40B4-BE49-F238E27FC236}">
              <a16:creationId xmlns:a16="http://schemas.microsoft.com/office/drawing/2014/main" id="{B33B43EA-F272-5414-35AB-5A2F6A71510F}"/>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57" name="Text Box 41" hidden="1">
          <a:extLst>
            <a:ext uri="{FF2B5EF4-FFF2-40B4-BE49-F238E27FC236}">
              <a16:creationId xmlns:a16="http://schemas.microsoft.com/office/drawing/2014/main" id="{9BBF3302-800A-426B-582C-B70A02E913B0}"/>
            </a:ext>
          </a:extLst>
        </xdr:cNvPr>
        <xdr:cNvSpPr txBox="1">
          <a:spLocks noChangeArrowheads="1"/>
        </xdr:cNvSpPr>
      </xdr:nvSpPr>
      <xdr:spPr bwMode="auto">
        <a:xfrm>
          <a:off x="21755100" y="1905635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56" name="Text Box 40" hidden="1">
          <a:extLst>
            <a:ext uri="{FF2B5EF4-FFF2-40B4-BE49-F238E27FC236}">
              <a16:creationId xmlns:a16="http://schemas.microsoft.com/office/drawing/2014/main" id="{14EDEF08-CAA5-91A7-4C66-C761B7BF1EC1}"/>
            </a:ext>
          </a:extLst>
        </xdr:cNvPr>
        <xdr:cNvSpPr txBox="1">
          <a:spLocks noChangeArrowheads="1"/>
        </xdr:cNvSpPr>
      </xdr:nvSpPr>
      <xdr:spPr bwMode="auto">
        <a:xfrm>
          <a:off x="21755100" y="186880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81" name="Text Box 65" hidden="1">
          <a:extLst>
            <a:ext uri="{FF2B5EF4-FFF2-40B4-BE49-F238E27FC236}">
              <a16:creationId xmlns:a16="http://schemas.microsoft.com/office/drawing/2014/main" id="{73472372-DAFC-7289-D7E0-F2339B98DFD1}"/>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80" name="Text Box 64" hidden="1">
          <a:extLst>
            <a:ext uri="{FF2B5EF4-FFF2-40B4-BE49-F238E27FC236}">
              <a16:creationId xmlns:a16="http://schemas.microsoft.com/office/drawing/2014/main" id="{D00C0834-7A33-A599-1A79-73470E5667BB}"/>
            </a:ext>
          </a:extLst>
        </xdr:cNvPr>
        <xdr:cNvSpPr txBox="1">
          <a:spLocks noChangeArrowheads="1"/>
        </xdr:cNvSpPr>
      </xdr:nvSpPr>
      <xdr:spPr bwMode="auto">
        <a:xfrm>
          <a:off x="4222750" y="12490450"/>
          <a:ext cx="12763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79" name="Text Box 63" hidden="1">
          <a:extLst>
            <a:ext uri="{FF2B5EF4-FFF2-40B4-BE49-F238E27FC236}">
              <a16:creationId xmlns:a16="http://schemas.microsoft.com/office/drawing/2014/main" id="{84976813-3610-C072-B1EE-CB8A4B6A8072}"/>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120</xdr:row>
      <xdr:rowOff>19050</xdr:rowOff>
    </xdr:from>
    <xdr:to>
      <xdr:col>20</xdr:col>
      <xdr:colOff>381000</xdr:colOff>
      <xdr:row>138</xdr:row>
      <xdr:rowOff>95250</xdr:rowOff>
    </xdr:to>
    <xdr:sp macro="" textlink="">
      <xdr:nvSpPr>
        <xdr:cNvPr id="367678" name="Text Box 62" hidden="1">
          <a:extLst>
            <a:ext uri="{FF2B5EF4-FFF2-40B4-BE49-F238E27FC236}">
              <a16:creationId xmlns:a16="http://schemas.microsoft.com/office/drawing/2014/main" id="{E6882C7C-DD3B-E4DA-13B9-FEF62591BCA9}"/>
            </a:ext>
          </a:extLst>
        </xdr:cNvPr>
        <xdr:cNvSpPr txBox="1">
          <a:spLocks noChangeArrowheads="1"/>
        </xdr:cNvSpPr>
      </xdr:nvSpPr>
      <xdr:spPr bwMode="auto">
        <a:xfrm>
          <a:off x="13157200" y="26625550"/>
          <a:ext cx="1454150" cy="339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77" name="Text Box 61" hidden="1">
          <a:extLst>
            <a:ext uri="{FF2B5EF4-FFF2-40B4-BE49-F238E27FC236}">
              <a16:creationId xmlns:a16="http://schemas.microsoft.com/office/drawing/2014/main" id="{E95E86DA-5E21-E2FE-AB99-98F3BA1C0DFC}"/>
            </a:ext>
          </a:extLst>
        </xdr:cNvPr>
        <xdr:cNvSpPr txBox="1">
          <a:spLocks noChangeArrowheads="1"/>
        </xdr:cNvSpPr>
      </xdr:nvSpPr>
      <xdr:spPr bwMode="auto">
        <a:xfrm>
          <a:off x="13773150" y="40767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76" name="Text Box 60" hidden="1">
          <a:extLst>
            <a:ext uri="{FF2B5EF4-FFF2-40B4-BE49-F238E27FC236}">
              <a16:creationId xmlns:a16="http://schemas.microsoft.com/office/drawing/2014/main" id="{87A0F7A7-23B0-8E4A-F624-E5F774F4E3C1}"/>
            </a:ext>
          </a:extLst>
        </xdr:cNvPr>
        <xdr:cNvSpPr txBox="1">
          <a:spLocks noChangeArrowheads="1"/>
        </xdr:cNvSpPr>
      </xdr:nvSpPr>
      <xdr:spPr bwMode="auto">
        <a:xfrm>
          <a:off x="8737600" y="17506950"/>
          <a:ext cx="1447800" cy="2514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120</xdr:row>
      <xdr:rowOff>19050</xdr:rowOff>
    </xdr:from>
    <xdr:to>
      <xdr:col>21</xdr:col>
      <xdr:colOff>266700</xdr:colOff>
      <xdr:row>134</xdr:row>
      <xdr:rowOff>152400</xdr:rowOff>
    </xdr:to>
    <xdr:sp macro="" textlink="">
      <xdr:nvSpPr>
        <xdr:cNvPr id="367675" name="Text Box 59" hidden="1">
          <a:extLst>
            <a:ext uri="{FF2B5EF4-FFF2-40B4-BE49-F238E27FC236}">
              <a16:creationId xmlns:a16="http://schemas.microsoft.com/office/drawing/2014/main" id="{18C56653-D963-8036-50C6-4D3E377BAB0A}"/>
            </a:ext>
          </a:extLst>
        </xdr:cNvPr>
        <xdr:cNvSpPr txBox="1">
          <a:spLocks noChangeArrowheads="1"/>
        </xdr:cNvSpPr>
      </xdr:nvSpPr>
      <xdr:spPr bwMode="auto">
        <a:xfrm>
          <a:off x="13735050" y="26625550"/>
          <a:ext cx="1333500" cy="271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74" name="Text Box 58" hidden="1">
          <a:extLst>
            <a:ext uri="{FF2B5EF4-FFF2-40B4-BE49-F238E27FC236}">
              <a16:creationId xmlns:a16="http://schemas.microsoft.com/office/drawing/2014/main" id="{5271292A-D830-F0DB-DE0F-CA01CEEA10E9}"/>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73" name="Text Box 57" hidden="1">
          <a:extLst>
            <a:ext uri="{FF2B5EF4-FFF2-40B4-BE49-F238E27FC236}">
              <a16:creationId xmlns:a16="http://schemas.microsoft.com/office/drawing/2014/main" id="{1C1BFF61-AF26-6C63-2062-8A344E1B1CB8}"/>
            </a:ext>
          </a:extLst>
        </xdr:cNvPr>
        <xdr:cNvSpPr txBox="1">
          <a:spLocks noChangeArrowheads="1"/>
        </xdr:cNvSpPr>
      </xdr:nvSpPr>
      <xdr:spPr bwMode="auto">
        <a:xfrm>
          <a:off x="3492500" y="18376900"/>
          <a:ext cx="1320800" cy="1606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120</xdr:row>
      <xdr:rowOff>19050</xdr:rowOff>
    </xdr:from>
    <xdr:to>
      <xdr:col>4</xdr:col>
      <xdr:colOff>114300</xdr:colOff>
      <xdr:row>132</xdr:row>
      <xdr:rowOff>38100</xdr:rowOff>
    </xdr:to>
    <xdr:sp macro="" textlink="">
      <xdr:nvSpPr>
        <xdr:cNvPr id="367672" name="Text Box 56" hidden="1">
          <a:extLst>
            <a:ext uri="{FF2B5EF4-FFF2-40B4-BE49-F238E27FC236}">
              <a16:creationId xmlns:a16="http://schemas.microsoft.com/office/drawing/2014/main" id="{716B7739-15FC-7526-0896-6EF6CC28B14D}"/>
            </a:ext>
          </a:extLst>
        </xdr:cNvPr>
        <xdr:cNvSpPr txBox="1">
          <a:spLocks noChangeArrowheads="1"/>
        </xdr:cNvSpPr>
      </xdr:nvSpPr>
      <xdr:spPr bwMode="auto">
        <a:xfrm>
          <a:off x="3492500" y="266255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71" name="Text Box 55" hidden="1">
          <a:extLst>
            <a:ext uri="{FF2B5EF4-FFF2-40B4-BE49-F238E27FC236}">
              <a16:creationId xmlns:a16="http://schemas.microsoft.com/office/drawing/2014/main" id="{0C5A8C0F-4C6B-7CAC-9AFB-D09F37B8E117}"/>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70" name="Text Box 54" hidden="1">
          <a:extLst>
            <a:ext uri="{FF2B5EF4-FFF2-40B4-BE49-F238E27FC236}">
              <a16:creationId xmlns:a16="http://schemas.microsoft.com/office/drawing/2014/main" id="{3B2CC3C5-5918-10A7-4040-3B5B77E53870}"/>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69" name="Text Box 53" hidden="1">
          <a:extLst>
            <a:ext uri="{FF2B5EF4-FFF2-40B4-BE49-F238E27FC236}">
              <a16:creationId xmlns:a16="http://schemas.microsoft.com/office/drawing/2014/main" id="{89A7979A-8035-8753-F323-352AD9A19DA7}"/>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94" name="Text Box 78" hidden="1">
          <a:extLst>
            <a:ext uri="{FF2B5EF4-FFF2-40B4-BE49-F238E27FC236}">
              <a16:creationId xmlns:a16="http://schemas.microsoft.com/office/drawing/2014/main" id="{2BCA42D0-F567-8F32-9E90-8A006789B930}"/>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4</xdr:col>
      <xdr:colOff>800100</xdr:colOff>
      <xdr:row>52</xdr:row>
      <xdr:rowOff>57150</xdr:rowOff>
    </xdr:to>
    <xdr:sp macro="" textlink="">
      <xdr:nvSpPr>
        <xdr:cNvPr id="367693" name="Text Box 77" hidden="1">
          <a:extLst>
            <a:ext uri="{FF2B5EF4-FFF2-40B4-BE49-F238E27FC236}">
              <a16:creationId xmlns:a16="http://schemas.microsoft.com/office/drawing/2014/main" id="{10507864-813B-FB03-5D5B-C77814CB9F4C}"/>
            </a:ext>
          </a:extLst>
        </xdr:cNvPr>
        <xdr:cNvSpPr txBox="1">
          <a:spLocks noChangeArrowheads="1"/>
        </xdr:cNvSpPr>
      </xdr:nvSpPr>
      <xdr:spPr bwMode="auto">
        <a:xfrm>
          <a:off x="4222750" y="12490450"/>
          <a:ext cx="127635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19050</xdr:rowOff>
    </xdr:from>
    <xdr:to>
      <xdr:col>5</xdr:col>
      <xdr:colOff>0</xdr:colOff>
      <xdr:row>60</xdr:row>
      <xdr:rowOff>114300</xdr:rowOff>
    </xdr:to>
    <xdr:sp macro="" textlink="">
      <xdr:nvSpPr>
        <xdr:cNvPr id="367692" name="Text Box 76" hidden="1">
          <a:extLst>
            <a:ext uri="{FF2B5EF4-FFF2-40B4-BE49-F238E27FC236}">
              <a16:creationId xmlns:a16="http://schemas.microsoft.com/office/drawing/2014/main" id="{04E8A679-6FCC-E765-7EB1-A62A90FE8204}"/>
            </a:ext>
          </a:extLst>
        </xdr:cNvPr>
        <xdr:cNvSpPr txBox="1">
          <a:spLocks noChangeArrowheads="1"/>
        </xdr:cNvSpPr>
      </xdr:nvSpPr>
      <xdr:spPr bwMode="auto">
        <a:xfrm>
          <a:off x="4222750" y="12490450"/>
          <a:ext cx="1346200" cy="177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120</xdr:row>
      <xdr:rowOff>19050</xdr:rowOff>
    </xdr:from>
    <xdr:to>
      <xdr:col>20</xdr:col>
      <xdr:colOff>381000</xdr:colOff>
      <xdr:row>138</xdr:row>
      <xdr:rowOff>95250</xdr:rowOff>
    </xdr:to>
    <xdr:sp macro="" textlink="">
      <xdr:nvSpPr>
        <xdr:cNvPr id="367691" name="Text Box 75" hidden="1">
          <a:extLst>
            <a:ext uri="{FF2B5EF4-FFF2-40B4-BE49-F238E27FC236}">
              <a16:creationId xmlns:a16="http://schemas.microsoft.com/office/drawing/2014/main" id="{29F7CD72-28B3-3B76-5081-B25DAE2A7EB5}"/>
            </a:ext>
          </a:extLst>
        </xdr:cNvPr>
        <xdr:cNvSpPr txBox="1">
          <a:spLocks noChangeArrowheads="1"/>
        </xdr:cNvSpPr>
      </xdr:nvSpPr>
      <xdr:spPr bwMode="auto">
        <a:xfrm>
          <a:off x="13157200" y="26625550"/>
          <a:ext cx="1454150" cy="339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16</xdr:row>
      <xdr:rowOff>133350</xdr:rowOff>
    </xdr:from>
    <xdr:to>
      <xdr:col>21</xdr:col>
      <xdr:colOff>419100</xdr:colOff>
      <xdr:row>19</xdr:row>
      <xdr:rowOff>152400</xdr:rowOff>
    </xdr:to>
    <xdr:sp macro="" textlink="">
      <xdr:nvSpPr>
        <xdr:cNvPr id="367690" name="Text Box 74" hidden="1">
          <a:extLst>
            <a:ext uri="{FF2B5EF4-FFF2-40B4-BE49-F238E27FC236}">
              <a16:creationId xmlns:a16="http://schemas.microsoft.com/office/drawing/2014/main" id="{A0758AAE-5C05-5203-7EB1-9685303ECB7F}"/>
            </a:ext>
          </a:extLst>
        </xdr:cNvPr>
        <xdr:cNvSpPr txBox="1">
          <a:spLocks noChangeArrowheads="1"/>
        </xdr:cNvSpPr>
      </xdr:nvSpPr>
      <xdr:spPr bwMode="auto">
        <a:xfrm>
          <a:off x="13773150" y="4076700"/>
          <a:ext cx="1447800" cy="1085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75</xdr:row>
      <xdr:rowOff>95250</xdr:rowOff>
    </xdr:from>
    <xdr:to>
      <xdr:col>13</xdr:col>
      <xdr:colOff>0</xdr:colOff>
      <xdr:row>85</xdr:row>
      <xdr:rowOff>533400</xdr:rowOff>
    </xdr:to>
    <xdr:sp macro="" textlink="">
      <xdr:nvSpPr>
        <xdr:cNvPr id="367689" name="Text Box 73" hidden="1">
          <a:extLst>
            <a:ext uri="{FF2B5EF4-FFF2-40B4-BE49-F238E27FC236}">
              <a16:creationId xmlns:a16="http://schemas.microsoft.com/office/drawing/2014/main" id="{5B90A8FB-312F-7448-BE83-F6092989EF66}"/>
            </a:ext>
          </a:extLst>
        </xdr:cNvPr>
        <xdr:cNvSpPr txBox="1">
          <a:spLocks noChangeArrowheads="1"/>
        </xdr:cNvSpPr>
      </xdr:nvSpPr>
      <xdr:spPr bwMode="auto">
        <a:xfrm>
          <a:off x="8737600" y="17506950"/>
          <a:ext cx="1447800" cy="2514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120</xdr:row>
      <xdr:rowOff>19050</xdr:rowOff>
    </xdr:from>
    <xdr:to>
      <xdr:col>21</xdr:col>
      <xdr:colOff>266700</xdr:colOff>
      <xdr:row>134</xdr:row>
      <xdr:rowOff>152400</xdr:rowOff>
    </xdr:to>
    <xdr:sp macro="" textlink="">
      <xdr:nvSpPr>
        <xdr:cNvPr id="367688" name="Text Box 72" hidden="1">
          <a:extLst>
            <a:ext uri="{FF2B5EF4-FFF2-40B4-BE49-F238E27FC236}">
              <a16:creationId xmlns:a16="http://schemas.microsoft.com/office/drawing/2014/main" id="{A75E8FEC-5D42-D27D-E7D9-48A1F3D36E3D}"/>
            </a:ext>
          </a:extLst>
        </xdr:cNvPr>
        <xdr:cNvSpPr txBox="1">
          <a:spLocks noChangeArrowheads="1"/>
        </xdr:cNvSpPr>
      </xdr:nvSpPr>
      <xdr:spPr bwMode="auto">
        <a:xfrm>
          <a:off x="13735050" y="26625550"/>
          <a:ext cx="1333500" cy="2711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67687" name="Text Box 71" hidden="1">
          <a:extLst>
            <a:ext uri="{FF2B5EF4-FFF2-40B4-BE49-F238E27FC236}">
              <a16:creationId xmlns:a16="http://schemas.microsoft.com/office/drawing/2014/main" id="{4053E3A7-D4DE-BB58-3D77-30DDFA1BCA0F}"/>
            </a:ext>
          </a:extLst>
        </xdr:cNvPr>
        <xdr:cNvSpPr txBox="1">
          <a:spLocks noChangeArrowheads="1"/>
        </xdr:cNvSpPr>
      </xdr:nvSpPr>
      <xdr:spPr bwMode="auto">
        <a:xfrm>
          <a:off x="8699500" y="2717800"/>
          <a:ext cx="13081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114300</xdr:colOff>
      <xdr:row>85</xdr:row>
      <xdr:rowOff>495300</xdr:rowOff>
    </xdr:to>
    <xdr:sp macro="" textlink="">
      <xdr:nvSpPr>
        <xdr:cNvPr id="367686" name="Text Box 70" hidden="1">
          <a:extLst>
            <a:ext uri="{FF2B5EF4-FFF2-40B4-BE49-F238E27FC236}">
              <a16:creationId xmlns:a16="http://schemas.microsoft.com/office/drawing/2014/main" id="{4216AE81-9955-A0DB-4A84-1C9FE89CB154}"/>
            </a:ext>
          </a:extLst>
        </xdr:cNvPr>
        <xdr:cNvSpPr txBox="1">
          <a:spLocks noChangeArrowheads="1"/>
        </xdr:cNvSpPr>
      </xdr:nvSpPr>
      <xdr:spPr bwMode="auto">
        <a:xfrm>
          <a:off x="3492500" y="18376900"/>
          <a:ext cx="1320800" cy="1606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120</xdr:row>
      <xdr:rowOff>19050</xdr:rowOff>
    </xdr:from>
    <xdr:to>
      <xdr:col>4</xdr:col>
      <xdr:colOff>114300</xdr:colOff>
      <xdr:row>132</xdr:row>
      <xdr:rowOff>38100</xdr:rowOff>
    </xdr:to>
    <xdr:sp macro="" textlink="">
      <xdr:nvSpPr>
        <xdr:cNvPr id="367685" name="Text Box 69" hidden="1">
          <a:extLst>
            <a:ext uri="{FF2B5EF4-FFF2-40B4-BE49-F238E27FC236}">
              <a16:creationId xmlns:a16="http://schemas.microsoft.com/office/drawing/2014/main" id="{6694AF7C-78CE-13ED-05C9-B95CB675ACA1}"/>
            </a:ext>
          </a:extLst>
        </xdr:cNvPr>
        <xdr:cNvSpPr txBox="1">
          <a:spLocks noChangeArrowheads="1"/>
        </xdr:cNvSpPr>
      </xdr:nvSpPr>
      <xdr:spPr bwMode="auto">
        <a:xfrm>
          <a:off x="3492500" y="26625550"/>
          <a:ext cx="1320800" cy="22288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67684" name="Text Box 68" hidden="1">
          <a:extLst>
            <a:ext uri="{FF2B5EF4-FFF2-40B4-BE49-F238E27FC236}">
              <a16:creationId xmlns:a16="http://schemas.microsoft.com/office/drawing/2014/main" id="{6FF09682-7C31-C39C-7A7D-334EA84AE246}"/>
            </a:ext>
          </a:extLst>
        </xdr:cNvPr>
        <xdr:cNvSpPr txBox="1">
          <a:spLocks noChangeArrowheads="1"/>
        </xdr:cNvSpPr>
      </xdr:nvSpPr>
      <xdr:spPr bwMode="auto">
        <a:xfrm>
          <a:off x="14878050" y="2895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83</xdr:row>
      <xdr:rowOff>114300</xdr:rowOff>
    </xdr:from>
    <xdr:to>
      <xdr:col>33</xdr:col>
      <xdr:colOff>1409700</xdr:colOff>
      <xdr:row>85</xdr:row>
      <xdr:rowOff>342900</xdr:rowOff>
    </xdr:to>
    <xdr:sp macro="" textlink="">
      <xdr:nvSpPr>
        <xdr:cNvPr id="367683" name="Text Box 67" hidden="1">
          <a:extLst>
            <a:ext uri="{FF2B5EF4-FFF2-40B4-BE49-F238E27FC236}">
              <a16:creationId xmlns:a16="http://schemas.microsoft.com/office/drawing/2014/main" id="{66537227-E4A9-8E26-DBD9-AE9B989B6E54}"/>
            </a:ext>
          </a:extLst>
        </xdr:cNvPr>
        <xdr:cNvSpPr txBox="1">
          <a:spLocks noChangeArrowheads="1"/>
        </xdr:cNvSpPr>
      </xdr:nvSpPr>
      <xdr:spPr bwMode="auto">
        <a:xfrm>
          <a:off x="21755100" y="1905635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81</xdr:row>
      <xdr:rowOff>114300</xdr:rowOff>
    </xdr:from>
    <xdr:to>
      <xdr:col>33</xdr:col>
      <xdr:colOff>1409700</xdr:colOff>
      <xdr:row>84</xdr:row>
      <xdr:rowOff>342900</xdr:rowOff>
    </xdr:to>
    <xdr:sp macro="" textlink="">
      <xdr:nvSpPr>
        <xdr:cNvPr id="367682" name="Text Box 66" hidden="1">
          <a:extLst>
            <a:ext uri="{FF2B5EF4-FFF2-40B4-BE49-F238E27FC236}">
              <a16:creationId xmlns:a16="http://schemas.microsoft.com/office/drawing/2014/main" id="{20FB1E2A-6766-1153-8F29-585669A03F11}"/>
            </a:ext>
          </a:extLst>
        </xdr:cNvPr>
        <xdr:cNvSpPr txBox="1">
          <a:spLocks noChangeArrowheads="1"/>
        </xdr:cNvSpPr>
      </xdr:nvSpPr>
      <xdr:spPr bwMode="auto">
        <a:xfrm>
          <a:off x="21755100" y="1868805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37</xdr:col>
      <xdr:colOff>227364</xdr:colOff>
      <xdr:row>61</xdr:row>
      <xdr:rowOff>69748</xdr:rowOff>
    </xdr:from>
    <xdr:to>
      <xdr:col>38</xdr:col>
      <xdr:colOff>418991</xdr:colOff>
      <xdr:row>61</xdr:row>
      <xdr:rowOff>69748</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61</xdr:row>
      <xdr:rowOff>69748</xdr:rowOff>
    </xdr:from>
    <xdr:to>
      <xdr:col>38</xdr:col>
      <xdr:colOff>304691</xdr:colOff>
      <xdr:row>63</xdr:row>
      <xdr:rowOff>143189</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74</xdr:row>
      <xdr:rowOff>26289</xdr:rowOff>
    </xdr:from>
    <xdr:to>
      <xdr:col>38</xdr:col>
      <xdr:colOff>304691</xdr:colOff>
      <xdr:row>74</xdr:row>
      <xdr:rowOff>26289</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227364</xdr:colOff>
      <xdr:row>74</xdr:row>
      <xdr:rowOff>26289</xdr:rowOff>
    </xdr:from>
    <xdr:to>
      <xdr:col>38</xdr:col>
      <xdr:colOff>380891</xdr:colOff>
      <xdr:row>74</xdr:row>
      <xdr:rowOff>26289</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227364</xdr:colOff>
      <xdr:row>61</xdr:row>
      <xdr:rowOff>69748</xdr:rowOff>
    </xdr:from>
    <xdr:to>
      <xdr:col>38</xdr:col>
      <xdr:colOff>380891</xdr:colOff>
      <xdr:row>61</xdr:row>
      <xdr:rowOff>69748</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13</xdr:row>
      <xdr:rowOff>68362</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14</xdr:row>
      <xdr:rowOff>123489</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561689</xdr:colOff>
      <xdr:row>16</xdr:row>
      <xdr:rowOff>103904</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201329</xdr:colOff>
      <xdr:row>46</xdr:row>
      <xdr:rowOff>143624</xdr:rowOff>
    </xdr:from>
    <xdr:to>
      <xdr:col>38</xdr:col>
      <xdr:colOff>418991</xdr:colOff>
      <xdr:row>46</xdr:row>
      <xdr:rowOff>143624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46</xdr:row>
      <xdr:rowOff>143624</xdr:rowOff>
    </xdr:from>
    <xdr:to>
      <xdr:col>38</xdr:col>
      <xdr:colOff>304691</xdr:colOff>
      <xdr:row>52</xdr:row>
      <xdr:rowOff>28668</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151164</xdr:colOff>
      <xdr:row>53</xdr:row>
      <xdr:rowOff>216823</xdr:rowOff>
    </xdr:from>
    <xdr:to>
      <xdr:col>38</xdr:col>
      <xdr:colOff>304691</xdr:colOff>
      <xdr:row>53</xdr:row>
      <xdr:rowOff>216823</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201329</xdr:colOff>
      <xdr:row>53</xdr:row>
      <xdr:rowOff>216823</xdr:rowOff>
    </xdr:from>
    <xdr:to>
      <xdr:col>38</xdr:col>
      <xdr:colOff>380891</xdr:colOff>
      <xdr:row>53</xdr:row>
      <xdr:rowOff>216823</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201329</xdr:colOff>
      <xdr:row>46</xdr:row>
      <xdr:rowOff>143624</xdr:rowOff>
    </xdr:from>
    <xdr:to>
      <xdr:col>38</xdr:col>
      <xdr:colOff>380891</xdr:colOff>
      <xdr:row>46</xdr:row>
      <xdr:rowOff>143624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561689</xdr:colOff>
      <xdr:row>13</xdr:row>
      <xdr:rowOff>68362</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103737</xdr:rowOff>
    </xdr:from>
    <xdr:to>
      <xdr:col>2</xdr:col>
      <xdr:colOff>561689</xdr:colOff>
      <xdr:row>14</xdr:row>
      <xdr:rowOff>123489</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168520</xdr:rowOff>
    </xdr:from>
    <xdr:to>
      <xdr:col>2</xdr:col>
      <xdr:colOff>561689</xdr:colOff>
      <xdr:row>16</xdr:row>
      <xdr:rowOff>103904</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47</xdr:row>
      <xdr:rowOff>11591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83405</xdr:rowOff>
    </xdr:from>
    <xdr:to>
      <xdr:col>38</xdr:col>
      <xdr:colOff>273343</xdr:colOff>
      <xdr:row>50</xdr:row>
      <xdr:rowOff>26255</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83405</xdr:rowOff>
    </xdr:from>
    <xdr:to>
      <xdr:col>38</xdr:col>
      <xdr:colOff>349543</xdr:colOff>
      <xdr:row>50</xdr:row>
      <xdr:rowOff>26255</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47</xdr:row>
      <xdr:rowOff>11591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83405</xdr:rowOff>
    </xdr:from>
    <xdr:to>
      <xdr:col>38</xdr:col>
      <xdr:colOff>273343</xdr:colOff>
      <xdr:row>50</xdr:row>
      <xdr:rowOff>26255</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83405</xdr:rowOff>
    </xdr:from>
    <xdr:to>
      <xdr:col>38</xdr:col>
      <xdr:colOff>349543</xdr:colOff>
      <xdr:row>50</xdr:row>
      <xdr:rowOff>26255</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46</xdr:row>
      <xdr:rowOff>159636</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106024</xdr:rowOff>
    </xdr:from>
    <xdr:to>
      <xdr:col>38</xdr:col>
      <xdr:colOff>273343</xdr:colOff>
      <xdr:row>50</xdr:row>
      <xdr:rowOff>9231</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106024</xdr:rowOff>
    </xdr:from>
    <xdr:to>
      <xdr:col>38</xdr:col>
      <xdr:colOff>349543</xdr:colOff>
      <xdr:row>50</xdr:row>
      <xdr:rowOff>9231</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389548</xdr:colOff>
      <xdr:row>39</xdr:row>
      <xdr:rowOff>28867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46</xdr:row>
      <xdr:rowOff>159636</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106024</xdr:rowOff>
    </xdr:from>
    <xdr:to>
      <xdr:col>38</xdr:col>
      <xdr:colOff>273343</xdr:colOff>
      <xdr:row>50</xdr:row>
      <xdr:rowOff>9231</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49</xdr:row>
      <xdr:rowOff>106024</xdr:rowOff>
    </xdr:from>
    <xdr:to>
      <xdr:col>38</xdr:col>
      <xdr:colOff>349543</xdr:colOff>
      <xdr:row>50</xdr:row>
      <xdr:rowOff>9231</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197143</xdr:colOff>
      <xdr:row>39</xdr:row>
      <xdr:rowOff>18072</xdr:rowOff>
    </xdr:from>
    <xdr:to>
      <xdr:col>38</xdr:col>
      <xdr:colOff>349543</xdr:colOff>
      <xdr:row>39</xdr:row>
      <xdr:rowOff>28867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18072</xdr:rowOff>
    </xdr:from>
    <xdr:to>
      <xdr:col>38</xdr:col>
      <xdr:colOff>389548</xdr:colOff>
      <xdr:row>39</xdr:row>
      <xdr:rowOff>39158</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39</xdr:row>
      <xdr:rowOff>18072</xdr:rowOff>
    </xdr:from>
    <xdr:to>
      <xdr:col>38</xdr:col>
      <xdr:colOff>273343</xdr:colOff>
      <xdr:row>46</xdr:row>
      <xdr:rowOff>159636</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120943</xdr:colOff>
      <xdr:row>49</xdr:row>
      <xdr:rowOff>106024</xdr:rowOff>
    </xdr:from>
    <xdr:to>
      <xdr:col>38</xdr:col>
      <xdr:colOff>273343</xdr:colOff>
      <xdr:row>50</xdr:row>
      <xdr:rowOff>9231</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49</xdr:row>
      <xdr:rowOff>106024</xdr:rowOff>
    </xdr:from>
    <xdr:to>
      <xdr:col>38</xdr:col>
      <xdr:colOff>349543</xdr:colOff>
      <xdr:row>50</xdr:row>
      <xdr:rowOff>9231</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18072</xdr:rowOff>
    </xdr:from>
    <xdr:to>
      <xdr:col>38</xdr:col>
      <xdr:colOff>349543</xdr:colOff>
      <xdr:row>39</xdr:row>
      <xdr:rowOff>39158</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165030</xdr:rowOff>
    </xdr:from>
    <xdr:to>
      <xdr:col>38</xdr:col>
      <xdr:colOff>389548</xdr:colOff>
      <xdr:row>39</xdr:row>
      <xdr:rowOff>170534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39</xdr:row>
      <xdr:rowOff>165030</xdr:rowOff>
    </xdr:from>
    <xdr:to>
      <xdr:col>38</xdr:col>
      <xdr:colOff>237148</xdr:colOff>
      <xdr:row>53</xdr:row>
      <xdr:rowOff>181709</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48</xdr:row>
      <xdr:rowOff>142897</xdr:rowOff>
    </xdr:from>
    <xdr:to>
      <xdr:col>38</xdr:col>
      <xdr:colOff>237148</xdr:colOff>
      <xdr:row>48</xdr:row>
      <xdr:rowOff>142897</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48</xdr:row>
      <xdr:rowOff>142897</xdr:rowOff>
    </xdr:from>
    <xdr:to>
      <xdr:col>38</xdr:col>
      <xdr:colOff>313348</xdr:colOff>
      <xdr:row>48</xdr:row>
      <xdr:rowOff>142897</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165030</xdr:rowOff>
    </xdr:from>
    <xdr:to>
      <xdr:col>38</xdr:col>
      <xdr:colOff>313348</xdr:colOff>
      <xdr:row>39</xdr:row>
      <xdr:rowOff>170534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122022</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125954</xdr:rowOff>
    </xdr:from>
    <xdr:to>
      <xdr:col>20</xdr:col>
      <xdr:colOff>149519</xdr:colOff>
      <xdr:row>27</xdr:row>
      <xdr:rowOff>160863</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165030</xdr:rowOff>
    </xdr:from>
    <xdr:to>
      <xdr:col>38</xdr:col>
      <xdr:colOff>389548</xdr:colOff>
      <xdr:row>39</xdr:row>
      <xdr:rowOff>170534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39</xdr:row>
      <xdr:rowOff>165030</xdr:rowOff>
    </xdr:from>
    <xdr:to>
      <xdr:col>38</xdr:col>
      <xdr:colOff>237148</xdr:colOff>
      <xdr:row>53</xdr:row>
      <xdr:rowOff>181709</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48</xdr:row>
      <xdr:rowOff>142897</xdr:rowOff>
    </xdr:from>
    <xdr:to>
      <xdr:col>38</xdr:col>
      <xdr:colOff>237148</xdr:colOff>
      <xdr:row>48</xdr:row>
      <xdr:rowOff>142897</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48</xdr:row>
      <xdr:rowOff>142897</xdr:rowOff>
    </xdr:from>
    <xdr:to>
      <xdr:col>38</xdr:col>
      <xdr:colOff>313348</xdr:colOff>
      <xdr:row>48</xdr:row>
      <xdr:rowOff>142897</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39</xdr:row>
      <xdr:rowOff>165030</xdr:rowOff>
    </xdr:from>
    <xdr:to>
      <xdr:col>38</xdr:col>
      <xdr:colOff>313348</xdr:colOff>
      <xdr:row>39</xdr:row>
      <xdr:rowOff>170534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151215</xdr:rowOff>
    </xdr:from>
    <xdr:to>
      <xdr:col>3</xdr:col>
      <xdr:colOff>304800</xdr:colOff>
      <xdr:row>25</xdr:row>
      <xdr:rowOff>122022</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86360</xdr:rowOff>
    </xdr:from>
    <xdr:to>
      <xdr:col>3</xdr:col>
      <xdr:colOff>152400</xdr:colOff>
      <xdr:row>11</xdr:row>
      <xdr:rowOff>10502</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125954</xdr:rowOff>
    </xdr:from>
    <xdr:to>
      <xdr:col>20</xdr:col>
      <xdr:colOff>149519</xdr:colOff>
      <xdr:row>27</xdr:row>
      <xdr:rowOff>160863</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86363</xdr:rowOff>
    </xdr:from>
    <xdr:to>
      <xdr:col>38</xdr:col>
      <xdr:colOff>389548</xdr:colOff>
      <xdr:row>56</xdr:row>
      <xdr:rowOff>50631</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86363</xdr:rowOff>
    </xdr:from>
    <xdr:to>
      <xdr:col>38</xdr:col>
      <xdr:colOff>237148</xdr:colOff>
      <xdr:row>65</xdr:row>
      <xdr:rowOff>159991</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86363</xdr:rowOff>
    </xdr:from>
    <xdr:to>
      <xdr:col>38</xdr:col>
      <xdr:colOff>313348</xdr:colOff>
      <xdr:row>56</xdr:row>
      <xdr:rowOff>50631</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149519</xdr:colOff>
      <xdr:row>32</xdr:row>
      <xdr:rowOff>172351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86363</xdr:rowOff>
    </xdr:from>
    <xdr:to>
      <xdr:col>38</xdr:col>
      <xdr:colOff>389548</xdr:colOff>
      <xdr:row>56</xdr:row>
      <xdr:rowOff>50631</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86363</xdr:rowOff>
    </xdr:from>
    <xdr:to>
      <xdr:col>38</xdr:col>
      <xdr:colOff>237148</xdr:colOff>
      <xdr:row>65</xdr:row>
      <xdr:rowOff>159991</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86363</xdr:rowOff>
    </xdr:from>
    <xdr:to>
      <xdr:col>38</xdr:col>
      <xdr:colOff>313348</xdr:colOff>
      <xdr:row>56</xdr:row>
      <xdr:rowOff>50631</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117134</xdr:colOff>
      <xdr:row>32</xdr:row>
      <xdr:rowOff>172351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87194</xdr:rowOff>
    </xdr:from>
    <xdr:to>
      <xdr:col>38</xdr:col>
      <xdr:colOff>389548</xdr:colOff>
      <xdr:row>56</xdr:row>
      <xdr:rowOff>50631</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87194</xdr:rowOff>
    </xdr:from>
    <xdr:to>
      <xdr:col>38</xdr:col>
      <xdr:colOff>237148</xdr:colOff>
      <xdr:row>65</xdr:row>
      <xdr:rowOff>159991</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87194</xdr:rowOff>
    </xdr:from>
    <xdr:to>
      <xdr:col>38</xdr:col>
      <xdr:colOff>313348</xdr:colOff>
      <xdr:row>56</xdr:row>
      <xdr:rowOff>50631</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87194</xdr:rowOff>
    </xdr:from>
    <xdr:to>
      <xdr:col>38</xdr:col>
      <xdr:colOff>389548</xdr:colOff>
      <xdr:row>56</xdr:row>
      <xdr:rowOff>50631</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54</xdr:row>
      <xdr:rowOff>87194</xdr:rowOff>
    </xdr:from>
    <xdr:to>
      <xdr:col>38</xdr:col>
      <xdr:colOff>237148</xdr:colOff>
      <xdr:row>65</xdr:row>
      <xdr:rowOff>159991</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84748</xdr:colOff>
      <xdr:row>59</xdr:row>
      <xdr:rowOff>284951</xdr:rowOff>
    </xdr:from>
    <xdr:to>
      <xdr:col>38</xdr:col>
      <xdr:colOff>237148</xdr:colOff>
      <xdr:row>59</xdr:row>
      <xdr:rowOff>284951</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59</xdr:row>
      <xdr:rowOff>284951</xdr:rowOff>
    </xdr:from>
    <xdr:to>
      <xdr:col>38</xdr:col>
      <xdr:colOff>313348</xdr:colOff>
      <xdr:row>59</xdr:row>
      <xdr:rowOff>284951</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160948</xdr:colOff>
      <xdr:row>54</xdr:row>
      <xdr:rowOff>87194</xdr:rowOff>
    </xdr:from>
    <xdr:to>
      <xdr:col>38</xdr:col>
      <xdr:colOff>313348</xdr:colOff>
      <xdr:row>56</xdr:row>
      <xdr:rowOff>50631</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1228</xdr:rowOff>
    </xdr:from>
    <xdr:to>
      <xdr:col>3</xdr:col>
      <xdr:colOff>304800</xdr:colOff>
      <xdr:row>30</xdr:row>
      <xdr:rowOff>116171</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10502</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88179</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192604</xdr:rowOff>
    </xdr:from>
    <xdr:to>
      <xdr:col>20</xdr:col>
      <xdr:colOff>113324</xdr:colOff>
      <xdr:row>32</xdr:row>
      <xdr:rowOff>172351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59</xdr:row>
      <xdr:rowOff>9459</xdr:rowOff>
    </xdr:from>
    <xdr:to>
      <xdr:col>42</xdr:col>
      <xdr:colOff>74454</xdr:colOff>
      <xdr:row>62</xdr:row>
      <xdr:rowOff>121956</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64</xdr:row>
      <xdr:rowOff>67604</xdr:rowOff>
    </xdr:from>
    <xdr:to>
      <xdr:col>41</xdr:col>
      <xdr:colOff>673894</xdr:colOff>
      <xdr:row>85</xdr:row>
      <xdr:rowOff>82593</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240093</xdr:rowOff>
    </xdr:from>
    <xdr:to>
      <xdr:col>38</xdr:col>
      <xdr:colOff>238125</xdr:colOff>
      <xdr:row>58</xdr:row>
      <xdr:rowOff>200132</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240093</xdr:rowOff>
    </xdr:from>
    <xdr:to>
      <xdr:col>38</xdr:col>
      <xdr:colOff>314325</xdr:colOff>
      <xdr:row>58</xdr:row>
      <xdr:rowOff>200132</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63</xdr:row>
      <xdr:rowOff>143325</xdr:rowOff>
    </xdr:from>
    <xdr:to>
      <xdr:col>41</xdr:col>
      <xdr:colOff>673894</xdr:colOff>
      <xdr:row>70</xdr:row>
      <xdr:rowOff>136451</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6734</xdr:rowOff>
    </xdr:from>
    <xdr:to>
      <xdr:col>3</xdr:col>
      <xdr:colOff>304800</xdr:colOff>
      <xdr:row>31</xdr:row>
      <xdr:rowOff>371185</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126327</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388957</xdr:rowOff>
    </xdr:from>
    <xdr:to>
      <xdr:col>20</xdr:col>
      <xdr:colOff>152400</xdr:colOff>
      <xdr:row>44</xdr:row>
      <xdr:rowOff>226610</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197709</xdr:rowOff>
    </xdr:from>
    <xdr:to>
      <xdr:col>20</xdr:col>
      <xdr:colOff>314960</xdr:colOff>
      <xdr:row>37</xdr:row>
      <xdr:rowOff>44865</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78</xdr:row>
      <xdr:rowOff>142516</xdr:rowOff>
    </xdr:from>
    <xdr:to>
      <xdr:col>42</xdr:col>
      <xdr:colOff>64294</xdr:colOff>
      <xdr:row>82</xdr:row>
      <xdr:rowOff>106516</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11780</xdr:rowOff>
    </xdr:from>
    <xdr:to>
      <xdr:col>41</xdr:col>
      <xdr:colOff>673894</xdr:colOff>
      <xdr:row>114</xdr:row>
      <xdr:rowOff>31392</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76</xdr:row>
      <xdr:rowOff>144634</xdr:rowOff>
    </xdr:from>
    <xdr:to>
      <xdr:col>38</xdr:col>
      <xdr:colOff>227965</xdr:colOff>
      <xdr:row>78</xdr:row>
      <xdr:rowOff>67249</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76</xdr:row>
      <xdr:rowOff>144634</xdr:rowOff>
    </xdr:from>
    <xdr:to>
      <xdr:col>38</xdr:col>
      <xdr:colOff>314325</xdr:colOff>
      <xdr:row>78</xdr:row>
      <xdr:rowOff>67249</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11780</xdr:rowOff>
    </xdr:from>
    <xdr:to>
      <xdr:col>41</xdr:col>
      <xdr:colOff>673894</xdr:colOff>
      <xdr:row>91</xdr:row>
      <xdr:rowOff>46192</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198735</xdr:rowOff>
    </xdr:from>
    <xdr:to>
      <xdr:col>3</xdr:col>
      <xdr:colOff>304800</xdr:colOff>
      <xdr:row>37</xdr:row>
      <xdr:rowOff>793</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106642</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126968</xdr:rowOff>
    </xdr:from>
    <xdr:to>
      <xdr:col>20</xdr:col>
      <xdr:colOff>142240</xdr:colOff>
      <xdr:row>59</xdr:row>
      <xdr:rowOff>67080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15</xdr:row>
      <xdr:rowOff>6416</xdr:rowOff>
    </xdr:from>
    <xdr:to>
      <xdr:col>3</xdr:col>
      <xdr:colOff>304800</xdr:colOff>
      <xdr:row>19</xdr:row>
      <xdr:rowOff>44934</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17</xdr:row>
      <xdr:rowOff>28389</xdr:rowOff>
    </xdr:from>
    <xdr:to>
      <xdr:col>3</xdr:col>
      <xdr:colOff>304800</xdr:colOff>
      <xdr:row>21</xdr:row>
      <xdr:rowOff>46046</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42</xdr:row>
      <xdr:rowOff>54876</xdr:rowOff>
    </xdr:from>
    <xdr:to>
      <xdr:col>3</xdr:col>
      <xdr:colOff>304800</xdr:colOff>
      <xdr:row>46</xdr:row>
      <xdr:rowOff>27188</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44</xdr:row>
      <xdr:rowOff>179277</xdr:rowOff>
    </xdr:from>
    <xdr:to>
      <xdr:col>20</xdr:col>
      <xdr:colOff>332740</xdr:colOff>
      <xdr:row>48</xdr:row>
      <xdr:rowOff>25804</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79</xdr:row>
      <xdr:rowOff>155310</xdr:rowOff>
    </xdr:from>
    <xdr:to>
      <xdr:col>42</xdr:col>
      <xdr:colOff>64294</xdr:colOff>
      <xdr:row>83</xdr:row>
      <xdr:rowOff>84245</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144990</xdr:rowOff>
    </xdr:from>
    <xdr:to>
      <xdr:col>41</xdr:col>
      <xdr:colOff>686594</xdr:colOff>
      <xdr:row>116</xdr:row>
      <xdr:rowOff>16309</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77</xdr:row>
      <xdr:rowOff>126779</xdr:rowOff>
    </xdr:from>
    <xdr:to>
      <xdr:col>38</xdr:col>
      <xdr:colOff>219075</xdr:colOff>
      <xdr:row>79</xdr:row>
      <xdr:rowOff>12341</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77</xdr:row>
      <xdr:rowOff>126779</xdr:rowOff>
    </xdr:from>
    <xdr:to>
      <xdr:col>38</xdr:col>
      <xdr:colOff>320675</xdr:colOff>
      <xdr:row>79</xdr:row>
      <xdr:rowOff>12341</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84</xdr:row>
      <xdr:rowOff>144990</xdr:rowOff>
    </xdr:from>
    <xdr:to>
      <xdr:col>41</xdr:col>
      <xdr:colOff>686594</xdr:colOff>
      <xdr:row>92</xdr:row>
      <xdr:rowOff>69257</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199370</xdr:rowOff>
    </xdr:from>
    <xdr:to>
      <xdr:col>3</xdr:col>
      <xdr:colOff>304800</xdr:colOff>
      <xdr:row>37</xdr:row>
      <xdr:rowOff>793</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106642</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105055</xdr:rowOff>
    </xdr:from>
    <xdr:to>
      <xdr:col>20</xdr:col>
      <xdr:colOff>133350</xdr:colOff>
      <xdr:row>59</xdr:row>
      <xdr:rowOff>44930</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7051</xdr:rowOff>
    </xdr:from>
    <xdr:to>
      <xdr:col>3</xdr:col>
      <xdr:colOff>304800</xdr:colOff>
      <xdr:row>19</xdr:row>
      <xdr:rowOff>2707</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28389</xdr:rowOff>
    </xdr:from>
    <xdr:to>
      <xdr:col>3</xdr:col>
      <xdr:colOff>304800</xdr:colOff>
      <xdr:row>21</xdr:row>
      <xdr:rowOff>21664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139700</xdr:colOff>
      <xdr:row>40</xdr:row>
      <xdr:rowOff>29242</xdr:rowOff>
    </xdr:from>
    <xdr:to>
      <xdr:col>3</xdr:col>
      <xdr:colOff>311150</xdr:colOff>
      <xdr:row>45</xdr:row>
      <xdr:rowOff>26765</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45</xdr:row>
      <xdr:rowOff>102128</xdr:rowOff>
    </xdr:from>
    <xdr:to>
      <xdr:col>20</xdr:col>
      <xdr:colOff>330200</xdr:colOff>
      <xdr:row>49</xdr:row>
      <xdr:rowOff>86812</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67</xdr:row>
      <xdr:rowOff>140601</xdr:rowOff>
    </xdr:from>
    <xdr:to>
      <xdr:col>42</xdr:col>
      <xdr:colOff>64294</xdr:colOff>
      <xdr:row>72</xdr:row>
      <xdr:rowOff>67389</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70</xdr:row>
      <xdr:rowOff>160211</xdr:rowOff>
    </xdr:from>
    <xdr:to>
      <xdr:col>41</xdr:col>
      <xdr:colOff>673894</xdr:colOff>
      <xdr:row>100</xdr:row>
      <xdr:rowOff>164413</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66</xdr:row>
      <xdr:rowOff>27330</xdr:rowOff>
    </xdr:from>
    <xdr:to>
      <xdr:col>38</xdr:col>
      <xdr:colOff>219075</xdr:colOff>
      <xdr:row>68</xdr:row>
      <xdr:rowOff>2276</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66</xdr:row>
      <xdr:rowOff>27330</xdr:rowOff>
    </xdr:from>
    <xdr:to>
      <xdr:col>38</xdr:col>
      <xdr:colOff>314325</xdr:colOff>
      <xdr:row>68</xdr:row>
      <xdr:rowOff>2276</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70</xdr:row>
      <xdr:rowOff>160211</xdr:rowOff>
    </xdr:from>
    <xdr:to>
      <xdr:col>41</xdr:col>
      <xdr:colOff>673894</xdr:colOff>
      <xdr:row>78</xdr:row>
      <xdr:rowOff>49133</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33</xdr:row>
      <xdr:rowOff>199370</xdr:rowOff>
    </xdr:from>
    <xdr:to>
      <xdr:col>3</xdr:col>
      <xdr:colOff>304800</xdr:colOff>
      <xdr:row>37</xdr:row>
      <xdr:rowOff>793</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106642</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105055</xdr:rowOff>
    </xdr:from>
    <xdr:to>
      <xdr:col>20</xdr:col>
      <xdr:colOff>133350</xdr:colOff>
      <xdr:row>59</xdr:row>
      <xdr:rowOff>46984</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7051</xdr:rowOff>
    </xdr:from>
    <xdr:to>
      <xdr:col>3</xdr:col>
      <xdr:colOff>304800</xdr:colOff>
      <xdr:row>19</xdr:row>
      <xdr:rowOff>2707</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28389</xdr:rowOff>
    </xdr:from>
    <xdr:to>
      <xdr:col>3</xdr:col>
      <xdr:colOff>304800</xdr:colOff>
      <xdr:row>21</xdr:row>
      <xdr:rowOff>21664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342427</xdr:rowOff>
    </xdr:from>
    <xdr:to>
      <xdr:col>42</xdr:col>
      <xdr:colOff>64294</xdr:colOff>
      <xdr:row>58</xdr:row>
      <xdr:rowOff>145084</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87569</xdr:rowOff>
    </xdr:from>
    <xdr:to>
      <xdr:col>41</xdr:col>
      <xdr:colOff>673894</xdr:colOff>
      <xdr:row>79</xdr:row>
      <xdr:rowOff>87290</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104553</xdr:rowOff>
    </xdr:from>
    <xdr:to>
      <xdr:col>38</xdr:col>
      <xdr:colOff>200025</xdr:colOff>
      <xdr:row>54</xdr:row>
      <xdr:rowOff>200270</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104553</xdr:rowOff>
    </xdr:from>
    <xdr:to>
      <xdr:col>38</xdr:col>
      <xdr:colOff>314325</xdr:colOff>
      <xdr:row>54</xdr:row>
      <xdr:rowOff>200270</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87569</xdr:rowOff>
    </xdr:from>
    <xdr:to>
      <xdr:col>41</xdr:col>
      <xdr:colOff>673894</xdr:colOff>
      <xdr:row>58</xdr:row>
      <xdr:rowOff>46118</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69402</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324012</xdr:rowOff>
    </xdr:from>
    <xdr:to>
      <xdr:col>42</xdr:col>
      <xdr:colOff>64294</xdr:colOff>
      <xdr:row>58</xdr:row>
      <xdr:rowOff>145084</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79</xdr:row>
      <xdr:rowOff>82845</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104553</xdr:rowOff>
    </xdr:from>
    <xdr:to>
      <xdr:col>38</xdr:col>
      <xdr:colOff>200025</xdr:colOff>
      <xdr:row>54</xdr:row>
      <xdr:rowOff>200270</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104553</xdr:rowOff>
    </xdr:from>
    <xdr:to>
      <xdr:col>38</xdr:col>
      <xdr:colOff>314325</xdr:colOff>
      <xdr:row>54</xdr:row>
      <xdr:rowOff>200270</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58</xdr:row>
      <xdr:rowOff>40403</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64957</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324012</xdr:rowOff>
    </xdr:from>
    <xdr:to>
      <xdr:col>42</xdr:col>
      <xdr:colOff>64294</xdr:colOff>
      <xdr:row>58</xdr:row>
      <xdr:rowOff>145084</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79</xdr:row>
      <xdr:rowOff>82845</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104553</xdr:rowOff>
    </xdr:from>
    <xdr:to>
      <xdr:col>38</xdr:col>
      <xdr:colOff>200025</xdr:colOff>
      <xdr:row>54</xdr:row>
      <xdr:rowOff>200270</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104553</xdr:rowOff>
    </xdr:from>
    <xdr:to>
      <xdr:col>38</xdr:col>
      <xdr:colOff>314325</xdr:colOff>
      <xdr:row>54</xdr:row>
      <xdr:rowOff>200270</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67249</xdr:rowOff>
    </xdr:from>
    <xdr:to>
      <xdr:col>41</xdr:col>
      <xdr:colOff>673894</xdr:colOff>
      <xdr:row>58</xdr:row>
      <xdr:rowOff>40403</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64957</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69688</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123133</xdr:rowOff>
    </xdr:from>
    <xdr:to>
      <xdr:col>20</xdr:col>
      <xdr:colOff>163195</xdr:colOff>
      <xdr:row>37</xdr:row>
      <xdr:rowOff>59250</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69688</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123133</xdr:rowOff>
    </xdr:from>
    <xdr:to>
      <xdr:col>20</xdr:col>
      <xdr:colOff>163195</xdr:colOff>
      <xdr:row>37</xdr:row>
      <xdr:rowOff>59250</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69688</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123133</xdr:rowOff>
    </xdr:from>
    <xdr:to>
      <xdr:col>20</xdr:col>
      <xdr:colOff>163195</xdr:colOff>
      <xdr:row>37</xdr:row>
      <xdr:rowOff>59250</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58</xdr:row>
      <xdr:rowOff>173893</xdr:rowOff>
    </xdr:from>
    <xdr:to>
      <xdr:col>42</xdr:col>
      <xdr:colOff>64294</xdr:colOff>
      <xdr:row>65</xdr:row>
      <xdr:rowOff>27143</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86</xdr:row>
      <xdr:rowOff>103763</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57</xdr:row>
      <xdr:rowOff>247114</xdr:rowOff>
    </xdr:from>
    <xdr:to>
      <xdr:col>38</xdr:col>
      <xdr:colOff>200025</xdr:colOff>
      <xdr:row>59</xdr:row>
      <xdr:rowOff>35592</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57</xdr:row>
      <xdr:rowOff>247114</xdr:rowOff>
    </xdr:from>
    <xdr:to>
      <xdr:col>38</xdr:col>
      <xdr:colOff>314325</xdr:colOff>
      <xdr:row>59</xdr:row>
      <xdr:rowOff>35592</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58</xdr:row>
      <xdr:rowOff>239175</xdr:rowOff>
    </xdr:from>
    <xdr:to>
      <xdr:col>41</xdr:col>
      <xdr:colOff>673894</xdr:colOff>
      <xdr:row>64</xdr:row>
      <xdr:rowOff>55718</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65518</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131388</xdr:rowOff>
    </xdr:from>
    <xdr:to>
      <xdr:col>20</xdr:col>
      <xdr:colOff>152400</xdr:colOff>
      <xdr:row>37</xdr:row>
      <xdr:rowOff>59250</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182820</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322571</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322571</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57</xdr:row>
      <xdr:rowOff>334996</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45646</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145831</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321301</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321301</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57</xdr:row>
      <xdr:rowOff>343251</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47868</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145831</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321301</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321301</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57</xdr:row>
      <xdr:rowOff>343251</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47868</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559594</xdr:colOff>
      <xdr:row>53</xdr:row>
      <xdr:rowOff>325506</xdr:rowOff>
    </xdr:from>
    <xdr:to>
      <xdr:col>42</xdr:col>
      <xdr:colOff>64294</xdr:colOff>
      <xdr:row>58</xdr:row>
      <xdr:rowOff>145831</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79</xdr:row>
      <xdr:rowOff>85273</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85725</xdr:colOff>
      <xdr:row>53</xdr:row>
      <xdr:rowOff>208030</xdr:rowOff>
    </xdr:from>
    <xdr:to>
      <xdr:col>38</xdr:col>
      <xdr:colOff>200025</xdr:colOff>
      <xdr:row>54</xdr:row>
      <xdr:rowOff>321301</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161925</xdr:colOff>
      <xdr:row>53</xdr:row>
      <xdr:rowOff>208030</xdr:rowOff>
    </xdr:from>
    <xdr:to>
      <xdr:col>38</xdr:col>
      <xdr:colOff>314325</xdr:colOff>
      <xdr:row>54</xdr:row>
      <xdr:rowOff>321301</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40</xdr:col>
      <xdr:colOff>521494</xdr:colOff>
      <xdr:row>54</xdr:row>
      <xdr:rowOff>46518</xdr:rowOff>
    </xdr:from>
    <xdr:to>
      <xdr:col>41</xdr:col>
      <xdr:colOff>673894</xdr:colOff>
      <xdr:row>57</xdr:row>
      <xdr:rowOff>343251</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28015</xdr:rowOff>
    </xdr:from>
    <xdr:to>
      <xdr:col>3</xdr:col>
      <xdr:colOff>304800</xdr:colOff>
      <xdr:row>31</xdr:row>
      <xdr:rowOff>352379</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792489</xdr:rowOff>
    </xdr:from>
    <xdr:to>
      <xdr:col>20</xdr:col>
      <xdr:colOff>114300</xdr:colOff>
      <xdr:row>55</xdr:row>
      <xdr:rowOff>47868</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86285</xdr:rowOff>
    </xdr:from>
    <xdr:to>
      <xdr:col>3</xdr:col>
      <xdr:colOff>304800</xdr:colOff>
      <xdr:row>24</xdr:row>
      <xdr:rowOff>164119</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20029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23</xdr:row>
      <xdr:rowOff>285563</xdr:rowOff>
    </xdr:from>
    <xdr:to>
      <xdr:col>20</xdr:col>
      <xdr:colOff>114300</xdr:colOff>
      <xdr:row>47</xdr:row>
      <xdr:rowOff>178326</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121910</xdr:rowOff>
    </xdr:from>
    <xdr:to>
      <xdr:col>3</xdr:col>
      <xdr:colOff>171450</xdr:colOff>
      <xdr:row>24</xdr:row>
      <xdr:rowOff>126019</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65274</xdr:rowOff>
    </xdr:from>
    <xdr:to>
      <xdr:col>3</xdr:col>
      <xdr:colOff>304800</xdr:colOff>
      <xdr:row>23</xdr:row>
      <xdr:rowOff>150765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87499</xdr:rowOff>
    </xdr:from>
    <xdr:to>
      <xdr:col>3</xdr:col>
      <xdr:colOff>304800</xdr:colOff>
      <xdr:row>23</xdr:row>
      <xdr:rowOff>150765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68449</xdr:rowOff>
    </xdr:from>
    <xdr:to>
      <xdr:col>3</xdr:col>
      <xdr:colOff>304800</xdr:colOff>
      <xdr:row>23</xdr:row>
      <xdr:rowOff>150765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23</xdr:row>
      <xdr:rowOff>297703</xdr:rowOff>
    </xdr:from>
    <xdr:to>
      <xdr:col>23</xdr:col>
      <xdr:colOff>190500</xdr:colOff>
      <xdr:row>26</xdr:row>
      <xdr:rowOff>56450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123032</xdr:rowOff>
    </xdr:from>
    <xdr:to>
      <xdr:col>3</xdr:col>
      <xdr:colOff>304800</xdr:colOff>
      <xdr:row>31</xdr:row>
      <xdr:rowOff>988219</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45</xdr:row>
      <xdr:rowOff>50438</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123032</xdr:rowOff>
    </xdr:from>
    <xdr:to>
      <xdr:col>3</xdr:col>
      <xdr:colOff>304800</xdr:colOff>
      <xdr:row>31</xdr:row>
      <xdr:rowOff>969169</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33</xdr:row>
      <xdr:rowOff>133350</xdr:rowOff>
    </xdr:from>
    <xdr:to>
      <xdr:col>23</xdr:col>
      <xdr:colOff>190500</xdr:colOff>
      <xdr:row>45</xdr:row>
      <xdr:rowOff>50438</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311150</xdr:colOff>
      <xdr:row>24</xdr:row>
      <xdr:rowOff>44450</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114300</xdr:rowOff>
    </xdr:from>
    <xdr:to>
      <xdr:col>23</xdr:col>
      <xdr:colOff>190500</xdr:colOff>
      <xdr:row>39</xdr:row>
      <xdr:rowOff>0</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139700</xdr:rowOff>
    </xdr:from>
    <xdr:to>
      <xdr:col>26</xdr:col>
      <xdr:colOff>177800</xdr:colOff>
      <xdr:row>13</xdr:row>
      <xdr:rowOff>120650</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07218" name="Text Box 18" hidden="1">
          <a:extLst>
            <a:ext uri="{FF2B5EF4-FFF2-40B4-BE49-F238E27FC236}">
              <a16:creationId xmlns:a16="http://schemas.microsoft.com/office/drawing/2014/main" id="{3E641CB9-64EA-9CA7-7E07-0902E79F5775}"/>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7" name="Text Box 17" hidden="1">
          <a:extLst>
            <a:ext uri="{FF2B5EF4-FFF2-40B4-BE49-F238E27FC236}">
              <a16:creationId xmlns:a16="http://schemas.microsoft.com/office/drawing/2014/main" id="{ABA309A4-CC4B-D99D-BB10-3A344208C12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6" name="Text Box 16" hidden="1">
          <a:extLst>
            <a:ext uri="{FF2B5EF4-FFF2-40B4-BE49-F238E27FC236}">
              <a16:creationId xmlns:a16="http://schemas.microsoft.com/office/drawing/2014/main" id="{A5527995-E442-2751-F537-770912B3E856}"/>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07215" name="Text Box 15" hidden="1">
          <a:extLst>
            <a:ext uri="{FF2B5EF4-FFF2-40B4-BE49-F238E27FC236}">
              <a16:creationId xmlns:a16="http://schemas.microsoft.com/office/drawing/2014/main" id="{BE01E4E0-F5E8-3EA0-1587-59889AA4454C}"/>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07214" name="Text Box 14" hidden="1">
          <a:extLst>
            <a:ext uri="{FF2B5EF4-FFF2-40B4-BE49-F238E27FC236}">
              <a16:creationId xmlns:a16="http://schemas.microsoft.com/office/drawing/2014/main" id="{CC450876-16C3-D9F2-B713-2B3E321E03E4}"/>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07219" name="Text Box 19" hidden="1">
          <a:extLst>
            <a:ext uri="{FF2B5EF4-FFF2-40B4-BE49-F238E27FC236}">
              <a16:creationId xmlns:a16="http://schemas.microsoft.com/office/drawing/2014/main" id="{936232DD-E64E-924F-7948-CABBB4F68237}"/>
            </a:ext>
          </a:extLst>
        </xdr:cNvPr>
        <xdr:cNvSpPr txBox="1">
          <a:spLocks noChangeArrowheads="1"/>
        </xdr:cNvSpPr>
      </xdr:nvSpPr>
      <xdr:spPr bwMode="auto">
        <a:xfrm>
          <a:off x="25571450" y="20066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07220" name="Text Box 20" hidden="1">
          <a:extLst>
            <a:ext uri="{FF2B5EF4-FFF2-40B4-BE49-F238E27FC236}">
              <a16:creationId xmlns:a16="http://schemas.microsoft.com/office/drawing/2014/main" id="{4A8CFFC5-B740-ECBE-7111-806B15784E9E}"/>
            </a:ext>
          </a:extLst>
        </xdr:cNvPr>
        <xdr:cNvSpPr txBox="1">
          <a:spLocks noChangeArrowheads="1"/>
        </xdr:cNvSpPr>
      </xdr:nvSpPr>
      <xdr:spPr bwMode="auto">
        <a:xfrm>
          <a:off x="27857450" y="2222500"/>
          <a:ext cx="131445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54" name="Text Box 14" hidden="1">
          <a:extLst>
            <a:ext uri="{FF2B5EF4-FFF2-40B4-BE49-F238E27FC236}">
              <a16:creationId xmlns:a16="http://schemas.microsoft.com/office/drawing/2014/main" id="{7875A50C-6CAE-BFB0-7E26-6E22611F2A19}"/>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53" name="Text Box 13" hidden="1">
          <a:extLst>
            <a:ext uri="{FF2B5EF4-FFF2-40B4-BE49-F238E27FC236}">
              <a16:creationId xmlns:a16="http://schemas.microsoft.com/office/drawing/2014/main" id="{8A221C06-530C-32D8-452B-805E2A3AD30F}"/>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2" name="Text Box 12" hidden="1">
          <a:extLst>
            <a:ext uri="{FF2B5EF4-FFF2-40B4-BE49-F238E27FC236}">
              <a16:creationId xmlns:a16="http://schemas.microsoft.com/office/drawing/2014/main" id="{01B88762-A60C-2545-BACD-4BF1BB79EC9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68651" name="Text Box 11" hidden="1">
          <a:extLst>
            <a:ext uri="{FF2B5EF4-FFF2-40B4-BE49-F238E27FC236}">
              <a16:creationId xmlns:a16="http://schemas.microsoft.com/office/drawing/2014/main" id="{97BFA0F7-6481-6D41-997C-22670806EACB}"/>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0" name="Text Box 10" hidden="1">
          <a:extLst>
            <a:ext uri="{FF2B5EF4-FFF2-40B4-BE49-F238E27FC236}">
              <a16:creationId xmlns:a16="http://schemas.microsoft.com/office/drawing/2014/main" id="{8C20C64A-294E-EE7C-0185-66BF368B3223}"/>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9" name="Text Box 9" hidden="1">
          <a:extLst>
            <a:ext uri="{FF2B5EF4-FFF2-40B4-BE49-F238E27FC236}">
              <a16:creationId xmlns:a16="http://schemas.microsoft.com/office/drawing/2014/main" id="{BE2C5B1C-EFB6-BFBC-4BBD-CC53F05FA9DD}"/>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8" name="Text Box 8" hidden="1">
          <a:extLst>
            <a:ext uri="{FF2B5EF4-FFF2-40B4-BE49-F238E27FC236}">
              <a16:creationId xmlns:a16="http://schemas.microsoft.com/office/drawing/2014/main" id="{81EBE5DA-8529-04B1-93C4-6EF0E5058585}"/>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47" name="Text Box 7" hidden="1">
          <a:extLst>
            <a:ext uri="{FF2B5EF4-FFF2-40B4-BE49-F238E27FC236}">
              <a16:creationId xmlns:a16="http://schemas.microsoft.com/office/drawing/2014/main" id="{8BAC7855-5F86-ED60-8164-001D9E926567}"/>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46" name="Text Box 6" hidden="1">
          <a:extLst>
            <a:ext uri="{FF2B5EF4-FFF2-40B4-BE49-F238E27FC236}">
              <a16:creationId xmlns:a16="http://schemas.microsoft.com/office/drawing/2014/main" id="{6DE152B4-B558-D056-C3C1-98D4A31A7BEC}"/>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45" name="Text Box 5" hidden="1">
          <a:extLst>
            <a:ext uri="{FF2B5EF4-FFF2-40B4-BE49-F238E27FC236}">
              <a16:creationId xmlns:a16="http://schemas.microsoft.com/office/drawing/2014/main" id="{FE8883AD-5210-76ED-6A44-20D2ECF7421A}"/>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68644" name="Text Box 4" hidden="1">
          <a:extLst>
            <a:ext uri="{FF2B5EF4-FFF2-40B4-BE49-F238E27FC236}">
              <a16:creationId xmlns:a16="http://schemas.microsoft.com/office/drawing/2014/main" id="{58F58B2F-2B8C-139B-B776-BB449DB0AF47}"/>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43" name="Text Box 3" hidden="1">
          <a:extLst>
            <a:ext uri="{FF2B5EF4-FFF2-40B4-BE49-F238E27FC236}">
              <a16:creationId xmlns:a16="http://schemas.microsoft.com/office/drawing/2014/main" id="{CE391098-514C-D959-3EA3-7773A1655AAE}"/>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42" name="Text Box 2" hidden="1">
          <a:extLst>
            <a:ext uri="{FF2B5EF4-FFF2-40B4-BE49-F238E27FC236}">
              <a16:creationId xmlns:a16="http://schemas.microsoft.com/office/drawing/2014/main" id="{D4CA38DD-C872-56F2-B11A-6BE9FE5F8829}"/>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41" name="Text Box 1" hidden="1">
          <a:extLst>
            <a:ext uri="{FF2B5EF4-FFF2-40B4-BE49-F238E27FC236}">
              <a16:creationId xmlns:a16="http://schemas.microsoft.com/office/drawing/2014/main" id="{B33555A6-FA36-1375-1FFB-5C2A37496D21}"/>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95250</xdr:rowOff>
    </xdr:from>
    <xdr:to>
      <xdr:col>3</xdr:col>
      <xdr:colOff>304800</xdr:colOff>
      <xdr:row>24</xdr:row>
      <xdr:rowOff>38100</xdr:rowOff>
    </xdr:to>
    <xdr:sp macro="" textlink="">
      <xdr:nvSpPr>
        <xdr:cNvPr id="368661" name="Text Box 21" hidden="1">
          <a:extLst>
            <a:ext uri="{FF2B5EF4-FFF2-40B4-BE49-F238E27FC236}">
              <a16:creationId xmlns:a16="http://schemas.microsoft.com/office/drawing/2014/main" id="{DBB04708-774A-B935-4DAE-EBE9C347268E}"/>
            </a:ext>
          </a:extLst>
        </xdr:cNvPr>
        <xdr:cNvSpPr txBox="1">
          <a:spLocks noChangeArrowheads="1"/>
        </xdr:cNvSpPr>
      </xdr:nvSpPr>
      <xdr:spPr bwMode="auto">
        <a:xfrm>
          <a:off x="4883150" y="3575050"/>
          <a:ext cx="140970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68660" name="Text Box 20" hidden="1">
          <a:extLst>
            <a:ext uri="{FF2B5EF4-FFF2-40B4-BE49-F238E27FC236}">
              <a16:creationId xmlns:a16="http://schemas.microsoft.com/office/drawing/2014/main" id="{D8208FF2-B58B-359A-26B7-ED5D293524D3}"/>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68659" name="Text Box 19" hidden="1">
          <a:extLst>
            <a:ext uri="{FF2B5EF4-FFF2-40B4-BE49-F238E27FC236}">
              <a16:creationId xmlns:a16="http://schemas.microsoft.com/office/drawing/2014/main" id="{1FD36594-376B-F1E5-FC1C-657BA03E6512}"/>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26</xdr:row>
      <xdr:rowOff>101600</xdr:rowOff>
    </xdr:from>
    <xdr:to>
      <xdr:col>23</xdr:col>
      <xdr:colOff>190500</xdr:colOff>
      <xdr:row>38</xdr:row>
      <xdr:rowOff>177800</xdr:rowOff>
    </xdr:to>
    <xdr:sp macro="" textlink="">
      <xdr:nvSpPr>
        <xdr:cNvPr id="368658" name="Text Box 18" hidden="1">
          <a:extLst>
            <a:ext uri="{FF2B5EF4-FFF2-40B4-BE49-F238E27FC236}">
              <a16:creationId xmlns:a16="http://schemas.microsoft.com/office/drawing/2014/main" id="{84DEE8A0-2CF9-922A-36D1-4C658F7C66AE}"/>
            </a:ext>
          </a:extLst>
        </xdr:cNvPr>
        <xdr:cNvSpPr txBox="1">
          <a:spLocks noChangeArrowheads="1"/>
        </xdr:cNvSpPr>
      </xdr:nvSpPr>
      <xdr:spPr bwMode="auto">
        <a:xfrm>
          <a:off x="19424650" y="570230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133350</xdr:rowOff>
    </xdr:from>
    <xdr:to>
      <xdr:col>26</xdr:col>
      <xdr:colOff>171450</xdr:colOff>
      <xdr:row>13</xdr:row>
      <xdr:rowOff>114300</xdr:rowOff>
    </xdr:to>
    <xdr:sp macro="" textlink="">
      <xdr:nvSpPr>
        <xdr:cNvPr id="368657" name="Text Box 17" hidden="1">
          <a:extLst>
            <a:ext uri="{FF2B5EF4-FFF2-40B4-BE49-F238E27FC236}">
              <a16:creationId xmlns:a16="http://schemas.microsoft.com/office/drawing/2014/main" id="{7A8F84A1-80A7-5F24-425F-24214315FC71}"/>
            </a:ext>
          </a:extLst>
        </xdr:cNvPr>
        <xdr:cNvSpPr txBox="1">
          <a:spLocks noChangeArrowheads="1"/>
        </xdr:cNvSpPr>
      </xdr:nvSpPr>
      <xdr:spPr bwMode="auto">
        <a:xfrm>
          <a:off x="21291550" y="1987550"/>
          <a:ext cx="13081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30</xdr:col>
      <xdr:colOff>95250</xdr:colOff>
      <xdr:row>9</xdr:row>
      <xdr:rowOff>152400</xdr:rowOff>
    </xdr:from>
    <xdr:to>
      <xdr:col>31</xdr:col>
      <xdr:colOff>647700</xdr:colOff>
      <xdr:row>13</xdr:row>
      <xdr:rowOff>114300</xdr:rowOff>
    </xdr:to>
    <xdr:sp macro="" textlink="">
      <xdr:nvSpPr>
        <xdr:cNvPr id="368656" name="Text Box 16" hidden="1">
          <a:extLst>
            <a:ext uri="{FF2B5EF4-FFF2-40B4-BE49-F238E27FC236}">
              <a16:creationId xmlns:a16="http://schemas.microsoft.com/office/drawing/2014/main" id="{ECB6F364-6E98-DA93-F23A-49EFDE78E3F2}"/>
            </a:ext>
          </a:extLst>
        </xdr:cNvPr>
        <xdr:cNvSpPr txBox="1">
          <a:spLocks noChangeArrowheads="1"/>
        </xdr:cNvSpPr>
      </xdr:nvSpPr>
      <xdr:spPr bwMode="auto">
        <a:xfrm>
          <a:off x="25571450" y="20066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10</xdr:row>
      <xdr:rowOff>152400</xdr:rowOff>
    </xdr:from>
    <xdr:to>
      <xdr:col>34</xdr:col>
      <xdr:colOff>647700</xdr:colOff>
      <xdr:row>14</xdr:row>
      <xdr:rowOff>152400</xdr:rowOff>
    </xdr:to>
    <xdr:sp macro="" textlink="">
      <xdr:nvSpPr>
        <xdr:cNvPr id="368655" name="Text Box 15" hidden="1">
          <a:extLst>
            <a:ext uri="{FF2B5EF4-FFF2-40B4-BE49-F238E27FC236}">
              <a16:creationId xmlns:a16="http://schemas.microsoft.com/office/drawing/2014/main" id="{50764A32-3D24-15D5-8903-8AB01105D049}"/>
            </a:ext>
          </a:extLst>
        </xdr:cNvPr>
        <xdr:cNvSpPr txBox="1">
          <a:spLocks noChangeArrowheads="1"/>
        </xdr:cNvSpPr>
      </xdr:nvSpPr>
      <xdr:spPr bwMode="auto">
        <a:xfrm>
          <a:off x="27857450" y="22225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68" name="Text Box 28" hidden="1">
          <a:extLst>
            <a:ext uri="{FF2B5EF4-FFF2-40B4-BE49-F238E27FC236}">
              <a16:creationId xmlns:a16="http://schemas.microsoft.com/office/drawing/2014/main" id="{53594DD5-EC1B-5F66-F4F8-D6A8B4FA8C6E}"/>
            </a:ext>
          </a:extLst>
        </xdr:cNvPr>
        <xdr:cNvSpPr txBox="1">
          <a:spLocks noChangeArrowheads="1"/>
        </xdr:cNvSpPr>
      </xdr:nvSpPr>
      <xdr:spPr bwMode="auto">
        <a:xfrm>
          <a:off x="4883150" y="3378200"/>
          <a:ext cx="14097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67" name="Text Box 27" hidden="1">
          <a:extLst>
            <a:ext uri="{FF2B5EF4-FFF2-40B4-BE49-F238E27FC236}">
              <a16:creationId xmlns:a16="http://schemas.microsoft.com/office/drawing/2014/main" id="{3CCBA0CB-3931-3B10-0269-D94322CA8376}"/>
            </a:ext>
          </a:extLst>
        </xdr:cNvPr>
        <xdr:cNvSpPr txBox="1">
          <a:spLocks noChangeArrowheads="1"/>
        </xdr:cNvSpPr>
      </xdr:nvSpPr>
      <xdr:spPr bwMode="auto">
        <a:xfrm>
          <a:off x="4845050" y="15176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66" name="Text Box 26" hidden="1">
          <a:extLst>
            <a:ext uri="{FF2B5EF4-FFF2-40B4-BE49-F238E27FC236}">
              <a16:creationId xmlns:a16="http://schemas.microsoft.com/office/drawing/2014/main" id="{DAF46A2F-AF3B-7CBC-6D4F-D8BDDB93189E}"/>
            </a:ext>
          </a:extLst>
        </xdr:cNvPr>
        <xdr:cNvSpPr txBox="1">
          <a:spLocks noChangeArrowheads="1"/>
        </xdr:cNvSpPr>
      </xdr:nvSpPr>
      <xdr:spPr bwMode="auto">
        <a:xfrm>
          <a:off x="4845050" y="1778000"/>
          <a:ext cx="129540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62" name="Text Box 22" hidden="1">
          <a:extLst>
            <a:ext uri="{FF2B5EF4-FFF2-40B4-BE49-F238E27FC236}">
              <a16:creationId xmlns:a16="http://schemas.microsoft.com/office/drawing/2014/main" id="{C949C47B-BA9C-237F-4B0F-4157AA0EA8EF}"/>
            </a:ext>
          </a:extLst>
        </xdr:cNvPr>
        <xdr:cNvSpPr txBox="1">
          <a:spLocks noChangeArrowheads="1"/>
        </xdr:cNvSpPr>
      </xdr:nvSpPr>
      <xdr:spPr bwMode="auto">
        <a:xfrm>
          <a:off x="27857450" y="2006600"/>
          <a:ext cx="13144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24</xdr:row>
      <xdr:rowOff>304800</xdr:rowOff>
    </xdr:from>
    <xdr:to>
      <xdr:col>26</xdr:col>
      <xdr:colOff>171450</xdr:colOff>
      <xdr:row>28</xdr:row>
      <xdr:rowOff>38100</xdr:rowOff>
    </xdr:to>
    <xdr:sp macro="" textlink="">
      <xdr:nvSpPr>
        <xdr:cNvPr id="368669" name="Text Box 29" hidden="1">
          <a:extLst>
            <a:ext uri="{FF2B5EF4-FFF2-40B4-BE49-F238E27FC236}">
              <a16:creationId xmlns:a16="http://schemas.microsoft.com/office/drawing/2014/main" id="{E4C56473-1993-0092-9660-492BB6C9180A}"/>
            </a:ext>
          </a:extLst>
        </xdr:cNvPr>
        <xdr:cNvSpPr txBox="1">
          <a:spLocks noChangeArrowheads="1"/>
        </xdr:cNvSpPr>
      </xdr:nvSpPr>
      <xdr:spPr bwMode="auto">
        <a:xfrm>
          <a:off x="21291550" y="52641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74" name="Text Box 34" hidden="1">
          <a:extLst>
            <a:ext uri="{FF2B5EF4-FFF2-40B4-BE49-F238E27FC236}">
              <a16:creationId xmlns:a16="http://schemas.microsoft.com/office/drawing/2014/main" id="{244BCEB2-14C2-B97F-DA54-3A12F4674A05}"/>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73" name="Text Box 33" hidden="1">
          <a:extLst>
            <a:ext uri="{FF2B5EF4-FFF2-40B4-BE49-F238E27FC236}">
              <a16:creationId xmlns:a16="http://schemas.microsoft.com/office/drawing/2014/main" id="{59566220-809B-CEF1-F23B-C017CD228F6F}"/>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72" name="Text Box 32" hidden="1">
          <a:extLst>
            <a:ext uri="{FF2B5EF4-FFF2-40B4-BE49-F238E27FC236}">
              <a16:creationId xmlns:a16="http://schemas.microsoft.com/office/drawing/2014/main" id="{5F3C0D9D-2B8F-5BBE-1EF9-0D13624522C9}"/>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71" name="Text Box 31" hidden="1">
          <a:extLst>
            <a:ext uri="{FF2B5EF4-FFF2-40B4-BE49-F238E27FC236}">
              <a16:creationId xmlns:a16="http://schemas.microsoft.com/office/drawing/2014/main" id="{03887A45-6D61-8C22-1589-4500077D04D9}"/>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75" name="Text Box 35" hidden="1">
          <a:extLst>
            <a:ext uri="{FF2B5EF4-FFF2-40B4-BE49-F238E27FC236}">
              <a16:creationId xmlns:a16="http://schemas.microsoft.com/office/drawing/2014/main" id="{2CD2F85C-4397-13F1-305F-FA2C8EC59E26}"/>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16</xdr:row>
      <xdr:rowOff>76200</xdr:rowOff>
    </xdr:from>
    <xdr:to>
      <xdr:col>3</xdr:col>
      <xdr:colOff>304800</xdr:colOff>
      <xdr:row>24</xdr:row>
      <xdr:rowOff>0</xdr:rowOff>
    </xdr:to>
    <xdr:sp macro="" textlink="">
      <xdr:nvSpPr>
        <xdr:cNvPr id="368680" name="Text Box 40" hidden="1">
          <a:extLst>
            <a:ext uri="{FF2B5EF4-FFF2-40B4-BE49-F238E27FC236}">
              <a16:creationId xmlns:a16="http://schemas.microsoft.com/office/drawing/2014/main" id="{97629537-163A-CA15-A4CC-14F086AD154A}"/>
            </a:ext>
          </a:extLst>
        </xdr:cNvPr>
        <xdr:cNvSpPr txBox="1">
          <a:spLocks noChangeArrowheads="1"/>
        </xdr:cNvSpPr>
      </xdr:nvSpPr>
      <xdr:spPr bwMode="auto">
        <a:xfrm>
          <a:off x="4883150" y="3378200"/>
          <a:ext cx="14097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368679" name="Text Box 39" hidden="1">
          <a:extLst>
            <a:ext uri="{FF2B5EF4-FFF2-40B4-BE49-F238E27FC236}">
              <a16:creationId xmlns:a16="http://schemas.microsoft.com/office/drawing/2014/main" id="{51FABE43-F573-ED45-AE3D-0E2176C5318D}"/>
            </a:ext>
          </a:extLst>
        </xdr:cNvPr>
        <xdr:cNvSpPr txBox="1">
          <a:spLocks noChangeArrowheads="1"/>
        </xdr:cNvSpPr>
      </xdr:nvSpPr>
      <xdr:spPr bwMode="auto">
        <a:xfrm>
          <a:off x="4845050" y="151765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133350</xdr:rowOff>
    </xdr:to>
    <xdr:sp macro="" textlink="">
      <xdr:nvSpPr>
        <xdr:cNvPr id="368678" name="Text Box 38" hidden="1">
          <a:extLst>
            <a:ext uri="{FF2B5EF4-FFF2-40B4-BE49-F238E27FC236}">
              <a16:creationId xmlns:a16="http://schemas.microsoft.com/office/drawing/2014/main" id="{93FB1882-EB73-5BF7-9CF0-E8BC63DAED32}"/>
            </a:ext>
          </a:extLst>
        </xdr:cNvPr>
        <xdr:cNvSpPr txBox="1">
          <a:spLocks noChangeArrowheads="1"/>
        </xdr:cNvSpPr>
      </xdr:nvSpPr>
      <xdr:spPr bwMode="auto">
        <a:xfrm>
          <a:off x="4845050" y="1778000"/>
          <a:ext cx="1295400" cy="641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33</xdr:col>
      <xdr:colOff>95250</xdr:colOff>
      <xdr:row>9</xdr:row>
      <xdr:rowOff>152400</xdr:rowOff>
    </xdr:from>
    <xdr:to>
      <xdr:col>34</xdr:col>
      <xdr:colOff>647700</xdr:colOff>
      <xdr:row>13</xdr:row>
      <xdr:rowOff>76200</xdr:rowOff>
    </xdr:to>
    <xdr:sp macro="" textlink="">
      <xdr:nvSpPr>
        <xdr:cNvPr id="368677" name="Text Box 37" hidden="1">
          <a:extLst>
            <a:ext uri="{FF2B5EF4-FFF2-40B4-BE49-F238E27FC236}">
              <a16:creationId xmlns:a16="http://schemas.microsoft.com/office/drawing/2014/main" id="{15ADD22C-F758-3EF3-9BD5-AB76EA84431E}"/>
            </a:ext>
          </a:extLst>
        </xdr:cNvPr>
        <xdr:cNvSpPr txBox="1">
          <a:spLocks noChangeArrowheads="1"/>
        </xdr:cNvSpPr>
      </xdr:nvSpPr>
      <xdr:spPr bwMode="auto">
        <a:xfrm>
          <a:off x="27857450" y="2006600"/>
          <a:ext cx="13144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30</xdr:row>
      <xdr:rowOff>95250</xdr:rowOff>
    </xdr:from>
    <xdr:to>
      <xdr:col>3</xdr:col>
      <xdr:colOff>304800</xdr:colOff>
      <xdr:row>31</xdr:row>
      <xdr:rowOff>647700</xdr:rowOff>
    </xdr:to>
    <xdr:sp macro="" textlink="">
      <xdr:nvSpPr>
        <xdr:cNvPr id="368676" name="Text Box 36" hidden="1">
          <a:extLst>
            <a:ext uri="{FF2B5EF4-FFF2-40B4-BE49-F238E27FC236}">
              <a16:creationId xmlns:a16="http://schemas.microsoft.com/office/drawing/2014/main" id="{47BB5AC4-5074-BA5B-7C54-ED037804B719}"/>
            </a:ext>
          </a:extLst>
        </xdr:cNvPr>
        <xdr:cNvSpPr txBox="1">
          <a:spLocks noChangeArrowheads="1"/>
        </xdr:cNvSpPr>
      </xdr:nvSpPr>
      <xdr:spPr bwMode="auto">
        <a:xfrm>
          <a:off x="4864100" y="6464300"/>
          <a:ext cx="14287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53" name="Text Box 29" hidden="1">
          <a:extLst>
            <a:ext uri="{FF2B5EF4-FFF2-40B4-BE49-F238E27FC236}">
              <a16:creationId xmlns:a16="http://schemas.microsoft.com/office/drawing/2014/main" id="{896F0F55-B470-09F1-AB0A-78F6D2C640B9}"/>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52" name="Text Box 28" hidden="1">
          <a:extLst>
            <a:ext uri="{FF2B5EF4-FFF2-40B4-BE49-F238E27FC236}">
              <a16:creationId xmlns:a16="http://schemas.microsoft.com/office/drawing/2014/main" id="{DCDB863C-D897-4742-BF1C-8EF93A8CC55E}"/>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51" name="Text Box 27" hidden="1">
          <a:extLst>
            <a:ext uri="{FF2B5EF4-FFF2-40B4-BE49-F238E27FC236}">
              <a16:creationId xmlns:a16="http://schemas.microsoft.com/office/drawing/2014/main" id="{CF6EE5EB-EDD0-5307-EDA5-14ABA59ED62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50" name="Text Box 26" hidden="1">
          <a:extLst>
            <a:ext uri="{FF2B5EF4-FFF2-40B4-BE49-F238E27FC236}">
              <a16:creationId xmlns:a16="http://schemas.microsoft.com/office/drawing/2014/main" id="{660659E3-1935-A713-923E-4765B9CBB8B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9" name="Text Box 25" hidden="1">
          <a:extLst>
            <a:ext uri="{FF2B5EF4-FFF2-40B4-BE49-F238E27FC236}">
              <a16:creationId xmlns:a16="http://schemas.microsoft.com/office/drawing/2014/main" id="{0AAEA95A-AFBE-16FE-A35E-B4A6AFD60A9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8" name="Text Box 24" hidden="1">
          <a:extLst>
            <a:ext uri="{FF2B5EF4-FFF2-40B4-BE49-F238E27FC236}">
              <a16:creationId xmlns:a16="http://schemas.microsoft.com/office/drawing/2014/main" id="{BEA3989D-E1F5-089F-939B-3A0409161E90}"/>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7" name="Text Box 23" hidden="1">
          <a:extLst>
            <a:ext uri="{FF2B5EF4-FFF2-40B4-BE49-F238E27FC236}">
              <a16:creationId xmlns:a16="http://schemas.microsoft.com/office/drawing/2014/main" id="{5E09549C-F6E8-3605-45F7-AF2BC70CE20B}"/>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08254" name="Text Box 30" hidden="1">
          <a:extLst>
            <a:ext uri="{FF2B5EF4-FFF2-40B4-BE49-F238E27FC236}">
              <a16:creationId xmlns:a16="http://schemas.microsoft.com/office/drawing/2014/main" id="{3F31747B-99A9-C537-A370-312B0332603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0" name="Text Box 16" hidden="1">
          <a:extLst>
            <a:ext uri="{FF2B5EF4-FFF2-40B4-BE49-F238E27FC236}">
              <a16:creationId xmlns:a16="http://schemas.microsoft.com/office/drawing/2014/main" id="{7DA8ADB7-4F4C-368A-6932-869F51C869BE}"/>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9" name="Text Box 15" hidden="1">
          <a:extLst>
            <a:ext uri="{FF2B5EF4-FFF2-40B4-BE49-F238E27FC236}">
              <a16:creationId xmlns:a16="http://schemas.microsoft.com/office/drawing/2014/main" id="{6A68B894-395C-D200-E428-7B2172B62B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8" name="Text Box 14" hidden="1">
          <a:extLst>
            <a:ext uri="{FF2B5EF4-FFF2-40B4-BE49-F238E27FC236}">
              <a16:creationId xmlns:a16="http://schemas.microsoft.com/office/drawing/2014/main" id="{6C01FA05-2B67-C3B2-E148-89BA9A57BA8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77" name="Text Box 13" hidden="1">
          <a:extLst>
            <a:ext uri="{FF2B5EF4-FFF2-40B4-BE49-F238E27FC236}">
              <a16:creationId xmlns:a16="http://schemas.microsoft.com/office/drawing/2014/main" id="{06DE32DA-0F40-64C5-BEDF-A6C6CD79034E}"/>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76" name="Text Box 12" hidden="1">
          <a:extLst>
            <a:ext uri="{FF2B5EF4-FFF2-40B4-BE49-F238E27FC236}">
              <a16:creationId xmlns:a16="http://schemas.microsoft.com/office/drawing/2014/main" id="{DF0712FE-7285-8D0C-7405-FEA31FC79C2D}"/>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75" name="Text Box 11" hidden="1">
          <a:extLst>
            <a:ext uri="{FF2B5EF4-FFF2-40B4-BE49-F238E27FC236}">
              <a16:creationId xmlns:a16="http://schemas.microsoft.com/office/drawing/2014/main" id="{B1CFC1AF-E9BB-6342-75BF-7838438F770E}"/>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74" name="Text Box 10" hidden="1">
          <a:extLst>
            <a:ext uri="{FF2B5EF4-FFF2-40B4-BE49-F238E27FC236}">
              <a16:creationId xmlns:a16="http://schemas.microsoft.com/office/drawing/2014/main" id="{1C1533E7-7F61-88F4-1733-C0EE13E0148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73" name="Text Box 9" hidden="1">
          <a:extLst>
            <a:ext uri="{FF2B5EF4-FFF2-40B4-BE49-F238E27FC236}">
              <a16:creationId xmlns:a16="http://schemas.microsoft.com/office/drawing/2014/main" id="{EA288ED7-990F-86D7-1F28-94B4CDBD7402}"/>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72" name="Text Box 8" hidden="1">
          <a:extLst>
            <a:ext uri="{FF2B5EF4-FFF2-40B4-BE49-F238E27FC236}">
              <a16:creationId xmlns:a16="http://schemas.microsoft.com/office/drawing/2014/main" id="{181A0BD8-8604-F4E1-F87B-AD5F6C5EEA8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71" name="Text Box 7" hidden="1">
          <a:extLst>
            <a:ext uri="{FF2B5EF4-FFF2-40B4-BE49-F238E27FC236}">
              <a16:creationId xmlns:a16="http://schemas.microsoft.com/office/drawing/2014/main" id="{1A355732-56C7-C3EC-ECC5-2AB5F51ADA5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70" name="Text Box 6" hidden="1">
          <a:extLst>
            <a:ext uri="{FF2B5EF4-FFF2-40B4-BE49-F238E27FC236}">
              <a16:creationId xmlns:a16="http://schemas.microsoft.com/office/drawing/2014/main" id="{7A6E45D6-FEB7-C8C5-EED2-6A5983714FB1}"/>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69" name="Text Box 5" hidden="1">
          <a:extLst>
            <a:ext uri="{FF2B5EF4-FFF2-40B4-BE49-F238E27FC236}">
              <a16:creationId xmlns:a16="http://schemas.microsoft.com/office/drawing/2014/main" id="{C7159CC2-34E7-BC2D-BC12-EA0E2270D8D6}"/>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68" name="Text Box 4" hidden="1">
          <a:extLst>
            <a:ext uri="{FF2B5EF4-FFF2-40B4-BE49-F238E27FC236}">
              <a16:creationId xmlns:a16="http://schemas.microsoft.com/office/drawing/2014/main" id="{4D89DD34-9D08-D5A1-C1C1-5609F0047A9B}"/>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67" name="Text Box 3" hidden="1">
          <a:extLst>
            <a:ext uri="{FF2B5EF4-FFF2-40B4-BE49-F238E27FC236}">
              <a16:creationId xmlns:a16="http://schemas.microsoft.com/office/drawing/2014/main" id="{1030D8B4-5D72-69BD-3557-80F531D86BBC}"/>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66" name="Text Box 2" hidden="1">
          <a:extLst>
            <a:ext uri="{FF2B5EF4-FFF2-40B4-BE49-F238E27FC236}">
              <a16:creationId xmlns:a16="http://schemas.microsoft.com/office/drawing/2014/main" id="{2A212A8F-8C0A-DE63-E875-81242384684F}"/>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65" name="Text Box 1" hidden="1">
          <a:extLst>
            <a:ext uri="{FF2B5EF4-FFF2-40B4-BE49-F238E27FC236}">
              <a16:creationId xmlns:a16="http://schemas.microsoft.com/office/drawing/2014/main" id="{162118B3-10C4-48ED-12B7-14BA8D322AC3}"/>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88" name="Text Box 24" hidden="1">
          <a:extLst>
            <a:ext uri="{FF2B5EF4-FFF2-40B4-BE49-F238E27FC236}">
              <a16:creationId xmlns:a16="http://schemas.microsoft.com/office/drawing/2014/main" id="{5467D302-CEB5-51C3-37CF-BF5D3F42A85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87" name="Text Box 23" hidden="1">
          <a:extLst>
            <a:ext uri="{FF2B5EF4-FFF2-40B4-BE49-F238E27FC236}">
              <a16:creationId xmlns:a16="http://schemas.microsoft.com/office/drawing/2014/main" id="{35776612-1208-ED38-3900-C98454FBBC5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86" name="Text Box 22" hidden="1">
          <a:extLst>
            <a:ext uri="{FF2B5EF4-FFF2-40B4-BE49-F238E27FC236}">
              <a16:creationId xmlns:a16="http://schemas.microsoft.com/office/drawing/2014/main" id="{E208F5C5-5C22-9EDA-5E72-4ED69A9379B5}"/>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85" name="Text Box 21" hidden="1">
          <a:extLst>
            <a:ext uri="{FF2B5EF4-FFF2-40B4-BE49-F238E27FC236}">
              <a16:creationId xmlns:a16="http://schemas.microsoft.com/office/drawing/2014/main" id="{48C582CC-A3BC-BCD9-2CB9-E10519EFBA6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84" name="Text Box 20" hidden="1">
          <a:extLst>
            <a:ext uri="{FF2B5EF4-FFF2-40B4-BE49-F238E27FC236}">
              <a16:creationId xmlns:a16="http://schemas.microsoft.com/office/drawing/2014/main" id="{FBFAAC90-F022-13A1-210C-6331A4A13CF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83" name="Text Box 19" hidden="1">
          <a:extLst>
            <a:ext uri="{FF2B5EF4-FFF2-40B4-BE49-F238E27FC236}">
              <a16:creationId xmlns:a16="http://schemas.microsoft.com/office/drawing/2014/main" id="{8D641799-9B57-5FC0-3E1C-4B2D421E6BE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82" name="Text Box 18" hidden="1">
          <a:extLst>
            <a:ext uri="{FF2B5EF4-FFF2-40B4-BE49-F238E27FC236}">
              <a16:creationId xmlns:a16="http://schemas.microsoft.com/office/drawing/2014/main" id="{25A1D659-F7C2-66D2-9334-392A2AAD9FD7}"/>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1" name="Text Box 17" hidden="1">
          <a:extLst>
            <a:ext uri="{FF2B5EF4-FFF2-40B4-BE49-F238E27FC236}">
              <a16:creationId xmlns:a16="http://schemas.microsoft.com/office/drawing/2014/main" id="{6A04C9B4-FF9A-D088-29AA-F05AB0A6A05E}"/>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696" name="Text Box 32" hidden="1">
          <a:extLst>
            <a:ext uri="{FF2B5EF4-FFF2-40B4-BE49-F238E27FC236}">
              <a16:creationId xmlns:a16="http://schemas.microsoft.com/office/drawing/2014/main" id="{563E5E3F-EFFE-04A9-A059-1AD268A3C8A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695" name="Text Box 31" hidden="1">
          <a:extLst>
            <a:ext uri="{FF2B5EF4-FFF2-40B4-BE49-F238E27FC236}">
              <a16:creationId xmlns:a16="http://schemas.microsoft.com/office/drawing/2014/main" id="{B0F19E8D-B2F0-D1F2-8FF5-F197D9A2DD79}"/>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694" name="Text Box 30" hidden="1">
          <a:extLst>
            <a:ext uri="{FF2B5EF4-FFF2-40B4-BE49-F238E27FC236}">
              <a16:creationId xmlns:a16="http://schemas.microsoft.com/office/drawing/2014/main" id="{CA0F3F70-5895-F3C3-1744-B915768197BF}"/>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693" name="Text Box 29" hidden="1">
          <a:extLst>
            <a:ext uri="{FF2B5EF4-FFF2-40B4-BE49-F238E27FC236}">
              <a16:creationId xmlns:a16="http://schemas.microsoft.com/office/drawing/2014/main" id="{DF00D69E-41A3-7D59-840D-E555D89C1DF8}"/>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692" name="Text Box 28" hidden="1">
          <a:extLst>
            <a:ext uri="{FF2B5EF4-FFF2-40B4-BE49-F238E27FC236}">
              <a16:creationId xmlns:a16="http://schemas.microsoft.com/office/drawing/2014/main" id="{27F37516-E6AF-5C60-D80E-E04B9A4BAC9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1" name="Text Box 27" hidden="1">
          <a:extLst>
            <a:ext uri="{FF2B5EF4-FFF2-40B4-BE49-F238E27FC236}">
              <a16:creationId xmlns:a16="http://schemas.microsoft.com/office/drawing/2014/main" id="{AA9B7B25-A61A-9438-DC70-CA144D0B30D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0" name="Text Box 26" hidden="1">
          <a:extLst>
            <a:ext uri="{FF2B5EF4-FFF2-40B4-BE49-F238E27FC236}">
              <a16:creationId xmlns:a16="http://schemas.microsoft.com/office/drawing/2014/main" id="{1105159C-E173-600D-F8D9-76E40FE5E04E}"/>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89" name="Text Box 25" hidden="1">
          <a:extLst>
            <a:ext uri="{FF2B5EF4-FFF2-40B4-BE49-F238E27FC236}">
              <a16:creationId xmlns:a16="http://schemas.microsoft.com/office/drawing/2014/main" id="{F330EC1B-E05C-DBC1-AEF4-07D389BCED76}"/>
            </a:ext>
          </a:extLst>
        </xdr:cNvPr>
        <xdr:cNvSpPr txBox="1">
          <a:spLocks noChangeArrowheads="1"/>
        </xdr:cNvSpPr>
      </xdr:nvSpPr>
      <xdr:spPr bwMode="auto">
        <a:xfrm>
          <a:off x="14262100" y="1917700"/>
          <a:ext cx="13335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04" name="Text Box 40" hidden="1">
          <a:extLst>
            <a:ext uri="{FF2B5EF4-FFF2-40B4-BE49-F238E27FC236}">
              <a16:creationId xmlns:a16="http://schemas.microsoft.com/office/drawing/2014/main" id="{F532B9BB-0809-9DB6-6BC8-AC1709CF9D79}"/>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03" name="Text Box 39" hidden="1">
          <a:extLst>
            <a:ext uri="{FF2B5EF4-FFF2-40B4-BE49-F238E27FC236}">
              <a16:creationId xmlns:a16="http://schemas.microsoft.com/office/drawing/2014/main" id="{CF221559-7CE0-A33F-ABBB-C38C3823BDDD}"/>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02" name="Text Box 38" hidden="1">
          <a:extLst>
            <a:ext uri="{FF2B5EF4-FFF2-40B4-BE49-F238E27FC236}">
              <a16:creationId xmlns:a16="http://schemas.microsoft.com/office/drawing/2014/main" id="{36BC0BEF-6DF7-8328-38D2-A53116FDA7B1}"/>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01" name="Text Box 37" hidden="1">
          <a:extLst>
            <a:ext uri="{FF2B5EF4-FFF2-40B4-BE49-F238E27FC236}">
              <a16:creationId xmlns:a16="http://schemas.microsoft.com/office/drawing/2014/main" id="{48417467-A3EE-E002-4724-738A14E61455}"/>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00" name="Text Box 36" hidden="1">
          <a:extLst>
            <a:ext uri="{FF2B5EF4-FFF2-40B4-BE49-F238E27FC236}">
              <a16:creationId xmlns:a16="http://schemas.microsoft.com/office/drawing/2014/main" id="{11429DDC-E889-E334-C374-582E6D88CCA9}"/>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699" name="Text Box 35" hidden="1">
          <a:extLst>
            <a:ext uri="{FF2B5EF4-FFF2-40B4-BE49-F238E27FC236}">
              <a16:creationId xmlns:a16="http://schemas.microsoft.com/office/drawing/2014/main" id="{26B9D6C5-9BF4-237D-945F-013369841A35}"/>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698" name="Text Box 34" hidden="1">
          <a:extLst>
            <a:ext uri="{FF2B5EF4-FFF2-40B4-BE49-F238E27FC236}">
              <a16:creationId xmlns:a16="http://schemas.microsoft.com/office/drawing/2014/main" id="{CE7DEF2F-7C02-AAB3-BE14-9C38F4599BAE}"/>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697" name="Text Box 33" hidden="1">
          <a:extLst>
            <a:ext uri="{FF2B5EF4-FFF2-40B4-BE49-F238E27FC236}">
              <a16:creationId xmlns:a16="http://schemas.microsoft.com/office/drawing/2014/main" id="{9317E56F-1649-F2D6-BD03-D32BE08C2E4A}"/>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69712" name="Text Box 48" hidden="1">
          <a:extLst>
            <a:ext uri="{FF2B5EF4-FFF2-40B4-BE49-F238E27FC236}">
              <a16:creationId xmlns:a16="http://schemas.microsoft.com/office/drawing/2014/main" id="{114226ED-809A-28DA-C3A3-BC05A0816B3D}"/>
            </a:ext>
          </a:extLst>
        </xdr:cNvPr>
        <xdr:cNvSpPr txBox="1">
          <a:spLocks noChangeArrowheads="1"/>
        </xdr:cNvSpPr>
      </xdr:nvSpPr>
      <xdr:spPr bwMode="auto">
        <a:xfrm>
          <a:off x="11537950" y="47752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69711" name="Text Box 47" hidden="1">
          <a:extLst>
            <a:ext uri="{FF2B5EF4-FFF2-40B4-BE49-F238E27FC236}">
              <a16:creationId xmlns:a16="http://schemas.microsoft.com/office/drawing/2014/main" id="{D37DCA9E-79F3-B763-5726-6F3A2FC1BA7D}"/>
            </a:ext>
          </a:extLst>
        </xdr:cNvPr>
        <xdr:cNvSpPr txBox="1">
          <a:spLocks noChangeArrowheads="1"/>
        </xdr:cNvSpPr>
      </xdr:nvSpPr>
      <xdr:spPr bwMode="auto">
        <a:xfrm>
          <a:off x="12477750" y="37465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69710" name="Text Box 46" hidden="1">
          <a:extLst>
            <a:ext uri="{FF2B5EF4-FFF2-40B4-BE49-F238E27FC236}">
              <a16:creationId xmlns:a16="http://schemas.microsoft.com/office/drawing/2014/main" id="{78997BE3-5575-16F9-F3DA-F32BA77D8079}"/>
            </a:ext>
          </a:extLst>
        </xdr:cNvPr>
        <xdr:cNvSpPr txBox="1">
          <a:spLocks noChangeArrowheads="1"/>
        </xdr:cNvSpPr>
      </xdr:nvSpPr>
      <xdr:spPr bwMode="auto">
        <a:xfrm>
          <a:off x="12515850" y="3194050"/>
          <a:ext cx="139065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69709" name="Text Box 45" hidden="1">
          <a:extLst>
            <a:ext uri="{FF2B5EF4-FFF2-40B4-BE49-F238E27FC236}">
              <a16:creationId xmlns:a16="http://schemas.microsoft.com/office/drawing/2014/main" id="{AFBAB7BD-4003-D293-99BE-ED91DDFA72A8}"/>
            </a:ext>
          </a:extLst>
        </xdr:cNvPr>
        <xdr:cNvSpPr txBox="1">
          <a:spLocks noChangeArrowheads="1"/>
        </xdr:cNvSpPr>
      </xdr:nvSpPr>
      <xdr:spPr bwMode="auto">
        <a:xfrm>
          <a:off x="12966700" y="8763000"/>
          <a:ext cx="1390650" cy="571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69708" name="Text Box 44" hidden="1">
          <a:extLst>
            <a:ext uri="{FF2B5EF4-FFF2-40B4-BE49-F238E27FC236}">
              <a16:creationId xmlns:a16="http://schemas.microsoft.com/office/drawing/2014/main" id="{33960E2F-35D8-EFF6-355E-59F41833E23D}"/>
            </a:ext>
          </a:extLst>
        </xdr:cNvPr>
        <xdr:cNvSpPr txBox="1">
          <a:spLocks noChangeArrowheads="1"/>
        </xdr:cNvSpPr>
      </xdr:nvSpPr>
      <xdr:spPr bwMode="auto">
        <a:xfrm>
          <a:off x="12439650" y="8382000"/>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69707" name="Text Box 43" hidden="1">
          <a:extLst>
            <a:ext uri="{FF2B5EF4-FFF2-40B4-BE49-F238E27FC236}">
              <a16:creationId xmlns:a16="http://schemas.microsoft.com/office/drawing/2014/main" id="{EC09C188-EB14-1F21-E280-8009725C4312}"/>
            </a:ext>
          </a:extLst>
        </xdr:cNvPr>
        <xdr:cNvSpPr txBox="1">
          <a:spLocks noChangeArrowheads="1"/>
        </xdr:cNvSpPr>
      </xdr:nvSpPr>
      <xdr:spPr bwMode="auto">
        <a:xfrm>
          <a:off x="4292600" y="4521200"/>
          <a:ext cx="12954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69706" name="Text Box 42" hidden="1">
          <a:extLst>
            <a:ext uri="{FF2B5EF4-FFF2-40B4-BE49-F238E27FC236}">
              <a16:creationId xmlns:a16="http://schemas.microsoft.com/office/drawing/2014/main" id="{5E940F54-FE02-F410-4CB0-5921F7D19031}"/>
            </a:ext>
          </a:extLst>
        </xdr:cNvPr>
        <xdr:cNvSpPr txBox="1">
          <a:spLocks noChangeArrowheads="1"/>
        </xdr:cNvSpPr>
      </xdr:nvSpPr>
      <xdr:spPr bwMode="auto">
        <a:xfrm>
          <a:off x="13830300" y="3378200"/>
          <a:ext cx="131445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25</xdr:col>
      <xdr:colOff>76200</xdr:colOff>
      <xdr:row>14</xdr:row>
      <xdr:rowOff>133350</xdr:rowOff>
    </xdr:to>
    <xdr:sp macro="" textlink="">
      <xdr:nvSpPr>
        <xdr:cNvPr id="369705" name="Text Box 41" hidden="1">
          <a:extLst>
            <a:ext uri="{FF2B5EF4-FFF2-40B4-BE49-F238E27FC236}">
              <a16:creationId xmlns:a16="http://schemas.microsoft.com/office/drawing/2014/main" id="{02160436-9086-E5C9-2CD6-B8582A64F166}"/>
            </a:ext>
          </a:extLst>
        </xdr:cNvPr>
        <xdr:cNvSpPr txBox="1">
          <a:spLocks noChangeArrowheads="1"/>
        </xdr:cNvSpPr>
      </xdr:nvSpPr>
      <xdr:spPr bwMode="auto">
        <a:xfrm>
          <a:off x="14262100" y="1917700"/>
          <a:ext cx="13335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9525</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101600</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292100</xdr:colOff>
      <xdr:row>28</xdr:row>
      <xdr:rowOff>171450</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09264" name="Text Box 16" hidden="1">
          <a:extLst>
            <a:ext uri="{FF2B5EF4-FFF2-40B4-BE49-F238E27FC236}">
              <a16:creationId xmlns:a16="http://schemas.microsoft.com/office/drawing/2014/main" id="{165B4ABB-D881-3113-D8E0-9FAB01A349EF}"/>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63" name="Text Box 15" hidden="1">
          <a:extLst>
            <a:ext uri="{FF2B5EF4-FFF2-40B4-BE49-F238E27FC236}">
              <a16:creationId xmlns:a16="http://schemas.microsoft.com/office/drawing/2014/main" id="{20792653-3AF8-D57B-C0DE-4A09F9C608B3}"/>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09262" name="Text Box 14" hidden="1">
          <a:extLst>
            <a:ext uri="{FF2B5EF4-FFF2-40B4-BE49-F238E27FC236}">
              <a16:creationId xmlns:a16="http://schemas.microsoft.com/office/drawing/2014/main" id="{35A8EB0E-97B3-1513-0605-A7875557E056}"/>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09265" name="Text Box 17" hidden="1">
          <a:extLst>
            <a:ext uri="{FF2B5EF4-FFF2-40B4-BE49-F238E27FC236}">
              <a16:creationId xmlns:a16="http://schemas.microsoft.com/office/drawing/2014/main" id="{A60E1D04-4118-B882-DA80-E407CFE50C67}"/>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09266" name="Text Box 18" hidden="1">
          <a:extLst>
            <a:ext uri="{FF2B5EF4-FFF2-40B4-BE49-F238E27FC236}">
              <a16:creationId xmlns:a16="http://schemas.microsoft.com/office/drawing/2014/main" id="{AAA4F079-EF91-B8B0-47BF-24BA3B92BC25}"/>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8" name="Text Box 10" hidden="1">
          <a:extLst>
            <a:ext uri="{FF2B5EF4-FFF2-40B4-BE49-F238E27FC236}">
              <a16:creationId xmlns:a16="http://schemas.microsoft.com/office/drawing/2014/main" id="{856FE23B-3ADE-127F-879F-0996097CABC2}"/>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7" name="Text Box 9" hidden="1">
          <a:extLst>
            <a:ext uri="{FF2B5EF4-FFF2-40B4-BE49-F238E27FC236}">
              <a16:creationId xmlns:a16="http://schemas.microsoft.com/office/drawing/2014/main" id="{9DBF09AD-853B-2C77-C580-AE77F301D23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696" name="Text Box 8" hidden="1">
          <a:extLst>
            <a:ext uri="{FF2B5EF4-FFF2-40B4-BE49-F238E27FC236}">
              <a16:creationId xmlns:a16="http://schemas.microsoft.com/office/drawing/2014/main" id="{98DB02AB-897F-D97B-AABE-4527A9F593AF}"/>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695" name="Text Box 7" hidden="1">
          <a:extLst>
            <a:ext uri="{FF2B5EF4-FFF2-40B4-BE49-F238E27FC236}">
              <a16:creationId xmlns:a16="http://schemas.microsoft.com/office/drawing/2014/main" id="{89E83E91-B4C1-7AD3-DEBB-E55749FE4932}"/>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4" name="Text Box 6" hidden="1">
          <a:extLst>
            <a:ext uri="{FF2B5EF4-FFF2-40B4-BE49-F238E27FC236}">
              <a16:creationId xmlns:a16="http://schemas.microsoft.com/office/drawing/2014/main" id="{71BD4394-83B8-C08B-294E-A618453E2530}"/>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693" name="Text Box 5" hidden="1">
          <a:extLst>
            <a:ext uri="{FF2B5EF4-FFF2-40B4-BE49-F238E27FC236}">
              <a16:creationId xmlns:a16="http://schemas.microsoft.com/office/drawing/2014/main" id="{AFFD47E8-5AF9-1E65-06D0-69D2872B26C6}"/>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692" name="Text Box 4" hidden="1">
          <a:extLst>
            <a:ext uri="{FF2B5EF4-FFF2-40B4-BE49-F238E27FC236}">
              <a16:creationId xmlns:a16="http://schemas.microsoft.com/office/drawing/2014/main" id="{321DCF27-7753-48FE-23D9-40266A97F68D}"/>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691" name="Text Box 3" hidden="1">
          <a:extLst>
            <a:ext uri="{FF2B5EF4-FFF2-40B4-BE49-F238E27FC236}">
              <a16:creationId xmlns:a16="http://schemas.microsoft.com/office/drawing/2014/main" id="{5E05BA31-97F9-2953-88DC-9143F66AAE19}"/>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690" name="Text Box 2" hidden="1">
          <a:extLst>
            <a:ext uri="{FF2B5EF4-FFF2-40B4-BE49-F238E27FC236}">
              <a16:creationId xmlns:a16="http://schemas.microsoft.com/office/drawing/2014/main" id="{427B2709-9F8D-C108-6A54-8763BCEC7925}"/>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89" name="Text Box 1" hidden="1">
          <a:extLst>
            <a:ext uri="{FF2B5EF4-FFF2-40B4-BE49-F238E27FC236}">
              <a16:creationId xmlns:a16="http://schemas.microsoft.com/office/drawing/2014/main" id="{246D367E-A196-DF20-2BC3-B2FF7B17AD96}"/>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03" name="Text Box 15" hidden="1">
          <a:extLst>
            <a:ext uri="{FF2B5EF4-FFF2-40B4-BE49-F238E27FC236}">
              <a16:creationId xmlns:a16="http://schemas.microsoft.com/office/drawing/2014/main" id="{C6BF4DD2-8802-C765-AD33-731F9945CD4C}"/>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02" name="Text Box 14" hidden="1">
          <a:extLst>
            <a:ext uri="{FF2B5EF4-FFF2-40B4-BE49-F238E27FC236}">
              <a16:creationId xmlns:a16="http://schemas.microsoft.com/office/drawing/2014/main" id="{C1549618-867B-B6A6-07D0-D10FED1D092C}"/>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01" name="Text Box 13" hidden="1">
          <a:extLst>
            <a:ext uri="{FF2B5EF4-FFF2-40B4-BE49-F238E27FC236}">
              <a16:creationId xmlns:a16="http://schemas.microsoft.com/office/drawing/2014/main" id="{5857A37F-DB07-5B80-9B77-5DDE47ACBB03}"/>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00" name="Text Box 12" hidden="1">
          <a:extLst>
            <a:ext uri="{FF2B5EF4-FFF2-40B4-BE49-F238E27FC236}">
              <a16:creationId xmlns:a16="http://schemas.microsoft.com/office/drawing/2014/main" id="{F04EBEAA-BE3F-5AC4-1989-8DA0CD8E1511}"/>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699" name="Text Box 11" hidden="1">
          <a:extLst>
            <a:ext uri="{FF2B5EF4-FFF2-40B4-BE49-F238E27FC236}">
              <a16:creationId xmlns:a16="http://schemas.microsoft.com/office/drawing/2014/main" id="{5DFA3C2E-8A73-2E9A-4B4F-F3958C92B81D}"/>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06" name="Text Box 18" hidden="1">
          <a:extLst>
            <a:ext uri="{FF2B5EF4-FFF2-40B4-BE49-F238E27FC236}">
              <a16:creationId xmlns:a16="http://schemas.microsoft.com/office/drawing/2014/main" id="{611614E0-27A3-9ECD-3CD7-6DFA2BC57F5E}"/>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12" name="Text Box 24" hidden="1">
          <a:extLst>
            <a:ext uri="{FF2B5EF4-FFF2-40B4-BE49-F238E27FC236}">
              <a16:creationId xmlns:a16="http://schemas.microsoft.com/office/drawing/2014/main" id="{673D916D-1B05-1333-EED7-2855862902D7}"/>
            </a:ext>
          </a:extLst>
        </xdr:cNvPr>
        <xdr:cNvSpPr txBox="1">
          <a:spLocks noChangeArrowheads="1"/>
        </xdr:cNvSpPr>
      </xdr:nvSpPr>
      <xdr:spPr bwMode="auto">
        <a:xfrm>
          <a:off x="3136900" y="463550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1" name="Text Box 23" hidden="1">
          <a:extLst>
            <a:ext uri="{FF2B5EF4-FFF2-40B4-BE49-F238E27FC236}">
              <a16:creationId xmlns:a16="http://schemas.microsoft.com/office/drawing/2014/main" id="{D964AD14-9B48-E525-6718-07281FD62FF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10" name="Text Box 22" hidden="1">
          <a:extLst>
            <a:ext uri="{FF2B5EF4-FFF2-40B4-BE49-F238E27FC236}">
              <a16:creationId xmlns:a16="http://schemas.microsoft.com/office/drawing/2014/main" id="{87903352-C057-1001-BD9F-5E4A249080F5}"/>
            </a:ext>
          </a:extLst>
        </xdr:cNvPr>
        <xdr:cNvSpPr txBox="1">
          <a:spLocks noChangeArrowheads="1"/>
        </xdr:cNvSpPr>
      </xdr:nvSpPr>
      <xdr:spPr bwMode="auto">
        <a:xfrm>
          <a:off x="15970250" y="7397750"/>
          <a:ext cx="14160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09" name="Text Box 21" hidden="1">
          <a:extLst>
            <a:ext uri="{FF2B5EF4-FFF2-40B4-BE49-F238E27FC236}">
              <a16:creationId xmlns:a16="http://schemas.microsoft.com/office/drawing/2014/main" id="{09CD8AC2-4FCA-1859-904A-64198765CCE0}"/>
            </a:ext>
          </a:extLst>
        </xdr:cNvPr>
        <xdr:cNvSpPr txBox="1">
          <a:spLocks noChangeArrowheads="1"/>
        </xdr:cNvSpPr>
      </xdr:nvSpPr>
      <xdr:spPr bwMode="auto">
        <a:xfrm>
          <a:off x="16554450" y="7175500"/>
          <a:ext cx="13398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08" name="Text Box 20" hidden="1">
          <a:extLst>
            <a:ext uri="{FF2B5EF4-FFF2-40B4-BE49-F238E27FC236}">
              <a16:creationId xmlns:a16="http://schemas.microsoft.com/office/drawing/2014/main" id="{CA3919A5-E23D-E846-9365-121C7CDDBCFF}"/>
            </a:ext>
          </a:extLst>
        </xdr:cNvPr>
        <xdr:cNvSpPr txBox="1">
          <a:spLocks noChangeArrowheads="1"/>
        </xdr:cNvSpPr>
      </xdr:nvSpPr>
      <xdr:spPr bwMode="auto">
        <a:xfrm>
          <a:off x="16554450" y="3695700"/>
          <a:ext cx="13398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07" name="Text Box 19" hidden="1">
          <a:extLst>
            <a:ext uri="{FF2B5EF4-FFF2-40B4-BE49-F238E27FC236}">
              <a16:creationId xmlns:a16="http://schemas.microsoft.com/office/drawing/2014/main" id="{BECD0D51-0D23-BD81-E5C9-0EC6DFED7107}"/>
            </a:ext>
          </a:extLst>
        </xdr:cNvPr>
        <xdr:cNvSpPr txBox="1">
          <a:spLocks noChangeArrowheads="1"/>
        </xdr:cNvSpPr>
      </xdr:nvSpPr>
      <xdr:spPr bwMode="auto">
        <a:xfrm>
          <a:off x="7226300" y="5848350"/>
          <a:ext cx="13081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21</xdr:row>
      <xdr:rowOff>114300</xdr:rowOff>
    </xdr:to>
    <xdr:sp macro="" textlink="">
      <xdr:nvSpPr>
        <xdr:cNvPr id="370713" name="Text Box 25" hidden="1">
          <a:extLst>
            <a:ext uri="{FF2B5EF4-FFF2-40B4-BE49-F238E27FC236}">
              <a16:creationId xmlns:a16="http://schemas.microsoft.com/office/drawing/2014/main" id="{7BB1D5D9-2831-D5EB-2BF7-4DBC78CB1EFD}"/>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20" name="Text Box 32" hidden="1">
          <a:extLst>
            <a:ext uri="{FF2B5EF4-FFF2-40B4-BE49-F238E27FC236}">
              <a16:creationId xmlns:a16="http://schemas.microsoft.com/office/drawing/2014/main" id="{6987DC2C-D4DD-6F18-0470-8FE969F590B1}"/>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19" name="Text Box 31" hidden="1">
          <a:extLst>
            <a:ext uri="{FF2B5EF4-FFF2-40B4-BE49-F238E27FC236}">
              <a16:creationId xmlns:a16="http://schemas.microsoft.com/office/drawing/2014/main" id="{B07CEC68-592F-D7AD-994A-B2BE41154B1A}"/>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18" name="Text Box 30" hidden="1">
          <a:extLst>
            <a:ext uri="{FF2B5EF4-FFF2-40B4-BE49-F238E27FC236}">
              <a16:creationId xmlns:a16="http://schemas.microsoft.com/office/drawing/2014/main" id="{D23505D1-39AC-3FAC-32A3-DF8C6BDEBA1E}"/>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17" name="Text Box 29" hidden="1">
          <a:extLst>
            <a:ext uri="{FF2B5EF4-FFF2-40B4-BE49-F238E27FC236}">
              <a16:creationId xmlns:a16="http://schemas.microsoft.com/office/drawing/2014/main" id="{FC47A7C5-93D3-3FED-7064-2553B5A49C88}"/>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16" name="Text Box 28" hidden="1">
          <a:extLst>
            <a:ext uri="{FF2B5EF4-FFF2-40B4-BE49-F238E27FC236}">
              <a16:creationId xmlns:a16="http://schemas.microsoft.com/office/drawing/2014/main" id="{D3754FB0-7ADE-1ACA-D46B-48102D3E23AD}"/>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15" name="Text Box 27" hidden="1">
          <a:extLst>
            <a:ext uri="{FF2B5EF4-FFF2-40B4-BE49-F238E27FC236}">
              <a16:creationId xmlns:a16="http://schemas.microsoft.com/office/drawing/2014/main" id="{873FCDBF-AA28-A300-12AD-31EB1F8CB945}"/>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21</xdr:row>
      <xdr:rowOff>114300</xdr:rowOff>
    </xdr:to>
    <xdr:sp macro="" textlink="">
      <xdr:nvSpPr>
        <xdr:cNvPr id="370714" name="Text Box 26" hidden="1">
          <a:extLst>
            <a:ext uri="{FF2B5EF4-FFF2-40B4-BE49-F238E27FC236}">
              <a16:creationId xmlns:a16="http://schemas.microsoft.com/office/drawing/2014/main" id="{1555602B-1F7B-939F-15B4-4FB753128A88}"/>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171450</xdr:rowOff>
    </xdr:from>
    <xdr:to>
      <xdr:col>4</xdr:col>
      <xdr:colOff>0</xdr:colOff>
      <xdr:row>19</xdr:row>
      <xdr:rowOff>95250</xdr:rowOff>
    </xdr:to>
    <xdr:sp macro="" textlink="">
      <xdr:nvSpPr>
        <xdr:cNvPr id="370727" name="Text Box 39" hidden="1">
          <a:extLst>
            <a:ext uri="{FF2B5EF4-FFF2-40B4-BE49-F238E27FC236}">
              <a16:creationId xmlns:a16="http://schemas.microsoft.com/office/drawing/2014/main" id="{E3C40CBC-1BF0-E77E-B7D7-74C219868EFF}"/>
            </a:ext>
          </a:extLst>
        </xdr:cNvPr>
        <xdr:cNvSpPr txBox="1">
          <a:spLocks noChangeArrowheads="1"/>
        </xdr:cNvSpPr>
      </xdr:nvSpPr>
      <xdr:spPr bwMode="auto">
        <a:xfrm>
          <a:off x="3136900" y="4635500"/>
          <a:ext cx="1371600" cy="1377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70726" name="Text Box 38" hidden="1">
          <a:extLst>
            <a:ext uri="{FF2B5EF4-FFF2-40B4-BE49-F238E27FC236}">
              <a16:creationId xmlns:a16="http://schemas.microsoft.com/office/drawing/2014/main" id="{AFA6A7E6-6E4C-43CB-6225-23287F85AB8B}"/>
            </a:ext>
          </a:extLst>
        </xdr:cNvPr>
        <xdr:cNvSpPr txBox="1">
          <a:spLocks noChangeArrowheads="1"/>
        </xdr:cNvSpPr>
      </xdr:nvSpPr>
      <xdr:spPr bwMode="auto">
        <a:xfrm>
          <a:off x="15894050" y="3695700"/>
          <a:ext cx="13589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285750</xdr:colOff>
      <xdr:row>28</xdr:row>
      <xdr:rowOff>171450</xdr:rowOff>
    </xdr:to>
    <xdr:sp macro="" textlink="">
      <xdr:nvSpPr>
        <xdr:cNvPr id="370725" name="Text Box 37" hidden="1">
          <a:extLst>
            <a:ext uri="{FF2B5EF4-FFF2-40B4-BE49-F238E27FC236}">
              <a16:creationId xmlns:a16="http://schemas.microsoft.com/office/drawing/2014/main" id="{B687F4AF-37C4-201B-9CF9-7A5FE533A67F}"/>
            </a:ext>
          </a:extLst>
        </xdr:cNvPr>
        <xdr:cNvSpPr txBox="1">
          <a:spLocks noChangeArrowheads="1"/>
        </xdr:cNvSpPr>
      </xdr:nvSpPr>
      <xdr:spPr bwMode="auto">
        <a:xfrm>
          <a:off x="15970250" y="7397750"/>
          <a:ext cx="141605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24</xdr:row>
      <xdr:rowOff>114300</xdr:rowOff>
    </xdr:from>
    <xdr:to>
      <xdr:col>25</xdr:col>
      <xdr:colOff>152400</xdr:colOff>
      <xdr:row>27</xdr:row>
      <xdr:rowOff>228600</xdr:rowOff>
    </xdr:to>
    <xdr:sp macro="" textlink="">
      <xdr:nvSpPr>
        <xdr:cNvPr id="370724" name="Text Box 36" hidden="1">
          <a:extLst>
            <a:ext uri="{FF2B5EF4-FFF2-40B4-BE49-F238E27FC236}">
              <a16:creationId xmlns:a16="http://schemas.microsoft.com/office/drawing/2014/main" id="{50240B5A-64F8-B03C-5050-20A0CF16BE9E}"/>
            </a:ext>
          </a:extLst>
        </xdr:cNvPr>
        <xdr:cNvSpPr txBox="1">
          <a:spLocks noChangeArrowheads="1"/>
        </xdr:cNvSpPr>
      </xdr:nvSpPr>
      <xdr:spPr bwMode="auto">
        <a:xfrm>
          <a:off x="16554450" y="7175500"/>
          <a:ext cx="13398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95250</xdr:colOff>
      <xdr:row>10</xdr:row>
      <xdr:rowOff>114300</xdr:rowOff>
    </xdr:from>
    <xdr:to>
      <xdr:col>25</xdr:col>
      <xdr:colOff>152400</xdr:colOff>
      <xdr:row>13</xdr:row>
      <xdr:rowOff>19050</xdr:rowOff>
    </xdr:to>
    <xdr:sp macro="" textlink="">
      <xdr:nvSpPr>
        <xdr:cNvPr id="370723" name="Text Box 35" hidden="1">
          <a:extLst>
            <a:ext uri="{FF2B5EF4-FFF2-40B4-BE49-F238E27FC236}">
              <a16:creationId xmlns:a16="http://schemas.microsoft.com/office/drawing/2014/main" id="{F64579FF-A2C1-E08E-C892-08D9FDB673F6}"/>
            </a:ext>
          </a:extLst>
        </xdr:cNvPr>
        <xdr:cNvSpPr txBox="1">
          <a:spLocks noChangeArrowheads="1"/>
        </xdr:cNvSpPr>
      </xdr:nvSpPr>
      <xdr:spPr bwMode="auto">
        <a:xfrm>
          <a:off x="16554450" y="3695700"/>
          <a:ext cx="133985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18</xdr:row>
      <xdr:rowOff>114300</xdr:rowOff>
    </xdr:from>
    <xdr:to>
      <xdr:col>10</xdr:col>
      <xdr:colOff>361950</xdr:colOff>
      <xdr:row>21</xdr:row>
      <xdr:rowOff>114300</xdr:rowOff>
    </xdr:to>
    <xdr:sp macro="" textlink="">
      <xdr:nvSpPr>
        <xdr:cNvPr id="370722" name="Text Box 34" hidden="1">
          <a:extLst>
            <a:ext uri="{FF2B5EF4-FFF2-40B4-BE49-F238E27FC236}">
              <a16:creationId xmlns:a16="http://schemas.microsoft.com/office/drawing/2014/main" id="{EAE5C52F-F8F8-A3E1-7A3E-BF26A1562307}"/>
            </a:ext>
          </a:extLst>
        </xdr:cNvPr>
        <xdr:cNvSpPr txBox="1">
          <a:spLocks noChangeArrowheads="1"/>
        </xdr:cNvSpPr>
      </xdr:nvSpPr>
      <xdr:spPr bwMode="auto">
        <a:xfrm>
          <a:off x="72263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95250</xdr:colOff>
      <xdr:row>18</xdr:row>
      <xdr:rowOff>114300</xdr:rowOff>
    </xdr:from>
    <xdr:to>
      <xdr:col>9</xdr:col>
      <xdr:colOff>361950</xdr:colOff>
      <xdr:row>21</xdr:row>
      <xdr:rowOff>114300</xdr:rowOff>
    </xdr:to>
    <xdr:sp macro="" textlink="">
      <xdr:nvSpPr>
        <xdr:cNvPr id="370721" name="Text Box 33" hidden="1">
          <a:extLst>
            <a:ext uri="{FF2B5EF4-FFF2-40B4-BE49-F238E27FC236}">
              <a16:creationId xmlns:a16="http://schemas.microsoft.com/office/drawing/2014/main" id="{DE5BA30C-9C5B-1D91-5474-259C3BF75717}"/>
            </a:ext>
          </a:extLst>
        </xdr:cNvPr>
        <xdr:cNvSpPr txBox="1">
          <a:spLocks noChangeArrowheads="1"/>
        </xdr:cNvSpPr>
      </xdr:nvSpPr>
      <xdr:spPr bwMode="auto">
        <a:xfrm>
          <a:off x="6705600" y="5848350"/>
          <a:ext cx="13081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533400</xdr:colOff>
      <xdr:row>20</xdr:row>
      <xdr:rowOff>202988</xdr:rowOff>
    </xdr:from>
    <xdr:to>
      <xdr:col>6</xdr:col>
      <xdr:colOff>0</xdr:colOff>
      <xdr:row>23</xdr:row>
      <xdr:rowOff>105127</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141330</xdr:rowOff>
    </xdr:from>
    <xdr:to>
      <xdr:col>4</xdr:col>
      <xdr:colOff>228600</xdr:colOff>
      <xdr:row>29</xdr:row>
      <xdr:rowOff>45908</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202988</xdr:rowOff>
    </xdr:from>
    <xdr:to>
      <xdr:col>6</xdr:col>
      <xdr:colOff>0</xdr:colOff>
      <xdr:row>23</xdr:row>
      <xdr:rowOff>105127</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141330</xdr:rowOff>
    </xdr:from>
    <xdr:to>
      <xdr:col>4</xdr:col>
      <xdr:colOff>228600</xdr:colOff>
      <xdr:row>29</xdr:row>
      <xdr:rowOff>45908</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135466</xdr:rowOff>
    </xdr:from>
    <xdr:to>
      <xdr:col>4</xdr:col>
      <xdr:colOff>450215</xdr:colOff>
      <xdr:row>25</xdr:row>
      <xdr:rowOff>6419</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450215</xdr:colOff>
      <xdr:row>21</xdr:row>
      <xdr:rowOff>35630</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54045</xdr:rowOff>
    </xdr:from>
    <xdr:to>
      <xdr:col>4</xdr:col>
      <xdr:colOff>419100</xdr:colOff>
      <xdr:row>21</xdr:row>
      <xdr:rowOff>35630</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10230</xdr:rowOff>
    </xdr:from>
    <xdr:to>
      <xdr:col>4</xdr:col>
      <xdr:colOff>419100</xdr:colOff>
      <xdr:row>21</xdr:row>
      <xdr:rowOff>35630</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26459</xdr:rowOff>
    </xdr:from>
    <xdr:to>
      <xdr:col>4</xdr:col>
      <xdr:colOff>419100</xdr:colOff>
      <xdr:row>22</xdr:row>
      <xdr:rowOff>27163</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47484</xdr:rowOff>
    </xdr:from>
    <xdr:to>
      <xdr:col>4</xdr:col>
      <xdr:colOff>419100</xdr:colOff>
      <xdr:row>22</xdr:row>
      <xdr:rowOff>46424</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49601</xdr:rowOff>
    </xdr:from>
    <xdr:to>
      <xdr:col>4</xdr:col>
      <xdr:colOff>419100</xdr:colOff>
      <xdr:row>22</xdr:row>
      <xdr:rowOff>47483</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29281</xdr:rowOff>
    </xdr:from>
    <xdr:to>
      <xdr:col>4</xdr:col>
      <xdr:colOff>419100</xdr:colOff>
      <xdr:row>22</xdr:row>
      <xdr:rowOff>46213</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49741</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141816</xdr:rowOff>
    </xdr:from>
    <xdr:to>
      <xdr:col>4</xdr:col>
      <xdr:colOff>266700</xdr:colOff>
      <xdr:row>20</xdr:row>
      <xdr:rowOff>218017</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30691</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10276" name="Text Box 4" hidden="1">
          <a:extLst>
            <a:ext uri="{FF2B5EF4-FFF2-40B4-BE49-F238E27FC236}">
              <a16:creationId xmlns:a16="http://schemas.microsoft.com/office/drawing/2014/main" id="{EE7E513A-1B65-E13A-3BB9-EBC95F11BDD4}"/>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71714" name="Text Box 2" hidden="1">
          <a:extLst>
            <a:ext uri="{FF2B5EF4-FFF2-40B4-BE49-F238E27FC236}">
              <a16:creationId xmlns:a16="http://schemas.microsoft.com/office/drawing/2014/main" id="{63717356-803E-0657-5CA3-1D0D0408C93E}"/>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106892</xdr:rowOff>
    </xdr:to>
    <xdr:sp macro="" textlink="">
      <xdr:nvSpPr>
        <xdr:cNvPr id="371713" name="Text Box 1" hidden="1">
          <a:extLst>
            <a:ext uri="{FF2B5EF4-FFF2-40B4-BE49-F238E27FC236}">
              <a16:creationId xmlns:a16="http://schemas.microsoft.com/office/drawing/2014/main" id="{700889A4-8198-6B6D-B6AF-F593420036BD}"/>
            </a:ext>
          </a:extLst>
        </xdr:cNvPr>
        <xdr:cNvSpPr txBox="1">
          <a:spLocks noChangeArrowheads="1"/>
        </xdr:cNvSpPr>
      </xdr:nvSpPr>
      <xdr:spPr bwMode="auto">
        <a:xfrm>
          <a:off x="3867150" y="3098800"/>
          <a:ext cx="1441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5" name="Text Box 3" hidden="1">
          <a:extLst>
            <a:ext uri="{FF2B5EF4-FFF2-40B4-BE49-F238E27FC236}">
              <a16:creationId xmlns:a16="http://schemas.microsoft.com/office/drawing/2014/main" id="{784C5296-80C2-EA69-153B-D687F4684F18}"/>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6" name="Text Box 4" hidden="1">
          <a:extLst>
            <a:ext uri="{FF2B5EF4-FFF2-40B4-BE49-F238E27FC236}">
              <a16:creationId xmlns:a16="http://schemas.microsoft.com/office/drawing/2014/main" id="{160561DA-B7AE-E418-6D4F-ED8C73B537C2}"/>
            </a:ext>
          </a:extLst>
        </xdr:cNvPr>
        <xdr:cNvSpPr txBox="1">
          <a:spLocks noChangeArrowheads="1"/>
        </xdr:cNvSpPr>
      </xdr:nvSpPr>
      <xdr:spPr bwMode="auto">
        <a:xfrm>
          <a:off x="3867150" y="3454400"/>
          <a:ext cx="1441450" cy="850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17" name="Text Box 5" hidden="1">
          <a:extLst>
            <a:ext uri="{FF2B5EF4-FFF2-40B4-BE49-F238E27FC236}">
              <a16:creationId xmlns:a16="http://schemas.microsoft.com/office/drawing/2014/main" id="{32CA18D5-05AC-2E8E-7611-80B09046E5A2}"/>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19" name="Text Box 7" hidden="1">
          <a:extLst>
            <a:ext uri="{FF2B5EF4-FFF2-40B4-BE49-F238E27FC236}">
              <a16:creationId xmlns:a16="http://schemas.microsoft.com/office/drawing/2014/main" id="{C1B10AA7-4D92-F71B-B79E-2CE630A8AEEF}"/>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18" name="Text Box 6" hidden="1">
          <a:extLst>
            <a:ext uri="{FF2B5EF4-FFF2-40B4-BE49-F238E27FC236}">
              <a16:creationId xmlns:a16="http://schemas.microsoft.com/office/drawing/2014/main" id="{782CFB5E-29B8-1A8D-3440-F8E80569A46C}"/>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16</xdr:row>
      <xdr:rowOff>38100</xdr:rowOff>
    </xdr:from>
    <xdr:to>
      <xdr:col>4</xdr:col>
      <xdr:colOff>419100</xdr:colOff>
      <xdr:row>20</xdr:row>
      <xdr:rowOff>152400</xdr:rowOff>
    </xdr:to>
    <xdr:sp macro="" textlink="">
      <xdr:nvSpPr>
        <xdr:cNvPr id="371721" name="Text Box 9" hidden="1">
          <a:extLst>
            <a:ext uri="{FF2B5EF4-FFF2-40B4-BE49-F238E27FC236}">
              <a16:creationId xmlns:a16="http://schemas.microsoft.com/office/drawing/2014/main" id="{802ACE7E-8BE3-07DB-09A0-9AC7A58193B1}"/>
            </a:ext>
          </a:extLst>
        </xdr:cNvPr>
        <xdr:cNvSpPr txBox="1">
          <a:spLocks noChangeArrowheads="1"/>
        </xdr:cNvSpPr>
      </xdr:nvSpPr>
      <xdr:spPr bwMode="auto">
        <a:xfrm>
          <a:off x="3867150" y="3454400"/>
          <a:ext cx="1441450" cy="850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95250</xdr:colOff>
      <xdr:row>24</xdr:row>
      <xdr:rowOff>114300</xdr:rowOff>
    </xdr:from>
    <xdr:to>
      <xdr:col>10</xdr:col>
      <xdr:colOff>57150</xdr:colOff>
      <xdr:row>29</xdr:row>
      <xdr:rowOff>0</xdr:rowOff>
    </xdr:to>
    <xdr:sp macro="" textlink="">
      <xdr:nvSpPr>
        <xdr:cNvPr id="371720" name="Text Box 8" hidden="1">
          <a:extLst>
            <a:ext uri="{FF2B5EF4-FFF2-40B4-BE49-F238E27FC236}">
              <a16:creationId xmlns:a16="http://schemas.microsoft.com/office/drawing/2014/main" id="{87754F5A-086A-7820-985D-AE2E09FA5E5A}"/>
            </a:ext>
          </a:extLst>
        </xdr:cNvPr>
        <xdr:cNvSpPr txBox="1">
          <a:spLocks noChangeArrowheads="1"/>
        </xdr:cNvSpPr>
      </xdr:nvSpPr>
      <xdr:spPr bwMode="auto">
        <a:xfrm>
          <a:off x="7581900" y="5251450"/>
          <a:ext cx="13144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Georgia Nabors" id="{09FAC3F1-DFDB-4CF8-9903-358701529E2B}" userId="S::GNabors@brookings.edu::bf73830e-2c32-4056-bde4-c18f62567b12" providerId="AD"/>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67">
      <pivotArea field="3" type="button" dataOnly="0" labelOnly="1" outline="0" axis="axisRow" fieldPosition="0"/>
    </format>
    <format dxfId="66">
      <pivotArea dataOnly="0" labelOnly="1" outline="0" axis="axisValues" fieldPosition="0"/>
    </format>
    <format dxfId="65">
      <pivotArea collapsedLevelsAreSubtotals="1" fieldPosition="0">
        <references count="2">
          <reference field="2" count="1">
            <x v="1"/>
          </reference>
          <reference field="3" count="1" selected="0">
            <x v="1"/>
          </reference>
        </references>
      </pivotArea>
    </format>
    <format dxfId="64">
      <pivotArea collapsedLevelsAreSubtotals="1" fieldPosition="0">
        <references count="2">
          <reference field="2" count="1">
            <x v="2"/>
          </reference>
          <reference field="3" count="1" selected="0">
            <x v="1"/>
          </reference>
        </references>
      </pivotArea>
    </format>
    <format dxfId="63">
      <pivotArea collapsedLevelsAreSubtotals="1" fieldPosition="0">
        <references count="2">
          <reference field="2" count="1">
            <x v="3"/>
          </reference>
          <reference field="3" count="1" selected="0">
            <x v="1"/>
          </reference>
        </references>
      </pivotArea>
    </format>
    <format dxfId="62">
      <pivotArea collapsedLevelsAreSubtotals="1" fieldPosition="0">
        <references count="2">
          <reference field="2" count="1">
            <x v="4"/>
          </reference>
          <reference field="3" count="1" selected="0">
            <x v="1"/>
          </reference>
        </references>
      </pivotArea>
    </format>
    <format dxfId="61">
      <pivotArea collapsedLevelsAreSubtotals="1" fieldPosition="0">
        <references count="1">
          <reference field="3" count="1">
            <x v="2"/>
          </reference>
        </references>
      </pivotArea>
    </format>
    <format dxfId="60">
      <pivotArea collapsedLevelsAreSubtotals="1" fieldPosition="0">
        <references count="2">
          <reference field="2" count="1">
            <x v="1"/>
          </reference>
          <reference field="3" count="1" selected="0">
            <x v="2"/>
          </reference>
        </references>
      </pivotArea>
    </format>
    <format dxfId="59">
      <pivotArea collapsedLevelsAreSubtotals="1" fieldPosition="0">
        <references count="2">
          <reference field="2" count="1">
            <x v="2"/>
          </reference>
          <reference field="3" count="1" selected="0">
            <x v="2"/>
          </reference>
        </references>
      </pivotArea>
    </format>
    <format dxfId="58">
      <pivotArea collapsedLevelsAreSubtotals="1" fieldPosition="0">
        <references count="2">
          <reference field="2" count="1">
            <x v="3"/>
          </reference>
          <reference field="3" count="1" selected="0">
            <x v="2"/>
          </reference>
        </references>
      </pivotArea>
    </format>
    <format dxfId="57">
      <pivotArea collapsedLevelsAreSubtotals="1" fieldPosition="0">
        <references count="2">
          <reference field="2" count="1">
            <x v="4"/>
          </reference>
          <reference field="3" count="1" selected="0">
            <x v="2"/>
          </reference>
        </references>
      </pivotArea>
    </format>
    <format dxfId="56">
      <pivotArea collapsedLevelsAreSubtotals="1" fieldPosition="0">
        <references count="1">
          <reference field="3" count="1">
            <x v="3"/>
          </reference>
        </references>
      </pivotArea>
    </format>
    <format dxfId="55">
      <pivotArea collapsedLevelsAreSubtotals="1" fieldPosition="0">
        <references count="2">
          <reference field="2" count="1">
            <x v="1"/>
          </reference>
          <reference field="3" count="1" selected="0">
            <x v="3"/>
          </reference>
        </references>
      </pivotArea>
    </format>
    <format dxfId="54">
      <pivotArea collapsedLevelsAreSubtotals="1" fieldPosition="0">
        <references count="2">
          <reference field="2" count="1">
            <x v="2"/>
          </reference>
          <reference field="3" count="1" selected="0">
            <x v="3"/>
          </reference>
        </references>
      </pivotArea>
    </format>
    <format dxfId="53">
      <pivotArea collapsedLevelsAreSubtotals="1" fieldPosition="0">
        <references count="2">
          <reference field="2" count="1">
            <x v="3"/>
          </reference>
          <reference field="3" count="1" selected="0">
            <x v="3"/>
          </reference>
        </references>
      </pivotArea>
    </format>
    <format dxfId="52">
      <pivotArea collapsedLevelsAreSubtotals="1" fieldPosition="0">
        <references count="2">
          <reference field="2" count="1">
            <x v="4"/>
          </reference>
          <reference field="3" count="1" selected="0">
            <x v="3"/>
          </reference>
        </references>
      </pivotArea>
    </format>
    <format dxfId="51">
      <pivotArea collapsedLevelsAreSubtotals="1" fieldPosition="0">
        <references count="1">
          <reference field="3" count="1">
            <x v="4"/>
          </reference>
        </references>
      </pivotArea>
    </format>
    <format dxfId="50">
      <pivotArea collapsedLevelsAreSubtotals="1" fieldPosition="0">
        <references count="2">
          <reference field="2" count="1">
            <x v="1"/>
          </reference>
          <reference field="3" count="1" selected="0">
            <x v="4"/>
          </reference>
        </references>
      </pivotArea>
    </format>
    <format dxfId="49">
      <pivotArea collapsedLevelsAreSubtotals="1" fieldPosition="0">
        <references count="2">
          <reference field="2" count="1">
            <x v="2"/>
          </reference>
          <reference field="3" count="1" selected="0">
            <x v="4"/>
          </reference>
        </references>
      </pivotArea>
    </format>
    <format dxfId="48">
      <pivotArea collapsedLevelsAreSubtotals="1" fieldPosition="0">
        <references count="2">
          <reference field="2" count="1">
            <x v="3"/>
          </reference>
          <reference field="3" count="1" selected="0">
            <x v="4"/>
          </reference>
        </references>
      </pivotArea>
    </format>
    <format dxfId="47">
      <pivotArea collapsedLevelsAreSubtotals="1" fieldPosition="0">
        <references count="2">
          <reference field="2" count="1">
            <x v="4"/>
          </reference>
          <reference field="3" count="1" selected="0">
            <x v="4"/>
          </reference>
        </references>
      </pivotArea>
    </format>
    <format dxfId="46">
      <pivotArea collapsedLevelsAreSubtotals="1" fieldPosition="0">
        <references count="1">
          <reference field="3" count="1">
            <x v="5"/>
          </reference>
        </references>
      </pivotArea>
    </format>
    <format dxfId="45">
      <pivotArea collapsedLevelsAreSubtotals="1" fieldPosition="0">
        <references count="2">
          <reference field="2" count="1">
            <x v="1"/>
          </reference>
          <reference field="3" count="1" selected="0">
            <x v="5"/>
          </reference>
        </references>
      </pivotArea>
    </format>
    <format dxfId="44">
      <pivotArea collapsedLevelsAreSubtotals="1" fieldPosition="0">
        <references count="2">
          <reference field="2" count="1">
            <x v="2"/>
          </reference>
          <reference field="3" count="1" selected="0">
            <x v="5"/>
          </reference>
        </references>
      </pivotArea>
    </format>
    <format dxfId="43">
      <pivotArea collapsedLevelsAreSubtotals="1" fieldPosition="0">
        <references count="2">
          <reference field="2" count="1">
            <x v="3"/>
          </reference>
          <reference field="3" count="1" selected="0">
            <x v="5"/>
          </reference>
        </references>
      </pivotArea>
    </format>
    <format dxfId="42">
      <pivotArea collapsedLevelsAreSubtotals="1" fieldPosition="0">
        <references count="2">
          <reference field="2" count="1">
            <x v="4"/>
          </reference>
          <reference field="3" count="1" selected="0">
            <x v="5"/>
          </reference>
        </references>
      </pivotArea>
    </format>
    <format dxfId="41">
      <pivotArea collapsedLevelsAreSubtotals="1" fieldPosition="0">
        <references count="1">
          <reference field="3" count="1">
            <x v="6"/>
          </reference>
        </references>
      </pivotArea>
    </format>
    <format dxfId="40">
      <pivotArea collapsedLevelsAreSubtotals="1" fieldPosition="0">
        <references count="2">
          <reference field="2" count="1">
            <x v="1"/>
          </reference>
          <reference field="3" count="1" selected="0">
            <x v="6"/>
          </reference>
        </references>
      </pivotArea>
    </format>
    <format dxfId="39">
      <pivotArea collapsedLevelsAreSubtotals="1" fieldPosition="0">
        <references count="2">
          <reference field="2" count="1">
            <x v="2"/>
          </reference>
          <reference field="3" count="1" selected="0">
            <x v="6"/>
          </reference>
        </references>
      </pivotArea>
    </format>
    <format dxfId="38">
      <pivotArea collapsedLevelsAreSubtotals="1" fieldPosition="0">
        <references count="2">
          <reference field="2" count="1">
            <x v="3"/>
          </reference>
          <reference field="3" count="1" selected="0">
            <x v="6"/>
          </reference>
        </references>
      </pivotArea>
    </format>
    <format dxfId="37">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2"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36">
      <pivotArea field="3" type="button" dataOnly="0" labelOnly="1" outline="0" axis="axisRow" fieldPosition="0"/>
    </format>
    <format dxfId="35">
      <pivotArea dataOnly="0" labelOnly="1" outline="0" axis="axisValues" fieldPosition="0"/>
    </format>
    <format dxfId="34">
      <pivotArea collapsedLevelsAreSubtotals="1" fieldPosition="0">
        <references count="2">
          <reference field="2" count="1">
            <x v="1"/>
          </reference>
          <reference field="3" count="1" selected="0">
            <x v="1"/>
          </reference>
        </references>
      </pivotArea>
    </format>
    <format dxfId="33">
      <pivotArea collapsedLevelsAreSubtotals="1" fieldPosition="0">
        <references count="2">
          <reference field="2" count="1">
            <x v="2"/>
          </reference>
          <reference field="3" count="1" selected="0">
            <x v="1"/>
          </reference>
        </references>
      </pivotArea>
    </format>
    <format dxfId="32">
      <pivotArea collapsedLevelsAreSubtotals="1" fieldPosition="0">
        <references count="2">
          <reference field="2" count="1">
            <x v="3"/>
          </reference>
          <reference field="3" count="1" selected="0">
            <x v="1"/>
          </reference>
        </references>
      </pivotArea>
    </format>
    <format dxfId="31">
      <pivotArea collapsedLevelsAreSubtotals="1" fieldPosition="0">
        <references count="2">
          <reference field="2" count="1">
            <x v="4"/>
          </reference>
          <reference field="3" count="1" selected="0">
            <x v="1"/>
          </reference>
        </references>
      </pivotArea>
    </format>
    <format dxfId="30">
      <pivotArea collapsedLevelsAreSubtotals="1" fieldPosition="0">
        <references count="1">
          <reference field="3" count="1">
            <x v="2"/>
          </reference>
        </references>
      </pivotArea>
    </format>
    <format dxfId="29">
      <pivotArea collapsedLevelsAreSubtotals="1" fieldPosition="0">
        <references count="2">
          <reference field="2" count="1">
            <x v="1"/>
          </reference>
          <reference field="3" count="1" selected="0">
            <x v="2"/>
          </reference>
        </references>
      </pivotArea>
    </format>
    <format dxfId="28">
      <pivotArea collapsedLevelsAreSubtotals="1" fieldPosition="0">
        <references count="2">
          <reference field="2" count="1">
            <x v="2"/>
          </reference>
          <reference field="3" count="1" selected="0">
            <x v="2"/>
          </reference>
        </references>
      </pivotArea>
    </format>
    <format dxfId="27">
      <pivotArea collapsedLevelsAreSubtotals="1" fieldPosition="0">
        <references count="2">
          <reference field="2" count="1">
            <x v="3"/>
          </reference>
          <reference field="3" count="1" selected="0">
            <x v="2"/>
          </reference>
        </references>
      </pivotArea>
    </format>
    <format dxfId="26">
      <pivotArea collapsedLevelsAreSubtotals="1" fieldPosition="0">
        <references count="2">
          <reference field="2" count="1">
            <x v="4"/>
          </reference>
          <reference field="3" count="1" selected="0">
            <x v="2"/>
          </reference>
        </references>
      </pivotArea>
    </format>
    <format dxfId="25">
      <pivotArea collapsedLevelsAreSubtotals="1" fieldPosition="0">
        <references count="1">
          <reference field="3" count="1">
            <x v="3"/>
          </reference>
        </references>
      </pivotArea>
    </format>
    <format dxfId="24">
      <pivotArea collapsedLevelsAreSubtotals="1" fieldPosition="0">
        <references count="2">
          <reference field="2" count="1">
            <x v="1"/>
          </reference>
          <reference field="3" count="1" selected="0">
            <x v="3"/>
          </reference>
        </references>
      </pivotArea>
    </format>
    <format dxfId="23">
      <pivotArea collapsedLevelsAreSubtotals="1" fieldPosition="0">
        <references count="2">
          <reference field="2" count="1">
            <x v="2"/>
          </reference>
          <reference field="3" count="1" selected="0">
            <x v="3"/>
          </reference>
        </references>
      </pivotArea>
    </format>
    <format dxfId="22">
      <pivotArea collapsedLevelsAreSubtotals="1" fieldPosition="0">
        <references count="2">
          <reference field="2" count="1">
            <x v="3"/>
          </reference>
          <reference field="3" count="1" selected="0">
            <x v="3"/>
          </reference>
        </references>
      </pivotArea>
    </format>
    <format dxfId="21">
      <pivotArea collapsedLevelsAreSubtotals="1" fieldPosition="0">
        <references count="2">
          <reference field="2" count="1">
            <x v="4"/>
          </reference>
          <reference field="3" count="1" selected="0">
            <x v="3"/>
          </reference>
        </references>
      </pivotArea>
    </format>
    <format dxfId="20">
      <pivotArea collapsedLevelsAreSubtotals="1" fieldPosition="0">
        <references count="1">
          <reference field="3" count="1">
            <x v="4"/>
          </reference>
        </references>
      </pivotArea>
    </format>
    <format dxfId="19">
      <pivotArea collapsedLevelsAreSubtotals="1" fieldPosition="0">
        <references count="2">
          <reference field="2" count="1">
            <x v="1"/>
          </reference>
          <reference field="3" count="1" selected="0">
            <x v="4"/>
          </reference>
        </references>
      </pivotArea>
    </format>
    <format dxfId="18">
      <pivotArea collapsedLevelsAreSubtotals="1" fieldPosition="0">
        <references count="2">
          <reference field="2" count="1">
            <x v="2"/>
          </reference>
          <reference field="3" count="1" selected="0">
            <x v="4"/>
          </reference>
        </references>
      </pivotArea>
    </format>
    <format dxfId="17">
      <pivotArea collapsedLevelsAreSubtotals="1" fieldPosition="0">
        <references count="2">
          <reference field="2" count="1">
            <x v="3"/>
          </reference>
          <reference field="3" count="1" selected="0">
            <x v="4"/>
          </reference>
        </references>
      </pivotArea>
    </format>
    <format dxfId="16">
      <pivotArea collapsedLevelsAreSubtotals="1" fieldPosition="0">
        <references count="2">
          <reference field="2" count="1">
            <x v="4"/>
          </reference>
          <reference field="3" count="1" selected="0">
            <x v="4"/>
          </reference>
        </references>
      </pivotArea>
    </format>
    <format dxfId="15">
      <pivotArea collapsedLevelsAreSubtotals="1" fieldPosition="0">
        <references count="1">
          <reference field="3" count="1">
            <x v="5"/>
          </reference>
        </references>
      </pivotArea>
    </format>
    <format dxfId="14">
      <pivotArea collapsedLevelsAreSubtotals="1" fieldPosition="0">
        <references count="2">
          <reference field="2" count="1">
            <x v="1"/>
          </reference>
          <reference field="3" count="1" selected="0">
            <x v="5"/>
          </reference>
        </references>
      </pivotArea>
    </format>
    <format dxfId="13">
      <pivotArea collapsedLevelsAreSubtotals="1" fieldPosition="0">
        <references count="2">
          <reference field="2" count="1">
            <x v="2"/>
          </reference>
          <reference field="3" count="1" selected="0">
            <x v="5"/>
          </reference>
        </references>
      </pivotArea>
    </format>
    <format dxfId="12">
      <pivotArea collapsedLevelsAreSubtotals="1" fieldPosition="0">
        <references count="2">
          <reference field="2" count="1">
            <x v="3"/>
          </reference>
          <reference field="3" count="1" selected="0">
            <x v="5"/>
          </reference>
        </references>
      </pivotArea>
    </format>
    <format dxfId="11">
      <pivotArea collapsedLevelsAreSubtotals="1" fieldPosition="0">
        <references count="2">
          <reference field="2" count="1">
            <x v="4"/>
          </reference>
          <reference field="3" count="1" selected="0">
            <x v="5"/>
          </reference>
        </references>
      </pivotArea>
    </format>
    <format dxfId="10">
      <pivotArea collapsedLevelsAreSubtotals="1" fieldPosition="0">
        <references count="1">
          <reference field="3" count="1">
            <x v="6"/>
          </reference>
        </references>
      </pivotArea>
    </format>
    <format dxfId="9">
      <pivotArea collapsedLevelsAreSubtotals="1" fieldPosition="0">
        <references count="2">
          <reference field="2" count="1">
            <x v="1"/>
          </reference>
          <reference field="3" count="1" selected="0">
            <x v="6"/>
          </reference>
        </references>
      </pivotArea>
    </format>
    <format dxfId="8">
      <pivotArea collapsedLevelsAreSubtotals="1" fieldPosition="0">
        <references count="2">
          <reference field="2" count="1">
            <x v="2"/>
          </reference>
          <reference field="3" count="1" selected="0">
            <x v="6"/>
          </reference>
        </references>
      </pivotArea>
    </format>
    <format dxfId="7">
      <pivotArea collapsedLevelsAreSubtotals="1" fieldPosition="0">
        <references count="2">
          <reference field="2" count="1">
            <x v="3"/>
          </reference>
          <reference field="3" count="1" selected="0">
            <x v="6"/>
          </reference>
        </references>
      </pivotArea>
    </format>
    <format dxfId="6">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2" dT="2023-08-18T20:30:13.93" personId="{2C68A5A1-706F-4A3E-93A3-741BBABEC4EA}" id="{DB8891EA-C8F1-4E8A-A15A-BA0E165DAE45}">
    <text>This value needs additional information to forecast it this far into the future.</text>
  </threadedComment>
  <threadedComment ref="L4" dT="2023-08-18T20:42:47.31" personId="{2C68A5A1-706F-4A3E-93A3-741BBABEC4EA}" id="{A9255604-416B-435E-8AA8-EA90E6827AC6}">
    <text>This value needs additional information to forecast it this far into the future.</text>
  </threadedComment>
</ThreadedComments>
</file>

<file path=xl/threadedComments/threadedComment10.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B58" dT="2023-02-16T19:02:57.27" personId="{609654FB-393E-4954-B3A3-EDB231775774}" id="{A31EA57F-7996-44C1-AB78-CC91DB6F6574}">
    <text>Same issue as previous--we have policies but they don't feed into anything we get from the CBO. So what do we do?</text>
  </threadedComment>
  <threadedComment ref="W77" dT="2023-07-28T17:56:37.74" personId="{2C68A5A1-706F-4A3E-93A3-741BBABEC4EA}" id="{E1EEB2AC-C029-4C98-981E-E7577AACBA1F}">
    <text>We're assuming it will stay at 37.7 because of the new TFP</text>
  </threadedComment>
  <threadedComment ref="J93" dT="2021-11-02T13:23:36.94" personId="{58CF8BEC-4104-46F7-BE4F-2C9403635492}" id="{8624CBF8-0C25-4544-B55E-7210BBE07E41}">
    <text>Formula changes to grow by counterfactual pre-covid growth rate</text>
  </threadedComment>
  <threadedComment ref="M93" dT="2021-11-02T13:26:53.83" personId="{58CF8BEC-4104-46F7-BE4F-2C9403635492}" id="{B38BAE8E-DF30-49E2-9F96-90A1041E4DF0}">
    <text>Accounting for step up in social security</text>
  </threadedComment>
  <threadedComment ref="M93" dT="2022-07-28T10:16:22.56" personId="{104078EE-2393-4C21-9029-18A325FBDB70}" id="{E0C007BA-F33F-4062-A357-370316E1FFF4}" parentId="{B38BAE8E-DF30-49E2-9F96-90A1041E4DF0}">
    <text>every Q1</text>
  </threadedComment>
  <threadedComment ref="U93" dT="2022-10-28T13:56:35.19" personId="{609654FB-393E-4954-B3A3-EDB231775774}" id="{96427D88-0329-491C-A939-11D66B55F1C3}" done="1">
    <text>COLA adjustment questions.</text>
  </threadedComment>
  <threadedComment ref="Y93" dT="2022-10-28T13:56:35.19" personId="{609654FB-393E-4954-B3A3-EDB231775774}" id="{8AABB420-F73D-4E8A-8DF7-F245078D4E11}">
    <text>COLA adjustment questions.</text>
  </threadedComment>
  <threadedComment ref="AC93" dT="2022-10-28T13:56:35.19" personId="{609654FB-393E-4954-B3A3-EDB231775774}" id="{41707468-7438-4BC6-B704-F002DDD23F47}">
    <text>COLA adjustment questions.</text>
  </threadedComment>
  <threadedComment ref="U106" dT="2022-10-28T13:56:35.19" personId="{609654FB-393E-4954-B3A3-EDB231775774}" id="{768266C3-5F6F-4B4B-A0F2-5FE77F7C9D9D}" done="1">
    <text>COLA adjustment questions.</text>
  </threadedComment>
  <threadedComment ref="Y106" dT="2022-10-28T13:56:35.19" personId="{609654FB-393E-4954-B3A3-EDB231775774}" id="{CEF813AA-D4CC-411F-B865-86A64AC5EEB6}">
    <text>COLA adjustment questions.</text>
  </threadedComment>
  <threadedComment ref="AC106" dT="2022-10-28T13:56:35.19" personId="{609654FB-393E-4954-B3A3-EDB231775774}" id="{DDFF41A6-D6EC-4A60-A3F9-0AF92DDF8C11}">
    <text>COLA adjustment questions.</text>
  </threadedComment>
  <threadedComment ref="B118" dT="2023-02-24T16:39:02.09" personId="{104078EE-2393-4C21-9029-18A325FBDB70}" id="{6AF7CFB2-704D-4104-831C-CFDBBA2AEEEB}">
    <text>CBO Feb 2023 budget projections table 1-4, social security subtotal</text>
  </threadedComment>
  <threadedComment ref="B118" dT="2023-06-29T15:43:04.78" personId="{2C68A5A1-706F-4A3E-93A3-741BBABEC4EA}" id="{7DD95AD6-CB37-4E4C-85DB-D839D0D68392}" parentId="{6AF7CFB2-704D-4104-831C-CFDBBA2AEEEB}">
    <text>CBO May 2023 budget projections supplemental table 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3.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W16" dT="2023-10-26T13:36:22.11" personId="{609654FB-393E-4954-B3A3-EDB231775774}" id="{593AFA9A-8DC4-4E71-AAA8-0645166E3F25}">
    <text>Drag this forward in November, by the same logic as the comment in the previous cell.</text>
  </threadedComment>
  <threadedComment ref="X16" dT="2024-01-24T19:06:54.51" personId="{09FAC3F1-DFDB-4CF8-9903-358701529E2B}" id="{E6E2D78D-4384-4561-939B-9BC7331F8BE8}">
    <text>Drag this forward in February because we get Q4 data a month late.</text>
  </threadedComment>
  <threadedComment ref="V26" dT="2023-07-27T13:56:35.04" personId="{2C68A5A1-706F-4A3E-93A3-741BBABEC4EA}" id="{9443444D-0A20-425F-9300-C411DBC65A0D}">
    <text>Drag my predecessor forward in August 2023!! (Corporate taxes come in late, and we couldn't update in July!)</text>
  </threadedComment>
  <threadedComment ref="W26" dT="2023-10-26T13:36:43.23" personId="{609654FB-393E-4954-B3A3-EDB231775774}" id="{8773E616-7533-4D96-8216-0F45303BCB01}">
    <text>Drag this forward in November, by the same logic as in the previous cell.</text>
  </threadedComment>
  <threadedComment ref="X26" dT="2024-01-24T19:07:35.34" personId="{09FAC3F1-DFDB-4CF8-9903-358701529E2B}" id="{F4C081DF-9BF8-4221-BECE-CB42A30EB5BC}">
    <text>Drag this forward in February because we get Q4 data one month late.</text>
  </threadedComment>
  <threadedComment ref="K36" dT="2023-09-29T18:40:36.76" personId="{2C68A5A1-706F-4A3E-93A3-741BBABEC4EA}" id="{1065F4CB-52AB-4B92-B793-654578199E67}">
    <text>We adjusted these growth rates upward because CBO expected taxes to fall gradually but instead they fell quickly.</text>
  </threadedComment>
  <threadedComment ref="D55" dT="2023-02-15T20:39:04.10" personId="{609654FB-393E-4954-B3A3-EDB231775774}" id="{54F6D9F3-8868-417E-999A-B95E2C1FC589}">
    <text>May 2023 CBO Budget Projections Table 1 Row 12</text>
  </threadedComment>
  <threadedComment ref="D56" dT="2023-02-15T20:40:59.29" personId="{609654FB-393E-4954-B3A3-EDB231775774}" id="{1FB99C5A-E921-4C2B-94A6-469F8368DE8C}">
    <text>February 2023 Budget Projections Table 1 Row 13</text>
  </threadedComment>
  <threadedComment ref="D56" dT="2023-07-27T18:42:32.97" personId="{609654FB-393E-4954-B3A3-EDB231775774}" id="{6C707ADF-070D-4A54-B1A8-849B2DDA53F5}" parentId="{1FB99C5A-E921-4C2B-94A6-469F8368DE8C}">
    <text>These are now May 2023 Budget Projections Table 1 row 13</text>
  </threadedComment>
  <threadedComment ref="D58" dT="2023-02-15T20:49:24.23" personId="{609654FB-393E-4954-B3A3-EDB231775774}" id="{CE0F5DCB-3CCE-4E3D-A6E4-2AC8A4A5F19D}">
    <text>February 2023 CBO Budget Projections Table 1-6 Row 14</text>
  </threadedComment>
  <threadedComment ref="D59" dT="2023-02-15T20:50:01.14" personId="{609654FB-393E-4954-B3A3-EDB231775774}" id="{B0E96582-484F-445D-8FF5-3592B5A172FA}">
    <text>February 2023 CBO Budget Projections Table 1-6 Row 16</text>
  </threadedComment>
  <threadedComment ref="D60" dT="2023-02-15T20:51:09.94" personId="{609654FB-393E-4954-B3A3-EDB231775774}" id="{E6B5A35A-07FA-4F2B-9A9E-866D21A47917}">
    <text>May 2023 CBO Budget Projections Table 1 Row 14</text>
  </threadedComment>
  <threadedComment ref="D78" dT="2023-02-15T20:53:24.39" personId="{609654FB-393E-4954-B3A3-EDB231775774}" id="{BAC4C9C5-057D-4522-9D5B-345501733B13}">
    <text>February 2023 CBO Economic Projections Fiscal Year Table row 92</text>
  </threadedComment>
  <threadedComment ref="D78" dT="2023-07-27T18:46:48.63" personId="{609654FB-393E-4954-B3A3-EDB231775774}" id="{64D40D74-2A66-4530-BD07-3D55C243D880}" parentId="{BAC4C9C5-057D-4522-9D5B-345501733B13}">
    <text>July 2023 now</text>
  </threadedComment>
  <threadedComment ref="D79" dT="2023-02-15T20:55:16.88" personId="{609654FB-393E-4954-B3A3-EDB231775774}" id="{903D683D-E956-41A0-87A0-4A0ACF2A3EC0}">
    <text>February 2023 CBO Economic Projections Fiscal Year Table row 96</text>
  </threadedComment>
  <threadedComment ref="D79" dT="2023-07-27T18:46:54.82" personId="{609654FB-393E-4954-B3A3-EDB231775774}" id="{D9697230-6007-4D86-9D27-2784C2D59C94}" parentId="{903D683D-E956-41A0-87A0-4A0ACF2A3EC0}">
    <text>July 2023 now</text>
  </threadedComment>
  <threadedComment ref="D80" dT="2023-02-15T20:56:03.85" personId="{609654FB-393E-4954-B3A3-EDB231775774}" id="{3EBCE0D2-6A48-4CE9-BC8C-5855F5261D1F}">
    <text>February 2023 CBO Economic Projections, Fiscal Year Table row 116</text>
  </threadedComment>
  <threadedComment ref="D80" dT="2023-07-27T18:47:32.66" personId="{609654FB-393E-4954-B3A3-EDB231775774}" id="{A6D061A0-2D6B-4586-A606-81C5A9C89977}" parentId="{3EBCE0D2-6A48-4CE9-BC8C-5855F5261D1F}">
    <text>July now</text>
  </threadedComment>
  <threadedComment ref="D81" dT="2023-02-15T20:57:01.88" personId="{609654FB-393E-4954-B3A3-EDB231775774}" id="{48184811-5BD0-438A-8E38-4FDE0C8DFA8F}">
    <text>February 2023 CBO Economic Projections Fiscal Year Table row 110</text>
  </threadedComment>
  <threadedComment ref="D81" dT="2023-07-27T18:47:56.03" personId="{609654FB-393E-4954-B3A3-EDB231775774}" id="{42694EC8-B4D2-4CD1-BAD5-30DE831C4BF2}" parentId="{48184811-5BD0-438A-8E38-4FDE0C8DFA8F}">
    <text>July now</text>
  </threadedComment>
  <threadedComment ref="D102" dT="2023-02-15T21:14:11.24" personId="{609654FB-393E-4954-B3A3-EDB231775774}" id="{D2748782-D0E6-49AC-8A19-1F2FBF9255CC}">
    <text>February 2023 CBO Economic Projections Quarterly Table, row 96</text>
  </threadedComment>
  <threadedComment ref="D102" dT="2023-07-27T18:51:44.27" personId="{609654FB-393E-4954-B3A3-EDB231775774}" id="{7967E3A9-28DA-40F3-87FB-C23201CBC514}" parentId="{D2748782-D0E6-49AC-8A19-1F2FBF9255CC}">
    <text>Same table and row, July 2023</text>
  </threadedComment>
  <threadedComment ref="D103" dT="2023-02-15T21:14:52.42" personId="{609654FB-393E-4954-B3A3-EDB231775774}" id="{A46F7C4F-6912-4219-A6BF-9B291D29572E}">
    <text>February 2023 CBO Economic Projections quarterly tables, row 98</text>
  </threadedComment>
  <threadedComment ref="D103" dT="2023-07-27T18:51:58.38" personId="{609654FB-393E-4954-B3A3-EDB231775774}" id="{7A0F03B6-E33D-4474-9555-B84E69B17617}" parentId="{A46F7C4F-6912-4219-A6BF-9B291D29572E}">
    <text>Same table and row, July 2023</text>
  </threadedComment>
  <threadedComment ref="D104" dT="2023-02-15T21:15:38.27" personId="{609654FB-393E-4954-B3A3-EDB231775774}" id="{76E953CB-BD49-43CF-8F2D-8BFB47D725D7}">
    <text>February 2023 CBO Economic Projections quarterly table, row 116</text>
  </threadedComment>
  <threadedComment ref="D104" dT="2023-07-27T18:51:50.61" personId="{609654FB-393E-4954-B3A3-EDB231775774}" id="{5483793C-0C25-47A5-BAF9-EF712CAD7D04}" parentId="{76E953CB-BD49-43CF-8F2D-8BFB47D725D7}">
    <text>Same table and row, July 2023</text>
  </threadedComment>
  <threadedComment ref="D105" dT="2023-02-15T21:16:25.78" personId="{609654FB-393E-4954-B3A3-EDB231775774}" id="{8FB584A5-2B54-4AD8-94A1-F46A717E4FE5}">
    <text>February 2023 CBO Economic Projections quarterly table row 112</text>
  </threadedComment>
  <threadedComment ref="D105" dT="2023-07-27T18:52:05.52" personId="{609654FB-393E-4954-B3A3-EDB231775774}" id="{0C631DB7-7EAD-4CD2-978E-4DD9468CD3B1}" parentId="{8FB584A5-2B54-4AD8-94A1-F46A717E4FE5}">
    <text>Same table and row, July 2023</text>
  </threadedComment>
  <threadedComment ref="U128" dT="2023-04-27T03:02:33.18" personId="{2C68A5A1-706F-4A3E-93A3-741BBABEC4EA}" id="{65B2F617-D738-4757-983D-98D9DB3870FB}">
    <text>I can't drag these over because of circular references.</text>
  </threadedComment>
  <threadedComment ref="V131" dT="2023-07-27T14:08:57.55" personId="{2C68A5A1-706F-4A3E-93A3-741BBABEC4EA}" id="{0AC09EFD-8A54-444C-A82D-77111C533292}">
    <text>Drag my predecessor forward in August 2023!! (Corporate taxes come in late, and we couldn't update in July!)</text>
  </threadedComment>
  <threadedComment ref="W131" dT="2023-10-26T13:42:51.37" personId="{609654FB-393E-4954-B3A3-EDB231775774}" id="{1B45073C-05DE-4E50-B57C-9DA43CA3E5DB}">
    <text>Drag forward in November by same logic as in previous cell.</text>
  </threadedComment>
  <threadedComment ref="X131" dT="2024-01-24T19:09:22.97" personId="{09FAC3F1-DFDB-4CF8-9903-358701529E2B}" id="{1EFE3D94-A914-4335-ADA0-94B1C8F72E64}">
    <text>Drag forward in February because we get Q4 Data 1 month late.</text>
  </threadedComment>
  <threadedComment ref="D152" dT="2022-07-27T16:01:10.90" personId="{104078EE-2393-4C21-9029-18A325FBDB70}" id="{3DA40B3D-4A5D-452E-A72D-B2030842DDB4}">
    <text>May 2022 CBO Ten Year Economic Projections, Quarterly Table, Row 96</text>
  </threadedComment>
  <threadedComment ref="D154" dT="2022-07-27T16:01:37.37" personId="{104078EE-2393-4C21-9029-18A325FBDB70}" id="{D99B9B54-6076-41EB-BC07-437AE218B08B}">
    <text>May 2022 CBO Ten Year Economic Projections, Quarterly Table, Row 98</text>
  </threadedComment>
  <threadedComment ref="D156" dT="2022-07-27T16:02:04.85" personId="{104078EE-2393-4C21-9029-18A325FBDB70}" id="{623F5CCB-51DE-44FD-917A-D45F49A14B56}">
    <text>May 2022 CBO Ten Year Economic Projections, Quarterly Table, Row 116</text>
  </threadedComment>
  <threadedComment ref="D158" dT="2022-03-31T15:05:09.08" personId="{104078EE-2393-4C21-9029-18A325FBDB70}" id="{76D39B51-9B45-4C9D-BC1F-F3C52C7844F2}">
    <text>May 2022 CBO Ten Year Economic Projections, Quarterly Table, Row 112</text>
  </threadedComment>
  <threadedComment ref="D164" dT="2022-07-27T16:01:10.90" personId="{104078EE-2393-4C21-9029-18A325FBDB70}" id="{261212D0-3270-4BCA-9A94-F5349DB2897B}">
    <text>May 2022 CBO Ten Year Economic Projections, Quarterly Table, Row 96</text>
  </threadedComment>
  <threadedComment ref="D166" dT="2022-07-27T16:01:37.37" personId="{104078EE-2393-4C21-9029-18A325FBDB70}" id="{093CFE5E-1370-4B7D-A6E3-831D81F9257A}">
    <text>May 2022 CBO Ten Year Economic Projections, Quarterly Table, Row 98</text>
  </threadedComment>
  <threadedComment ref="D168" dT="2022-07-27T16:02:04.85" personId="{104078EE-2393-4C21-9029-18A325FBDB70}" id="{8471787A-6E7E-4D0B-B7B0-44BB3DD67EEC}">
    <text>May 2022 CBO Ten Year Economic Projections, Quarterly Table, Row 116</text>
  </threadedComment>
  <threadedComment ref="D170" dT="2022-03-31T15:05:09.08" personId="{104078EE-2393-4C21-9029-18A325FBDB70}" id="{C0761490-DB03-459E-80D6-455B0C07D430}">
    <text>May 2022 CBO Ten Year Economic Projections, Quarterly Table, Row 112</text>
  </threadedComment>
</ThreadedComments>
</file>

<file path=xl/threadedComments/threadedComment14.xml><?xml version="1.0" encoding="utf-8"?>
<ThreadedComments xmlns="http://schemas.microsoft.com/office/spreadsheetml/2018/threadedcomments" xmlns:x="http://schemas.openxmlformats.org/spreadsheetml/2006/main">
  <threadedComment ref="B59"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61" dT="2023-07-27T18:54:18.72" personId="{609654FB-393E-4954-B3A3-EDB231775774}" id="{0DF18CD1-DDA4-4936-9B9E-36F885A8A9DF}">
    <text>July 2023 10-year economic projections Quarterly Table line 116</text>
  </threadedComment>
  <threadedComment ref="B62" dT="2023-07-27T18:58:29.78" personId="{609654FB-393E-4954-B3A3-EDB231775774}" id="{9DDFDF05-CB8A-4154-92B5-FB4AFBAE30F8}">
    <text>July 2023 10-year economic projections quarterly table line 127</text>
  </threadedComment>
  <threadedComment ref="B63" dT="2023-07-27T18:58:47.03" personId="{609654FB-393E-4954-B3A3-EDB231775774}" id="{C72DB8C1-80AB-49EE-8306-B3882C563DE7}">
    <text>July 2023 economic projections quarterly table line 129</text>
  </threadedComment>
  <threadedComment ref="B64" dT="2023-07-27T18:59:18.12" personId="{609654FB-393E-4954-B3A3-EDB231775774}" id="{65400755-1E7E-45CD-B1D4-DAC1E9F13C96}">
    <text>July 2023 economic projections quarterly table line 139</text>
  </threadedComment>
  <threadedComment ref="B65" dT="2023-07-27T18:59:50.42" personId="{609654FB-393E-4954-B3A3-EDB231775774}" id="{2342851E-1027-489D-A9C9-2E8A800F814B}">
    <text>July 2023 economic projections quarterly table line 150</text>
  </threadedComment>
  <threadedComment ref="B66" dT="2023-07-27T19:00:00.27" personId="{609654FB-393E-4954-B3A3-EDB231775774}" id="{7C559531-A861-49AD-8365-07F57C6BE5A0}">
    <text>July 2023 economic projections quarterly table line 152</text>
  </threadedComment>
</ThreadedComments>
</file>

<file path=xl/threadedComments/threadedComment15.xml><?xml version="1.0" encoding="utf-8"?>
<ThreadedComments xmlns="http://schemas.microsoft.com/office/spreadsheetml/2018/threadedcomments" xmlns:x="http://schemas.openxmlformats.org/spreadsheetml/2006/main">
  <threadedComment ref="F12" dT="2023-11-30T19:08:24.34" personId="{2C68A5A1-706F-4A3E-93A3-741BBABEC4EA}" id="{91113C3B-1C03-4C87-BD7C-A804D513BAAF}">
    <text>Not smoothed anymore. Added 12 based on strong data from Goldman release. Added 3 to  2023 Q4</text>
  </threadedComment>
  <threadedComment ref="K31" dT="2023-11-30T19:08:24.34" personId="{2C68A5A1-706F-4A3E-93A3-741BBABEC4EA}" id="{9A81032B-E202-4D06-B8AF-1233277CB3E9}">
    <text>Not smoothed anymore. Added 12 based on strong data from Goldman release. Added 3 to  2023 Q4</text>
  </threadedComment>
</ThreadedComments>
</file>

<file path=xl/threadedComments/threadedComment16.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7.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5.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27" dT="2022-09-30T19:04:36.69" personId="{104078EE-2393-4C21-9029-18A325FBDB70}" id="{52B73EBC-59DE-4AFE-A4BC-5DCFD4E527B4}">
    <text>Add factor to match data</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B81"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3" dT="2022-09-30T19:04:58.57" personId="{104078EE-2393-4C21-9029-18A325FBDB70}" id="{4D719FE1-A97C-46FC-9D71-7ECFBB4F6D87}">
    <text>Using data -- not a different spending pattern</text>
  </threadedComment>
  <threadedComment ref="AG83" dT="2023-08-18T20:32:02.72" personId="{2C68A5A1-706F-4A3E-93A3-741BBABEC4EA}" id="{91C8DEB0-37FF-4A76-9EDD-8709F55CAF73}">
    <text>Our "ARP Quarterly" sheet does not go farther than Q4 2025.</text>
  </threadedComment>
  <threadedComment ref="AG85" dT="2023-08-18T20:31:55.12" personId="{2C68A5A1-706F-4A3E-93A3-741BBABEC4EA}" id="{ECD0E9C9-87A4-46F8-8BE1-5E2BEC9520B3}">
    <text>Our "ARP Quarterly" sheet does not go farther than Q4 2025.</text>
  </threadedComment>
  <threadedComment ref="R106" dT="2022-07-28T17:27:50.97" personId="{104078EE-2393-4C21-9029-18A325FBDB70}" id="{E702D61C-4760-4164-BD3F-5AB302CA98ED}">
    <text>Using previous forecast because of reallocation by the BEA</text>
  </threadedComment>
  <threadedComment ref="S106" dT="2022-10-27T14:12:06.27" personId="{609654FB-393E-4954-B3A3-EDB231775774}" id="{776019CE-8128-450F-A25E-EF6C5707CFC6}">
    <text>Don't pull again</text>
  </threadedComment>
  <threadedComment ref="B107" dT="2023-02-16T18:17:56.28" personId="{609654FB-393E-4954-B3A3-EDB231775774}" id="{EF6EC7A7-A475-49DC-B77E-29BB35266C5E}">
    <text>Similar question to row 85</text>
  </threadedComment>
</ThreadedComments>
</file>

<file path=xl/threadedComments/threadedComment6.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AG11" dT="2023-08-18T20:42:13.02" personId="{2C68A5A1-706F-4A3E-93A3-741BBABEC4EA}" id="{0ADCB210-D448-44DD-A5EE-5E6E7334408B}">
    <text>This number isn't a valid projection until we get a 2026 Q1 growth rate.</text>
  </threadedComment>
  <threadedComment ref="B24" dT="2022-06-30T18:28:35.88" personId="{104078EE-2393-4C21-9029-18A325FBDB70}" id="{3D5BBFAC-4E76-4F2A-B34F-264D54111B07}">
    <text>May 2022 CBO economic projections row 129 quarterly table</text>
  </threadedComment>
  <threadedComment ref="B24" dT="2023-02-15T19:43:47.77" personId="{609654FB-393E-4954-B3A3-EDB231775774}" id="{D2ED8084-9DED-49AE-9C39-DE899BA6DBE4}" parentId="{3D5BBFAC-4E76-4F2A-B34F-264D54111B07}">
    <text>This is now February 2023 CBO economic projections row 129 quarterly table</text>
  </threadedComment>
  <threadedComment ref="B24" dT="2023-07-27T18:37:42.56" personId="{609654FB-393E-4954-B3A3-EDB231775774}" id="{5A35562D-9D11-4966-A103-00D106E2863D}" parentId="{3D5BBFAC-4E76-4F2A-B34F-264D54111B07}">
    <text>This is now July 2023 CBO economic projections row 129 quarterly table</text>
  </threadedComment>
  <threadedComment ref="B32" dT="2023-11-30T15:39:21.04" personId="{2C68A5A1-706F-4A3E-93A3-741BBABEC4EA}" id="{C146291D-B06B-4D46-A30C-B289BA81D51C}">
    <text>Start updating this chart again</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8.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G20" dT="2023-10-27T17:44:38.56" personId="{609654FB-393E-4954-B3A3-EDB231775774}" id="{8A2A0363-6E26-43DA-8F9C-0DA70A3F65A0}">
    <text>Higher growth than CBO predicts because we've already seen a large decrease</text>
  </threadedComment>
  <threadedComment ref="H20" dT="2023-09-29T20:02:43.20" personId="{2C68A5A1-706F-4A3E-93A3-741BBABEC4EA}" id="{48FEC13E-DD87-4779-A443-42BF4F49FF37}">
    <text>Louise changed to 0.02</text>
  </threadedComment>
  <threadedComment ref="W26"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7"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9.xml><?xml version="1.0" encoding="utf-8"?>
<ThreadedComments xmlns="http://schemas.microsoft.com/office/spreadsheetml/2018/threadedcomments" xmlns:x="http://schemas.openxmlformats.org/spreadsheetml/2006/main">
  <threadedComment ref="B21"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21"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21"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 ref="H26" dT="2023-10-27T18:42:53.80" personId="{609654FB-393E-4954-B3A3-EDB231775774}" id="{8EBBDF8F-92CB-4DA7-AB0C-805F6924BC38}">
    <text>Bringing growth down because Medicare expenditures have been stagnant for 6 months on MPI</text>
  </threadedComment>
</ThreadedComments>
</file>

<file path=xl/worksheets/_rels/sheet10.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1.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ivotTable" Target="../pivotTables/pivotTable2.xm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hyperlink" Target="https://www.cbo.gov/system/files/2023-03/58983-IDR.pdf" TargetMode="External"/><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2.xml"/><Relationship Id="rId4" Type="http://schemas.microsoft.com/office/2017/10/relationships/threadedComment" Target="../threadedComments/threadedComment12.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 Id="rId4" Type="http://schemas.microsoft.com/office/2017/10/relationships/threadedComment" Target="../threadedComments/threadedComment13.xml"/></Relationships>
</file>

<file path=xl/worksheets/_rels/sheet28.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4.xml"/><Relationship Id="rId4" Type="http://schemas.microsoft.com/office/2017/10/relationships/threadedComment" Target="../threadedComments/threadedComment14.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1.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2.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6.xml"/><Relationship Id="rId4" Type="http://schemas.microsoft.com/office/2017/10/relationships/threadedComment" Target="../threadedComments/threadedComment15.xml"/></Relationships>
</file>

<file path=xl/worksheets/_rels/sheet33.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6.vml"/><Relationship Id="rId1" Type="http://schemas.openxmlformats.org/officeDocument/2006/relationships/drawing" Target="../drawings/drawing17.xml"/><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36.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drawing" Target="../drawings/drawing18.xml"/><Relationship Id="rId4" Type="http://schemas.microsoft.com/office/2017/10/relationships/threadedComment" Target="../threadedComments/threadedComment17.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D39" sqref="D39"/>
    </sheetView>
  </sheetViews>
  <sheetFormatPr defaultColWidth="10.90625" defaultRowHeight="14.5" x14ac:dyDescent="0.35"/>
  <cols>
    <col min="2" max="2" width="34.1796875" customWidth="1"/>
    <col min="17" max="17" width="38.453125" customWidth="1"/>
  </cols>
  <sheetData>
    <row r="10" spans="2:17" x14ac:dyDescent="0.35">
      <c r="B10" s="1230" t="s">
        <v>0</v>
      </c>
      <c r="C10" s="1231"/>
      <c r="D10" s="1231"/>
      <c r="E10" s="1231"/>
      <c r="F10" s="1231"/>
      <c r="G10" s="1231"/>
      <c r="H10" s="1231"/>
      <c r="I10" s="1231"/>
      <c r="J10" s="1231"/>
      <c r="K10" s="1231"/>
      <c r="L10" s="1231"/>
      <c r="M10" s="1231"/>
      <c r="N10" s="1231"/>
      <c r="O10" s="1231"/>
      <c r="P10" s="1231"/>
      <c r="Q10" s="1232"/>
    </row>
    <row r="11" spans="2:17" x14ac:dyDescent="0.35">
      <c r="B11" s="1233"/>
      <c r="C11" s="1234"/>
      <c r="D11" s="1234"/>
      <c r="E11" s="1234"/>
      <c r="F11" s="1234"/>
      <c r="G11" s="1234"/>
      <c r="H11" s="1234"/>
      <c r="I11" s="1234"/>
      <c r="J11" s="1234"/>
      <c r="K11" s="1234"/>
      <c r="L11" s="1234"/>
      <c r="M11" s="1234"/>
      <c r="N11" s="1234"/>
      <c r="O11" s="1234"/>
      <c r="P11" s="1234"/>
      <c r="Q11" s="1235"/>
    </row>
    <row r="12" spans="2:17" x14ac:dyDescent="0.35">
      <c r="B12" s="2" t="s">
        <v>1</v>
      </c>
      <c r="C12" s="11"/>
      <c r="D12" s="11"/>
      <c r="E12" s="11"/>
      <c r="F12" s="11"/>
      <c r="G12" s="11"/>
      <c r="H12" s="11"/>
      <c r="I12" s="11"/>
      <c r="J12" s="11"/>
      <c r="K12" s="11"/>
      <c r="L12" s="11"/>
      <c r="M12" s="11"/>
      <c r="N12" s="11"/>
      <c r="O12" s="11"/>
      <c r="P12" s="11"/>
      <c r="Q12" s="8"/>
    </row>
    <row r="13" spans="2:17" x14ac:dyDescent="0.35">
      <c r="B13" s="13" t="s">
        <v>2</v>
      </c>
      <c r="C13" s="1236" t="s">
        <v>3</v>
      </c>
      <c r="D13" s="1236"/>
      <c r="E13" s="1236"/>
      <c r="F13" s="1236"/>
      <c r="G13" s="1236"/>
      <c r="H13" s="1236"/>
      <c r="I13" s="1236"/>
      <c r="J13" s="1236"/>
      <c r="K13" s="1236"/>
      <c r="L13" s="1236"/>
      <c r="M13" s="1236"/>
      <c r="N13" s="1236"/>
      <c r="O13" s="1236"/>
      <c r="P13" s="1236"/>
      <c r="Q13" s="1237"/>
    </row>
    <row r="14" spans="2:17" x14ac:dyDescent="0.35">
      <c r="B14" s="13" t="s">
        <v>4</v>
      </c>
      <c r="C14" s="9" t="s">
        <v>5</v>
      </c>
      <c r="D14" s="9"/>
      <c r="E14" s="9"/>
      <c r="F14" s="9"/>
      <c r="G14" s="9"/>
      <c r="H14" s="9"/>
      <c r="I14" s="9"/>
      <c r="J14" s="9"/>
      <c r="K14" s="9"/>
      <c r="L14" s="9"/>
      <c r="M14" s="9"/>
      <c r="N14" s="9"/>
      <c r="O14" s="9"/>
      <c r="P14" s="9"/>
      <c r="Q14" s="10"/>
    </row>
    <row r="15" spans="2:17" x14ac:dyDescent="0.35">
      <c r="B15" s="13" t="s">
        <v>6</v>
      </c>
      <c r="C15" s="9" t="s">
        <v>7</v>
      </c>
      <c r="D15" s="9"/>
      <c r="E15" s="9"/>
      <c r="F15" s="9"/>
      <c r="G15" s="9"/>
      <c r="H15" s="9"/>
      <c r="I15" s="9"/>
      <c r="J15" s="9"/>
      <c r="K15" s="9"/>
      <c r="L15" s="9"/>
      <c r="M15" s="9"/>
      <c r="N15" s="9"/>
      <c r="O15" s="9"/>
      <c r="P15" s="9"/>
      <c r="Q15" s="10"/>
    </row>
    <row r="16" spans="2:17" x14ac:dyDescent="0.35">
      <c r="B16" s="13" t="s">
        <v>8</v>
      </c>
      <c r="C16" s="9" t="s">
        <v>834</v>
      </c>
      <c r="D16" s="9"/>
      <c r="E16" s="9"/>
      <c r="F16" s="9"/>
      <c r="G16" s="9"/>
      <c r="H16" s="9"/>
      <c r="I16" s="9"/>
      <c r="J16" s="9"/>
      <c r="K16" s="9"/>
      <c r="L16" s="9"/>
      <c r="M16" s="9"/>
      <c r="N16" s="9"/>
      <c r="O16" s="9"/>
      <c r="P16" s="9"/>
      <c r="Q16" s="10"/>
    </row>
    <row r="17" spans="2:17" x14ac:dyDescent="0.35">
      <c r="B17" s="13" t="s">
        <v>9</v>
      </c>
      <c r="C17" s="9" t="s">
        <v>10</v>
      </c>
      <c r="D17" s="9"/>
      <c r="E17" s="9"/>
      <c r="F17" s="9"/>
      <c r="G17" s="9"/>
      <c r="H17" s="9"/>
      <c r="I17" s="9"/>
      <c r="J17" s="9"/>
      <c r="K17" s="9"/>
      <c r="L17" s="9"/>
      <c r="M17" s="9"/>
      <c r="N17" s="9"/>
      <c r="O17" s="9"/>
      <c r="P17" s="9"/>
      <c r="Q17" s="10"/>
    </row>
    <row r="18" spans="2:17" x14ac:dyDescent="0.35">
      <c r="B18" s="13" t="s">
        <v>835</v>
      </c>
      <c r="C18" s="9" t="s">
        <v>11</v>
      </c>
      <c r="D18" s="9"/>
      <c r="E18" s="9"/>
      <c r="F18" s="9"/>
      <c r="G18" s="9"/>
      <c r="H18" s="9"/>
      <c r="I18" s="9"/>
      <c r="J18" s="9"/>
      <c r="K18" s="9"/>
      <c r="L18" s="9"/>
      <c r="M18" s="9"/>
      <c r="N18" s="9"/>
      <c r="O18" s="9"/>
      <c r="P18" s="9"/>
      <c r="Q18" s="10"/>
    </row>
    <row r="19" spans="2:17" x14ac:dyDescent="0.35">
      <c r="B19" s="13" t="s">
        <v>12</v>
      </c>
      <c r="C19" s="9" t="s">
        <v>836</v>
      </c>
      <c r="D19" s="9"/>
      <c r="E19" s="9"/>
      <c r="F19" s="9"/>
      <c r="G19" s="9"/>
      <c r="H19" s="9"/>
      <c r="I19" s="9"/>
      <c r="J19" s="9"/>
      <c r="K19" s="9"/>
      <c r="L19" s="9"/>
      <c r="M19" s="9"/>
      <c r="N19" s="9"/>
      <c r="O19" s="9"/>
      <c r="P19" s="9"/>
      <c r="Q19" s="10"/>
    </row>
    <row r="20" spans="2:17" ht="30.75" customHeight="1" x14ac:dyDescent="0.35">
      <c r="B20" s="13" t="s">
        <v>13</v>
      </c>
      <c r="C20" s="1228" t="s">
        <v>14</v>
      </c>
      <c r="D20" s="1228"/>
      <c r="E20" s="1228"/>
      <c r="F20" s="1228"/>
      <c r="G20" s="1228"/>
      <c r="H20" s="1228"/>
      <c r="I20" s="1228"/>
      <c r="J20" s="1228"/>
      <c r="K20" s="1228"/>
      <c r="L20" s="1228"/>
      <c r="M20" s="1228"/>
      <c r="N20" s="1228"/>
      <c r="O20" s="1228"/>
      <c r="P20" s="1228"/>
      <c r="Q20" s="1229"/>
    </row>
    <row r="21" spans="2:17" x14ac:dyDescent="0.35">
      <c r="B21" s="13" t="s">
        <v>15</v>
      </c>
      <c r="C21" s="9" t="s">
        <v>16</v>
      </c>
      <c r="D21" s="9"/>
      <c r="E21" s="9"/>
      <c r="F21" s="9"/>
      <c r="G21" s="9"/>
      <c r="H21" s="9"/>
      <c r="I21" s="9"/>
      <c r="J21" s="9"/>
      <c r="K21" s="9"/>
      <c r="L21" s="9"/>
      <c r="M21" s="9"/>
      <c r="N21" s="9"/>
      <c r="O21" s="9"/>
      <c r="P21" s="9"/>
      <c r="Q21" s="10"/>
    </row>
    <row r="22" spans="2:17" ht="32.25" customHeight="1" x14ac:dyDescent="0.35">
      <c r="B22" s="1" t="s">
        <v>838</v>
      </c>
      <c r="C22" s="1228" t="s">
        <v>837</v>
      </c>
      <c r="D22" s="1228"/>
      <c r="E22" s="1228"/>
      <c r="F22" s="1228"/>
      <c r="G22" s="1228"/>
      <c r="H22" s="1228"/>
      <c r="I22" s="1228"/>
      <c r="J22" s="1228"/>
      <c r="K22" s="1228"/>
      <c r="L22" s="1228"/>
      <c r="M22" s="1228"/>
      <c r="N22" s="1228"/>
      <c r="O22" s="1228"/>
      <c r="P22" s="1228"/>
      <c r="Q22" s="1229"/>
    </row>
    <row r="23" spans="2:17" ht="31.4" customHeight="1" x14ac:dyDescent="0.35">
      <c r="B23" s="13" t="s">
        <v>17</v>
      </c>
      <c r="C23" s="1228" t="s">
        <v>839</v>
      </c>
      <c r="D23" s="1228"/>
      <c r="E23" s="1228"/>
      <c r="F23" s="1228"/>
      <c r="G23" s="1228"/>
      <c r="H23" s="1228"/>
      <c r="I23" s="1228"/>
      <c r="J23" s="1228"/>
      <c r="K23" s="1228"/>
      <c r="L23" s="1228"/>
      <c r="M23" s="1228"/>
      <c r="N23" s="1228"/>
      <c r="O23" s="1228"/>
      <c r="P23" s="1228"/>
      <c r="Q23" s="1229"/>
    </row>
    <row r="24" spans="2:17" x14ac:dyDescent="0.35">
      <c r="B24" s="13" t="s">
        <v>18</v>
      </c>
      <c r="C24" s="9" t="s">
        <v>19</v>
      </c>
      <c r="D24" s="9"/>
      <c r="E24" s="9"/>
      <c r="F24" s="9"/>
      <c r="G24" s="9"/>
      <c r="H24" s="9"/>
      <c r="I24" s="9"/>
      <c r="J24" s="9"/>
      <c r="K24" s="9"/>
      <c r="L24" s="9"/>
      <c r="M24" s="9"/>
      <c r="N24" s="9"/>
      <c r="O24" s="9"/>
      <c r="P24" s="9"/>
      <c r="Q24" s="10"/>
    </row>
    <row r="25" spans="2:17" x14ac:dyDescent="0.35">
      <c r="B25" s="13" t="s">
        <v>20</v>
      </c>
      <c r="C25" s="9" t="s">
        <v>21</v>
      </c>
      <c r="D25" s="9"/>
      <c r="E25" s="9"/>
      <c r="F25" s="9"/>
      <c r="G25" s="9"/>
      <c r="H25" s="9"/>
      <c r="I25" s="9"/>
      <c r="J25" s="9"/>
      <c r="K25" s="9"/>
      <c r="L25" s="9"/>
      <c r="M25" s="9"/>
      <c r="N25" s="9"/>
      <c r="O25" s="9"/>
      <c r="P25" s="9"/>
      <c r="Q25" s="10"/>
    </row>
    <row r="26" spans="2:17" x14ac:dyDescent="0.35">
      <c r="B26" s="13" t="s">
        <v>22</v>
      </c>
      <c r="C26" s="9" t="s">
        <v>23</v>
      </c>
      <c r="D26" s="9"/>
      <c r="E26" s="9"/>
      <c r="F26" s="9"/>
      <c r="G26" s="9"/>
      <c r="H26" s="9"/>
      <c r="I26" s="9"/>
      <c r="J26" s="9"/>
      <c r="K26" s="9"/>
      <c r="L26" s="9"/>
      <c r="M26" s="9"/>
      <c r="N26" s="9"/>
      <c r="O26" s="9"/>
      <c r="P26" s="9"/>
      <c r="Q26" s="10"/>
    </row>
    <row r="27" spans="2:17" x14ac:dyDescent="0.35">
      <c r="B27" s="13" t="s">
        <v>24</v>
      </c>
      <c r="C27" s="9" t="s">
        <v>840</v>
      </c>
      <c r="D27" s="9"/>
      <c r="E27" s="9"/>
      <c r="F27" s="9"/>
      <c r="G27" s="9"/>
      <c r="H27" s="9"/>
      <c r="I27" s="9"/>
      <c r="J27" s="9"/>
      <c r="K27" s="9"/>
      <c r="L27" s="9"/>
      <c r="M27" s="9"/>
      <c r="N27" s="9"/>
      <c r="O27" s="9"/>
      <c r="P27" s="9"/>
      <c r="Q27" s="10"/>
    </row>
    <row r="28" spans="2:17" x14ac:dyDescent="0.35">
      <c r="B28" s="13" t="s">
        <v>25</v>
      </c>
      <c r="C28" s="9" t="s">
        <v>841</v>
      </c>
      <c r="D28" s="9"/>
      <c r="E28" s="9"/>
      <c r="F28" s="9"/>
      <c r="G28" s="9"/>
      <c r="H28" s="9"/>
      <c r="I28" s="9"/>
      <c r="J28" s="9"/>
      <c r="K28" s="9"/>
      <c r="L28" s="9"/>
      <c r="M28" s="9"/>
      <c r="N28" s="9"/>
      <c r="O28" s="9"/>
      <c r="P28" s="9"/>
      <c r="Q28" s="10"/>
    </row>
    <row r="29" spans="2:17" x14ac:dyDescent="0.35">
      <c r="B29" s="13" t="s">
        <v>26</v>
      </c>
      <c r="C29" s="9" t="s">
        <v>27</v>
      </c>
      <c r="D29" s="9"/>
      <c r="E29" s="9"/>
      <c r="F29" s="9"/>
      <c r="G29" s="9"/>
      <c r="H29" s="9"/>
      <c r="I29" s="9"/>
      <c r="J29" s="9"/>
      <c r="K29" s="9"/>
      <c r="L29" s="9"/>
      <c r="M29" s="9"/>
      <c r="N29" s="9"/>
      <c r="O29" s="9"/>
      <c r="P29" s="9"/>
      <c r="Q29" s="10"/>
    </row>
    <row r="30" spans="2:17" x14ac:dyDescent="0.35">
      <c r="B30" s="13"/>
      <c r="C30" s="9"/>
      <c r="D30" s="9"/>
      <c r="E30" s="9"/>
      <c r="F30" s="9"/>
      <c r="G30" s="9"/>
      <c r="H30" s="9"/>
      <c r="I30" s="9"/>
      <c r="J30" s="9"/>
      <c r="K30" s="9"/>
      <c r="L30" s="9"/>
      <c r="M30" s="9"/>
      <c r="N30" s="9"/>
      <c r="O30" s="9"/>
      <c r="P30" s="9"/>
      <c r="Q30" s="10"/>
    </row>
    <row r="31" spans="2:17" x14ac:dyDescent="0.35">
      <c r="B31" s="3" t="s">
        <v>28</v>
      </c>
      <c r="C31" s="9"/>
      <c r="D31" s="9"/>
      <c r="E31" s="9"/>
      <c r="F31" s="9"/>
      <c r="G31" s="9"/>
      <c r="H31" s="9"/>
      <c r="I31" s="9"/>
      <c r="J31" s="9"/>
      <c r="K31" s="9"/>
      <c r="L31" s="9"/>
      <c r="M31" s="9"/>
      <c r="N31" s="9"/>
      <c r="O31" s="9"/>
      <c r="P31" s="9"/>
      <c r="Q31" s="10"/>
    </row>
    <row r="32" spans="2:17" x14ac:dyDescent="0.35">
      <c r="B32" s="13" t="s">
        <v>29</v>
      </c>
      <c r="C32" s="9"/>
      <c r="D32" s="9"/>
      <c r="E32" s="9"/>
      <c r="F32" s="9"/>
      <c r="G32" s="9"/>
      <c r="H32" s="9"/>
      <c r="I32" s="9"/>
      <c r="J32" s="9"/>
      <c r="K32" s="9"/>
      <c r="L32" s="9"/>
      <c r="M32" s="9"/>
      <c r="N32" s="9"/>
      <c r="O32" s="9"/>
      <c r="P32" s="9"/>
      <c r="Q32" s="10"/>
    </row>
    <row r="33" spans="2:17" ht="30.75" customHeight="1" x14ac:dyDescent="0.35">
      <c r="B33" s="1227" t="s">
        <v>842</v>
      </c>
      <c r="C33" s="1228"/>
      <c r="D33" s="1228"/>
      <c r="E33" s="1228"/>
      <c r="F33" s="1228"/>
      <c r="G33" s="1228"/>
      <c r="H33" s="1228"/>
      <c r="I33" s="1228"/>
      <c r="J33" s="1228"/>
      <c r="K33" s="1228"/>
      <c r="L33" s="1228"/>
      <c r="M33" s="1228"/>
      <c r="N33" s="1228"/>
      <c r="O33" s="1228"/>
      <c r="P33" s="1228"/>
      <c r="Q33" s="1229"/>
    </row>
    <row r="34" spans="2:17" x14ac:dyDescent="0.35">
      <c r="B34" s="6" t="s">
        <v>30</v>
      </c>
      <c r="C34" s="9"/>
      <c r="D34" s="9"/>
      <c r="E34" s="9"/>
      <c r="F34" s="9"/>
      <c r="G34" s="9"/>
      <c r="H34" s="9"/>
      <c r="I34" s="9"/>
      <c r="J34" s="9"/>
      <c r="K34" s="9"/>
      <c r="L34" s="9"/>
      <c r="M34" s="9"/>
      <c r="N34" s="9"/>
      <c r="O34" s="9"/>
      <c r="P34" s="9"/>
      <c r="Q34" s="10"/>
    </row>
    <row r="35" spans="2:17" x14ac:dyDescent="0.35">
      <c r="B35" s="13" t="s">
        <v>31</v>
      </c>
      <c r="C35" s="9"/>
      <c r="D35" s="9"/>
      <c r="E35" s="9"/>
      <c r="F35" s="9"/>
      <c r="G35" s="9"/>
      <c r="H35" s="9"/>
      <c r="I35" s="9"/>
      <c r="J35" s="9"/>
      <c r="K35" s="9"/>
      <c r="L35" s="9"/>
      <c r="M35" s="9"/>
      <c r="N35" s="9"/>
      <c r="O35" s="9"/>
      <c r="P35" s="9"/>
      <c r="Q35" s="10"/>
    </row>
    <row r="36" spans="2:17" x14ac:dyDescent="0.35">
      <c r="B36" s="12" t="s">
        <v>32</v>
      </c>
      <c r="C36" s="4"/>
      <c r="D36" s="4"/>
      <c r="E36" s="4"/>
      <c r="F36" s="4"/>
      <c r="G36" s="4"/>
      <c r="H36" s="4"/>
      <c r="I36" s="4"/>
      <c r="J36" s="4"/>
      <c r="K36" s="4"/>
      <c r="L36" s="4"/>
      <c r="M36" s="4"/>
      <c r="N36" s="4"/>
      <c r="O36" s="4"/>
      <c r="P36" s="4"/>
      <c r="Q36" s="5"/>
    </row>
    <row r="39" spans="2:17" x14ac:dyDescent="0.35">
      <c r="B39" s="7"/>
      <c r="C39" s="7"/>
      <c r="D39" s="7"/>
      <c r="E39" s="7"/>
      <c r="F39" s="7"/>
      <c r="G39" s="7"/>
      <c r="H39" s="7"/>
      <c r="I39" s="7"/>
      <c r="J39" s="7"/>
      <c r="K39" s="7"/>
      <c r="L39" s="7"/>
      <c r="M39" s="7"/>
      <c r="N39" s="7"/>
      <c r="O39" s="7"/>
      <c r="P39" s="7"/>
      <c r="Q39" s="7"/>
    </row>
    <row r="40" spans="2:17" x14ac:dyDescent="0.35">
      <c r="B40" s="7"/>
      <c r="C40" s="7"/>
      <c r="D40" s="7"/>
      <c r="E40" s="7"/>
      <c r="F40" s="7"/>
      <c r="G40" s="7"/>
      <c r="H40" s="7"/>
      <c r="I40" s="7"/>
      <c r="J40" s="7"/>
      <c r="K40" s="7"/>
      <c r="L40" s="7"/>
      <c r="M40" s="7"/>
      <c r="N40" s="7"/>
      <c r="O40" s="7"/>
      <c r="P40" s="7"/>
      <c r="Q40" s="7"/>
    </row>
    <row r="41" spans="2:17" x14ac:dyDescent="0.35">
      <c r="B41" s="7"/>
      <c r="C41" s="7"/>
      <c r="D41" s="7"/>
      <c r="E41" s="7"/>
      <c r="F41" s="7"/>
      <c r="G41" s="7"/>
      <c r="H41" s="7"/>
      <c r="I41" s="7"/>
      <c r="J41" s="7"/>
      <c r="K41" s="7"/>
      <c r="L41" s="7"/>
      <c r="M41" s="7"/>
      <c r="N41" s="7"/>
      <c r="O41" s="7"/>
      <c r="P41" s="7"/>
      <c r="Q41" s="7"/>
    </row>
    <row r="42" spans="2:17" x14ac:dyDescent="0.35">
      <c r="B42" s="7"/>
      <c r="C42" s="7"/>
      <c r="D42" s="7"/>
      <c r="E42" s="7"/>
      <c r="F42" s="7"/>
      <c r="G42" s="7"/>
      <c r="H42" s="7"/>
      <c r="I42" s="7"/>
      <c r="J42" s="7"/>
      <c r="K42" s="7"/>
      <c r="L42" s="7"/>
      <c r="M42" s="7"/>
      <c r="N42" s="7"/>
      <c r="O42" s="7"/>
      <c r="P42" s="7"/>
      <c r="Q42" s="7"/>
    </row>
    <row r="43" spans="2:17" x14ac:dyDescent="0.35">
      <c r="B43" s="7"/>
      <c r="C43" s="7"/>
      <c r="D43" s="7"/>
      <c r="E43" s="7"/>
      <c r="F43" s="7"/>
      <c r="G43" s="7"/>
      <c r="H43" s="7"/>
      <c r="I43" s="7"/>
      <c r="J43" s="7"/>
      <c r="K43" s="7"/>
      <c r="L43" s="7"/>
      <c r="M43" s="7"/>
      <c r="N43" s="7"/>
      <c r="O43" s="7"/>
      <c r="P43" s="7"/>
      <c r="Q43" s="7"/>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V90"/>
  <sheetViews>
    <sheetView zoomScale="57" zoomScaleNormal="106" workbookViewId="0">
      <pane xSplit="2" ySplit="7" topLeftCell="D12" activePane="bottomRight" state="frozen"/>
      <selection pane="topRight" activeCell="C1" sqref="C1"/>
      <selection pane="bottomLeft" activeCell="A8" sqref="A8"/>
      <selection pane="bottomRight" activeCell="T29" sqref="T29"/>
    </sheetView>
  </sheetViews>
  <sheetFormatPr defaultColWidth="10.90625" defaultRowHeight="14.5" x14ac:dyDescent="0.35"/>
  <cols>
    <col min="1" max="1" width="6.54296875" customWidth="1"/>
    <col min="2" max="2" width="65" customWidth="1"/>
    <col min="3" max="18" width="11.54296875" customWidth="1"/>
  </cols>
  <sheetData>
    <row r="2" spans="1:22" ht="21" customHeight="1" x14ac:dyDescent="0.5">
      <c r="A2" s="1257" t="s">
        <v>1870</v>
      </c>
      <c r="B2" s="1257"/>
      <c r="C2" s="1257"/>
      <c r="D2" s="1257"/>
      <c r="E2" s="1257"/>
      <c r="F2" s="1257"/>
      <c r="G2" s="1257"/>
      <c r="H2" s="1257"/>
      <c r="I2" s="1257"/>
      <c r="J2" s="1257"/>
      <c r="K2" s="101"/>
      <c r="L2" s="101"/>
      <c r="M2" s="101"/>
      <c r="N2" s="101"/>
      <c r="O2" s="101"/>
      <c r="P2" s="101"/>
      <c r="Q2" s="101"/>
      <c r="R2" s="101"/>
      <c r="S2" s="77"/>
      <c r="T2" s="77"/>
      <c r="U2" s="77"/>
      <c r="V2" s="77"/>
    </row>
    <row r="3" spans="1:22" x14ac:dyDescent="0.35">
      <c r="A3" s="1277" t="s">
        <v>887</v>
      </c>
      <c r="B3" s="1277"/>
      <c r="C3" s="1277"/>
      <c r="D3" s="1277"/>
      <c r="E3" s="1277"/>
      <c r="F3" s="1277"/>
      <c r="G3" s="1277"/>
      <c r="H3" s="1277"/>
      <c r="I3" s="1277"/>
      <c r="J3" s="1277"/>
      <c r="K3" s="1277"/>
      <c r="L3" s="1277"/>
      <c r="M3" s="1277"/>
      <c r="N3" s="1277"/>
      <c r="O3" s="1277"/>
      <c r="P3" s="1277"/>
      <c r="Q3" s="1277"/>
      <c r="R3" s="1277"/>
      <c r="S3" s="1277"/>
      <c r="T3" s="1277"/>
      <c r="U3" s="1277"/>
      <c r="V3" s="1277"/>
    </row>
    <row r="4" spans="1:22" ht="15" customHeight="1" x14ac:dyDescent="0.35">
      <c r="A4" s="1258"/>
      <c r="B4" s="1258"/>
      <c r="C4" s="1258"/>
      <c r="D4" s="102"/>
      <c r="E4" s="102"/>
      <c r="F4" s="102"/>
      <c r="G4" s="102"/>
      <c r="H4" s="102"/>
      <c r="I4" s="102"/>
      <c r="J4" s="102"/>
      <c r="K4" s="102"/>
      <c r="L4" s="102"/>
      <c r="M4" s="102"/>
      <c r="N4" s="102"/>
      <c r="O4" s="102"/>
      <c r="P4" s="102"/>
      <c r="Q4" s="102"/>
      <c r="R4" s="102"/>
    </row>
    <row r="5" spans="1:22" x14ac:dyDescent="0.35">
      <c r="A5" s="1259" t="s">
        <v>818</v>
      </c>
      <c r="B5" s="1262"/>
      <c r="C5" s="1265" t="s">
        <v>900</v>
      </c>
      <c r="D5" s="1265" t="s">
        <v>900</v>
      </c>
      <c r="E5" s="1265" t="s">
        <v>900</v>
      </c>
      <c r="F5" s="1265" t="s">
        <v>900</v>
      </c>
      <c r="G5" s="1265" t="s">
        <v>900</v>
      </c>
      <c r="H5" s="1265" t="s">
        <v>900</v>
      </c>
      <c r="I5" s="1265" t="s">
        <v>900</v>
      </c>
      <c r="J5" s="1266" t="s">
        <v>900</v>
      </c>
      <c r="K5" s="135"/>
      <c r="L5" s="135"/>
      <c r="M5" s="135"/>
      <c r="N5" s="135"/>
      <c r="O5" s="135"/>
      <c r="P5" s="135"/>
      <c r="Q5" s="135"/>
      <c r="R5" s="135"/>
    </row>
    <row r="6" spans="1:22" x14ac:dyDescent="0.35">
      <c r="A6" s="1260" t="s">
        <v>818</v>
      </c>
      <c r="B6" s="1263"/>
      <c r="C6" s="1267">
        <v>2022</v>
      </c>
      <c r="D6" s="1268"/>
      <c r="E6" s="1268"/>
      <c r="F6" s="1268"/>
      <c r="G6" s="1268"/>
      <c r="H6" s="1269"/>
      <c r="I6" s="1267">
        <v>2023</v>
      </c>
      <c r="J6" s="1268">
        <v>2023</v>
      </c>
      <c r="K6" s="1269">
        <v>2023</v>
      </c>
      <c r="L6" s="75"/>
      <c r="M6" s="75"/>
      <c r="N6" s="75"/>
      <c r="O6" s="75"/>
      <c r="P6" s="75"/>
      <c r="Q6" s="75"/>
      <c r="R6" s="75"/>
    </row>
    <row r="7" spans="1:22" ht="32.5" customHeight="1" x14ac:dyDescent="0.35">
      <c r="A7" s="1261" t="s">
        <v>818</v>
      </c>
      <c r="B7" s="1264"/>
      <c r="C7" s="82" t="s">
        <v>1812</v>
      </c>
      <c r="D7" s="82" t="s">
        <v>1890</v>
      </c>
      <c r="E7" s="82" t="s">
        <v>1891</v>
      </c>
      <c r="F7" s="82" t="s">
        <v>1897</v>
      </c>
      <c r="G7" s="82" t="s">
        <v>1898</v>
      </c>
      <c r="H7" s="82" t="s">
        <v>1899</v>
      </c>
      <c r="I7" s="82" t="s">
        <v>234</v>
      </c>
      <c r="J7" s="82" t="s">
        <v>235</v>
      </c>
      <c r="K7" s="82" t="s">
        <v>1990</v>
      </c>
      <c r="L7" s="82" t="s">
        <v>2005</v>
      </c>
      <c r="M7" s="82" t="s">
        <v>2006</v>
      </c>
      <c r="N7" s="82" t="s">
        <v>2007</v>
      </c>
      <c r="O7" s="82" t="s">
        <v>1812</v>
      </c>
      <c r="P7" s="82" t="s">
        <v>1999</v>
      </c>
      <c r="Q7" s="82" t="s">
        <v>2008</v>
      </c>
      <c r="R7" s="82" t="s">
        <v>2009</v>
      </c>
      <c r="S7" s="118" t="s">
        <v>2002</v>
      </c>
    </row>
    <row r="8" spans="1:22" x14ac:dyDescent="0.35">
      <c r="A8" s="130">
        <v>1</v>
      </c>
      <c r="B8" s="60" t="s">
        <v>239</v>
      </c>
      <c r="C8" s="83">
        <v>21852.3</v>
      </c>
      <c r="D8" s="83">
        <v>21975.8</v>
      </c>
      <c r="E8" s="84">
        <v>22080.400000000001</v>
      </c>
      <c r="F8" s="84">
        <v>22201.9</v>
      </c>
      <c r="G8" s="84">
        <v>22240.1</v>
      </c>
      <c r="H8" s="84">
        <v>22281.9</v>
      </c>
      <c r="I8" s="83">
        <v>22525.3</v>
      </c>
      <c r="J8" s="84">
        <v>22648.400000000001</v>
      </c>
      <c r="K8" s="83">
        <v>22757.9</v>
      </c>
      <c r="L8" s="84">
        <v>22806.1</v>
      </c>
      <c r="M8" s="84">
        <v>22876.6</v>
      </c>
      <c r="N8" s="84">
        <v>22921.4</v>
      </c>
      <c r="O8" s="84">
        <v>22984</v>
      </c>
      <c r="P8" s="84">
        <v>23089.1</v>
      </c>
      <c r="Q8" s="84">
        <v>23185.9</v>
      </c>
      <c r="R8" s="85">
        <v>23242.9</v>
      </c>
    </row>
    <row r="9" spans="1:22" x14ac:dyDescent="0.35">
      <c r="A9" s="131">
        <v>2</v>
      </c>
      <c r="B9" s="121" t="s">
        <v>1813</v>
      </c>
      <c r="C9" s="86">
        <v>13654.1</v>
      </c>
      <c r="D9" s="86">
        <v>13754.9</v>
      </c>
      <c r="E9" s="87">
        <v>13856.1</v>
      </c>
      <c r="F9" s="87">
        <v>13828.8</v>
      </c>
      <c r="G9" s="87">
        <v>13822.8</v>
      </c>
      <c r="H9" s="87">
        <v>13832.7</v>
      </c>
      <c r="I9" s="86">
        <v>13885.2</v>
      </c>
      <c r="J9" s="87">
        <v>13968.7</v>
      </c>
      <c r="K9" s="86">
        <v>14041.7</v>
      </c>
      <c r="L9" s="87">
        <v>14092.7</v>
      </c>
      <c r="M9" s="87">
        <v>14151.1</v>
      </c>
      <c r="N9" s="87">
        <v>14218.6</v>
      </c>
      <c r="O9" s="87">
        <v>14280.7</v>
      </c>
      <c r="P9" s="87">
        <v>14346.9</v>
      </c>
      <c r="Q9" s="87">
        <v>14419.1</v>
      </c>
      <c r="R9" s="88">
        <v>14442.9</v>
      </c>
    </row>
    <row r="10" spans="1:22" x14ac:dyDescent="0.35">
      <c r="A10" s="131">
        <v>3</v>
      </c>
      <c r="B10" s="122" t="s">
        <v>1814</v>
      </c>
      <c r="C10" s="86">
        <v>11271.8</v>
      </c>
      <c r="D10" s="86">
        <v>11360.7</v>
      </c>
      <c r="E10" s="87">
        <v>11450.6</v>
      </c>
      <c r="F10" s="87">
        <v>11420.4</v>
      </c>
      <c r="G10" s="87">
        <v>11408.7</v>
      </c>
      <c r="H10" s="87">
        <v>11412.7</v>
      </c>
      <c r="I10" s="86">
        <v>11494.7</v>
      </c>
      <c r="J10" s="87">
        <v>11568.5</v>
      </c>
      <c r="K10" s="86">
        <v>11633.1</v>
      </c>
      <c r="L10" s="87">
        <v>11680.1</v>
      </c>
      <c r="M10" s="87">
        <v>11730.8</v>
      </c>
      <c r="N10" s="87">
        <v>11788.9</v>
      </c>
      <c r="O10" s="87">
        <v>11840.9</v>
      </c>
      <c r="P10" s="87">
        <v>11897.1</v>
      </c>
      <c r="Q10" s="87">
        <v>11958.9</v>
      </c>
      <c r="R10" s="88">
        <v>11975.9</v>
      </c>
    </row>
    <row r="11" spans="1:22" x14ac:dyDescent="0.35">
      <c r="A11" s="131">
        <v>4</v>
      </c>
      <c r="B11" s="125" t="s">
        <v>1815</v>
      </c>
      <c r="C11" s="89">
        <v>9656.4</v>
      </c>
      <c r="D11" s="89">
        <v>9735.9</v>
      </c>
      <c r="E11" s="90">
        <v>9819.5</v>
      </c>
      <c r="F11" s="90">
        <v>9785.7999999999993</v>
      </c>
      <c r="G11" s="90">
        <v>9763.9</v>
      </c>
      <c r="H11" s="90">
        <v>9762.2999999999993</v>
      </c>
      <c r="I11" s="89">
        <v>9818.2999999999993</v>
      </c>
      <c r="J11" s="90">
        <v>9882.7999999999993</v>
      </c>
      <c r="K11" s="89">
        <v>9937.7000000000007</v>
      </c>
      <c r="L11" s="90">
        <v>9976.9</v>
      </c>
      <c r="M11" s="90">
        <v>10019.799999999999</v>
      </c>
      <c r="N11" s="90">
        <v>10070.4</v>
      </c>
      <c r="O11" s="90">
        <v>10102.5</v>
      </c>
      <c r="P11" s="90">
        <v>10143.6</v>
      </c>
      <c r="Q11" s="90">
        <v>10190.799999999999</v>
      </c>
      <c r="R11" s="91">
        <v>10196.200000000001</v>
      </c>
    </row>
    <row r="12" spans="1:22" x14ac:dyDescent="0.35">
      <c r="A12" s="131">
        <v>5</v>
      </c>
      <c r="B12" s="123" t="s">
        <v>1816</v>
      </c>
      <c r="C12" s="89">
        <v>1767.7</v>
      </c>
      <c r="D12" s="89">
        <v>1780.1</v>
      </c>
      <c r="E12" s="90">
        <v>1797.4</v>
      </c>
      <c r="F12" s="90">
        <v>1795.8</v>
      </c>
      <c r="G12" s="90">
        <v>1793.7</v>
      </c>
      <c r="H12" s="90">
        <v>1789.6</v>
      </c>
      <c r="I12" s="89">
        <v>1804.5</v>
      </c>
      <c r="J12" s="90">
        <v>1806.7</v>
      </c>
      <c r="K12" s="89">
        <v>1818.5</v>
      </c>
      <c r="L12" s="90">
        <v>1828.4</v>
      </c>
      <c r="M12" s="90">
        <v>1836.7</v>
      </c>
      <c r="N12" s="90">
        <v>1847.2</v>
      </c>
      <c r="O12" s="90">
        <v>1857.3</v>
      </c>
      <c r="P12" s="90">
        <v>1864.3</v>
      </c>
      <c r="Q12" s="90">
        <v>1872</v>
      </c>
      <c r="R12" s="91">
        <v>1876.6</v>
      </c>
    </row>
    <row r="13" spans="1:22" x14ac:dyDescent="0.35">
      <c r="A13" s="131">
        <v>6</v>
      </c>
      <c r="B13" s="126" t="s">
        <v>1817</v>
      </c>
      <c r="C13" s="89">
        <v>1046.3</v>
      </c>
      <c r="D13" s="89">
        <v>1054.4000000000001</v>
      </c>
      <c r="E13" s="90">
        <v>1064.8</v>
      </c>
      <c r="F13" s="90">
        <v>1061.4000000000001</v>
      </c>
      <c r="G13" s="90">
        <v>1055.5</v>
      </c>
      <c r="H13" s="90">
        <v>1046.9000000000001</v>
      </c>
      <c r="I13" s="89">
        <v>1066</v>
      </c>
      <c r="J13" s="90">
        <v>1064.3</v>
      </c>
      <c r="K13" s="89">
        <v>1071.2</v>
      </c>
      <c r="L13" s="90">
        <v>1077.3</v>
      </c>
      <c r="M13" s="90">
        <v>1079.5</v>
      </c>
      <c r="N13" s="90">
        <v>1088.5999999999999</v>
      </c>
      <c r="O13" s="90">
        <v>1092.0999999999999</v>
      </c>
      <c r="P13" s="90">
        <v>1094.3</v>
      </c>
      <c r="Q13" s="90">
        <v>1098.2</v>
      </c>
      <c r="R13" s="91">
        <v>1098.0999999999999</v>
      </c>
    </row>
    <row r="14" spans="1:22" x14ac:dyDescent="0.35">
      <c r="A14" s="131">
        <v>7</v>
      </c>
      <c r="B14" s="123" t="s">
        <v>1818</v>
      </c>
      <c r="C14" s="89">
        <v>7888.7</v>
      </c>
      <c r="D14" s="89">
        <v>7955.8</v>
      </c>
      <c r="E14" s="90">
        <v>8022.1</v>
      </c>
      <c r="F14" s="90">
        <v>7990</v>
      </c>
      <c r="G14" s="90">
        <v>7970.1</v>
      </c>
      <c r="H14" s="90">
        <v>7972.7</v>
      </c>
      <c r="I14" s="89">
        <v>8013.8</v>
      </c>
      <c r="J14" s="90">
        <v>8076.2</v>
      </c>
      <c r="K14" s="89">
        <v>8119.2</v>
      </c>
      <c r="L14" s="90">
        <v>8148.5</v>
      </c>
      <c r="M14" s="90">
        <v>8183.1</v>
      </c>
      <c r="N14" s="90">
        <v>8223.2000000000007</v>
      </c>
      <c r="O14" s="90">
        <v>8245.2000000000007</v>
      </c>
      <c r="P14" s="90">
        <v>8279.2999999999993</v>
      </c>
      <c r="Q14" s="90">
        <v>8318.7999999999993</v>
      </c>
      <c r="R14" s="91">
        <v>8319.6</v>
      </c>
    </row>
    <row r="15" spans="1:22" x14ac:dyDescent="0.35">
      <c r="A15" s="131">
        <v>8</v>
      </c>
      <c r="B15" s="127" t="s">
        <v>1819</v>
      </c>
      <c r="C15" s="89">
        <v>1734</v>
      </c>
      <c r="D15" s="89">
        <v>1748.4</v>
      </c>
      <c r="E15" s="90">
        <v>1762.3</v>
      </c>
      <c r="F15" s="90">
        <v>1757.7</v>
      </c>
      <c r="G15" s="90">
        <v>1749.7</v>
      </c>
      <c r="H15" s="90">
        <v>1745.6</v>
      </c>
      <c r="I15" s="89">
        <v>1778.8</v>
      </c>
      <c r="J15" s="90">
        <v>1795.8</v>
      </c>
      <c r="K15" s="89">
        <v>1796</v>
      </c>
      <c r="L15" s="90">
        <v>1797.8</v>
      </c>
      <c r="M15" s="90">
        <v>1793.1</v>
      </c>
      <c r="N15" s="90">
        <v>1804.5</v>
      </c>
      <c r="O15" s="90">
        <v>1808.4</v>
      </c>
      <c r="P15" s="90">
        <v>1814.7</v>
      </c>
      <c r="Q15" s="90">
        <v>1826</v>
      </c>
      <c r="R15" s="91">
        <v>1819.8</v>
      </c>
    </row>
    <row r="16" spans="1:22" x14ac:dyDescent="0.35">
      <c r="A16" s="131">
        <v>9</v>
      </c>
      <c r="B16" s="127" t="s">
        <v>1820</v>
      </c>
      <c r="C16" s="89">
        <v>6154.8</v>
      </c>
      <c r="D16" s="89">
        <v>6207.4</v>
      </c>
      <c r="E16" s="90">
        <v>6259.8</v>
      </c>
      <c r="F16" s="90">
        <v>6232.2</v>
      </c>
      <c r="G16" s="90">
        <v>6220.4</v>
      </c>
      <c r="H16" s="90">
        <v>6227.2</v>
      </c>
      <c r="I16" s="89">
        <v>6235</v>
      </c>
      <c r="J16" s="90">
        <v>6280.4</v>
      </c>
      <c r="K16" s="89">
        <v>6323.1</v>
      </c>
      <c r="L16" s="90">
        <v>6350.7</v>
      </c>
      <c r="M16" s="90">
        <v>6390</v>
      </c>
      <c r="N16" s="90">
        <v>6418.7</v>
      </c>
      <c r="O16" s="90">
        <v>6436.8</v>
      </c>
      <c r="P16" s="90">
        <v>6464.6</v>
      </c>
      <c r="Q16" s="90">
        <v>6492.8</v>
      </c>
      <c r="R16" s="91">
        <v>6499.8</v>
      </c>
    </row>
    <row r="17" spans="1:20" ht="16.399999999999999" customHeight="1" x14ac:dyDescent="0.35">
      <c r="A17" s="131">
        <v>10</v>
      </c>
      <c r="B17" s="125" t="s">
        <v>1821</v>
      </c>
      <c r="C17" s="89">
        <v>1615.4</v>
      </c>
      <c r="D17" s="89">
        <v>1624.8</v>
      </c>
      <c r="E17" s="90">
        <v>1631.1</v>
      </c>
      <c r="F17" s="90">
        <v>1634.6</v>
      </c>
      <c r="G17" s="90">
        <v>1644.8</v>
      </c>
      <c r="H17" s="90">
        <v>1650.4</v>
      </c>
      <c r="I17" s="89">
        <v>1676.4</v>
      </c>
      <c r="J17" s="90">
        <v>1685.7</v>
      </c>
      <c r="K17" s="89">
        <v>1695.5</v>
      </c>
      <c r="L17" s="90">
        <v>1703.2</v>
      </c>
      <c r="M17" s="90">
        <v>1711</v>
      </c>
      <c r="N17" s="90">
        <v>1718.6</v>
      </c>
      <c r="O17" s="90">
        <v>1738.4</v>
      </c>
      <c r="P17" s="90">
        <v>1753.5</v>
      </c>
      <c r="Q17" s="90">
        <v>1768.1</v>
      </c>
      <c r="R17" s="91">
        <v>1779.7</v>
      </c>
    </row>
    <row r="18" spans="1:20" ht="16.399999999999999" customHeight="1" x14ac:dyDescent="0.35">
      <c r="A18" s="131">
        <v>11</v>
      </c>
      <c r="B18" s="122" t="s">
        <v>1822</v>
      </c>
      <c r="C18" s="86">
        <v>2382.3000000000002</v>
      </c>
      <c r="D18" s="86">
        <v>2394.1</v>
      </c>
      <c r="E18" s="87">
        <v>2405.5</v>
      </c>
      <c r="F18" s="87">
        <v>2408.5</v>
      </c>
      <c r="G18" s="87">
        <v>2414.1</v>
      </c>
      <c r="H18" s="87">
        <v>2420</v>
      </c>
      <c r="I18" s="86">
        <v>2390.6</v>
      </c>
      <c r="J18" s="87">
        <v>2400.1999999999998</v>
      </c>
      <c r="K18" s="86">
        <v>2408.6</v>
      </c>
      <c r="L18" s="87">
        <v>2412.6</v>
      </c>
      <c r="M18" s="87">
        <v>2420.3000000000002</v>
      </c>
      <c r="N18" s="87">
        <v>2429.6</v>
      </c>
      <c r="O18" s="87">
        <v>2439.8000000000002</v>
      </c>
      <c r="P18" s="87">
        <v>2449.8000000000002</v>
      </c>
      <c r="Q18" s="87">
        <v>2460.1999999999998</v>
      </c>
      <c r="R18" s="88">
        <v>2467</v>
      </c>
    </row>
    <row r="19" spans="1:20" ht="16.5" customHeight="1" x14ac:dyDescent="0.35">
      <c r="A19" s="132">
        <v>12</v>
      </c>
      <c r="B19" s="129" t="s">
        <v>1823</v>
      </c>
      <c r="C19" s="89">
        <v>1614.2</v>
      </c>
      <c r="D19" s="89">
        <v>1620.2</v>
      </c>
      <c r="E19" s="90">
        <v>1625.6</v>
      </c>
      <c r="F19" s="90">
        <v>1630.6</v>
      </c>
      <c r="G19" s="90">
        <v>1637.1</v>
      </c>
      <c r="H19" s="90">
        <v>1642.9</v>
      </c>
      <c r="I19" s="89">
        <v>1594</v>
      </c>
      <c r="J19" s="90">
        <v>1599</v>
      </c>
      <c r="K19" s="89">
        <v>1603.5</v>
      </c>
      <c r="L19" s="90">
        <v>1604.7</v>
      </c>
      <c r="M19" s="90">
        <v>1609.4</v>
      </c>
      <c r="N19" s="90">
        <v>1615</v>
      </c>
      <c r="O19" s="90">
        <v>1622</v>
      </c>
      <c r="P19" s="90">
        <v>1628.6</v>
      </c>
      <c r="Q19" s="90">
        <v>1634.9</v>
      </c>
      <c r="R19" s="91">
        <v>1640.7</v>
      </c>
    </row>
    <row r="20" spans="1:20" x14ac:dyDescent="0.35">
      <c r="A20" s="132">
        <v>13</v>
      </c>
      <c r="B20" s="129" t="s">
        <v>1824</v>
      </c>
      <c r="C20" s="89">
        <v>768.1</v>
      </c>
      <c r="D20" s="89">
        <v>774</v>
      </c>
      <c r="E20" s="90">
        <v>779.9</v>
      </c>
      <c r="F20" s="90">
        <v>777.9</v>
      </c>
      <c r="G20" s="90">
        <v>777</v>
      </c>
      <c r="H20" s="90">
        <v>777.1</v>
      </c>
      <c r="I20" s="89">
        <v>796.6</v>
      </c>
      <c r="J20" s="90">
        <v>801.1</v>
      </c>
      <c r="K20" s="89">
        <v>805.1</v>
      </c>
      <c r="L20" s="90">
        <v>807.9</v>
      </c>
      <c r="M20" s="90">
        <v>811</v>
      </c>
      <c r="N20" s="90">
        <v>814.6</v>
      </c>
      <c r="O20" s="90">
        <v>817.7</v>
      </c>
      <c r="P20" s="90">
        <v>821.3</v>
      </c>
      <c r="Q20" s="90">
        <v>825.2</v>
      </c>
      <c r="R20" s="91">
        <v>826.3</v>
      </c>
    </row>
    <row r="21" spans="1:20" ht="16.399999999999999" customHeight="1" x14ac:dyDescent="0.35">
      <c r="A21" s="132">
        <v>14</v>
      </c>
      <c r="B21" s="128" t="s">
        <v>1825</v>
      </c>
      <c r="C21" s="86">
        <v>1846.5</v>
      </c>
      <c r="D21" s="86">
        <v>1869.7</v>
      </c>
      <c r="E21" s="87">
        <v>1874.4</v>
      </c>
      <c r="F21" s="87">
        <v>1877.2</v>
      </c>
      <c r="G21" s="87">
        <v>1882.7</v>
      </c>
      <c r="H21" s="87">
        <v>1888.6</v>
      </c>
      <c r="I21" s="86">
        <v>1832.2</v>
      </c>
      <c r="J21" s="87">
        <v>1828.6</v>
      </c>
      <c r="K21" s="86">
        <v>1821.5</v>
      </c>
      <c r="L21" s="87">
        <v>1821.1</v>
      </c>
      <c r="M21" s="87">
        <v>1821.3</v>
      </c>
      <c r="N21" s="87">
        <v>1829.9</v>
      </c>
      <c r="O21" s="87">
        <v>1842.2</v>
      </c>
      <c r="P21" s="87">
        <v>1863.4</v>
      </c>
      <c r="Q21" s="87">
        <v>1883.3</v>
      </c>
      <c r="R21" s="88">
        <v>1891.3</v>
      </c>
    </row>
    <row r="22" spans="1:20" x14ac:dyDescent="0.35">
      <c r="A22" s="131">
        <v>15</v>
      </c>
      <c r="B22" s="58" t="s">
        <v>1826</v>
      </c>
      <c r="C22" s="89">
        <v>94.8</v>
      </c>
      <c r="D22" s="89">
        <v>95.9</v>
      </c>
      <c r="E22" s="90">
        <v>97.1</v>
      </c>
      <c r="F22" s="90">
        <v>99</v>
      </c>
      <c r="G22" s="90">
        <v>100.9</v>
      </c>
      <c r="H22" s="90">
        <v>102.8</v>
      </c>
      <c r="I22" s="89">
        <v>78.7</v>
      </c>
      <c r="J22" s="90">
        <v>71.2</v>
      </c>
      <c r="K22" s="89">
        <v>63.8</v>
      </c>
      <c r="L22" s="90">
        <v>61</v>
      </c>
      <c r="M22" s="90">
        <v>58.2</v>
      </c>
      <c r="N22" s="90">
        <v>55.5</v>
      </c>
      <c r="O22" s="90">
        <v>53.9</v>
      </c>
      <c r="P22" s="90">
        <v>52.3</v>
      </c>
      <c r="Q22" s="90">
        <v>50.7</v>
      </c>
      <c r="R22" s="91">
        <v>49.3</v>
      </c>
    </row>
    <row r="23" spans="1:20" x14ac:dyDescent="0.35">
      <c r="A23" s="131">
        <v>16</v>
      </c>
      <c r="B23" s="58" t="s">
        <v>1827</v>
      </c>
      <c r="C23" s="89">
        <v>1751.7</v>
      </c>
      <c r="D23" s="89">
        <v>1773.7</v>
      </c>
      <c r="E23" s="90">
        <v>1777.4</v>
      </c>
      <c r="F23" s="90">
        <v>1778.3</v>
      </c>
      <c r="G23" s="90">
        <v>1781.9</v>
      </c>
      <c r="H23" s="90">
        <v>1785.8</v>
      </c>
      <c r="I23" s="89">
        <v>1753.5</v>
      </c>
      <c r="J23" s="90">
        <v>1757.4</v>
      </c>
      <c r="K23" s="89">
        <v>1757.7</v>
      </c>
      <c r="L23" s="90">
        <v>1760.1</v>
      </c>
      <c r="M23" s="90">
        <v>1763.1</v>
      </c>
      <c r="N23" s="90">
        <v>1774.4</v>
      </c>
      <c r="O23" s="90">
        <v>1788.3</v>
      </c>
      <c r="P23" s="90">
        <v>1811.1</v>
      </c>
      <c r="Q23" s="90">
        <v>1832.7</v>
      </c>
      <c r="R23" s="91">
        <v>1842</v>
      </c>
    </row>
    <row r="24" spans="1:20" x14ac:dyDescent="0.35">
      <c r="A24" s="132">
        <v>17</v>
      </c>
      <c r="B24" s="128" t="s">
        <v>1828</v>
      </c>
      <c r="C24" s="86">
        <v>792.9</v>
      </c>
      <c r="D24" s="86">
        <v>794.9</v>
      </c>
      <c r="E24" s="87">
        <v>797</v>
      </c>
      <c r="F24" s="87">
        <v>804.7</v>
      </c>
      <c r="G24" s="87">
        <v>810.6</v>
      </c>
      <c r="H24" s="87">
        <v>820</v>
      </c>
      <c r="I24" s="86">
        <v>930.9</v>
      </c>
      <c r="J24" s="87">
        <v>945.7</v>
      </c>
      <c r="K24" s="86">
        <v>960.7</v>
      </c>
      <c r="L24" s="87">
        <v>960.6</v>
      </c>
      <c r="M24" s="87">
        <v>960.8</v>
      </c>
      <c r="N24" s="87">
        <v>961.8</v>
      </c>
      <c r="O24" s="87">
        <v>967</v>
      </c>
      <c r="P24" s="87">
        <v>974</v>
      </c>
      <c r="Q24" s="87">
        <v>980.8</v>
      </c>
      <c r="R24" s="88">
        <v>986.1</v>
      </c>
    </row>
    <row r="25" spans="1:20" x14ac:dyDescent="0.35">
      <c r="A25" s="131">
        <v>18</v>
      </c>
      <c r="B25" s="121" t="s">
        <v>1829</v>
      </c>
      <c r="C25" s="86">
        <v>3350.6</v>
      </c>
      <c r="D25" s="86">
        <v>3358.1</v>
      </c>
      <c r="E25" s="87">
        <v>3367.7</v>
      </c>
      <c r="F25" s="87">
        <v>3413.8</v>
      </c>
      <c r="G25" s="87">
        <v>3424.7</v>
      </c>
      <c r="H25" s="87">
        <v>3433.5</v>
      </c>
      <c r="I25" s="86">
        <v>3559.3</v>
      </c>
      <c r="J25" s="87">
        <v>3570.9</v>
      </c>
      <c r="K25" s="86">
        <v>3600.9</v>
      </c>
      <c r="L25" s="87">
        <v>3606.8</v>
      </c>
      <c r="M25" s="87">
        <v>3610.2</v>
      </c>
      <c r="N25" s="87">
        <v>3590.7</v>
      </c>
      <c r="O25" s="87">
        <v>3602</v>
      </c>
      <c r="P25" s="87">
        <v>3620.7</v>
      </c>
      <c r="Q25" s="87">
        <v>3637.5</v>
      </c>
      <c r="R25" s="88">
        <v>3665.2</v>
      </c>
    </row>
    <row r="26" spans="1:20" x14ac:dyDescent="0.35">
      <c r="A26" s="131">
        <v>19</v>
      </c>
      <c r="B26" s="58" t="s">
        <v>1830</v>
      </c>
      <c r="C26" s="89">
        <v>1731.1</v>
      </c>
      <c r="D26" s="89">
        <v>1738</v>
      </c>
      <c r="E26" s="90">
        <v>1745.2</v>
      </c>
      <c r="F26" s="90">
        <v>1766.6</v>
      </c>
      <c r="G26" s="90">
        <v>1788.7</v>
      </c>
      <c r="H26" s="90">
        <v>1811.6</v>
      </c>
      <c r="I26" s="89">
        <v>1736.2</v>
      </c>
      <c r="J26" s="90">
        <v>1744.3</v>
      </c>
      <c r="K26" s="89">
        <v>1752.6</v>
      </c>
      <c r="L26" s="90">
        <v>1753.6</v>
      </c>
      <c r="M26" s="90">
        <v>1754.7</v>
      </c>
      <c r="N26" s="90">
        <v>1756.1</v>
      </c>
      <c r="O26" s="90">
        <v>1772.4</v>
      </c>
      <c r="P26" s="90">
        <v>1788.9</v>
      </c>
      <c r="Q26" s="90">
        <v>1805.5</v>
      </c>
      <c r="R26" s="91">
        <v>1818.3</v>
      </c>
    </row>
    <row r="27" spans="1:20" x14ac:dyDescent="0.35">
      <c r="A27" s="131">
        <v>20</v>
      </c>
      <c r="B27" s="58" t="s">
        <v>1831</v>
      </c>
      <c r="C27" s="89">
        <v>1619.5</v>
      </c>
      <c r="D27" s="89">
        <v>1620.1</v>
      </c>
      <c r="E27" s="90">
        <v>1622.6</v>
      </c>
      <c r="F27" s="90">
        <v>1647.2</v>
      </c>
      <c r="G27" s="90">
        <v>1636</v>
      </c>
      <c r="H27" s="90">
        <v>1622</v>
      </c>
      <c r="I27" s="89">
        <v>1823.1</v>
      </c>
      <c r="J27" s="90">
        <v>1826.6</v>
      </c>
      <c r="K27" s="89">
        <v>1848.3</v>
      </c>
      <c r="L27" s="90">
        <v>1853.3</v>
      </c>
      <c r="M27" s="90">
        <v>1855.5</v>
      </c>
      <c r="N27" s="90">
        <v>1834.7</v>
      </c>
      <c r="O27" s="90">
        <v>1829.6</v>
      </c>
      <c r="P27" s="90">
        <v>1831.8</v>
      </c>
      <c r="Q27" s="90">
        <v>1831.9</v>
      </c>
      <c r="R27" s="91">
        <v>1846.9</v>
      </c>
    </row>
    <row r="28" spans="1:20" x14ac:dyDescent="0.35">
      <c r="A28" s="131">
        <v>21</v>
      </c>
      <c r="B28" s="121" t="s">
        <v>1832</v>
      </c>
      <c r="C28" s="86">
        <v>3891.7</v>
      </c>
      <c r="D28" s="86">
        <v>3893.9</v>
      </c>
      <c r="E28" s="87">
        <v>3892.9</v>
      </c>
      <c r="F28" s="87">
        <v>3981.6</v>
      </c>
      <c r="G28" s="87">
        <v>4002.2</v>
      </c>
      <c r="H28" s="87">
        <v>4010.8</v>
      </c>
      <c r="I28" s="86">
        <v>4083.3</v>
      </c>
      <c r="J28" s="87">
        <v>4108.8</v>
      </c>
      <c r="K28" s="86">
        <v>4115.1000000000004</v>
      </c>
      <c r="L28" s="87">
        <v>4112.3</v>
      </c>
      <c r="M28" s="87">
        <v>4126.8</v>
      </c>
      <c r="N28" s="87">
        <v>4121.3</v>
      </c>
      <c r="O28" s="87">
        <v>4099.5</v>
      </c>
      <c r="P28" s="87">
        <v>4098.3999999999996</v>
      </c>
      <c r="Q28" s="87">
        <v>4087.7</v>
      </c>
      <c r="R28" s="88">
        <v>4082.5</v>
      </c>
    </row>
    <row r="29" spans="1:20" x14ac:dyDescent="0.35">
      <c r="A29" s="131">
        <v>22</v>
      </c>
      <c r="B29" s="58" t="s">
        <v>1833</v>
      </c>
      <c r="C29" s="89">
        <v>3821.1</v>
      </c>
      <c r="D29" s="89">
        <v>3824.5</v>
      </c>
      <c r="E29" s="90">
        <v>3823.5</v>
      </c>
      <c r="F29" s="90">
        <v>3912.2</v>
      </c>
      <c r="G29" s="90">
        <v>3932.8</v>
      </c>
      <c r="H29" s="90">
        <v>3941.2</v>
      </c>
      <c r="I29" s="89">
        <v>3983.1</v>
      </c>
      <c r="J29" s="90">
        <v>4007.9</v>
      </c>
      <c r="K29" s="89">
        <v>4013.6</v>
      </c>
      <c r="L29" s="90">
        <v>4010.1</v>
      </c>
      <c r="M29" s="90">
        <v>4024</v>
      </c>
      <c r="N29" s="90">
        <v>4017.8</v>
      </c>
      <c r="O29" s="90">
        <v>3995.4</v>
      </c>
      <c r="P29" s="90">
        <v>3993.8</v>
      </c>
      <c r="Q29" s="90">
        <v>3978.8</v>
      </c>
      <c r="R29" s="91">
        <v>3973.1</v>
      </c>
      <c r="S29" s="120"/>
      <c r="T29" s="134"/>
    </row>
    <row r="30" spans="1:20" ht="16.5" customHeight="1" x14ac:dyDescent="0.35">
      <c r="A30" s="104">
        <v>23</v>
      </c>
      <c r="B30" s="106" t="s">
        <v>1834</v>
      </c>
      <c r="C30" s="107">
        <v>1211.0999999999999</v>
      </c>
      <c r="D30" s="107">
        <v>1215.9000000000001</v>
      </c>
      <c r="E30" s="108">
        <v>1216.9000000000001</v>
      </c>
      <c r="F30" s="90">
        <v>1229.0999999999999</v>
      </c>
      <c r="G30" s="90">
        <v>1224.3</v>
      </c>
      <c r="H30" s="90">
        <v>1223.5999999999999</v>
      </c>
      <c r="I30" s="89">
        <v>1335.4</v>
      </c>
      <c r="J30" s="90">
        <v>1340.1</v>
      </c>
      <c r="K30" s="89">
        <v>1344.5</v>
      </c>
      <c r="L30" s="90">
        <v>1349.9</v>
      </c>
      <c r="M30" s="90">
        <v>1354.7</v>
      </c>
      <c r="N30" s="90">
        <v>1356.7</v>
      </c>
      <c r="O30" s="90">
        <v>1358.1</v>
      </c>
      <c r="P30" s="90">
        <v>1361.9</v>
      </c>
      <c r="Q30" s="90">
        <v>1363</v>
      </c>
      <c r="R30" s="91">
        <v>1378.5</v>
      </c>
      <c r="S30" s="109">
        <f>'Social Benefits'!X97</f>
        <v>1374.4480000000001</v>
      </c>
    </row>
    <row r="31" spans="1:20" ht="16.399999999999999" customHeight="1" x14ac:dyDescent="0.35">
      <c r="A31" s="104">
        <v>24</v>
      </c>
      <c r="B31" s="106" t="s">
        <v>1835</v>
      </c>
      <c r="C31" s="107">
        <v>914.1</v>
      </c>
      <c r="D31" s="107">
        <v>920.1</v>
      </c>
      <c r="E31" s="108">
        <v>926.7</v>
      </c>
      <c r="F31" s="90">
        <v>933.8</v>
      </c>
      <c r="G31" s="90">
        <v>941.5</v>
      </c>
      <c r="H31" s="90">
        <v>949.7</v>
      </c>
      <c r="I31" s="89">
        <v>936.9</v>
      </c>
      <c r="J31" s="90">
        <v>938.1</v>
      </c>
      <c r="K31" s="89">
        <v>939.3</v>
      </c>
      <c r="L31" s="90">
        <v>940.6</v>
      </c>
      <c r="M31" s="90">
        <v>941.9</v>
      </c>
      <c r="N31" s="90">
        <v>943.3</v>
      </c>
      <c r="O31" s="90">
        <v>944.8</v>
      </c>
      <c r="P31" s="90">
        <v>946.3</v>
      </c>
      <c r="Q31" s="90">
        <v>947.9</v>
      </c>
      <c r="R31" s="91">
        <v>949.6</v>
      </c>
      <c r="S31" s="111">
        <f>Medicare!X10</f>
        <v>951.3</v>
      </c>
    </row>
    <row r="32" spans="1:20" x14ac:dyDescent="0.35">
      <c r="A32" s="104">
        <v>25</v>
      </c>
      <c r="B32" s="106" t="s">
        <v>54</v>
      </c>
      <c r="C32" s="107">
        <v>790.3</v>
      </c>
      <c r="D32" s="107">
        <v>785.3</v>
      </c>
      <c r="E32" s="108">
        <v>782.8</v>
      </c>
      <c r="F32" s="90">
        <v>791.2</v>
      </c>
      <c r="G32" s="90">
        <v>796.9</v>
      </c>
      <c r="H32" s="90">
        <v>800.6</v>
      </c>
      <c r="I32" s="89">
        <v>856.7</v>
      </c>
      <c r="J32" s="90">
        <v>871.5</v>
      </c>
      <c r="K32" s="89">
        <v>886.1</v>
      </c>
      <c r="L32" s="90">
        <v>908.2</v>
      </c>
      <c r="M32" s="90">
        <v>916.2</v>
      </c>
      <c r="N32" s="90">
        <v>909.8</v>
      </c>
      <c r="O32" s="90">
        <v>895.2</v>
      </c>
      <c r="P32" s="90">
        <v>881.9</v>
      </c>
      <c r="Q32" s="90">
        <v>870.7</v>
      </c>
      <c r="R32" s="91">
        <v>861.3</v>
      </c>
      <c r="S32" s="111">
        <f>forecast!C11</f>
        <v>863.3</v>
      </c>
      <c r="T32" s="112"/>
    </row>
    <row r="33" spans="1:20" x14ac:dyDescent="0.35">
      <c r="A33" s="104">
        <v>26</v>
      </c>
      <c r="B33" s="106" t="s">
        <v>263</v>
      </c>
      <c r="C33" s="107">
        <v>18.7</v>
      </c>
      <c r="D33" s="107">
        <v>18.899999999999999</v>
      </c>
      <c r="E33" s="108">
        <v>18</v>
      </c>
      <c r="F33" s="90">
        <v>18.899999999999999</v>
      </c>
      <c r="G33" s="90">
        <v>20.6</v>
      </c>
      <c r="H33" s="90">
        <v>21.6</v>
      </c>
      <c r="I33" s="89">
        <v>21.1</v>
      </c>
      <c r="J33" s="90">
        <v>22</v>
      </c>
      <c r="K33" s="89">
        <v>22.8</v>
      </c>
      <c r="L33" s="90">
        <v>22.8</v>
      </c>
      <c r="M33" s="90">
        <v>22.3</v>
      </c>
      <c r="N33" s="90">
        <v>21.6</v>
      </c>
      <c r="O33" s="90">
        <v>21.1</v>
      </c>
      <c r="P33" s="90">
        <v>21.1</v>
      </c>
      <c r="Q33" s="90">
        <v>20.8</v>
      </c>
      <c r="R33" s="91">
        <v>22</v>
      </c>
      <c r="S33" s="111">
        <f>forecast!C9+forecast!C8</f>
        <v>22.7</v>
      </c>
      <c r="T33" s="112"/>
    </row>
    <row r="34" spans="1:20" ht="16.399999999999999" customHeight="1" x14ac:dyDescent="0.35">
      <c r="A34" s="131">
        <v>27</v>
      </c>
      <c r="B34" s="125" t="s">
        <v>1836</v>
      </c>
      <c r="C34" s="89">
        <v>161.1</v>
      </c>
      <c r="D34" s="89">
        <v>161.6</v>
      </c>
      <c r="E34" s="90">
        <v>162.5</v>
      </c>
      <c r="F34" s="90">
        <v>163.19999999999999</v>
      </c>
      <c r="G34" s="90">
        <v>164</v>
      </c>
      <c r="H34" s="90">
        <v>164.8</v>
      </c>
      <c r="I34" s="89">
        <v>173.1</v>
      </c>
      <c r="J34" s="90">
        <v>172.9</v>
      </c>
      <c r="K34" s="89">
        <v>172.7</v>
      </c>
      <c r="L34" s="90">
        <v>172.7</v>
      </c>
      <c r="M34" s="90">
        <v>172.4</v>
      </c>
      <c r="N34" s="90">
        <v>172.5</v>
      </c>
      <c r="O34" s="90">
        <v>172.7</v>
      </c>
      <c r="P34" s="90">
        <v>172.9</v>
      </c>
      <c r="Q34" s="90">
        <v>173</v>
      </c>
      <c r="R34" s="91">
        <v>173.3</v>
      </c>
    </row>
    <row r="35" spans="1:20" x14ac:dyDescent="0.35">
      <c r="A35" s="131">
        <v>28</v>
      </c>
      <c r="B35" s="125" t="s">
        <v>535</v>
      </c>
      <c r="C35" s="89">
        <v>725.8</v>
      </c>
      <c r="D35" s="89">
        <v>722.7</v>
      </c>
      <c r="E35" s="90">
        <v>716.6</v>
      </c>
      <c r="F35" s="90">
        <v>776</v>
      </c>
      <c r="G35" s="90">
        <v>785.4</v>
      </c>
      <c r="H35" s="90">
        <v>780.9</v>
      </c>
      <c r="I35" s="89">
        <v>659.8</v>
      </c>
      <c r="J35" s="90">
        <v>663.3</v>
      </c>
      <c r="K35" s="89">
        <v>648.20000000000005</v>
      </c>
      <c r="L35" s="90">
        <v>615.9</v>
      </c>
      <c r="M35" s="90">
        <v>616.4</v>
      </c>
      <c r="N35" s="90">
        <v>613.79999999999995</v>
      </c>
      <c r="O35" s="90">
        <v>603.5</v>
      </c>
      <c r="P35" s="90">
        <v>609.70000000000005</v>
      </c>
      <c r="Q35" s="90">
        <v>603.5</v>
      </c>
      <c r="R35" s="91">
        <v>588.5</v>
      </c>
    </row>
    <row r="36" spans="1:20" x14ac:dyDescent="0.35">
      <c r="A36" s="131">
        <v>29</v>
      </c>
      <c r="B36" s="124" t="s">
        <v>1837</v>
      </c>
      <c r="C36" s="89">
        <v>70.7</v>
      </c>
      <c r="D36" s="89">
        <v>69.400000000000006</v>
      </c>
      <c r="E36" s="90">
        <v>69.400000000000006</v>
      </c>
      <c r="F36" s="90">
        <v>69.400000000000006</v>
      </c>
      <c r="G36" s="90">
        <v>69.5</v>
      </c>
      <c r="H36" s="90">
        <v>69.599999999999994</v>
      </c>
      <c r="I36" s="89">
        <v>100.2</v>
      </c>
      <c r="J36" s="90">
        <v>100.9</v>
      </c>
      <c r="K36" s="89">
        <v>101.6</v>
      </c>
      <c r="L36" s="90">
        <v>102.2</v>
      </c>
      <c r="M36" s="90">
        <v>102.8</v>
      </c>
      <c r="N36" s="90">
        <v>103.5</v>
      </c>
      <c r="O36" s="90">
        <v>104.1</v>
      </c>
      <c r="P36" s="90">
        <v>104.7</v>
      </c>
      <c r="Q36" s="90">
        <v>108.9</v>
      </c>
      <c r="R36" s="91">
        <v>109.3</v>
      </c>
    </row>
    <row r="37" spans="1:20" x14ac:dyDescent="0.35">
      <c r="A37" s="104">
        <v>30</v>
      </c>
      <c r="B37" s="113" t="s">
        <v>1838</v>
      </c>
      <c r="C37" s="114">
        <v>1683.6</v>
      </c>
      <c r="D37" s="114">
        <v>1695.6</v>
      </c>
      <c r="E37" s="115">
        <v>1707.7</v>
      </c>
      <c r="F37" s="87">
        <v>1704.3</v>
      </c>
      <c r="G37" s="87">
        <v>1703.1</v>
      </c>
      <c r="H37" s="87">
        <v>1703.8</v>
      </c>
      <c r="I37" s="86">
        <v>1765.5</v>
      </c>
      <c r="J37" s="87">
        <v>1774.3</v>
      </c>
      <c r="K37" s="86">
        <v>1782</v>
      </c>
      <c r="L37" s="87">
        <v>1787.4</v>
      </c>
      <c r="M37" s="87">
        <v>1793.6</v>
      </c>
      <c r="N37" s="87">
        <v>1800.9</v>
      </c>
      <c r="O37" s="87">
        <v>1807.3</v>
      </c>
      <c r="P37" s="87">
        <v>1814.4</v>
      </c>
      <c r="Q37" s="87">
        <v>1822.5</v>
      </c>
      <c r="R37" s="88">
        <v>1824.9</v>
      </c>
      <c r="S37" s="109">
        <f>Taxes!X12+Taxes!X24</f>
        <v>1838.5</v>
      </c>
    </row>
    <row r="38" spans="1:20" x14ac:dyDescent="0.35">
      <c r="A38" s="104">
        <v>31</v>
      </c>
      <c r="B38" s="116" t="s">
        <v>242</v>
      </c>
      <c r="C38" s="114">
        <v>3224.2</v>
      </c>
      <c r="D38" s="114">
        <v>3236.7</v>
      </c>
      <c r="E38" s="115">
        <v>3248.6</v>
      </c>
      <c r="F38" s="87">
        <v>3232.7</v>
      </c>
      <c r="G38" s="87">
        <v>3213.6</v>
      </c>
      <c r="H38" s="87">
        <v>3202.1</v>
      </c>
      <c r="I38" s="86">
        <v>2767.2</v>
      </c>
      <c r="J38" s="87">
        <v>2763.4</v>
      </c>
      <c r="K38" s="86">
        <v>2760.4</v>
      </c>
      <c r="L38" s="87">
        <v>2707.4</v>
      </c>
      <c r="M38" s="87">
        <v>2691.2</v>
      </c>
      <c r="N38" s="87">
        <v>2712.9</v>
      </c>
      <c r="O38" s="87">
        <v>2754.4</v>
      </c>
      <c r="P38" s="87">
        <v>2782.4</v>
      </c>
      <c r="Q38" s="87">
        <v>2797.6</v>
      </c>
      <c r="R38" s="88">
        <v>2791.2</v>
      </c>
      <c r="S38" s="109">
        <f>Taxes!X10+Taxes!X22</f>
        <v>2769.6</v>
      </c>
    </row>
    <row r="39" spans="1:20" x14ac:dyDescent="0.35">
      <c r="A39" s="131">
        <v>32</v>
      </c>
      <c r="B39" s="60" t="s">
        <v>1839</v>
      </c>
      <c r="C39" s="86">
        <v>18628.099999999999</v>
      </c>
      <c r="D39" s="86">
        <v>18739.099999999999</v>
      </c>
      <c r="E39" s="87">
        <v>18831.7</v>
      </c>
      <c r="F39" s="87">
        <v>18969.2</v>
      </c>
      <c r="G39" s="87">
        <v>19026.5</v>
      </c>
      <c r="H39" s="87">
        <v>19079.7</v>
      </c>
      <c r="I39" s="86">
        <v>19758.099999999999</v>
      </c>
      <c r="J39" s="87">
        <v>19885</v>
      </c>
      <c r="K39" s="86">
        <v>19997.5</v>
      </c>
      <c r="L39" s="87">
        <v>20098.7</v>
      </c>
      <c r="M39" s="87">
        <v>20185.400000000001</v>
      </c>
      <c r="N39" s="87">
        <v>20208.400000000001</v>
      </c>
      <c r="O39" s="87">
        <v>20229.599999999999</v>
      </c>
      <c r="P39" s="87">
        <v>20306.7</v>
      </c>
      <c r="Q39" s="87">
        <v>20388.3</v>
      </c>
      <c r="R39" s="88">
        <v>20451.7</v>
      </c>
    </row>
    <row r="40" spans="1:20" x14ac:dyDescent="0.35">
      <c r="A40" s="131">
        <v>33</v>
      </c>
      <c r="B40" s="60" t="s">
        <v>243</v>
      </c>
      <c r="C40" s="86">
        <v>17983.400000000001</v>
      </c>
      <c r="D40" s="86">
        <v>18132.7</v>
      </c>
      <c r="E40" s="87">
        <v>18257.400000000001</v>
      </c>
      <c r="F40" s="87">
        <v>18391.8</v>
      </c>
      <c r="G40" s="87">
        <v>18362.3</v>
      </c>
      <c r="H40" s="87">
        <v>18377.400000000001</v>
      </c>
      <c r="I40" s="86">
        <v>18887</v>
      </c>
      <c r="J40" s="87">
        <v>18959</v>
      </c>
      <c r="K40" s="86">
        <v>18950</v>
      </c>
      <c r="L40" s="87">
        <v>19056.2</v>
      </c>
      <c r="M40" s="87">
        <v>19125.400000000001</v>
      </c>
      <c r="N40" s="87">
        <v>19228.3</v>
      </c>
      <c r="O40" s="87">
        <v>19379.599999999999</v>
      </c>
      <c r="P40" s="87">
        <v>19459.599999999999</v>
      </c>
      <c r="Q40" s="87">
        <v>19639.3</v>
      </c>
      <c r="R40" s="88">
        <v>19683.099999999999</v>
      </c>
    </row>
    <row r="41" spans="1:20" x14ac:dyDescent="0.35">
      <c r="A41" s="131">
        <v>34</v>
      </c>
      <c r="B41" s="100" t="s">
        <v>1721</v>
      </c>
      <c r="C41" s="89">
        <v>17420.3</v>
      </c>
      <c r="D41" s="89">
        <v>17550.900000000001</v>
      </c>
      <c r="E41" s="90">
        <v>17656.8</v>
      </c>
      <c r="F41" s="90">
        <v>17778.2</v>
      </c>
      <c r="G41" s="90">
        <v>17735</v>
      </c>
      <c r="H41" s="90">
        <v>17736.5</v>
      </c>
      <c r="I41" s="89">
        <v>18229.599999999999</v>
      </c>
      <c r="J41" s="90">
        <v>18296.5</v>
      </c>
      <c r="K41" s="89">
        <v>18282.599999999999</v>
      </c>
      <c r="L41" s="90">
        <v>18363.8</v>
      </c>
      <c r="M41" s="90">
        <v>18407.8</v>
      </c>
      <c r="N41" s="90">
        <v>18485.400000000001</v>
      </c>
      <c r="O41" s="90">
        <v>18621.3</v>
      </c>
      <c r="P41" s="90">
        <v>18689.900000000001</v>
      </c>
      <c r="Q41" s="90">
        <v>18823.400000000001</v>
      </c>
      <c r="R41" s="91">
        <v>18864.7</v>
      </c>
    </row>
    <row r="42" spans="1:20" ht="16.399999999999999" customHeight="1" x14ac:dyDescent="0.35">
      <c r="A42" s="131">
        <v>35</v>
      </c>
      <c r="B42" s="58" t="s">
        <v>1762</v>
      </c>
      <c r="C42" s="89">
        <v>5988.2</v>
      </c>
      <c r="D42" s="89">
        <v>5981.9</v>
      </c>
      <c r="E42" s="90">
        <v>5995.6</v>
      </c>
      <c r="F42" s="90">
        <v>6064.4</v>
      </c>
      <c r="G42" s="90">
        <v>5974.1</v>
      </c>
      <c r="H42" s="90">
        <v>5901.5</v>
      </c>
      <c r="I42" s="89">
        <v>6148.2</v>
      </c>
      <c r="J42" s="90">
        <v>6164.2</v>
      </c>
      <c r="K42" s="89">
        <v>6089.2</v>
      </c>
      <c r="L42" s="90">
        <v>6139.1</v>
      </c>
      <c r="M42" s="90">
        <v>6144.7</v>
      </c>
      <c r="N42" s="90">
        <v>6150.1</v>
      </c>
      <c r="O42" s="90">
        <v>6187.9</v>
      </c>
      <c r="P42" s="90">
        <v>6228.2</v>
      </c>
      <c r="Q42" s="90">
        <v>6270.2</v>
      </c>
      <c r="R42" s="91">
        <v>6258.3</v>
      </c>
      <c r="S42" s="120"/>
      <c r="T42" s="134"/>
    </row>
    <row r="43" spans="1:20" ht="16.399999999999999" customHeight="1" x14ac:dyDescent="0.35">
      <c r="A43" s="131">
        <v>36</v>
      </c>
      <c r="B43" s="125" t="s">
        <v>1840</v>
      </c>
      <c r="C43" s="89">
        <v>2189.5</v>
      </c>
      <c r="D43" s="89">
        <v>2197.8000000000002</v>
      </c>
      <c r="E43" s="90">
        <v>2200.1999999999998</v>
      </c>
      <c r="F43" s="90">
        <v>2238.9</v>
      </c>
      <c r="G43" s="90">
        <v>2167.3000000000002</v>
      </c>
      <c r="H43" s="90">
        <v>2134.9</v>
      </c>
      <c r="I43" s="89">
        <v>2213.6999999999998</v>
      </c>
      <c r="J43" s="90">
        <v>2203.6</v>
      </c>
      <c r="K43" s="89">
        <v>2167.3000000000002</v>
      </c>
      <c r="L43" s="90">
        <v>2183.6999999999998</v>
      </c>
      <c r="M43" s="90">
        <v>2202.8000000000002</v>
      </c>
      <c r="N43" s="90">
        <v>2194.1999999999998</v>
      </c>
      <c r="O43" s="90">
        <v>2206.9</v>
      </c>
      <c r="P43" s="90">
        <v>2192.6999999999998</v>
      </c>
      <c r="Q43" s="90">
        <v>2215.8000000000002</v>
      </c>
      <c r="R43" s="91">
        <v>2204</v>
      </c>
      <c r="S43" s="120"/>
      <c r="T43" s="134"/>
    </row>
    <row r="44" spans="1:20" ht="16.399999999999999" customHeight="1" x14ac:dyDescent="0.35">
      <c r="A44" s="131">
        <v>37</v>
      </c>
      <c r="B44" s="125" t="s">
        <v>1841</v>
      </c>
      <c r="C44" s="89">
        <v>3798.7</v>
      </c>
      <c r="D44" s="89">
        <v>3784.1</v>
      </c>
      <c r="E44" s="90">
        <v>3795.4</v>
      </c>
      <c r="F44" s="90">
        <v>3825.6</v>
      </c>
      <c r="G44" s="90">
        <v>3806.8</v>
      </c>
      <c r="H44" s="90">
        <v>3766.5</v>
      </c>
      <c r="I44" s="89">
        <v>3934.5</v>
      </c>
      <c r="J44" s="90">
        <v>3960.6</v>
      </c>
      <c r="K44" s="89">
        <v>3921.9</v>
      </c>
      <c r="L44" s="90">
        <v>3955.4</v>
      </c>
      <c r="M44" s="90">
        <v>3941.9</v>
      </c>
      <c r="N44" s="90">
        <v>3955.9</v>
      </c>
      <c r="O44" s="90">
        <v>3981</v>
      </c>
      <c r="P44" s="90">
        <v>4035.5</v>
      </c>
      <c r="Q44" s="90">
        <v>4054.4</v>
      </c>
      <c r="R44" s="91">
        <v>4054.4</v>
      </c>
      <c r="S44" s="120"/>
      <c r="T44" s="134"/>
    </row>
    <row r="45" spans="1:20" ht="16.399999999999999" customHeight="1" x14ac:dyDescent="0.35">
      <c r="A45" s="131">
        <v>38</v>
      </c>
      <c r="B45" s="58" t="s">
        <v>1768</v>
      </c>
      <c r="C45" s="89">
        <v>11432.1</v>
      </c>
      <c r="D45" s="89">
        <v>11568.9</v>
      </c>
      <c r="E45" s="90">
        <v>11661.2</v>
      </c>
      <c r="F45" s="90">
        <v>11713.7</v>
      </c>
      <c r="G45" s="90">
        <v>11760.9</v>
      </c>
      <c r="H45" s="90">
        <v>11835</v>
      </c>
      <c r="I45" s="89">
        <v>12081.4</v>
      </c>
      <c r="J45" s="90">
        <v>12132.4</v>
      </c>
      <c r="K45" s="89">
        <v>12193.4</v>
      </c>
      <c r="L45" s="90">
        <v>12224.7</v>
      </c>
      <c r="M45" s="90">
        <v>12263</v>
      </c>
      <c r="N45" s="90">
        <v>12335.3</v>
      </c>
      <c r="O45" s="90">
        <v>12433.4</v>
      </c>
      <c r="P45" s="90">
        <v>12461.7</v>
      </c>
      <c r="Q45" s="90">
        <v>12553.2</v>
      </c>
      <c r="R45" s="91">
        <v>12606.4</v>
      </c>
      <c r="S45" s="120"/>
      <c r="T45" s="134"/>
    </row>
    <row r="46" spans="1:20" ht="16.399999999999999" customHeight="1" x14ac:dyDescent="0.35">
      <c r="A46" s="131">
        <v>39</v>
      </c>
      <c r="B46" s="100" t="s">
        <v>1842</v>
      </c>
      <c r="C46" s="89">
        <v>338.7</v>
      </c>
      <c r="D46" s="89">
        <v>357.1</v>
      </c>
      <c r="E46" s="90">
        <v>375.6</v>
      </c>
      <c r="F46" s="90">
        <v>389.1</v>
      </c>
      <c r="G46" s="90">
        <v>402.6</v>
      </c>
      <c r="H46" s="90">
        <v>416.1</v>
      </c>
      <c r="I46" s="89">
        <v>415</v>
      </c>
      <c r="J46" s="90">
        <v>419.8</v>
      </c>
      <c r="K46" s="89">
        <v>424.7</v>
      </c>
      <c r="L46" s="90">
        <v>449.7</v>
      </c>
      <c r="M46" s="90">
        <v>474.7</v>
      </c>
      <c r="N46" s="90">
        <v>499.8</v>
      </c>
      <c r="O46" s="90">
        <v>512.1</v>
      </c>
      <c r="P46" s="90">
        <v>523.20000000000005</v>
      </c>
      <c r="Q46" s="90">
        <v>569.20000000000005</v>
      </c>
      <c r="R46" s="91">
        <v>571.4</v>
      </c>
      <c r="S46" s="120"/>
      <c r="T46" s="134"/>
    </row>
    <row r="47" spans="1:20" x14ac:dyDescent="0.35">
      <c r="A47" s="131">
        <v>40</v>
      </c>
      <c r="B47" s="100" t="s">
        <v>1843</v>
      </c>
      <c r="C47" s="89">
        <v>224.4</v>
      </c>
      <c r="D47" s="89">
        <v>224.7</v>
      </c>
      <c r="E47" s="90">
        <v>225</v>
      </c>
      <c r="F47" s="90">
        <v>224.5</v>
      </c>
      <c r="G47" s="90">
        <v>224.7</v>
      </c>
      <c r="H47" s="90">
        <v>224.8</v>
      </c>
      <c r="I47" s="89">
        <v>242.4</v>
      </c>
      <c r="J47" s="90">
        <v>242.6</v>
      </c>
      <c r="K47" s="89">
        <v>242.8</v>
      </c>
      <c r="L47" s="90">
        <v>242.6</v>
      </c>
      <c r="M47" s="90">
        <v>242.9</v>
      </c>
      <c r="N47" s="90">
        <v>243.1</v>
      </c>
      <c r="O47" s="90">
        <v>246.1</v>
      </c>
      <c r="P47" s="90">
        <v>246.4</v>
      </c>
      <c r="Q47" s="90">
        <v>246.7</v>
      </c>
      <c r="R47" s="91">
        <v>247</v>
      </c>
      <c r="S47" s="120"/>
      <c r="T47" s="134"/>
    </row>
    <row r="48" spans="1:20" x14ac:dyDescent="0.35">
      <c r="A48" s="131">
        <v>41</v>
      </c>
      <c r="B48" s="58" t="s">
        <v>1844</v>
      </c>
      <c r="C48" s="89">
        <v>116.1</v>
      </c>
      <c r="D48" s="89">
        <v>116.4</v>
      </c>
      <c r="E48" s="90">
        <v>116.7</v>
      </c>
      <c r="F48" s="90">
        <v>116.9</v>
      </c>
      <c r="G48" s="90">
        <v>117.1</v>
      </c>
      <c r="H48" s="90">
        <v>117.2</v>
      </c>
      <c r="I48" s="89">
        <v>129.5</v>
      </c>
      <c r="J48" s="90">
        <v>129.69999999999999</v>
      </c>
      <c r="K48" s="89">
        <v>129.9</v>
      </c>
      <c r="L48" s="90">
        <v>130.1</v>
      </c>
      <c r="M48" s="90">
        <v>130.4</v>
      </c>
      <c r="N48" s="90">
        <v>130.6</v>
      </c>
      <c r="O48" s="90">
        <v>130.9</v>
      </c>
      <c r="P48" s="90">
        <v>131.19999999999999</v>
      </c>
      <c r="Q48" s="90">
        <v>131.5</v>
      </c>
      <c r="R48" s="91">
        <v>131.80000000000001</v>
      </c>
      <c r="S48" s="120"/>
      <c r="T48" s="134"/>
    </row>
    <row r="49" spans="1:20" x14ac:dyDescent="0.35">
      <c r="A49" s="131">
        <v>42</v>
      </c>
      <c r="B49" s="58" t="s">
        <v>1845</v>
      </c>
      <c r="C49" s="89">
        <v>108.3</v>
      </c>
      <c r="D49" s="89">
        <v>108.3</v>
      </c>
      <c r="E49" s="90">
        <v>108.3</v>
      </c>
      <c r="F49" s="90">
        <v>107.6</v>
      </c>
      <c r="G49" s="90">
        <v>107.6</v>
      </c>
      <c r="H49" s="90">
        <v>107.6</v>
      </c>
      <c r="I49" s="89">
        <v>112.9</v>
      </c>
      <c r="J49" s="90">
        <v>112.9</v>
      </c>
      <c r="K49" s="89">
        <v>112.9</v>
      </c>
      <c r="L49" s="90">
        <v>112.5</v>
      </c>
      <c r="M49" s="90">
        <v>112.5</v>
      </c>
      <c r="N49" s="90">
        <v>112.5</v>
      </c>
      <c r="O49" s="90">
        <v>115.2</v>
      </c>
      <c r="P49" s="90">
        <v>115.2</v>
      </c>
      <c r="Q49" s="90">
        <v>115.2</v>
      </c>
      <c r="R49" s="91">
        <v>115.2</v>
      </c>
      <c r="S49" s="120"/>
      <c r="T49" s="134"/>
    </row>
    <row r="50" spans="1:20" x14ac:dyDescent="0.35">
      <c r="A50" s="131">
        <v>43</v>
      </c>
      <c r="B50" s="60" t="s">
        <v>244</v>
      </c>
      <c r="C50" s="86">
        <v>644.70000000000005</v>
      </c>
      <c r="D50" s="86">
        <v>606.4</v>
      </c>
      <c r="E50" s="87">
        <v>574.4</v>
      </c>
      <c r="F50" s="87">
        <v>577.4</v>
      </c>
      <c r="G50" s="87">
        <v>664.1</v>
      </c>
      <c r="H50" s="87">
        <v>702.3</v>
      </c>
      <c r="I50" s="86">
        <v>871.1</v>
      </c>
      <c r="J50" s="87">
        <v>926</v>
      </c>
      <c r="K50" s="86">
        <v>1047.5</v>
      </c>
      <c r="L50" s="87">
        <v>1042.5</v>
      </c>
      <c r="M50" s="87">
        <v>1060</v>
      </c>
      <c r="N50" s="87">
        <v>980.1</v>
      </c>
      <c r="O50" s="87">
        <v>850.1</v>
      </c>
      <c r="P50" s="87">
        <v>847.1</v>
      </c>
      <c r="Q50" s="87">
        <v>749</v>
      </c>
      <c r="R50" s="88">
        <v>768.6</v>
      </c>
      <c r="S50" s="76"/>
    </row>
    <row r="51" spans="1:20" x14ac:dyDescent="0.35">
      <c r="A51" s="132">
        <v>44</v>
      </c>
      <c r="B51" s="128" t="s">
        <v>1846</v>
      </c>
      <c r="C51" s="86">
        <v>3.5</v>
      </c>
      <c r="D51" s="86">
        <v>3.2</v>
      </c>
      <c r="E51" s="87">
        <v>3</v>
      </c>
      <c r="F51" s="87">
        <v>3</v>
      </c>
      <c r="G51" s="87">
        <v>3.5</v>
      </c>
      <c r="H51" s="87">
        <v>3.7</v>
      </c>
      <c r="I51" s="86">
        <v>4.4000000000000004</v>
      </c>
      <c r="J51" s="87">
        <v>4.7</v>
      </c>
      <c r="K51" s="86">
        <v>5.2</v>
      </c>
      <c r="L51" s="87">
        <v>5.2</v>
      </c>
      <c r="M51" s="87">
        <v>5.3</v>
      </c>
      <c r="N51" s="87">
        <v>4.8</v>
      </c>
      <c r="O51" s="87">
        <v>4.2</v>
      </c>
      <c r="P51" s="87">
        <v>4.2</v>
      </c>
      <c r="Q51" s="87">
        <v>3.7</v>
      </c>
      <c r="R51" s="88">
        <v>3.8</v>
      </c>
      <c r="S51" s="76"/>
    </row>
    <row r="52" spans="1:20" x14ac:dyDescent="0.35">
      <c r="A52" s="131"/>
      <c r="B52" s="60" t="s">
        <v>1769</v>
      </c>
      <c r="C52" s="86"/>
      <c r="D52" s="86"/>
      <c r="E52" s="87"/>
      <c r="F52" s="87"/>
      <c r="G52" s="87"/>
      <c r="H52" s="87"/>
      <c r="I52" s="86"/>
      <c r="J52" s="87"/>
      <c r="K52" s="86"/>
      <c r="L52" s="87"/>
      <c r="M52" s="87"/>
      <c r="N52" s="87"/>
      <c r="O52" s="87"/>
      <c r="P52" s="87"/>
      <c r="Q52" s="87"/>
      <c r="R52" s="88"/>
    </row>
    <row r="53" spans="1:20" ht="31" customHeight="1" x14ac:dyDescent="0.35">
      <c r="A53" s="132">
        <v>45</v>
      </c>
      <c r="B53" s="128" t="s">
        <v>1847</v>
      </c>
      <c r="C53" s="86">
        <v>14559.1</v>
      </c>
      <c r="D53" s="86">
        <v>14618.2</v>
      </c>
      <c r="E53" s="87">
        <v>14653.2</v>
      </c>
      <c r="F53" s="87">
        <v>14618.1</v>
      </c>
      <c r="G53" s="87">
        <v>14607</v>
      </c>
      <c r="H53" s="87">
        <v>14604.2</v>
      </c>
      <c r="I53" s="86">
        <v>15496.1</v>
      </c>
      <c r="J53" s="87">
        <v>15529.2</v>
      </c>
      <c r="K53" s="86">
        <v>15596.8</v>
      </c>
      <c r="L53" s="87">
        <v>15592.2</v>
      </c>
      <c r="M53" s="87">
        <v>15622.4</v>
      </c>
      <c r="N53" s="87">
        <v>15638</v>
      </c>
      <c r="O53" s="87">
        <v>15680</v>
      </c>
      <c r="P53" s="87">
        <v>15710.9</v>
      </c>
      <c r="Q53" s="87">
        <v>15741.5</v>
      </c>
      <c r="R53" s="88">
        <v>15785</v>
      </c>
    </row>
    <row r="54" spans="1:20" x14ac:dyDescent="0.35">
      <c r="A54" s="131"/>
      <c r="B54" s="121" t="s">
        <v>1848</v>
      </c>
      <c r="C54" s="86"/>
      <c r="D54" s="86"/>
      <c r="E54" s="87"/>
      <c r="F54" s="87"/>
      <c r="G54" s="87"/>
      <c r="H54" s="87"/>
      <c r="I54" s="86"/>
      <c r="J54" s="87"/>
      <c r="K54" s="86"/>
      <c r="L54" s="87"/>
      <c r="M54" s="87"/>
      <c r="N54" s="87"/>
      <c r="O54" s="87"/>
      <c r="P54" s="87"/>
      <c r="Q54" s="87"/>
      <c r="R54" s="88"/>
    </row>
    <row r="55" spans="1:20" ht="16.399999999999999" customHeight="1" x14ac:dyDescent="0.35">
      <c r="A55" s="131">
        <v>46</v>
      </c>
      <c r="B55" s="124" t="s">
        <v>1849</v>
      </c>
      <c r="C55" s="89">
        <v>15100.2</v>
      </c>
      <c r="D55" s="89">
        <v>15149.6</v>
      </c>
      <c r="E55" s="90">
        <v>15172.2</v>
      </c>
      <c r="F55" s="90">
        <v>15218.9</v>
      </c>
      <c r="G55" s="90">
        <v>15238.7</v>
      </c>
      <c r="H55" s="90">
        <v>15250.6</v>
      </c>
      <c r="I55" s="89">
        <v>16601.900000000001</v>
      </c>
      <c r="J55" s="90">
        <v>16656.099999999999</v>
      </c>
      <c r="K55" s="89">
        <v>16730.2</v>
      </c>
      <c r="L55" s="90">
        <v>16763.900000000001</v>
      </c>
      <c r="M55" s="90">
        <v>16818.5</v>
      </c>
      <c r="N55" s="90">
        <v>16809.5</v>
      </c>
      <c r="O55" s="90">
        <v>16796.900000000001</v>
      </c>
      <c r="P55" s="90">
        <v>16799.7</v>
      </c>
      <c r="Q55" s="90">
        <v>16804.8</v>
      </c>
      <c r="R55" s="91">
        <v>16848.7</v>
      </c>
    </row>
    <row r="56" spans="1:20" x14ac:dyDescent="0.35">
      <c r="A56" s="131"/>
      <c r="B56" s="58" t="s">
        <v>1850</v>
      </c>
      <c r="C56" s="89"/>
      <c r="D56" s="89"/>
      <c r="E56" s="90"/>
      <c r="F56" s="90"/>
      <c r="G56" s="90"/>
      <c r="H56" s="90"/>
      <c r="I56" s="89"/>
      <c r="J56" s="90"/>
      <c r="K56" s="89"/>
      <c r="L56" s="90"/>
      <c r="M56" s="90"/>
      <c r="N56" s="90"/>
      <c r="O56" s="90"/>
      <c r="P56" s="90"/>
      <c r="Q56" s="90"/>
      <c r="R56" s="91"/>
    </row>
    <row r="57" spans="1:20" x14ac:dyDescent="0.35">
      <c r="A57" s="131">
        <v>47</v>
      </c>
      <c r="B57" s="125" t="s">
        <v>1851</v>
      </c>
      <c r="C57" s="92">
        <v>55836</v>
      </c>
      <c r="D57" s="92">
        <v>56139</v>
      </c>
      <c r="E57" s="93">
        <v>56387</v>
      </c>
      <c r="F57" s="93">
        <v>56770</v>
      </c>
      <c r="G57" s="93">
        <v>56917</v>
      </c>
      <c r="H57" s="93">
        <v>57053</v>
      </c>
      <c r="I57" s="92">
        <v>59062</v>
      </c>
      <c r="J57" s="93">
        <v>59423</v>
      </c>
      <c r="K57" s="92">
        <v>59738</v>
      </c>
      <c r="L57" s="93">
        <v>60018</v>
      </c>
      <c r="M57" s="93">
        <v>60253</v>
      </c>
      <c r="N57" s="93">
        <v>60294</v>
      </c>
      <c r="O57" s="93">
        <v>60328</v>
      </c>
      <c r="P57" s="93">
        <v>60526</v>
      </c>
      <c r="Q57" s="93">
        <v>60738</v>
      </c>
      <c r="R57" s="94">
        <v>60898</v>
      </c>
    </row>
    <row r="58" spans="1:20" x14ac:dyDescent="0.35">
      <c r="A58" s="131">
        <v>48</v>
      </c>
      <c r="B58" s="125" t="s">
        <v>1852</v>
      </c>
      <c r="C58" s="92">
        <v>45261</v>
      </c>
      <c r="D58" s="92">
        <v>45385</v>
      </c>
      <c r="E58" s="93">
        <v>45429</v>
      </c>
      <c r="F58" s="93">
        <v>45546</v>
      </c>
      <c r="G58" s="93">
        <v>45586</v>
      </c>
      <c r="H58" s="93">
        <v>45603</v>
      </c>
      <c r="I58" s="92">
        <v>49627</v>
      </c>
      <c r="J58" s="93">
        <v>49774</v>
      </c>
      <c r="K58" s="92">
        <v>49978</v>
      </c>
      <c r="L58" s="93">
        <v>50060</v>
      </c>
      <c r="M58" s="93">
        <v>50203</v>
      </c>
      <c r="N58" s="93">
        <v>50153</v>
      </c>
      <c r="O58" s="93">
        <v>50091</v>
      </c>
      <c r="P58" s="93">
        <v>50073</v>
      </c>
      <c r="Q58" s="93">
        <v>50063</v>
      </c>
      <c r="R58" s="94">
        <v>50169</v>
      </c>
    </row>
    <row r="59" spans="1:20" ht="15" customHeight="1" x14ac:dyDescent="0.35">
      <c r="A59" s="133">
        <v>49</v>
      </c>
      <c r="B59" s="100" t="s">
        <v>1853</v>
      </c>
      <c r="C59" s="95">
        <v>333624</v>
      </c>
      <c r="D59" s="95">
        <v>333799</v>
      </c>
      <c r="E59" s="96">
        <v>333976</v>
      </c>
      <c r="F59" s="96">
        <v>334141</v>
      </c>
      <c r="G59" s="96">
        <v>334287</v>
      </c>
      <c r="H59" s="96">
        <v>334420</v>
      </c>
      <c r="I59" s="95">
        <v>334533</v>
      </c>
      <c r="J59" s="96">
        <v>334637</v>
      </c>
      <c r="K59" s="95">
        <v>334753</v>
      </c>
      <c r="L59" s="96">
        <v>334880</v>
      </c>
      <c r="M59" s="96">
        <v>335013</v>
      </c>
      <c r="N59" s="96">
        <v>335163</v>
      </c>
      <c r="O59" s="96">
        <v>335329</v>
      </c>
      <c r="P59" s="96">
        <v>335501</v>
      </c>
      <c r="Q59" s="96">
        <v>335675</v>
      </c>
      <c r="R59" s="97">
        <v>335836</v>
      </c>
    </row>
    <row r="60" spans="1:20" x14ac:dyDescent="0.35">
      <c r="A60" s="1270" t="s">
        <v>1854</v>
      </c>
      <c r="B60" s="1270"/>
      <c r="C60" s="1270"/>
      <c r="D60" s="1270"/>
      <c r="E60" s="1270"/>
      <c r="F60" s="1270"/>
      <c r="G60" s="1270"/>
      <c r="H60" s="1270"/>
      <c r="I60" s="1270"/>
      <c r="J60" s="1270"/>
      <c r="K60" s="81"/>
      <c r="L60" s="81"/>
      <c r="M60" s="81"/>
      <c r="N60" s="81"/>
      <c r="O60" s="81"/>
      <c r="P60" s="81"/>
      <c r="Q60" s="81"/>
      <c r="R60" s="81"/>
    </row>
    <row r="61" spans="1:20" x14ac:dyDescent="0.35">
      <c r="A61" s="1256" t="s">
        <v>1855</v>
      </c>
      <c r="B61" s="1256"/>
      <c r="C61" s="1256"/>
      <c r="D61" s="1256"/>
      <c r="E61" s="1256"/>
      <c r="F61" s="1256"/>
      <c r="G61" s="1256"/>
      <c r="H61" s="1256"/>
      <c r="I61" s="1256"/>
      <c r="J61" s="1256"/>
      <c r="K61" s="98"/>
      <c r="L61" s="98"/>
      <c r="M61" s="98"/>
      <c r="N61" s="98"/>
      <c r="O61" s="98"/>
      <c r="P61" s="98"/>
      <c r="Q61" s="98"/>
      <c r="R61" s="98"/>
    </row>
    <row r="62" spans="1:20" x14ac:dyDescent="0.35">
      <c r="A62" s="1256" t="s">
        <v>1856</v>
      </c>
      <c r="B62" s="1256"/>
      <c r="C62" s="1256"/>
      <c r="D62" s="1256"/>
      <c r="E62" s="1256"/>
      <c r="F62" s="1256"/>
      <c r="G62" s="1256"/>
      <c r="H62" s="1256"/>
      <c r="I62" s="1256"/>
      <c r="J62" s="1256"/>
      <c r="K62" s="98"/>
      <c r="L62" s="98"/>
      <c r="M62" s="98"/>
      <c r="N62" s="98"/>
      <c r="O62" s="98"/>
      <c r="P62" s="98"/>
      <c r="Q62" s="98"/>
      <c r="R62" s="98"/>
    </row>
    <row r="63" spans="1:20" x14ac:dyDescent="0.35">
      <c r="A63" s="1256" t="s">
        <v>1857</v>
      </c>
      <c r="B63" s="1256"/>
      <c r="C63" s="1256"/>
      <c r="D63" s="1256"/>
      <c r="E63" s="1256"/>
      <c r="F63" s="1256"/>
      <c r="G63" s="1256"/>
      <c r="H63" s="1256"/>
      <c r="I63" s="1256"/>
      <c r="J63" s="1256"/>
      <c r="K63" s="98"/>
      <c r="L63" s="98"/>
      <c r="M63" s="98"/>
      <c r="N63" s="98"/>
      <c r="O63" s="98"/>
      <c r="P63" s="98"/>
      <c r="Q63" s="98"/>
      <c r="R63" s="98"/>
    </row>
    <row r="64" spans="1:20" x14ac:dyDescent="0.35">
      <c r="A64" s="1256" t="s">
        <v>1858</v>
      </c>
      <c r="B64" s="1256"/>
      <c r="C64" s="1256"/>
      <c r="D64" s="1256"/>
      <c r="E64" s="1256"/>
      <c r="F64" s="1256"/>
      <c r="G64" s="1256"/>
      <c r="H64" s="1256"/>
      <c r="I64" s="1256"/>
      <c r="J64" s="1256"/>
      <c r="K64" s="98"/>
      <c r="L64" s="98"/>
      <c r="M64" s="98"/>
      <c r="N64" s="98"/>
      <c r="O64" s="98"/>
      <c r="P64" s="98"/>
      <c r="Q64" s="98"/>
      <c r="R64" s="98"/>
    </row>
    <row r="65" spans="1:18" x14ac:dyDescent="0.35">
      <c r="A65" s="1256" t="s">
        <v>1859</v>
      </c>
      <c r="B65" s="1256"/>
      <c r="C65" s="1256"/>
      <c r="D65" s="1256"/>
      <c r="E65" s="1256"/>
      <c r="F65" s="1256"/>
      <c r="G65" s="1256"/>
      <c r="H65" s="1256"/>
      <c r="I65" s="1256"/>
      <c r="J65" s="1256"/>
      <c r="K65" s="98"/>
      <c r="L65" s="98"/>
      <c r="M65" s="98"/>
      <c r="N65" s="98"/>
      <c r="O65" s="98"/>
      <c r="P65" s="98"/>
      <c r="Q65" s="98"/>
      <c r="R65" s="98"/>
    </row>
    <row r="66" spans="1:18" ht="14.5" customHeight="1" x14ac:dyDescent="0.35">
      <c r="A66" s="1256" t="s">
        <v>1860</v>
      </c>
      <c r="B66" s="1256"/>
      <c r="C66" s="1256"/>
      <c r="D66" s="1256"/>
      <c r="E66" s="1256"/>
      <c r="F66" s="1256"/>
      <c r="G66" s="1256"/>
      <c r="H66" s="1256"/>
      <c r="I66" s="1256"/>
      <c r="J66" s="1256"/>
      <c r="K66" s="98"/>
      <c r="L66" s="98"/>
      <c r="M66" s="98"/>
      <c r="N66" s="98"/>
      <c r="O66" s="98"/>
      <c r="P66" s="98"/>
      <c r="Q66" s="98"/>
      <c r="R66" s="98"/>
    </row>
    <row r="67" spans="1:18" ht="14.5" customHeight="1" x14ac:dyDescent="0.35">
      <c r="A67" s="1274" t="s">
        <v>1861</v>
      </c>
      <c r="B67" s="1274"/>
      <c r="C67" s="1274"/>
      <c r="D67" s="1274"/>
      <c r="E67" s="1274"/>
      <c r="F67" s="1274"/>
      <c r="G67" s="1274"/>
      <c r="H67" s="1274"/>
      <c r="I67" s="1274"/>
      <c r="J67" s="1274"/>
      <c r="K67" s="99"/>
      <c r="L67" s="99"/>
      <c r="M67" s="99"/>
      <c r="N67" s="99"/>
      <c r="O67" s="99"/>
      <c r="P67" s="99"/>
      <c r="Q67" s="99"/>
      <c r="R67" s="99"/>
    </row>
    <row r="68" spans="1:18" ht="14.5" customHeight="1" x14ac:dyDescent="0.35">
      <c r="A68" s="1275" t="s">
        <v>246</v>
      </c>
      <c r="B68" s="1275"/>
      <c r="C68" s="1275"/>
      <c r="D68" s="1275"/>
      <c r="E68" s="1275"/>
      <c r="F68" s="1275"/>
      <c r="G68" s="1275"/>
      <c r="H68" s="1275"/>
      <c r="I68" s="1275"/>
      <c r="J68" s="1275"/>
      <c r="K68" s="100"/>
      <c r="L68" s="100"/>
      <c r="M68" s="100"/>
      <c r="N68" s="100"/>
      <c r="O68" s="100"/>
      <c r="P68" s="100"/>
      <c r="Q68" s="100"/>
      <c r="R68" s="100"/>
    </row>
    <row r="69" spans="1:18" x14ac:dyDescent="0.35">
      <c r="A69" s="1273" t="s">
        <v>888</v>
      </c>
      <c r="B69" s="1273"/>
      <c r="C69" s="1273"/>
      <c r="D69" s="1273"/>
      <c r="E69" s="1273"/>
      <c r="F69" s="1273"/>
      <c r="G69" s="1273"/>
    </row>
    <row r="70" spans="1:18" x14ac:dyDescent="0.35">
      <c r="A70" s="1276" t="s">
        <v>889</v>
      </c>
      <c r="B70" s="1276"/>
      <c r="C70" s="1276"/>
      <c r="D70" s="1276"/>
      <c r="E70" s="1276"/>
      <c r="F70" s="1276"/>
      <c r="G70" s="1276"/>
    </row>
    <row r="71" spans="1:18" x14ac:dyDescent="0.35">
      <c r="A71" s="1272" t="s">
        <v>890</v>
      </c>
      <c r="B71" s="1272"/>
      <c r="C71" s="1272"/>
      <c r="D71" s="1272"/>
      <c r="E71" s="1272"/>
      <c r="F71" s="1272"/>
      <c r="G71" s="1272"/>
    </row>
    <row r="72" spans="1:18" x14ac:dyDescent="0.35">
      <c r="A72" s="1271" t="s">
        <v>891</v>
      </c>
      <c r="B72" s="1271"/>
      <c r="C72" s="1271"/>
      <c r="D72" s="1271"/>
      <c r="E72" s="1271"/>
      <c r="F72" s="1271"/>
      <c r="G72" s="1271"/>
    </row>
    <row r="73" spans="1:18" x14ac:dyDescent="0.35">
      <c r="A73" s="1271" t="s">
        <v>892</v>
      </c>
      <c r="B73" s="1271"/>
      <c r="C73" s="1271"/>
      <c r="D73" s="1271"/>
      <c r="E73" s="1271"/>
      <c r="F73" s="1271"/>
      <c r="G73" s="1271"/>
    </row>
    <row r="74" spans="1:18" x14ac:dyDescent="0.35">
      <c r="A74" s="1272" t="s">
        <v>893</v>
      </c>
      <c r="B74" s="1272"/>
      <c r="C74" s="1272"/>
      <c r="D74" s="1272"/>
      <c r="E74" s="1272"/>
      <c r="F74" s="1272"/>
      <c r="G74" s="1272"/>
    </row>
    <row r="76" spans="1:18" x14ac:dyDescent="0.35">
      <c r="A76" s="1273" t="s">
        <v>894</v>
      </c>
      <c r="B76" s="1273"/>
      <c r="C76" s="1273"/>
      <c r="D76" s="1273"/>
      <c r="E76" s="1273"/>
      <c r="F76" s="1273"/>
      <c r="G76" s="1273"/>
    </row>
    <row r="78" spans="1:18" x14ac:dyDescent="0.35">
      <c r="A78" s="35" t="s">
        <v>245</v>
      </c>
    </row>
    <row r="80" spans="1:18" x14ac:dyDescent="0.35">
      <c r="A80" s="35" t="s">
        <v>246</v>
      </c>
    </row>
    <row r="82" spans="1:1" x14ac:dyDescent="0.35">
      <c r="A82" s="119"/>
    </row>
    <row r="88" spans="1:1" x14ac:dyDescent="0.35">
      <c r="A88" s="117"/>
    </row>
    <row r="89" spans="1:1" x14ac:dyDescent="0.35">
      <c r="A89" s="117"/>
    </row>
    <row r="90" spans="1:1" x14ac:dyDescent="0.35">
      <c r="A90" s="117"/>
    </row>
  </sheetData>
  <mergeCells count="24">
    <mergeCell ref="A2:J2"/>
    <mergeCell ref="A69:G69"/>
    <mergeCell ref="A70:G70"/>
    <mergeCell ref="A71:G71"/>
    <mergeCell ref="A72:G72"/>
    <mergeCell ref="A3:V3"/>
    <mergeCell ref="A4:C4"/>
    <mergeCell ref="I6:K6"/>
    <mergeCell ref="C6:H6"/>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9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9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9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9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9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9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900-000006000000}"/>
  </hyperlinks>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S57"/>
  <sheetViews>
    <sheetView topLeftCell="B1" workbookViewId="0">
      <selection activeCell="T51" sqref="T51"/>
    </sheetView>
  </sheetViews>
  <sheetFormatPr defaultColWidth="10.906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32" ht="18.649999999999999" customHeight="1" x14ac:dyDescent="0.45">
      <c r="A1" s="1282" t="s">
        <v>1743</v>
      </c>
      <c r="B1" s="1283"/>
      <c r="C1" s="1283"/>
      <c r="D1" s="1283"/>
      <c r="E1" s="1283"/>
      <c r="F1" s="1283"/>
      <c r="G1" s="1283"/>
      <c r="H1" s="1283"/>
      <c r="I1" s="1283"/>
      <c r="J1" s="1283"/>
      <c r="K1" s="1283"/>
      <c r="L1" s="1283"/>
      <c r="M1" s="1283"/>
      <c r="N1" s="1283"/>
      <c r="O1" s="1283"/>
      <c r="P1" s="1283"/>
      <c r="Q1" s="1283"/>
      <c r="R1" s="1283"/>
      <c r="S1" s="1283"/>
      <c r="T1" s="1283"/>
      <c r="U1" s="1283"/>
      <c r="V1" s="1283"/>
      <c r="W1" s="1283"/>
      <c r="X1" s="1283"/>
      <c r="Y1" s="1283"/>
      <c r="Z1" s="1283"/>
    </row>
    <row r="2" spans="1:32" ht="17.149999999999999" customHeight="1" x14ac:dyDescent="0.4">
      <c r="A2" s="1284" t="s">
        <v>1744</v>
      </c>
      <c r="B2" s="1283"/>
      <c r="C2" s="1283"/>
      <c r="D2" s="1283"/>
      <c r="E2" s="1283"/>
      <c r="F2" s="1283"/>
      <c r="G2" s="1283"/>
      <c r="H2" s="1283"/>
      <c r="I2" s="1283"/>
      <c r="J2" s="1283"/>
      <c r="K2" s="1283"/>
      <c r="L2" s="1283"/>
      <c r="M2" s="1283"/>
      <c r="N2" s="1283"/>
      <c r="O2" s="1283"/>
      <c r="P2" s="1283"/>
      <c r="Q2" s="1283"/>
      <c r="R2" s="1283"/>
      <c r="S2" s="1283"/>
      <c r="T2" s="1283"/>
      <c r="U2" s="1283"/>
      <c r="V2" s="1283"/>
      <c r="W2" s="1283"/>
      <c r="X2" s="1283"/>
      <c r="Y2" s="1283"/>
      <c r="Z2" s="1283"/>
    </row>
    <row r="3" spans="1:32" x14ac:dyDescent="0.35">
      <c r="A3" s="1283" t="s">
        <v>1745</v>
      </c>
      <c r="B3" s="1283"/>
      <c r="C3" s="1283"/>
      <c r="D3" s="1283"/>
      <c r="E3" s="1283"/>
      <c r="F3" s="1283"/>
      <c r="G3" s="1283"/>
      <c r="H3" s="1283"/>
      <c r="I3" s="1283"/>
      <c r="J3" s="1283"/>
      <c r="K3" s="1283"/>
      <c r="L3" s="1283"/>
      <c r="M3" s="1283"/>
      <c r="N3" s="1283"/>
      <c r="O3" s="1283"/>
      <c r="P3" s="1283"/>
      <c r="Q3" s="1283"/>
      <c r="R3" s="1283"/>
      <c r="S3" s="1283"/>
      <c r="T3" s="1283"/>
      <c r="U3" s="1283"/>
      <c r="V3" s="1283"/>
      <c r="W3" s="1283"/>
      <c r="X3" s="1283"/>
      <c r="Y3" s="1283"/>
      <c r="Z3" s="1283"/>
    </row>
    <row r="4" spans="1:32" x14ac:dyDescent="0.35">
      <c r="A4" s="1283" t="s">
        <v>1799</v>
      </c>
      <c r="B4" s="1283"/>
      <c r="C4" s="1283"/>
      <c r="D4" s="1283"/>
      <c r="E4" s="1283"/>
      <c r="F4" s="1283"/>
      <c r="G4" s="1283"/>
      <c r="H4" s="1283"/>
      <c r="I4" s="1283"/>
      <c r="J4" s="1283"/>
      <c r="K4" s="1283"/>
      <c r="L4" s="1283"/>
      <c r="M4" s="1283"/>
      <c r="N4" s="1283"/>
      <c r="O4" s="1283"/>
      <c r="P4" s="1283"/>
      <c r="Q4" s="1283"/>
      <c r="R4" s="1283"/>
      <c r="S4" s="1283"/>
      <c r="T4" s="1283"/>
      <c r="U4" s="1283"/>
      <c r="V4" s="1283"/>
      <c r="W4" s="1283"/>
      <c r="X4" s="1283"/>
      <c r="Y4" s="1283"/>
      <c r="Z4" s="1283"/>
    </row>
    <row r="5" spans="1:32" x14ac:dyDescent="0.35">
      <c r="A5" s="119" t="s">
        <v>1811</v>
      </c>
      <c r="B5" s="35"/>
      <c r="C5" s="35"/>
      <c r="D5" s="35"/>
      <c r="E5" s="35"/>
      <c r="F5" s="35"/>
      <c r="G5" s="35"/>
      <c r="H5" s="35"/>
      <c r="I5" s="35"/>
      <c r="J5" s="35"/>
      <c r="K5" s="35"/>
      <c r="L5" s="35"/>
      <c r="M5" s="35"/>
      <c r="N5" s="35"/>
      <c r="O5" s="35"/>
      <c r="P5" s="35"/>
      <c r="Q5" s="35"/>
      <c r="R5" s="35"/>
      <c r="S5" s="35"/>
      <c r="T5" s="35"/>
      <c r="U5" s="35"/>
      <c r="V5" s="35"/>
      <c r="W5" s="35"/>
      <c r="X5" s="35"/>
      <c r="Y5" s="35"/>
    </row>
    <row r="6" spans="1:32" x14ac:dyDescent="0.35">
      <c r="A6" s="1288" t="s">
        <v>818</v>
      </c>
      <c r="B6" s="1288" t="s">
        <v>1791</v>
      </c>
      <c r="C6" s="1289" t="s">
        <v>1800</v>
      </c>
      <c r="D6" s="1289"/>
      <c r="E6" s="1289"/>
      <c r="F6" s="1289"/>
      <c r="G6" s="1289"/>
      <c r="H6" s="1289"/>
      <c r="I6" s="1289"/>
      <c r="J6" s="1289"/>
      <c r="K6" s="1289"/>
      <c r="L6" s="1289"/>
      <c r="M6" s="1289"/>
      <c r="N6" s="1289"/>
      <c r="O6" s="1289" t="s">
        <v>1746</v>
      </c>
      <c r="P6" s="1289"/>
      <c r="Q6" s="1289"/>
      <c r="R6" s="1289"/>
      <c r="S6" s="1289"/>
      <c r="T6" s="1289"/>
      <c r="U6" s="1289"/>
      <c r="V6" s="1289"/>
      <c r="W6" s="1289"/>
      <c r="X6" s="1289"/>
      <c r="Y6" s="1289"/>
      <c r="Z6" s="1289"/>
      <c r="AA6" s="1288" t="s">
        <v>1877</v>
      </c>
      <c r="AB6" s="1288"/>
      <c r="AC6" s="1288"/>
      <c r="AD6" s="160" t="s">
        <v>1787</v>
      </c>
      <c r="AE6" s="161"/>
      <c r="AF6" s="162"/>
    </row>
    <row r="7" spans="1:32" x14ac:dyDescent="0.35">
      <c r="A7" s="1288"/>
      <c r="B7" s="1288"/>
      <c r="C7" s="140" t="s">
        <v>1747</v>
      </c>
      <c r="D7" s="140" t="s">
        <v>1748</v>
      </c>
      <c r="E7" s="140" t="s">
        <v>1749</v>
      </c>
      <c r="F7" s="140" t="s">
        <v>1750</v>
      </c>
      <c r="G7" s="140" t="s">
        <v>1751</v>
      </c>
      <c r="H7" s="140" t="s">
        <v>1752</v>
      </c>
      <c r="I7" s="140" t="s">
        <v>1753</v>
      </c>
      <c r="J7" s="140" t="s">
        <v>1754</v>
      </c>
      <c r="K7" s="140" t="s">
        <v>1755</v>
      </c>
      <c r="L7" s="140" t="s">
        <v>1756</v>
      </c>
      <c r="M7" s="140" t="s">
        <v>1757</v>
      </c>
      <c r="N7" s="140" t="s">
        <v>1758</v>
      </c>
      <c r="O7" s="140" t="s">
        <v>1747</v>
      </c>
      <c r="P7" s="140" t="s">
        <v>1748</v>
      </c>
      <c r="Q7" s="140" t="s">
        <v>1749</v>
      </c>
      <c r="R7" s="140" t="s">
        <v>1750</v>
      </c>
      <c r="S7" s="139" t="s">
        <v>1751</v>
      </c>
      <c r="T7" s="139" t="s">
        <v>1752</v>
      </c>
      <c r="U7" s="139" t="s">
        <v>1753</v>
      </c>
      <c r="V7" s="139" t="s">
        <v>1754</v>
      </c>
      <c r="W7" s="139" t="s">
        <v>1755</v>
      </c>
      <c r="X7" s="139" t="s">
        <v>1756</v>
      </c>
      <c r="Y7" s="139" t="s">
        <v>1757</v>
      </c>
      <c r="Z7" s="139" t="s">
        <v>1758</v>
      </c>
      <c r="AA7" s="139" t="s">
        <v>1747</v>
      </c>
      <c r="AB7" s="139" t="s">
        <v>1748</v>
      </c>
      <c r="AC7" s="139" t="s">
        <v>1749</v>
      </c>
      <c r="AD7" s="140" t="s">
        <v>1750</v>
      </c>
      <c r="AE7" s="140" t="s">
        <v>1751</v>
      </c>
      <c r="AF7" s="139" t="s">
        <v>1752</v>
      </c>
    </row>
    <row r="8" spans="1:32" x14ac:dyDescent="0.35">
      <c r="A8" s="136" t="s">
        <v>1759</v>
      </c>
      <c r="B8" s="77" t="s">
        <v>1760</v>
      </c>
      <c r="C8" s="77">
        <v>112.583</v>
      </c>
      <c r="D8" s="77">
        <v>112.961</v>
      </c>
      <c r="E8" s="77">
        <v>113.63200000000001</v>
      </c>
      <c r="F8" s="77">
        <v>114.238</v>
      </c>
      <c r="G8" s="77">
        <v>114.819</v>
      </c>
      <c r="H8" s="77">
        <v>115.458</v>
      </c>
      <c r="I8" s="77">
        <v>115.986</v>
      </c>
      <c r="J8" s="77">
        <v>116.444</v>
      </c>
      <c r="K8" s="77">
        <v>116.80800000000001</v>
      </c>
      <c r="L8" s="77">
        <v>117.479</v>
      </c>
      <c r="M8" s="77">
        <v>118.2</v>
      </c>
      <c r="N8" s="77">
        <v>118.84099999999999</v>
      </c>
      <c r="O8" s="77">
        <v>119.46899999999999</v>
      </c>
      <c r="P8" s="77">
        <v>120.178</v>
      </c>
      <c r="Q8" s="77">
        <v>121.321</v>
      </c>
      <c r="R8" s="77">
        <v>121.563</v>
      </c>
      <c r="S8" s="77">
        <v>122.3</v>
      </c>
      <c r="T8" s="77">
        <v>123.512</v>
      </c>
      <c r="U8" s="77">
        <v>123.39700000000001</v>
      </c>
      <c r="V8" s="77">
        <v>123.72799999999999</v>
      </c>
      <c r="W8" s="77">
        <v>124.154</v>
      </c>
      <c r="X8" s="77">
        <v>124.676</v>
      </c>
      <c r="Y8" s="77">
        <v>124.889</v>
      </c>
      <c r="Z8" s="77">
        <v>125.14100000000001</v>
      </c>
      <c r="AA8" s="77">
        <v>125.898</v>
      </c>
      <c r="AB8" s="77">
        <v>126.277</v>
      </c>
      <c r="AC8" s="77">
        <v>126.373</v>
      </c>
      <c r="AD8" s="47">
        <f>AC8*(1+AD30)^(1/12)</f>
        <v>126.60754039415305</v>
      </c>
      <c r="AE8" s="47">
        <f>AD8*(1+AE30)^(1/12)</f>
        <v>126.84251608062715</v>
      </c>
      <c r="AF8" s="47">
        <f>AE8*(1+AF30)^(1/12)</f>
        <v>127.07792786729767</v>
      </c>
    </row>
    <row r="9" spans="1:32" x14ac:dyDescent="0.35">
      <c r="A9" s="136" t="s">
        <v>1761</v>
      </c>
      <c r="B9" s="77" t="s">
        <v>1762</v>
      </c>
      <c r="C9" s="77">
        <v>95.314999999999998</v>
      </c>
      <c r="D9" s="77">
        <v>95.686999999999998</v>
      </c>
      <c r="E9" s="77">
        <v>96.406000000000006</v>
      </c>
      <c r="F9" s="77">
        <v>97.102000000000004</v>
      </c>
      <c r="G9" s="77">
        <v>97.861000000000004</v>
      </c>
      <c r="H9" s="77">
        <v>98.683999999999997</v>
      </c>
      <c r="I9" s="77">
        <v>99.159000000000006</v>
      </c>
      <c r="J9" s="77">
        <v>99.754999999999995</v>
      </c>
      <c r="K9" s="77">
        <v>100.149</v>
      </c>
      <c r="L9" s="77">
        <v>101.224</v>
      </c>
      <c r="M9" s="77">
        <v>101.938</v>
      </c>
      <c r="N9" s="77">
        <v>102.608</v>
      </c>
      <c r="O9" s="77">
        <v>103.54</v>
      </c>
      <c r="P9" s="77">
        <v>104.79</v>
      </c>
      <c r="Q9" s="77">
        <v>106.631</v>
      </c>
      <c r="R9" s="77">
        <v>106.443</v>
      </c>
      <c r="S9" s="77">
        <v>107.414</v>
      </c>
      <c r="T9" s="77">
        <v>109.154</v>
      </c>
      <c r="U9" s="77">
        <v>108.682</v>
      </c>
      <c r="V9" s="77">
        <v>108.316</v>
      </c>
      <c r="W9" s="77">
        <v>108.20699999999999</v>
      </c>
      <c r="X9" s="77">
        <v>108.621</v>
      </c>
      <c r="Y9" s="77">
        <v>108.361</v>
      </c>
      <c r="Z9" s="77">
        <v>107.81399999999999</v>
      </c>
      <c r="AA9" s="77">
        <v>108.435</v>
      </c>
      <c r="AB9" s="77">
        <v>108.596</v>
      </c>
      <c r="AC9" s="77">
        <v>108.35599999999999</v>
      </c>
      <c r="AD9" s="47"/>
      <c r="AE9" s="35"/>
      <c r="AF9" s="152"/>
    </row>
    <row r="10" spans="1:32" x14ac:dyDescent="0.35">
      <c r="A10" s="136" t="s">
        <v>1763</v>
      </c>
      <c r="B10" s="136" t="s">
        <v>1764</v>
      </c>
      <c r="C10" s="136">
        <v>86.924000000000007</v>
      </c>
      <c r="D10" s="136">
        <v>86.869</v>
      </c>
      <c r="E10" s="136">
        <v>87.171999999999997</v>
      </c>
      <c r="F10" s="136">
        <v>88.608000000000004</v>
      </c>
      <c r="G10" s="136">
        <v>90.114999999999995</v>
      </c>
      <c r="H10" s="136">
        <v>91.334999999999994</v>
      </c>
      <c r="I10" s="136">
        <v>91.619</v>
      </c>
      <c r="J10" s="136">
        <v>92.432000000000002</v>
      </c>
      <c r="K10" s="136">
        <v>92.543000000000006</v>
      </c>
      <c r="L10" s="136">
        <v>93.463999999999999</v>
      </c>
      <c r="M10" s="136">
        <v>93.86</v>
      </c>
      <c r="N10" s="136">
        <v>94.763000000000005</v>
      </c>
      <c r="O10" s="136">
        <v>95.872</v>
      </c>
      <c r="P10" s="136">
        <v>96.036000000000001</v>
      </c>
      <c r="Q10" s="136">
        <v>95.870999999999995</v>
      </c>
      <c r="R10" s="136">
        <v>96.034999999999997</v>
      </c>
      <c r="S10" s="136">
        <v>96.397999999999996</v>
      </c>
      <c r="T10" s="136">
        <v>97.09</v>
      </c>
      <c r="U10" s="136">
        <v>96.88</v>
      </c>
      <c r="V10" s="136">
        <v>97.346999999999994</v>
      </c>
      <c r="W10" s="136">
        <v>97.781999999999996</v>
      </c>
      <c r="X10" s="136">
        <v>97.399000000000001</v>
      </c>
      <c r="Y10" s="136">
        <v>96.847999999999999</v>
      </c>
      <c r="Z10" s="136">
        <v>96.632000000000005</v>
      </c>
      <c r="AA10" s="136">
        <v>96.88</v>
      </c>
      <c r="AB10" s="136">
        <v>96.704999999999998</v>
      </c>
      <c r="AC10" s="136">
        <v>96.626999999999995</v>
      </c>
      <c r="AD10" s="47"/>
      <c r="AE10" s="35"/>
      <c r="AF10" s="152"/>
    </row>
    <row r="11" spans="1:32" x14ac:dyDescent="0.35">
      <c r="A11" s="136" t="s">
        <v>1765</v>
      </c>
      <c r="B11" s="136" t="s">
        <v>1766</v>
      </c>
      <c r="C11" s="136">
        <v>99.802000000000007</v>
      </c>
      <c r="D11" s="136">
        <v>100.465</v>
      </c>
      <c r="E11" s="136">
        <v>101.476</v>
      </c>
      <c r="F11" s="136">
        <v>101.63200000000001</v>
      </c>
      <c r="G11" s="136">
        <v>101.855</v>
      </c>
      <c r="H11" s="136">
        <v>102.4</v>
      </c>
      <c r="I11" s="136">
        <v>103</v>
      </c>
      <c r="J11" s="136">
        <v>103.449</v>
      </c>
      <c r="K11" s="136">
        <v>104.024</v>
      </c>
      <c r="L11" s="136">
        <v>105.19</v>
      </c>
      <c r="M11" s="136">
        <v>106.107</v>
      </c>
      <c r="N11" s="136">
        <v>106.61</v>
      </c>
      <c r="O11" s="136">
        <v>107.404</v>
      </c>
      <c r="P11" s="136">
        <v>109.376</v>
      </c>
      <c r="Q11" s="136">
        <v>112.557</v>
      </c>
      <c r="R11" s="136">
        <v>112.134</v>
      </c>
      <c r="S11" s="136">
        <v>113.511</v>
      </c>
      <c r="T11" s="136">
        <v>115.94</v>
      </c>
      <c r="U11" s="136">
        <v>115.297</v>
      </c>
      <c r="V11" s="136">
        <v>114.367</v>
      </c>
      <c r="W11" s="136">
        <v>113.89</v>
      </c>
      <c r="X11" s="136">
        <v>114.84099999999999</v>
      </c>
      <c r="Y11" s="136">
        <v>114.78</v>
      </c>
      <c r="Z11" s="136">
        <v>114.017</v>
      </c>
      <c r="AA11" s="136">
        <v>114.884</v>
      </c>
      <c r="AB11" s="136">
        <v>115.27800000000001</v>
      </c>
      <c r="AC11" s="136">
        <v>114.929</v>
      </c>
      <c r="AD11" s="47"/>
      <c r="AE11" s="35"/>
      <c r="AF11" s="152"/>
    </row>
    <row r="12" spans="1:32" x14ac:dyDescent="0.35">
      <c r="A12" s="136" t="s">
        <v>1767</v>
      </c>
      <c r="B12" s="77" t="s">
        <v>1768</v>
      </c>
      <c r="C12" s="77">
        <v>121.786</v>
      </c>
      <c r="D12" s="77">
        <v>122.16500000000001</v>
      </c>
      <c r="E12" s="77">
        <v>122.792</v>
      </c>
      <c r="F12" s="77">
        <v>123.324</v>
      </c>
      <c r="G12" s="77">
        <v>123.773</v>
      </c>
      <c r="H12" s="77">
        <v>124.277</v>
      </c>
      <c r="I12" s="77">
        <v>124.831</v>
      </c>
      <c r="J12" s="77">
        <v>125.19199999999999</v>
      </c>
      <c r="K12" s="77">
        <v>125.53100000000001</v>
      </c>
      <c r="L12" s="77">
        <v>125.92700000000001</v>
      </c>
      <c r="M12" s="77">
        <v>126.64100000000001</v>
      </c>
      <c r="N12" s="77">
        <v>127.253</v>
      </c>
      <c r="O12" s="77">
        <v>127.672</v>
      </c>
      <c r="P12" s="77">
        <v>128.01499999999999</v>
      </c>
      <c r="Q12" s="77">
        <v>128.69</v>
      </c>
      <c r="R12" s="77">
        <v>129.20400000000001</v>
      </c>
      <c r="S12" s="77">
        <v>129.78</v>
      </c>
      <c r="T12" s="77">
        <v>130.63900000000001</v>
      </c>
      <c r="U12" s="77">
        <v>130.75299999999999</v>
      </c>
      <c r="V12" s="77">
        <v>131.51900000000001</v>
      </c>
      <c r="W12" s="77">
        <v>132.27500000000001</v>
      </c>
      <c r="X12" s="77">
        <v>132.85599999999999</v>
      </c>
      <c r="Y12" s="77">
        <v>133.364</v>
      </c>
      <c r="Z12" s="77">
        <v>134.10900000000001</v>
      </c>
      <c r="AA12" s="77">
        <v>134.941</v>
      </c>
      <c r="AB12" s="77">
        <v>135.45400000000001</v>
      </c>
      <c r="AC12" s="77">
        <v>135.761</v>
      </c>
      <c r="AD12" s="47"/>
      <c r="AE12" s="35"/>
      <c r="AF12" s="152"/>
    </row>
    <row r="13" spans="1:32" x14ac:dyDescent="0.35">
      <c r="A13" s="136" t="s">
        <v>1791</v>
      </c>
      <c r="B13" s="136" t="s">
        <v>1769</v>
      </c>
      <c r="C13" s="136" t="s">
        <v>1791</v>
      </c>
      <c r="D13" s="136" t="s">
        <v>1791</v>
      </c>
      <c r="E13" s="136" t="s">
        <v>1791</v>
      </c>
      <c r="F13" s="136" t="s">
        <v>1791</v>
      </c>
      <c r="G13" s="136" t="s">
        <v>1791</v>
      </c>
      <c r="H13" s="136" t="s">
        <v>1791</v>
      </c>
      <c r="I13" s="136" t="s">
        <v>1791</v>
      </c>
      <c r="J13" s="136" t="s">
        <v>1791</v>
      </c>
      <c r="K13" s="136" t="s">
        <v>1791</v>
      </c>
      <c r="L13" s="136" t="s">
        <v>1791</v>
      </c>
      <c r="M13" s="136" t="s">
        <v>1791</v>
      </c>
      <c r="N13" s="136" t="s">
        <v>1791</v>
      </c>
      <c r="O13" s="136" t="s">
        <v>1791</v>
      </c>
      <c r="P13" s="136" t="s">
        <v>1791</v>
      </c>
      <c r="Q13" s="136" t="s">
        <v>1791</v>
      </c>
      <c r="R13" s="136" t="s">
        <v>1791</v>
      </c>
      <c r="S13" s="136" t="s">
        <v>1892</v>
      </c>
      <c r="T13" s="136" t="s">
        <v>1892</v>
      </c>
      <c r="U13" s="136" t="s">
        <v>1892</v>
      </c>
      <c r="V13" s="136" t="s">
        <v>1892</v>
      </c>
      <c r="W13" s="136" t="s">
        <v>1892</v>
      </c>
      <c r="X13" s="136" t="s">
        <v>1892</v>
      </c>
      <c r="Y13" s="136" t="s">
        <v>1892</v>
      </c>
      <c r="Z13" s="136" t="s">
        <v>1892</v>
      </c>
      <c r="AA13" s="136" t="s">
        <v>1892</v>
      </c>
      <c r="AB13" s="136" t="s">
        <v>1892</v>
      </c>
      <c r="AC13" s="136" t="s">
        <v>1892</v>
      </c>
      <c r="AD13" s="47"/>
      <c r="AE13" s="35"/>
      <c r="AF13" s="152"/>
    </row>
    <row r="14" spans="1:32" x14ac:dyDescent="0.35">
      <c r="A14" s="136" t="s">
        <v>1770</v>
      </c>
      <c r="B14" s="136" t="s">
        <v>1771</v>
      </c>
      <c r="C14" s="136">
        <v>114.782</v>
      </c>
      <c r="D14" s="136">
        <v>114.97499999999999</v>
      </c>
      <c r="E14" s="136">
        <v>115.45699999999999</v>
      </c>
      <c r="F14" s="136">
        <v>116.18600000000001</v>
      </c>
      <c r="G14" s="136">
        <v>116.78700000000001</v>
      </c>
      <c r="H14" s="136">
        <v>117.349</v>
      </c>
      <c r="I14" s="136">
        <v>117.81100000000001</v>
      </c>
      <c r="J14" s="136">
        <v>118.199</v>
      </c>
      <c r="K14" s="136">
        <v>118.446</v>
      </c>
      <c r="L14" s="136">
        <v>118.929</v>
      </c>
      <c r="M14" s="136">
        <v>119.54300000000001</v>
      </c>
      <c r="N14" s="136">
        <v>120.193</v>
      </c>
      <c r="O14" s="136">
        <v>120.761</v>
      </c>
      <c r="P14" s="136">
        <v>121.205</v>
      </c>
      <c r="Q14" s="136">
        <v>121.651</v>
      </c>
      <c r="R14" s="136">
        <v>122.03</v>
      </c>
      <c r="S14" s="136">
        <v>122.488</v>
      </c>
      <c r="T14" s="136">
        <v>123.258</v>
      </c>
      <c r="U14" s="136">
        <v>123.352</v>
      </c>
      <c r="V14" s="136">
        <v>124.03100000000001</v>
      </c>
      <c r="W14" s="136">
        <v>124.607</v>
      </c>
      <c r="X14" s="136">
        <v>124.998</v>
      </c>
      <c r="Y14" s="136">
        <v>125.277</v>
      </c>
      <c r="Z14" s="136">
        <v>125.746</v>
      </c>
      <c r="AA14" s="136">
        <v>126.449</v>
      </c>
      <c r="AB14" s="136">
        <v>126.88800000000001</v>
      </c>
      <c r="AC14" s="136">
        <v>127.244</v>
      </c>
      <c r="AD14" s="47"/>
      <c r="AE14" s="35"/>
      <c r="AF14" s="152"/>
    </row>
    <row r="15" spans="1:32" x14ac:dyDescent="0.35">
      <c r="A15" s="136" t="s">
        <v>1772</v>
      </c>
      <c r="B15" s="136" t="s">
        <v>1773</v>
      </c>
      <c r="C15" s="136">
        <v>108.717</v>
      </c>
      <c r="D15" s="136">
        <v>109.011</v>
      </c>
      <c r="E15" s="136">
        <v>109.259</v>
      </c>
      <c r="F15" s="136">
        <v>109.633</v>
      </c>
      <c r="G15" s="136">
        <v>109.985</v>
      </c>
      <c r="H15" s="136">
        <v>110.67</v>
      </c>
      <c r="I15" s="136">
        <v>111.321</v>
      </c>
      <c r="J15" s="136">
        <v>111.783</v>
      </c>
      <c r="K15" s="136">
        <v>112.94499999999999</v>
      </c>
      <c r="L15" s="136">
        <v>113.773</v>
      </c>
      <c r="M15" s="136">
        <v>114.502</v>
      </c>
      <c r="N15" s="136">
        <v>114.864</v>
      </c>
      <c r="O15" s="136">
        <v>115.857</v>
      </c>
      <c r="P15" s="136">
        <v>117.517</v>
      </c>
      <c r="Q15" s="136">
        <v>119.119</v>
      </c>
      <c r="R15" s="136">
        <v>120.371</v>
      </c>
      <c r="S15" s="136">
        <v>121.849</v>
      </c>
      <c r="T15" s="136">
        <v>123.053</v>
      </c>
      <c r="U15" s="136">
        <v>124.623</v>
      </c>
      <c r="V15" s="136">
        <v>125.58799999999999</v>
      </c>
      <c r="W15" s="136">
        <v>126.366</v>
      </c>
      <c r="X15" s="136">
        <v>127.04300000000001</v>
      </c>
      <c r="Y15" s="136">
        <v>127.66200000000001</v>
      </c>
      <c r="Z15" s="136">
        <v>128.17500000000001</v>
      </c>
      <c r="AA15" s="136">
        <v>128.68199999999999</v>
      </c>
      <c r="AB15" s="136">
        <v>128.95599999999999</v>
      </c>
      <c r="AC15" s="136">
        <v>128.708</v>
      </c>
      <c r="AD15" s="47"/>
      <c r="AE15" s="35"/>
      <c r="AF15" s="152"/>
    </row>
    <row r="16" spans="1:32" x14ac:dyDescent="0.35">
      <c r="A16" s="136" t="s">
        <v>1774</v>
      </c>
      <c r="B16" s="136" t="s">
        <v>1775</v>
      </c>
      <c r="C16" s="136">
        <v>83.465999999999994</v>
      </c>
      <c r="D16" s="136">
        <v>87.337000000000003</v>
      </c>
      <c r="E16" s="136">
        <v>92.162000000000006</v>
      </c>
      <c r="F16" s="136">
        <v>90.917000000000002</v>
      </c>
      <c r="G16" s="136">
        <v>91.519000000000005</v>
      </c>
      <c r="H16" s="136">
        <v>93.471000000000004</v>
      </c>
      <c r="I16" s="136">
        <v>95.004000000000005</v>
      </c>
      <c r="J16" s="136">
        <v>96.728999999999999</v>
      </c>
      <c r="K16" s="136">
        <v>97.88</v>
      </c>
      <c r="L16" s="136">
        <v>101.735</v>
      </c>
      <c r="M16" s="136">
        <v>104.42400000000001</v>
      </c>
      <c r="N16" s="136">
        <v>105.376</v>
      </c>
      <c r="O16" s="136">
        <v>106.527</v>
      </c>
      <c r="P16" s="136">
        <v>110.572</v>
      </c>
      <c r="Q16" s="136">
        <v>123.81</v>
      </c>
      <c r="R16" s="136">
        <v>119.991</v>
      </c>
      <c r="S16" s="136">
        <v>124.726</v>
      </c>
      <c r="T16" s="136">
        <v>134.256</v>
      </c>
      <c r="U16" s="136">
        <v>127.651</v>
      </c>
      <c r="V16" s="136">
        <v>120.47499999999999</v>
      </c>
      <c r="W16" s="136">
        <v>117.581</v>
      </c>
      <c r="X16" s="136">
        <v>120.31399999999999</v>
      </c>
      <c r="Y16" s="136">
        <v>118.64700000000001</v>
      </c>
      <c r="Z16" s="136">
        <v>114.42</v>
      </c>
      <c r="AA16" s="136">
        <v>116.61</v>
      </c>
      <c r="AB16" s="136">
        <v>115.98399999999999</v>
      </c>
      <c r="AC16" s="136">
        <v>111.682</v>
      </c>
      <c r="AD16" s="47"/>
      <c r="AE16" s="35"/>
      <c r="AF16" s="152"/>
    </row>
    <row r="17" spans="1:35" x14ac:dyDescent="0.35">
      <c r="A17" s="136" t="s">
        <v>1776</v>
      </c>
      <c r="B17" s="136" t="s">
        <v>1777</v>
      </c>
      <c r="C17" s="136">
        <v>109.682</v>
      </c>
      <c r="D17" s="136">
        <v>110.125</v>
      </c>
      <c r="E17" s="136">
        <v>110.774</v>
      </c>
      <c r="F17" s="136">
        <v>111.247</v>
      </c>
      <c r="G17" s="136">
        <v>111.73399999999999</v>
      </c>
      <c r="H17" s="136">
        <v>112.292</v>
      </c>
      <c r="I17" s="136">
        <v>112.818</v>
      </c>
      <c r="J17" s="136">
        <v>113.22199999999999</v>
      </c>
      <c r="K17" s="136">
        <v>113.54300000000001</v>
      </c>
      <c r="L17" s="136">
        <v>114.292</v>
      </c>
      <c r="M17" s="136">
        <v>114.9</v>
      </c>
      <c r="N17" s="136">
        <v>115.499</v>
      </c>
      <c r="O17" s="136">
        <v>116.179</v>
      </c>
      <c r="P17" s="136">
        <v>117.042</v>
      </c>
      <c r="Q17" s="136">
        <v>118.312</v>
      </c>
      <c r="R17" s="136">
        <v>118.494</v>
      </c>
      <c r="S17" s="136">
        <v>119.295</v>
      </c>
      <c r="T17" s="136">
        <v>120.56100000000001</v>
      </c>
      <c r="U17" s="136">
        <v>120.541</v>
      </c>
      <c r="V17" s="136">
        <v>120.72799999999999</v>
      </c>
      <c r="W17" s="136">
        <v>121.08499999999999</v>
      </c>
      <c r="X17" s="136">
        <v>121.65600000000001</v>
      </c>
      <c r="Y17" s="136">
        <v>121.744</v>
      </c>
      <c r="Z17" s="136">
        <v>121.983</v>
      </c>
      <c r="AA17" s="136">
        <v>122.66200000000001</v>
      </c>
      <c r="AB17" s="136">
        <v>123.083</v>
      </c>
      <c r="AC17" s="136">
        <v>123.26</v>
      </c>
      <c r="AD17" s="47"/>
      <c r="AE17" s="35"/>
      <c r="AF17" s="152"/>
    </row>
    <row r="18" spans="1:35" x14ac:dyDescent="0.35">
      <c r="A18" s="136" t="s">
        <v>1778</v>
      </c>
      <c r="B18" s="136" t="s">
        <v>1779</v>
      </c>
      <c r="C18" s="136">
        <v>111.714</v>
      </c>
      <c r="D18" s="136">
        <v>111.956</v>
      </c>
      <c r="E18" s="136">
        <v>112.386</v>
      </c>
      <c r="F18" s="136">
        <v>112.97499999999999</v>
      </c>
      <c r="G18" s="136">
        <v>113.47</v>
      </c>
      <c r="H18" s="136">
        <v>113.92700000000001</v>
      </c>
      <c r="I18" s="136">
        <v>114.377</v>
      </c>
      <c r="J18" s="136">
        <v>114.691</v>
      </c>
      <c r="K18" s="136">
        <v>114.873</v>
      </c>
      <c r="L18" s="136">
        <v>115.42</v>
      </c>
      <c r="M18" s="136">
        <v>115.887</v>
      </c>
      <c r="N18" s="136">
        <v>116.489</v>
      </c>
      <c r="O18" s="136">
        <v>117.11</v>
      </c>
      <c r="P18" s="136">
        <v>117.697</v>
      </c>
      <c r="Q18" s="136">
        <v>118.19499999999999</v>
      </c>
      <c r="R18" s="136">
        <v>118.52200000000001</v>
      </c>
      <c r="S18" s="136">
        <v>119.01600000000001</v>
      </c>
      <c r="T18" s="136">
        <v>119.785</v>
      </c>
      <c r="U18" s="136">
        <v>120.018</v>
      </c>
      <c r="V18" s="136">
        <v>120.58</v>
      </c>
      <c r="W18" s="136">
        <v>121.09699999999999</v>
      </c>
      <c r="X18" s="136">
        <v>121.527</v>
      </c>
      <c r="Y18" s="136">
        <v>121.67100000000001</v>
      </c>
      <c r="Z18" s="136">
        <v>122.15600000000001</v>
      </c>
      <c r="AA18" s="136">
        <v>122.761</v>
      </c>
      <c r="AB18" s="136">
        <v>123.25700000000001</v>
      </c>
      <c r="AC18" s="136">
        <v>123.742</v>
      </c>
      <c r="AD18" s="153"/>
      <c r="AE18" s="36"/>
      <c r="AF18" s="154"/>
    </row>
    <row r="19" spans="1:35" ht="15.65" customHeight="1" x14ac:dyDescent="0.45">
      <c r="A19" s="1285" t="s">
        <v>1780</v>
      </c>
      <c r="B19" s="1286"/>
      <c r="C19" s="1286"/>
      <c r="D19" s="1286"/>
      <c r="E19" s="1286"/>
      <c r="F19" s="1286"/>
      <c r="G19" s="1286"/>
      <c r="H19" s="1286"/>
      <c r="I19" s="1286"/>
      <c r="J19" s="1286"/>
      <c r="K19" s="1286"/>
      <c r="L19" s="1286"/>
      <c r="M19" s="1286"/>
      <c r="N19" s="1286"/>
      <c r="O19" s="1286"/>
      <c r="P19" s="1286"/>
      <c r="Q19" s="1286"/>
      <c r="R19" s="1286"/>
      <c r="S19" s="1286"/>
      <c r="T19" s="1286"/>
      <c r="U19" s="1286"/>
      <c r="V19" s="1286"/>
      <c r="W19" s="1286"/>
      <c r="X19" s="1286"/>
      <c r="Y19" s="1286"/>
      <c r="Z19" s="1286"/>
      <c r="AA19" s="1286"/>
    </row>
    <row r="20" spans="1:35" x14ac:dyDescent="0.35">
      <c r="A20" s="1287" t="s">
        <v>1781</v>
      </c>
      <c r="B20" s="1286"/>
      <c r="C20" s="1286"/>
      <c r="D20" s="1286"/>
      <c r="E20" s="1286"/>
      <c r="F20" s="1286"/>
      <c r="G20" s="1286"/>
      <c r="H20" s="1286"/>
      <c r="I20" s="1286"/>
      <c r="J20" s="1286"/>
      <c r="K20" s="1286"/>
      <c r="L20" s="1286"/>
      <c r="M20" s="1286"/>
      <c r="N20" s="1286"/>
      <c r="O20" s="1286"/>
      <c r="P20" s="1286"/>
      <c r="Q20" s="1286"/>
      <c r="R20" s="1286"/>
      <c r="S20" s="1286"/>
      <c r="T20" s="1286"/>
      <c r="U20" s="1286"/>
      <c r="V20" s="1286"/>
      <c r="W20" s="1286"/>
      <c r="X20" s="1286"/>
      <c r="Y20" s="1286"/>
      <c r="Z20" s="1286"/>
      <c r="AA20" s="1286"/>
    </row>
    <row r="21" spans="1:35" x14ac:dyDescent="0.35">
      <c r="A21" s="1287" t="s">
        <v>1782</v>
      </c>
      <c r="B21" s="1286"/>
      <c r="C21" s="1286"/>
      <c r="D21" s="1286"/>
      <c r="E21" s="1286"/>
      <c r="F21" s="1286"/>
      <c r="G21" s="1286"/>
      <c r="H21" s="1286"/>
      <c r="I21" s="1286"/>
      <c r="J21" s="1286"/>
      <c r="K21" s="1286"/>
      <c r="L21" s="1286"/>
      <c r="M21" s="1286"/>
      <c r="N21" s="1286"/>
      <c r="O21" s="1286"/>
      <c r="P21" s="1286"/>
      <c r="Q21" s="1286"/>
      <c r="R21" s="1286"/>
      <c r="S21" s="1286"/>
      <c r="T21" s="1286"/>
      <c r="U21" s="1286"/>
      <c r="V21" s="1286"/>
      <c r="W21" s="1286"/>
      <c r="X21" s="1286"/>
      <c r="Y21" s="1286"/>
      <c r="Z21" s="1286"/>
      <c r="AA21" s="1286"/>
    </row>
    <row r="22" spans="1:35" x14ac:dyDescent="0.35">
      <c r="A22" s="1287" t="s">
        <v>1783</v>
      </c>
      <c r="B22" s="1286"/>
      <c r="C22" s="1286"/>
      <c r="D22" s="1286"/>
      <c r="E22" s="1286"/>
      <c r="F22" s="1286"/>
      <c r="G22" s="1286"/>
      <c r="H22" s="1286"/>
      <c r="I22" s="1286"/>
      <c r="J22" s="1286"/>
      <c r="K22" s="1286"/>
      <c r="L22" s="1286"/>
      <c r="M22" s="1286"/>
      <c r="N22" s="1286"/>
      <c r="O22" s="1286"/>
      <c r="P22" s="1286"/>
      <c r="Q22" s="1286"/>
      <c r="R22" s="1286"/>
      <c r="S22" s="1286"/>
      <c r="T22" s="1286"/>
      <c r="U22" s="1286"/>
      <c r="V22" s="1286"/>
      <c r="W22" s="1286"/>
      <c r="X22" s="1286"/>
      <c r="Y22" s="1286"/>
      <c r="Z22" s="1286"/>
      <c r="AA22" s="1286"/>
    </row>
    <row r="23" spans="1:35" x14ac:dyDescent="0.35">
      <c r="A23" s="138"/>
    </row>
    <row r="24" spans="1:35" x14ac:dyDescent="0.35">
      <c r="A24" s="138"/>
    </row>
    <row r="25" spans="1:35" x14ac:dyDescent="0.35">
      <c r="A25" s="138"/>
    </row>
    <row r="26" spans="1:35" x14ac:dyDescent="0.35">
      <c r="A26" s="138"/>
      <c r="G26" s="1290" t="s">
        <v>1784</v>
      </c>
      <c r="H26" s="1290"/>
      <c r="I26" s="1290"/>
      <c r="J26" s="1290"/>
      <c r="K26" s="1290"/>
      <c r="L26" s="1290"/>
      <c r="M26" s="1290"/>
      <c r="N26" s="1290"/>
      <c r="O26" s="1290"/>
      <c r="P26" s="1290"/>
      <c r="Q26" s="1290"/>
      <c r="R26" s="1290"/>
      <c r="S26" s="1290"/>
      <c r="T26" s="1290"/>
      <c r="U26" s="1290"/>
      <c r="V26" s="1290"/>
      <c r="W26" s="1290"/>
      <c r="X26" s="1290"/>
      <c r="Y26" s="1290"/>
      <c r="Z26" s="1290"/>
      <c r="AA26" s="1290"/>
      <c r="AB26" s="1290"/>
      <c r="AC26" s="1290"/>
      <c r="AD26" s="1290"/>
      <c r="AE26" s="1290"/>
      <c r="AF26" s="1290"/>
    </row>
    <row r="27" spans="1:35" x14ac:dyDescent="0.35">
      <c r="A27" s="138"/>
      <c r="B27" s="150" t="s">
        <v>1784</v>
      </c>
      <c r="C27" s="1280" t="s">
        <v>280</v>
      </c>
      <c r="D27" s="1280"/>
      <c r="E27" s="1280"/>
      <c r="F27" s="1280"/>
      <c r="G27" s="1280"/>
      <c r="H27" s="1280"/>
      <c r="I27" s="1280"/>
      <c r="J27" s="1280"/>
      <c r="K27" s="1280"/>
      <c r="L27" s="1280"/>
      <c r="M27" s="1280"/>
      <c r="N27" s="1280"/>
      <c r="O27" s="1280"/>
      <c r="P27" s="1280"/>
      <c r="Q27" s="1280"/>
      <c r="R27" s="1280"/>
      <c r="S27" s="1280"/>
      <c r="T27" s="1280"/>
      <c r="U27" s="1280"/>
      <c r="V27" s="1280"/>
      <c r="W27" s="1280"/>
      <c r="X27" s="1280"/>
      <c r="Y27" s="1280"/>
      <c r="Z27" s="137"/>
      <c r="AA27" s="137"/>
      <c r="AB27" s="137"/>
      <c r="AC27" s="137"/>
      <c r="AD27" s="156" t="s">
        <v>1792</v>
      </c>
    </row>
    <row r="28" spans="1:35" x14ac:dyDescent="0.35">
      <c r="A28" s="138"/>
      <c r="C28" s="1280">
        <v>2021</v>
      </c>
      <c r="D28" s="1280"/>
      <c r="E28" s="1280"/>
      <c r="F28" s="1280"/>
      <c r="G28" s="1280"/>
      <c r="H28" s="1280"/>
      <c r="I28" s="1280"/>
      <c r="J28" s="1280"/>
      <c r="K28" s="1280"/>
      <c r="L28" s="1280"/>
      <c r="M28" s="1280"/>
      <c r="N28" s="1280"/>
      <c r="O28" s="1280">
        <v>2022</v>
      </c>
      <c r="P28" s="1280"/>
      <c r="Q28" s="1280"/>
      <c r="R28" s="1280"/>
      <c r="S28" s="1280"/>
      <c r="T28" s="1280"/>
      <c r="U28" s="1280"/>
      <c r="V28" s="1280"/>
      <c r="W28" s="1280"/>
      <c r="X28" s="1280"/>
      <c r="Y28" s="1280"/>
      <c r="Z28" s="137"/>
      <c r="AA28" s="137"/>
      <c r="AB28" s="137"/>
      <c r="AC28" s="137"/>
      <c r="AD28" s="156"/>
      <c r="AE28" s="35"/>
      <c r="AF28" s="35"/>
      <c r="AG28" s="35"/>
    </row>
    <row r="29" spans="1:35" x14ac:dyDescent="0.35">
      <c r="A29" s="138"/>
      <c r="C29" s="139" t="s">
        <v>1747</v>
      </c>
      <c r="D29" s="139" t="s">
        <v>1748</v>
      </c>
      <c r="E29" s="139" t="s">
        <v>1749</v>
      </c>
      <c r="F29" s="139" t="s">
        <v>1750</v>
      </c>
      <c r="G29" s="139" t="s">
        <v>1751</v>
      </c>
      <c r="H29" s="139" t="s">
        <v>1752</v>
      </c>
      <c r="I29" s="139" t="s">
        <v>1753</v>
      </c>
      <c r="J29" s="139" t="s">
        <v>1754</v>
      </c>
      <c r="K29" s="139" t="s">
        <v>1755</v>
      </c>
      <c r="L29" s="139" t="s">
        <v>1756</v>
      </c>
      <c r="M29" s="139" t="s">
        <v>1757</v>
      </c>
      <c r="N29" s="139" t="s">
        <v>1758</v>
      </c>
      <c r="O29" s="139" t="s">
        <v>1747</v>
      </c>
      <c r="P29" s="139" t="s">
        <v>1748</v>
      </c>
      <c r="Q29" s="139" t="s">
        <v>1749</v>
      </c>
      <c r="R29" s="139" t="s">
        <v>1750</v>
      </c>
      <c r="S29" s="139" t="s">
        <v>1751</v>
      </c>
      <c r="T29" s="139" t="s">
        <v>1752</v>
      </c>
      <c r="U29" s="139" t="s">
        <v>1753</v>
      </c>
      <c r="V29" s="139" t="s">
        <v>1754</v>
      </c>
      <c r="W29" s="139" t="s">
        <v>1755</v>
      </c>
      <c r="X29" s="139" t="s">
        <v>1756</v>
      </c>
      <c r="Y29" s="139" t="s">
        <v>1757</v>
      </c>
      <c r="Z29" s="146"/>
      <c r="AA29" s="146"/>
      <c r="AB29" s="146"/>
      <c r="AC29" s="146"/>
      <c r="AD29" s="151" t="s">
        <v>1758</v>
      </c>
      <c r="AE29" s="149" t="s">
        <v>1747</v>
      </c>
      <c r="AF29" s="149" t="s">
        <v>1748</v>
      </c>
      <c r="AG29" s="35"/>
      <c r="AH29" s="77" t="s">
        <v>1788</v>
      </c>
      <c r="AI29" s="35"/>
    </row>
    <row r="30" spans="1:35" x14ac:dyDescent="0.35">
      <c r="A30" s="138"/>
      <c r="B30" s="77" t="s">
        <v>1760</v>
      </c>
      <c r="D30" s="73">
        <f>(D8/C8)^(12)-1</f>
        <v>4.1042680162006073E-2</v>
      </c>
      <c r="E30" s="73">
        <f t="shared" ref="E30:Z30" si="0">(E8/D8)^(12)-1</f>
        <v>7.3656770386894443E-2</v>
      </c>
      <c r="F30" s="73">
        <f t="shared" si="0"/>
        <v>6.5906931976990268E-2</v>
      </c>
      <c r="G30" s="73">
        <f t="shared" si="0"/>
        <v>6.2766918615354106E-2</v>
      </c>
      <c r="H30" s="73">
        <f t="shared" si="0"/>
        <v>6.8865947836563857E-2</v>
      </c>
      <c r="I30" s="73">
        <f t="shared" si="0"/>
        <v>5.6278625527978576E-2</v>
      </c>
      <c r="J30" s="73">
        <f t="shared" si="0"/>
        <v>4.8427810693439044E-2</v>
      </c>
      <c r="K30" s="73">
        <f t="shared" si="0"/>
        <v>3.8163290994450927E-2</v>
      </c>
      <c r="L30" s="73">
        <f t="shared" si="0"/>
        <v>7.1153811599884431E-2</v>
      </c>
      <c r="M30" s="73">
        <f t="shared" si="0"/>
        <v>7.6184730021106928E-2</v>
      </c>
      <c r="N30" s="73">
        <f t="shared" si="0"/>
        <v>6.7052658631531425E-2</v>
      </c>
      <c r="O30" s="73">
        <f t="shared" si="0"/>
        <v>6.5288334451285346E-2</v>
      </c>
      <c r="P30" s="73">
        <f t="shared" si="0"/>
        <v>7.3586210362064142E-2</v>
      </c>
      <c r="Q30" s="73">
        <f t="shared" si="0"/>
        <v>0.12029425742902733</v>
      </c>
      <c r="R30" s="73">
        <f t="shared" si="0"/>
        <v>2.420085779508252E-2</v>
      </c>
      <c r="S30" s="73">
        <f t="shared" si="0"/>
        <v>7.5228018520828943E-2</v>
      </c>
      <c r="T30" s="73">
        <f t="shared" si="0"/>
        <v>0.12562146420345077</v>
      </c>
      <c r="U30" s="73">
        <f t="shared" si="0"/>
        <v>-1.1115964136614309E-2</v>
      </c>
      <c r="V30" s="73">
        <f t="shared" si="0"/>
        <v>3.26679483742216E-2</v>
      </c>
      <c r="W30" s="73">
        <f t="shared" si="0"/>
        <v>4.210788235244034E-2</v>
      </c>
      <c r="X30" s="73">
        <f t="shared" si="0"/>
        <v>5.1636687680589599E-2</v>
      </c>
      <c r="Y30" s="73">
        <f t="shared" si="0"/>
        <v>2.069487618320931E-2</v>
      </c>
      <c r="Z30" s="73">
        <f t="shared" si="0"/>
        <v>2.4484035138147453E-2</v>
      </c>
      <c r="AA30" s="73">
        <f t="shared" ref="AA30" si="1">(AA8/Z8)^(12)-1</f>
        <v>7.5054593076753884E-2</v>
      </c>
      <c r="AB30" s="73">
        <f t="shared" ref="AB30" si="2">(AB8/AA8)^(12)-1</f>
        <v>3.6728639403075913E-2</v>
      </c>
      <c r="AC30" s="73">
        <f t="shared" ref="AC30" si="3">(AC8/AB8)^(12)-1</f>
        <v>9.1610433133770819E-3</v>
      </c>
      <c r="AD30" s="155">
        <f>AH30</f>
        <v>2.2499999999999999E-2</v>
      </c>
      <c r="AE30" s="155">
        <f>AD30</f>
        <v>2.2499999999999999E-2</v>
      </c>
      <c r="AF30" s="155">
        <f>AE30</f>
        <v>2.2499999999999999E-2</v>
      </c>
      <c r="AG30" s="35"/>
      <c r="AH30" s="157">
        <v>2.2499999999999999E-2</v>
      </c>
      <c r="AI30" s="35" t="s">
        <v>1789</v>
      </c>
    </row>
    <row r="31" spans="1:35" x14ac:dyDescent="0.35">
      <c r="A31" s="138"/>
      <c r="B31" s="77" t="s">
        <v>1762</v>
      </c>
      <c r="D31" s="73">
        <f t="shared" ref="D31:Y31" si="4">(D9/C9)^(12)-1</f>
        <v>4.7852702682074089E-2</v>
      </c>
      <c r="E31" s="73">
        <f t="shared" si="4"/>
        <v>9.3990376547193E-2</v>
      </c>
      <c r="F31" s="73">
        <f t="shared" si="4"/>
        <v>9.0157721904044807E-2</v>
      </c>
      <c r="G31" s="73">
        <f t="shared" si="4"/>
        <v>9.7937681358029272E-2</v>
      </c>
      <c r="H31" s="73">
        <f t="shared" si="4"/>
        <v>0.10571994524004813</v>
      </c>
      <c r="I31" s="73">
        <f t="shared" si="4"/>
        <v>5.9314030950316399E-2</v>
      </c>
      <c r="J31" s="73">
        <f t="shared" si="4"/>
        <v>7.4559369880963899E-2</v>
      </c>
      <c r="K31" s="73">
        <f t="shared" si="4"/>
        <v>4.8439393408400866E-2</v>
      </c>
      <c r="L31" s="73">
        <f t="shared" si="4"/>
        <v>0.13669129570635752</v>
      </c>
      <c r="M31" s="73">
        <f t="shared" si="4"/>
        <v>8.8006180889502517E-2</v>
      </c>
      <c r="N31" s="73">
        <f t="shared" si="4"/>
        <v>8.1786027991030075E-2</v>
      </c>
      <c r="O31" s="73">
        <f t="shared" si="4"/>
        <v>0.11461082577636561</v>
      </c>
      <c r="P31" s="73">
        <f t="shared" si="4"/>
        <v>0.15488876520850492</v>
      </c>
      <c r="Q31" s="73">
        <f t="shared" si="4"/>
        <v>0.23243408487920147</v>
      </c>
      <c r="R31" s="73">
        <f t="shared" si="4"/>
        <v>-2.0953115354990115E-2</v>
      </c>
      <c r="S31" s="73">
        <f t="shared" si="4"/>
        <v>0.11512974514483676</v>
      </c>
      <c r="T31" s="73">
        <f t="shared" si="4"/>
        <v>0.21267713141662403</v>
      </c>
      <c r="U31" s="73">
        <f t="shared" si="4"/>
        <v>-5.0673511435372243E-2</v>
      </c>
      <c r="V31" s="73">
        <f t="shared" si="4"/>
        <v>-3.967131618295705E-2</v>
      </c>
      <c r="W31" s="73">
        <f t="shared" si="4"/>
        <v>-1.2009165772774555E-2</v>
      </c>
      <c r="X31" s="73">
        <f t="shared" si="4"/>
        <v>4.6890556347868095E-2</v>
      </c>
      <c r="Y31" s="73">
        <f t="shared" si="4"/>
        <v>-2.8348579378049577E-2</v>
      </c>
      <c r="Z31" s="73">
        <f t="shared" ref="Z31:Z40" si="5">(Z9/Y9)^(12)-1</f>
        <v>-5.8921485893165593E-2</v>
      </c>
      <c r="AA31" s="73">
        <f t="shared" ref="AA31:AA40" si="6">(AA9/Z9)^(12)-1</f>
        <v>7.1351289811239393E-2</v>
      </c>
      <c r="AB31" s="73">
        <f t="shared" ref="AB31:AB40" si="7">(AB9/AA9)^(12)-1</f>
        <v>1.7963345874943082E-2</v>
      </c>
      <c r="AC31" s="73">
        <f t="shared" ref="AC31:AC40" si="8">(AC9/AB9)^(12)-1</f>
        <v>-2.6200318561481417E-2</v>
      </c>
      <c r="AD31" s="35"/>
      <c r="AE31" s="35"/>
      <c r="AF31" s="35"/>
      <c r="AG31" s="35"/>
    </row>
    <row r="32" spans="1:35" x14ac:dyDescent="0.35">
      <c r="A32" s="138"/>
      <c r="B32" t="s">
        <v>1764</v>
      </c>
      <c r="D32" s="73">
        <f t="shared" ref="D32:Y32" si="9">(D10/C10)^(12)-1</f>
        <v>-7.5664718995666069E-3</v>
      </c>
      <c r="E32" s="73">
        <f t="shared" si="9"/>
        <v>4.266850819250112E-2</v>
      </c>
      <c r="F32" s="73">
        <f t="shared" si="9"/>
        <v>0.21660917290096582</v>
      </c>
      <c r="G32" s="73">
        <f t="shared" si="9"/>
        <v>0.22430559919810955</v>
      </c>
      <c r="H32" s="73">
        <f t="shared" si="9"/>
        <v>0.17511874187668353</v>
      </c>
      <c r="I32" s="73">
        <f t="shared" si="9"/>
        <v>3.795797382041366E-2</v>
      </c>
      <c r="J32" s="73">
        <f t="shared" si="9"/>
        <v>0.11183831318895598</v>
      </c>
      <c r="K32" s="73">
        <f t="shared" si="9"/>
        <v>1.4506155653571495E-2</v>
      </c>
      <c r="L32" s="73">
        <f t="shared" si="9"/>
        <v>0.12618431747599668</v>
      </c>
      <c r="M32" s="73">
        <f t="shared" si="9"/>
        <v>5.2044800480764541E-2</v>
      </c>
      <c r="N32" s="73">
        <f t="shared" si="9"/>
        <v>0.12175758567831618</v>
      </c>
      <c r="O32" s="73">
        <f t="shared" si="9"/>
        <v>0.14983582216551206</v>
      </c>
      <c r="P32" s="73">
        <f t="shared" si="9"/>
        <v>2.0721604560002937E-2</v>
      </c>
      <c r="Q32" s="73">
        <f t="shared" si="9"/>
        <v>-2.0423555429524787E-2</v>
      </c>
      <c r="R32" s="73">
        <f t="shared" si="9"/>
        <v>2.0721822738088314E-2</v>
      </c>
      <c r="S32" s="73">
        <f t="shared" si="9"/>
        <v>4.6313416239633698E-2</v>
      </c>
      <c r="T32" s="73">
        <f t="shared" si="9"/>
        <v>8.9626684643578036E-2</v>
      </c>
      <c r="U32" s="73">
        <f t="shared" si="9"/>
        <v>-2.564874569369624E-2</v>
      </c>
      <c r="V32" s="73">
        <f t="shared" si="9"/>
        <v>5.9403258043756235E-2</v>
      </c>
      <c r="W32" s="73">
        <f t="shared" si="9"/>
        <v>5.49603210423244E-2</v>
      </c>
      <c r="X32" s="73">
        <f t="shared" si="9"/>
        <v>-4.6003053620363055E-2</v>
      </c>
      <c r="Y32" s="73">
        <f t="shared" si="9"/>
        <v>-6.5812820086126544E-2</v>
      </c>
      <c r="Z32" s="73">
        <f t="shared" si="5"/>
        <v>-2.6437717358451018E-2</v>
      </c>
      <c r="AA32" s="73">
        <f t="shared" si="6"/>
        <v>3.1235707629461151E-2</v>
      </c>
      <c r="AB32" s="73">
        <f t="shared" si="7"/>
        <v>-2.1462238588199289E-2</v>
      </c>
      <c r="AC32" s="73">
        <f t="shared" si="8"/>
        <v>-9.6360983053074278E-3</v>
      </c>
      <c r="AD32" s="35"/>
      <c r="AE32" s="35"/>
      <c r="AF32" s="35"/>
      <c r="AG32" s="35"/>
    </row>
    <row r="33" spans="1:45" x14ac:dyDescent="0.35">
      <c r="A33" s="138"/>
      <c r="B33" t="s">
        <v>1766</v>
      </c>
      <c r="D33" s="73">
        <f t="shared" ref="D33:Y33" si="10">(D11/C11)^(12)-1</f>
        <v>8.2695991789366596E-2</v>
      </c>
      <c r="E33" s="73">
        <f t="shared" si="10"/>
        <v>0.12767152587874242</v>
      </c>
      <c r="F33" s="73">
        <f t="shared" si="10"/>
        <v>1.8604492954842566E-2</v>
      </c>
      <c r="G33" s="73">
        <f t="shared" si="10"/>
        <v>2.6650380476038515E-2</v>
      </c>
      <c r="H33" s="73">
        <f t="shared" si="10"/>
        <v>6.6132646674121442E-2</v>
      </c>
      <c r="I33" s="73">
        <f t="shared" si="10"/>
        <v>7.2623275591077174E-2</v>
      </c>
      <c r="J33" s="73">
        <f t="shared" si="10"/>
        <v>5.3583270512252978E-2</v>
      </c>
      <c r="K33" s="73">
        <f t="shared" si="10"/>
        <v>6.8776834563306188E-2</v>
      </c>
      <c r="L33" s="73">
        <f t="shared" si="10"/>
        <v>0.14311748267808033</v>
      </c>
      <c r="M33" s="73">
        <f t="shared" si="10"/>
        <v>0.10977507787605911</v>
      </c>
      <c r="N33" s="73">
        <f t="shared" si="10"/>
        <v>5.8392835152005329E-2</v>
      </c>
      <c r="O33" s="73">
        <f t="shared" si="10"/>
        <v>9.3125815044879046E-2</v>
      </c>
      <c r="P33" s="73">
        <f t="shared" si="10"/>
        <v>0.24399595906104432</v>
      </c>
      <c r="Q33" s="73">
        <f t="shared" si="10"/>
        <v>0.41060581771805249</v>
      </c>
      <c r="R33" s="73">
        <f t="shared" si="10"/>
        <v>-4.4176592701257844E-2</v>
      </c>
      <c r="S33" s="73">
        <f t="shared" si="10"/>
        <v>0.15773089650212335</v>
      </c>
      <c r="T33" s="73">
        <f t="shared" si="10"/>
        <v>0.28927082760345146</v>
      </c>
      <c r="U33" s="73">
        <f t="shared" si="10"/>
        <v>-6.4558713318927374E-2</v>
      </c>
      <c r="V33" s="73">
        <f t="shared" si="10"/>
        <v>-9.2612769739008449E-2</v>
      </c>
      <c r="W33" s="73">
        <f t="shared" si="10"/>
        <v>-4.8917116413696671E-2</v>
      </c>
      <c r="X33" s="73">
        <f t="shared" si="10"/>
        <v>0.10493433995854673</v>
      </c>
      <c r="Y33" s="73">
        <f t="shared" si="10"/>
        <v>-6.3554418254898604E-3</v>
      </c>
      <c r="Z33" s="73">
        <f t="shared" si="5"/>
        <v>-7.6917172427250269E-2</v>
      </c>
      <c r="AA33" s="73">
        <f t="shared" si="6"/>
        <v>9.5164261606219602E-2</v>
      </c>
      <c r="AB33" s="73">
        <f t="shared" si="7"/>
        <v>4.193977703424201E-2</v>
      </c>
      <c r="AC33" s="73">
        <f t="shared" si="8"/>
        <v>-3.57307062296911E-2</v>
      </c>
      <c r="AD33" s="35"/>
      <c r="AE33" s="35"/>
      <c r="AF33" s="35"/>
      <c r="AG33" s="35"/>
    </row>
    <row r="34" spans="1:45" x14ac:dyDescent="0.35">
      <c r="A34" s="138"/>
      <c r="B34" s="77" t="s">
        <v>1768</v>
      </c>
      <c r="D34" s="73">
        <f t="shared" ref="D34:Y34" si="11">(D12/C12)^(12)-1</f>
        <v>3.799005764470742E-2</v>
      </c>
      <c r="E34" s="73">
        <f t="shared" si="11"/>
        <v>6.3357467016105451E-2</v>
      </c>
      <c r="F34" s="73">
        <f t="shared" si="11"/>
        <v>5.3247298586749592E-2</v>
      </c>
      <c r="G34" s="73">
        <f t="shared" si="11"/>
        <v>4.4575363388868805E-2</v>
      </c>
      <c r="H34" s="73">
        <f t="shared" si="11"/>
        <v>4.9972978556659831E-2</v>
      </c>
      <c r="I34" s="73">
        <f t="shared" si="11"/>
        <v>5.4824632504445026E-2</v>
      </c>
      <c r="J34" s="73">
        <f t="shared" si="11"/>
        <v>3.5260241342689014E-2</v>
      </c>
      <c r="K34" s="73">
        <f t="shared" si="11"/>
        <v>3.2982422405918088E-2</v>
      </c>
      <c r="L34" s="73">
        <f t="shared" si="11"/>
        <v>3.8518945643091884E-2</v>
      </c>
      <c r="M34" s="73">
        <f t="shared" si="11"/>
        <v>7.0201828642715958E-2</v>
      </c>
      <c r="N34" s="73">
        <f t="shared" si="11"/>
        <v>5.9557137704392193E-2</v>
      </c>
      <c r="O34" s="73">
        <f t="shared" si="11"/>
        <v>4.0235293867976862E-2</v>
      </c>
      <c r="P34" s="73">
        <f t="shared" si="11"/>
        <v>3.2719520059437901E-2</v>
      </c>
      <c r="Q34" s="73">
        <f t="shared" si="11"/>
        <v>6.514144593018778E-2</v>
      </c>
      <c r="R34" s="73">
        <f t="shared" si="11"/>
        <v>4.8996160643866915E-2</v>
      </c>
      <c r="S34" s="73">
        <f t="shared" si="11"/>
        <v>5.4828192396408904E-2</v>
      </c>
      <c r="T34" s="73">
        <f t="shared" si="11"/>
        <v>8.2382919779997899E-2</v>
      </c>
      <c r="U34" s="73">
        <f t="shared" si="11"/>
        <v>1.052200975220785E-2</v>
      </c>
      <c r="V34" s="73">
        <f t="shared" si="11"/>
        <v>7.2610468750667234E-2</v>
      </c>
      <c r="W34" s="73">
        <f t="shared" si="11"/>
        <v>7.1201730649114836E-2</v>
      </c>
      <c r="X34" s="73">
        <f t="shared" si="11"/>
        <v>5.4000530427643412E-2</v>
      </c>
      <c r="Y34" s="73">
        <f t="shared" si="11"/>
        <v>4.6861630489144268E-2</v>
      </c>
      <c r="Z34" s="73">
        <f t="shared" si="5"/>
        <v>6.9133002119001752E-2</v>
      </c>
      <c r="AA34" s="73">
        <f t="shared" si="6"/>
        <v>7.7040417063483746E-2</v>
      </c>
      <c r="AB34" s="73">
        <f t="shared" si="7"/>
        <v>4.6586002884273725E-2</v>
      </c>
      <c r="AC34" s="73">
        <f t="shared" si="8"/>
        <v>2.7539028507894026E-2</v>
      </c>
      <c r="AD34" s="35"/>
      <c r="AE34" s="35"/>
      <c r="AF34" s="35"/>
      <c r="AG34" s="35"/>
    </row>
    <row r="35" spans="1:45" x14ac:dyDescent="0.35">
      <c r="A35" s="138"/>
      <c r="B35" t="s">
        <v>1769</v>
      </c>
      <c r="D35" s="73"/>
      <c r="E35" s="73"/>
      <c r="F35" s="73"/>
      <c r="G35" s="73"/>
      <c r="H35" s="73"/>
      <c r="I35" s="73"/>
      <c r="J35" s="73"/>
      <c r="K35" s="73"/>
      <c r="L35" s="73"/>
      <c r="M35" s="73"/>
      <c r="N35" s="73"/>
      <c r="O35" s="73"/>
      <c r="P35" s="73"/>
      <c r="Q35" s="73"/>
      <c r="R35" s="73"/>
      <c r="S35" s="73"/>
      <c r="T35" s="73"/>
      <c r="U35" s="73"/>
      <c r="V35" s="73"/>
      <c r="W35" s="73"/>
      <c r="X35" s="73"/>
      <c r="Y35" s="73"/>
      <c r="Z35" s="73"/>
      <c r="AA35" s="73"/>
      <c r="AB35" s="73"/>
      <c r="AC35" s="73"/>
      <c r="AD35" s="35"/>
      <c r="AE35" s="35"/>
      <c r="AF35" s="35"/>
      <c r="AG35" s="35"/>
    </row>
    <row r="36" spans="1:45" x14ac:dyDescent="0.35">
      <c r="A36" s="138"/>
      <c r="B36" t="s">
        <v>1771</v>
      </c>
      <c r="D36" s="73">
        <f t="shared" ref="D36:Y36" si="12">(D14/C14)^(12)-1</f>
        <v>2.0365029271033563E-2</v>
      </c>
      <c r="E36" s="73">
        <f t="shared" si="12"/>
        <v>5.1482879592318564E-2</v>
      </c>
      <c r="F36" s="73">
        <f t="shared" si="12"/>
        <v>7.8455869418629476E-2</v>
      </c>
      <c r="G36" s="73">
        <f t="shared" si="12"/>
        <v>6.3869668258956791E-2</v>
      </c>
      <c r="H36" s="73">
        <f t="shared" si="12"/>
        <v>5.9299303350246912E-2</v>
      </c>
      <c r="I36" s="73">
        <f t="shared" si="12"/>
        <v>4.8280221057496409E-2</v>
      </c>
      <c r="J36" s="73">
        <f t="shared" si="12"/>
        <v>4.0244717542295305E-2</v>
      </c>
      <c r="K36" s="73">
        <f t="shared" si="12"/>
        <v>2.5366582122491321E-2</v>
      </c>
      <c r="L36" s="73">
        <f t="shared" si="12"/>
        <v>5.0046228788346303E-2</v>
      </c>
      <c r="M36" s="73">
        <f t="shared" si="12"/>
        <v>6.3742717313237662E-2</v>
      </c>
      <c r="N36" s="73">
        <f t="shared" si="12"/>
        <v>6.7235583186497916E-2</v>
      </c>
      <c r="O36" s="73">
        <f t="shared" si="12"/>
        <v>5.8206208718552199E-2</v>
      </c>
      <c r="P36" s="73">
        <f t="shared" si="12"/>
        <v>4.5023417871011384E-2</v>
      </c>
      <c r="Q36" s="73">
        <f t="shared" si="12"/>
        <v>4.5061307418852836E-2</v>
      </c>
      <c r="R36" s="73">
        <f t="shared" si="12"/>
        <v>3.8032941434556822E-2</v>
      </c>
      <c r="S36" s="73">
        <f t="shared" si="12"/>
        <v>4.59795327686916E-2</v>
      </c>
      <c r="T36" s="73">
        <f t="shared" si="12"/>
        <v>7.8099579395199514E-2</v>
      </c>
      <c r="U36" s="73">
        <f t="shared" si="12"/>
        <v>9.1900192457399221E-3</v>
      </c>
      <c r="V36" s="73">
        <f t="shared" si="12"/>
        <v>6.8091840581138374E-2</v>
      </c>
      <c r="W36" s="73">
        <f t="shared" si="12"/>
        <v>5.7173674500435201E-2</v>
      </c>
      <c r="X36" s="73">
        <f t="shared" si="12"/>
        <v>3.8311079921447E-2</v>
      </c>
      <c r="Y36" s="73">
        <f t="shared" si="12"/>
        <v>2.711569817897308E-2</v>
      </c>
      <c r="Z36" s="73">
        <f t="shared" si="5"/>
        <v>4.5861099539790118E-2</v>
      </c>
      <c r="AA36" s="73">
        <f t="shared" si="6"/>
        <v>6.9189394250022351E-2</v>
      </c>
      <c r="AB36" s="73">
        <f t="shared" si="7"/>
        <v>4.2465846880722413E-2</v>
      </c>
      <c r="AC36" s="73">
        <f t="shared" si="8"/>
        <v>3.4191896359550666E-2</v>
      </c>
      <c r="AD36" s="35"/>
      <c r="AE36" s="35"/>
      <c r="AF36" s="35"/>
      <c r="AG36" s="35"/>
    </row>
    <row r="37" spans="1:45" x14ac:dyDescent="0.35">
      <c r="A37" s="138"/>
      <c r="B37" t="s">
        <v>1773</v>
      </c>
      <c r="D37" s="73">
        <f t="shared" ref="D37:Y37" si="13">(D15/C15)^(12)-1</f>
        <v>3.2938266631028057E-2</v>
      </c>
      <c r="E37" s="73">
        <f t="shared" si="13"/>
        <v>2.7644192136645263E-2</v>
      </c>
      <c r="F37" s="73">
        <f t="shared" si="13"/>
        <v>4.1858943940387805E-2</v>
      </c>
      <c r="G37" s="73">
        <f t="shared" si="13"/>
        <v>3.9216252076649472E-2</v>
      </c>
      <c r="H37" s="73">
        <f t="shared" si="13"/>
        <v>7.7351472587609216E-2</v>
      </c>
      <c r="I37" s="73">
        <f t="shared" si="13"/>
        <v>7.2917349757494865E-2</v>
      </c>
      <c r="J37" s="73">
        <f t="shared" si="13"/>
        <v>5.0954570797017595E-2</v>
      </c>
      <c r="K37" s="73">
        <f t="shared" si="13"/>
        <v>0.13212657821659612</v>
      </c>
      <c r="L37" s="73">
        <f t="shared" si="13"/>
        <v>9.1607223976764907E-2</v>
      </c>
      <c r="M37" s="73">
        <f t="shared" si="13"/>
        <v>7.9658361080225948E-2</v>
      </c>
      <c r="N37" s="73">
        <f t="shared" si="13"/>
        <v>3.8604886098567048E-2</v>
      </c>
      <c r="O37" s="73">
        <f t="shared" si="13"/>
        <v>0.10881760422644993</v>
      </c>
      <c r="P37" s="73">
        <f t="shared" si="13"/>
        <v>0.18615381389271946</v>
      </c>
      <c r="Q37" s="73">
        <f t="shared" si="13"/>
        <v>0.17642464112952694</v>
      </c>
      <c r="R37" s="73">
        <f t="shared" si="13"/>
        <v>0.1336786180791798</v>
      </c>
      <c r="S37" s="73">
        <f t="shared" si="13"/>
        <v>0.15771379938119745</v>
      </c>
      <c r="T37" s="73">
        <f t="shared" si="13"/>
        <v>0.12523398845374589</v>
      </c>
      <c r="U37" s="73">
        <f t="shared" si="13"/>
        <v>0.16431889623926255</v>
      </c>
      <c r="V37" s="73">
        <f t="shared" si="13"/>
        <v>9.6981521654441627E-2</v>
      </c>
      <c r="W37" s="73">
        <f t="shared" si="13"/>
        <v>7.692418537218737E-2</v>
      </c>
      <c r="X37" s="73">
        <f t="shared" si="13"/>
        <v>6.6218038443607519E-2</v>
      </c>
      <c r="Y37" s="73">
        <f t="shared" si="13"/>
        <v>6.0060957854831454E-2</v>
      </c>
      <c r="Z37" s="73">
        <f t="shared" si="5"/>
        <v>4.9301239244823991E-2</v>
      </c>
      <c r="AA37" s="73">
        <f t="shared" si="6"/>
        <v>4.8512742260487629E-2</v>
      </c>
      <c r="AB37" s="73">
        <f t="shared" si="7"/>
        <v>2.5852726189614428E-2</v>
      </c>
      <c r="AC37" s="73">
        <f t="shared" si="8"/>
        <v>-2.2835098931114461E-2</v>
      </c>
      <c r="AD37" s="35"/>
      <c r="AE37" s="35"/>
      <c r="AF37" s="35"/>
      <c r="AG37" s="35"/>
    </row>
    <row r="38" spans="1:45" x14ac:dyDescent="0.35">
      <c r="B38" t="s">
        <v>1775</v>
      </c>
      <c r="D38" s="73">
        <f t="shared" ref="D38:Y38" si="14">(D16/C16)^(12)-1</f>
        <v>0.72291569588284976</v>
      </c>
      <c r="E38" s="73">
        <f t="shared" si="14"/>
        <v>0.90652914977426202</v>
      </c>
      <c r="F38" s="73">
        <f t="shared" si="14"/>
        <v>-0.15058784271851389</v>
      </c>
      <c r="G38" s="73">
        <f t="shared" si="14"/>
        <v>8.2415570773829439E-2</v>
      </c>
      <c r="H38" s="73">
        <f t="shared" si="14"/>
        <v>0.288212400240214</v>
      </c>
      <c r="I38" s="73">
        <f t="shared" si="14"/>
        <v>0.21557014107504702</v>
      </c>
      <c r="J38" s="73">
        <f t="shared" si="14"/>
        <v>0.24101686665685773</v>
      </c>
      <c r="K38" s="73">
        <f t="shared" si="14"/>
        <v>0.15251650157315622</v>
      </c>
      <c r="L38" s="73">
        <f t="shared" si="14"/>
        <v>0.58970721346460908</v>
      </c>
      <c r="M38" s="73">
        <f t="shared" si="14"/>
        <v>0.36760042472255372</v>
      </c>
      <c r="N38" s="73">
        <f t="shared" si="14"/>
        <v>0.11505581871805415</v>
      </c>
      <c r="O38" s="73">
        <f t="shared" si="14"/>
        <v>0.13924164278085938</v>
      </c>
      <c r="P38" s="73">
        <f t="shared" si="14"/>
        <v>0.56395992753520474</v>
      </c>
      <c r="Q38" s="73">
        <f t="shared" si="14"/>
        <v>2.8844246570707157</v>
      </c>
      <c r="R38" s="73">
        <f t="shared" si="14"/>
        <v>-0.31338167549989293</v>
      </c>
      <c r="S38" s="73">
        <f t="shared" si="14"/>
        <v>0.59110874420150306</v>
      </c>
      <c r="T38" s="73">
        <f t="shared" si="14"/>
        <v>1.4194714937063813</v>
      </c>
      <c r="U38" s="73">
        <f t="shared" si="14"/>
        <v>-0.45413379038575985</v>
      </c>
      <c r="V38" s="73">
        <f t="shared" si="14"/>
        <v>-0.50057237216762762</v>
      </c>
      <c r="W38" s="73">
        <f t="shared" si="14"/>
        <v>-0.25306540672645772</v>
      </c>
      <c r="X38" s="73">
        <f t="shared" si="14"/>
        <v>0.3174926330617307</v>
      </c>
      <c r="Y38" s="73">
        <f t="shared" si="14"/>
        <v>-0.15416208358870942</v>
      </c>
      <c r="Z38" s="73">
        <f t="shared" si="5"/>
        <v>-0.35294353176183635</v>
      </c>
      <c r="AA38" s="73">
        <f t="shared" si="6"/>
        <v>0.25546966332679855</v>
      </c>
      <c r="AB38" s="73">
        <f t="shared" si="7"/>
        <v>-6.2551443476390634E-2</v>
      </c>
      <c r="AC38" s="73">
        <f t="shared" si="8"/>
        <v>-0.36463804889861851</v>
      </c>
      <c r="AD38" s="35"/>
      <c r="AE38" s="35"/>
      <c r="AF38" s="35"/>
      <c r="AG38" s="35"/>
    </row>
    <row r="39" spans="1:45" x14ac:dyDescent="0.35">
      <c r="B39" t="s">
        <v>1777</v>
      </c>
      <c r="D39" s="73">
        <f t="shared" ref="D39:Y39" si="15">(D17/C17)^(12)-1</f>
        <v>4.9558680616075268E-2</v>
      </c>
      <c r="E39" s="73">
        <f t="shared" si="15"/>
        <v>7.3057516618111329E-2</v>
      </c>
      <c r="F39" s="73">
        <f t="shared" si="15"/>
        <v>5.2460099709424668E-2</v>
      </c>
      <c r="G39" s="73">
        <f t="shared" si="15"/>
        <v>5.381520289141295E-2</v>
      </c>
      <c r="H39" s="73">
        <f t="shared" si="15"/>
        <v>6.1601799694704917E-2</v>
      </c>
      <c r="I39" s="73">
        <f t="shared" si="15"/>
        <v>5.7681609776136566E-2</v>
      </c>
      <c r="J39" s="73">
        <f t="shared" si="15"/>
        <v>4.38284003771372E-2</v>
      </c>
      <c r="K39" s="73">
        <f t="shared" si="15"/>
        <v>3.4557210756703594E-2</v>
      </c>
      <c r="L39" s="73">
        <f t="shared" si="15"/>
        <v>8.2095552588947074E-2</v>
      </c>
      <c r="M39" s="73">
        <f t="shared" si="15"/>
        <v>6.5737761414305318E-2</v>
      </c>
      <c r="N39" s="73">
        <f t="shared" si="15"/>
        <v>6.4384017739507859E-2</v>
      </c>
      <c r="O39" s="73">
        <f t="shared" si="15"/>
        <v>7.2983192326654178E-2</v>
      </c>
      <c r="P39" s="73">
        <f t="shared" si="15"/>
        <v>9.2871760771986445E-2</v>
      </c>
      <c r="Q39" s="73">
        <f t="shared" si="15"/>
        <v>0.13826855618806144</v>
      </c>
      <c r="R39" s="73">
        <f t="shared" si="15"/>
        <v>1.8616650926342571E-2</v>
      </c>
      <c r="S39" s="73">
        <f t="shared" si="15"/>
        <v>8.4202927885562273E-2</v>
      </c>
      <c r="T39" s="73">
        <f t="shared" si="15"/>
        <v>0.13505054386395821</v>
      </c>
      <c r="U39" s="73">
        <f t="shared" si="15"/>
        <v>-1.9888782007158046E-3</v>
      </c>
      <c r="V39" s="73">
        <f t="shared" si="15"/>
        <v>1.8775735947116345E-2</v>
      </c>
      <c r="W39" s="73">
        <f t="shared" si="15"/>
        <v>3.6067570244965097E-2</v>
      </c>
      <c r="X39" s="73">
        <f t="shared" si="15"/>
        <v>5.8079358130883163E-2</v>
      </c>
      <c r="Y39" s="73">
        <f t="shared" si="15"/>
        <v>8.714830090509107E-3</v>
      </c>
      <c r="Z39" s="73">
        <f t="shared" si="5"/>
        <v>2.3813658492676471E-2</v>
      </c>
      <c r="AA39" s="73">
        <f t="shared" si="6"/>
        <v>6.887957581333648E-2</v>
      </c>
      <c r="AB39" s="73">
        <f t="shared" si="7"/>
        <v>4.1972791287924194E-2</v>
      </c>
      <c r="AC39" s="73">
        <f t="shared" si="8"/>
        <v>1.7393792285151699E-2</v>
      </c>
      <c r="AD39" s="35"/>
      <c r="AE39" s="35"/>
      <c r="AF39" s="35"/>
      <c r="AG39" s="35"/>
    </row>
    <row r="40" spans="1:45" x14ac:dyDescent="0.35">
      <c r="B40" t="s">
        <v>1779</v>
      </c>
      <c r="D40" s="73">
        <f t="shared" ref="D40:Y40" si="16">(D18/C18)^(12)-1</f>
        <v>2.6306911733675387E-2</v>
      </c>
      <c r="E40" s="73">
        <f t="shared" si="16"/>
        <v>4.7075720782800756E-2</v>
      </c>
      <c r="F40" s="73">
        <f t="shared" si="16"/>
        <v>6.4735241863618675E-2</v>
      </c>
      <c r="G40" s="73">
        <f t="shared" si="16"/>
        <v>5.3863730770375762E-2</v>
      </c>
      <c r="H40" s="73">
        <f t="shared" si="16"/>
        <v>4.9415026420108532E-2</v>
      </c>
      <c r="I40" s="73">
        <f t="shared" si="16"/>
        <v>4.8442163355395973E-2</v>
      </c>
      <c r="J40" s="73">
        <f t="shared" si="16"/>
        <v>3.3445689362926245E-2</v>
      </c>
      <c r="K40" s="73">
        <f t="shared" si="16"/>
        <v>1.9209551763710087E-2</v>
      </c>
      <c r="L40" s="73">
        <f t="shared" si="16"/>
        <v>5.8661895401922237E-2</v>
      </c>
      <c r="M40" s="73">
        <f t="shared" si="16"/>
        <v>4.9648293347485994E-2</v>
      </c>
      <c r="N40" s="73">
        <f t="shared" si="16"/>
        <v>6.4148804110846225E-2</v>
      </c>
      <c r="O40" s="73">
        <f t="shared" si="16"/>
        <v>6.5881113028707583E-2</v>
      </c>
      <c r="P40" s="73">
        <f t="shared" si="16"/>
        <v>6.1834779954741403E-2</v>
      </c>
      <c r="Q40" s="73">
        <f t="shared" si="16"/>
        <v>5.1972875017657572E-2</v>
      </c>
      <c r="R40" s="73">
        <f t="shared" si="16"/>
        <v>3.3709236066195469E-2</v>
      </c>
      <c r="S40" s="73">
        <f t="shared" si="16"/>
        <v>5.1178679027768181E-2</v>
      </c>
      <c r="T40" s="73">
        <f t="shared" si="16"/>
        <v>8.0351418460051338E-2</v>
      </c>
      <c r="U40" s="73">
        <f t="shared" si="16"/>
        <v>2.3593165612588507E-2</v>
      </c>
      <c r="V40" s="73">
        <f t="shared" si="16"/>
        <v>5.7661583960296747E-2</v>
      </c>
      <c r="W40" s="73">
        <f t="shared" si="16"/>
        <v>5.2682145345352538E-2</v>
      </c>
      <c r="X40" s="73">
        <f t="shared" si="16"/>
        <v>4.3452572123945599E-2</v>
      </c>
      <c r="Y40" s="73">
        <f t="shared" si="16"/>
        <v>1.4312096046469325E-2</v>
      </c>
      <c r="Z40" s="73">
        <f t="shared" si="5"/>
        <v>4.8896677693878621E-2</v>
      </c>
      <c r="AA40" s="73">
        <f t="shared" si="6"/>
        <v>6.1078147136428562E-2</v>
      </c>
      <c r="AB40" s="73">
        <f t="shared" si="7"/>
        <v>4.957652046263239E-2</v>
      </c>
      <c r="AC40" s="73">
        <f t="shared" si="8"/>
        <v>4.8253826499659702E-2</v>
      </c>
      <c r="AD40" s="35"/>
      <c r="AE40" s="35"/>
      <c r="AF40" s="35"/>
      <c r="AG40" s="35"/>
    </row>
    <row r="43" spans="1:45" x14ac:dyDescent="0.35">
      <c r="B43" s="150"/>
      <c r="C43" s="150"/>
      <c r="D43" s="150"/>
      <c r="E43" s="150"/>
      <c r="F43" s="150"/>
      <c r="G43" s="150"/>
      <c r="H43" s="150"/>
      <c r="I43" s="150"/>
      <c r="J43" s="150"/>
      <c r="K43" s="150"/>
      <c r="L43" s="150"/>
      <c r="M43" s="150"/>
      <c r="N43" s="150"/>
      <c r="O43" s="150"/>
      <c r="P43" s="150"/>
      <c r="Q43" s="1281" t="s">
        <v>1785</v>
      </c>
      <c r="R43" s="1281"/>
      <c r="S43" s="1281"/>
      <c r="T43" s="1281"/>
      <c r="U43" s="1281"/>
      <c r="V43" s="1281"/>
      <c r="W43" s="1281"/>
      <c r="X43" s="1281"/>
      <c r="Y43" s="1281"/>
      <c r="Z43" s="1281"/>
      <c r="AA43" s="1281"/>
      <c r="AB43" s="1281"/>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278">
        <v>2021</v>
      </c>
      <c r="T44" s="1279"/>
      <c r="U44" s="1279"/>
      <c r="V44" s="1279"/>
      <c r="W44" s="1279">
        <v>2022</v>
      </c>
      <c r="X44" s="1279"/>
      <c r="Y44" s="1279"/>
      <c r="Z44" s="1279"/>
      <c r="AA44" s="163">
        <v>2023</v>
      </c>
      <c r="AB44" s="163">
        <v>2023</v>
      </c>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48" t="s">
        <v>283</v>
      </c>
      <c r="T45" s="144" t="s">
        <v>284</v>
      </c>
      <c r="U45" s="144" t="s">
        <v>238</v>
      </c>
      <c r="V45" s="144" t="s">
        <v>282</v>
      </c>
      <c r="W45" s="144" t="s">
        <v>283</v>
      </c>
      <c r="X45" s="144" t="s">
        <v>284</v>
      </c>
      <c r="Y45" s="144" t="s">
        <v>238</v>
      </c>
      <c r="Z45" s="145" t="s">
        <v>282</v>
      </c>
      <c r="AA45" s="144" t="s">
        <v>283</v>
      </c>
      <c r="AB45" s="144" t="s">
        <v>284</v>
      </c>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53">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54">
        <f>AVERAGE(X8:Z8)</f>
        <v>124.902</v>
      </c>
      <c r="AA46" s="154">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281" t="s">
        <v>1786</v>
      </c>
      <c r="R48" s="1281"/>
      <c r="S48" s="1281"/>
      <c r="T48" s="1281"/>
      <c r="U48" s="1281"/>
      <c r="V48" s="1281"/>
      <c r="W48" s="1281"/>
      <c r="X48" s="1281"/>
      <c r="Y48" s="1281"/>
      <c r="Z48" s="1281"/>
      <c r="AA48" s="1281"/>
      <c r="AB48" s="1281"/>
    </row>
    <row r="49" spans="2:29" ht="43.5" customHeight="1" x14ac:dyDescent="0.35">
      <c r="B49" s="35"/>
      <c r="C49" s="141"/>
      <c r="D49" s="141"/>
      <c r="E49" s="141"/>
      <c r="F49" s="141"/>
      <c r="G49" s="141"/>
      <c r="H49" s="141"/>
      <c r="S49" s="1278">
        <v>2021</v>
      </c>
      <c r="T49" s="1279"/>
      <c r="U49" s="1279"/>
      <c r="V49" s="1279"/>
      <c r="W49" s="1279">
        <v>2022</v>
      </c>
      <c r="X49" s="1279"/>
      <c r="Y49" s="1279"/>
      <c r="Z49" s="1279"/>
      <c r="AA49" s="163">
        <v>2023</v>
      </c>
      <c r="AB49" s="156">
        <v>2023</v>
      </c>
      <c r="AC49" s="14" t="s">
        <v>1893</v>
      </c>
    </row>
    <row r="50" spans="2:29" x14ac:dyDescent="0.35">
      <c r="B50" s="35"/>
      <c r="C50" s="35"/>
      <c r="D50" s="35"/>
      <c r="E50" s="35"/>
      <c r="F50" s="35"/>
      <c r="G50" s="35"/>
      <c r="H50" s="35"/>
      <c r="S50" s="148" t="s">
        <v>283</v>
      </c>
      <c r="T50" s="144" t="s">
        <v>284</v>
      </c>
      <c r="U50" s="144" t="s">
        <v>238</v>
      </c>
      <c r="V50" s="144" t="s">
        <v>282</v>
      </c>
      <c r="W50" s="144" t="s">
        <v>283</v>
      </c>
      <c r="X50" s="144" t="s">
        <v>284</v>
      </c>
      <c r="Y50" s="144" t="s">
        <v>238</v>
      </c>
      <c r="Z50" s="145" t="s">
        <v>282</v>
      </c>
      <c r="AA50" s="144" t="s">
        <v>283</v>
      </c>
      <c r="AB50" s="147" t="s">
        <v>284</v>
      </c>
    </row>
    <row r="51" spans="2:29" x14ac:dyDescent="0.35">
      <c r="B51" s="35"/>
      <c r="C51" s="35"/>
      <c r="D51" s="35"/>
      <c r="E51" s="35"/>
      <c r="F51" s="35"/>
      <c r="G51" s="35"/>
      <c r="H51" s="35"/>
      <c r="S51" s="21"/>
      <c r="T51" s="158">
        <f t="shared" ref="T51:Y51" si="17">(T46/S46)^4-1</f>
        <v>6.4466715030665034E-2</v>
      </c>
      <c r="U51" s="158">
        <f t="shared" si="17"/>
        <v>5.5974491632073686E-2</v>
      </c>
      <c r="V51" s="158">
        <f t="shared" si="17"/>
        <v>6.1883793652025565E-2</v>
      </c>
      <c r="W51" s="158">
        <f t="shared" si="17"/>
        <v>7.4760879860437557E-2</v>
      </c>
      <c r="X51" s="158">
        <f t="shared" si="17"/>
        <v>7.2910717592092666E-2</v>
      </c>
      <c r="Y51" s="158">
        <f t="shared" si="17"/>
        <v>4.3189354230043886E-2</v>
      </c>
      <c r="Z51" s="159">
        <f>(Z46/Y46)^4-1</f>
        <v>3.7435360189279843E-2</v>
      </c>
      <c r="AA51" s="159">
        <f>(AA46/Z46)^4-1</f>
        <v>4.1648600597020913E-2</v>
      </c>
      <c r="AB51" s="159">
        <f>(AB46/AA46)^4-1</f>
        <v>2.1086604151099309E-2</v>
      </c>
      <c r="AC51" s="73">
        <f>Deflators!V12</f>
        <v>2.4870541532459711E-2</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3">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 ref="S49:V49"/>
    <mergeCell ref="S44:V44"/>
    <mergeCell ref="C28:N28"/>
    <mergeCell ref="C27:Y27"/>
    <mergeCell ref="W44:Z44"/>
    <mergeCell ref="W49:Z49"/>
    <mergeCell ref="Q43:AB43"/>
    <mergeCell ref="Q48:AB48"/>
  </mergeCells>
  <hyperlinks>
    <hyperlink ref="A5" r:id="rId1" location="eyJhcHBpZCI6MTksInN0ZXBzIjpbMSwyLDNdLCJkYXRhIjpbWyJjYXRlZ29yaWVzIiwiU3VydmV5Il0sWyJOSVBBX1RhYmxlX0xpc3QiLCI4MSJdXX0=" xr:uid="{00000000-0004-0000-0A00-000000000000}"/>
  </hyperlinks>
  <pageMargins left="0.7" right="0.7" top="0.75" bottom="0.75" header="0.3" footer="0.3"/>
  <pageSetup orientation="portrait" horizontalDpi="1200" verticalDpi="12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11"/>
  <sheetViews>
    <sheetView topLeftCell="B1" workbookViewId="0">
      <selection activeCell="Q17" sqref="Q17"/>
    </sheetView>
  </sheetViews>
  <sheetFormatPr defaultColWidth="10.90625" defaultRowHeight="14.5" x14ac:dyDescent="0.35"/>
  <cols>
    <col min="1" max="1" width="33" customWidth="1"/>
    <col min="2" max="2" width="27.1796875" customWidth="1"/>
  </cols>
  <sheetData>
    <row r="1" spans="1:22" x14ac:dyDescent="0.35">
      <c r="A1" s="77" t="s">
        <v>178</v>
      </c>
      <c r="B1" s="77" t="s">
        <v>179</v>
      </c>
      <c r="C1" s="168" t="s">
        <v>247</v>
      </c>
      <c r="D1" s="168" t="s">
        <v>248</v>
      </c>
      <c r="E1" s="168" t="s">
        <v>249</v>
      </c>
      <c r="F1" s="168" t="s">
        <v>250</v>
      </c>
      <c r="G1" s="77" t="s">
        <v>251</v>
      </c>
      <c r="H1" s="77" t="s">
        <v>180</v>
      </c>
      <c r="I1" s="77" t="s">
        <v>181</v>
      </c>
      <c r="J1" s="77" t="s">
        <v>182</v>
      </c>
      <c r="K1" s="77" t="s">
        <v>183</v>
      </c>
      <c r="L1" s="102" t="s">
        <v>184</v>
      </c>
      <c r="M1" s="102" t="s">
        <v>185</v>
      </c>
      <c r="N1" s="102" t="s">
        <v>186</v>
      </c>
      <c r="O1" s="102" t="s">
        <v>187</v>
      </c>
      <c r="P1" s="102" t="s">
        <v>188</v>
      </c>
      <c r="Q1" s="102" t="s">
        <v>189</v>
      </c>
      <c r="R1" s="102"/>
      <c r="S1" s="102"/>
      <c r="T1" s="102"/>
      <c r="U1" s="102"/>
      <c r="V1" s="102"/>
    </row>
    <row r="2" spans="1:22" ht="29.15" customHeight="1" x14ac:dyDescent="0.35">
      <c r="A2" s="14" t="s">
        <v>252</v>
      </c>
      <c r="B2" t="s">
        <v>253</v>
      </c>
      <c r="C2">
        <f>Grants!J75</f>
        <v>320.24999999999989</v>
      </c>
      <c r="D2">
        <f>Grants!K75</f>
        <v>298.13400000000001</v>
      </c>
      <c r="E2">
        <f>Grants!L75</f>
        <v>289.54399999999998</v>
      </c>
      <c r="F2">
        <f>Grants!M75</f>
        <v>320.34099999999995</v>
      </c>
      <c r="G2">
        <f>Grants!N75</f>
        <v>354.35800000000017</v>
      </c>
      <c r="H2">
        <f>Grants!O75</f>
        <v>375.57600000000008</v>
      </c>
      <c r="I2" s="35">
        <f>Grants!P75</f>
        <v>396.106852</v>
      </c>
      <c r="J2" s="35">
        <f>Grants!Q75</f>
        <v>433.66327480000001</v>
      </c>
      <c r="K2" s="35">
        <f>Grants!R75</f>
        <v>500.88603199999994</v>
      </c>
      <c r="L2" s="35">
        <f>Grants!S75</f>
        <v>486.87586800000008</v>
      </c>
      <c r="M2" s="35">
        <f>Grants!T75</f>
        <v>445.45392800000008</v>
      </c>
      <c r="N2" s="35">
        <f>Grants!U75</f>
        <v>439.61154320000009</v>
      </c>
      <c r="O2" s="35">
        <f>Grants!V75</f>
        <v>429.15772000000004</v>
      </c>
      <c r="P2" s="163">
        <f>Grants!W75</f>
        <v>415.61894400000006</v>
      </c>
      <c r="Q2" s="163">
        <f>Grants!X75</f>
        <v>396.93694400000004</v>
      </c>
    </row>
    <row r="3" spans="1:22" ht="29.15" customHeight="1" x14ac:dyDescent="0.35">
      <c r="A3" s="14" t="s">
        <v>795</v>
      </c>
      <c r="B3" t="s">
        <v>792</v>
      </c>
      <c r="C3">
        <f>'Social Benefits'!J33</f>
        <v>1650.6000000000004</v>
      </c>
      <c r="D3">
        <f>'Social Benefits'!K33</f>
        <v>1808.6</v>
      </c>
      <c r="E3">
        <f>'Social Benefits'!L33</f>
        <v>1697.9</v>
      </c>
      <c r="F3">
        <f>'Social Benefits'!M33</f>
        <v>1739.3999999999999</v>
      </c>
      <c r="G3">
        <f>'Social Benefits'!N33</f>
        <v>1749.07816</v>
      </c>
      <c r="H3">
        <f>'Social Benefits'!O33</f>
        <v>1919.92984</v>
      </c>
      <c r="I3" s="35">
        <f>'Social Benefits'!P33</f>
        <v>1894.6239999999998</v>
      </c>
      <c r="J3" s="35">
        <f>'Social Benefits'!Q33</f>
        <v>1859.424</v>
      </c>
      <c r="K3" s="35">
        <f>'Social Benefits'!R33</f>
        <v>1856.6239999999998</v>
      </c>
      <c r="L3" s="35">
        <f>'Social Benefits'!S33</f>
        <v>1840.0239999999999</v>
      </c>
      <c r="M3" s="35">
        <f>'Social Benefits'!T33</f>
        <v>1904.0839999999996</v>
      </c>
      <c r="N3" s="35">
        <f>'Social Benefits'!U33</f>
        <v>1972.2840000000003</v>
      </c>
      <c r="O3" s="35">
        <f>'Social Benefits'!V33</f>
        <v>1951.7554285714286</v>
      </c>
      <c r="P3" s="163">
        <f>'Social Benefits'!W33</f>
        <v>1947.7554285714286</v>
      </c>
      <c r="Q3" s="163">
        <f>'Social Benefits'!X33</f>
        <v>1947.3989999999999</v>
      </c>
    </row>
    <row r="4" spans="1:22" ht="29.15" customHeight="1" x14ac:dyDescent="0.35">
      <c r="A4" s="14" t="s">
        <v>797</v>
      </c>
      <c r="B4" t="s">
        <v>793</v>
      </c>
      <c r="C4">
        <f>'Social Benefits'!J24</f>
        <v>0</v>
      </c>
      <c r="D4">
        <f>'Social Benefits'!K24</f>
        <v>0</v>
      </c>
      <c r="E4">
        <f>'Social Benefits'!L24</f>
        <v>0</v>
      </c>
      <c r="F4">
        <f>'Social Benefits'!M24</f>
        <v>0</v>
      </c>
      <c r="G4">
        <f>'Social Benefits'!N24</f>
        <v>33.921840000000024</v>
      </c>
      <c r="H4">
        <f>'Social Benefits'!O24</f>
        <v>44.966160000000031</v>
      </c>
      <c r="I4" s="35">
        <f>'Social Benefits'!P24</f>
        <v>52.756999999999998</v>
      </c>
      <c r="J4" s="35">
        <f>'Social Benefits'!Q24</f>
        <v>52.756999999999998</v>
      </c>
      <c r="K4" s="35">
        <f>'Social Benefits'!R24</f>
        <v>52.756999999999998</v>
      </c>
      <c r="L4" s="35">
        <f>'Social Benefits'!S24</f>
        <v>52.756999999999998</v>
      </c>
      <c r="M4" s="35">
        <f>'Social Benefits'!T24</f>
        <v>30</v>
      </c>
      <c r="N4" s="35">
        <f>'Social Benefits'!U24</f>
        <v>12</v>
      </c>
      <c r="O4" s="35">
        <f>'Social Benefits'!V24</f>
        <v>12</v>
      </c>
      <c r="P4" s="163">
        <f>'Social Benefits'!W24</f>
        <v>12</v>
      </c>
      <c r="Q4" s="163">
        <f>'Social Benefits'!X24</f>
        <v>4.2219999999999995</v>
      </c>
    </row>
    <row r="5" spans="1:22" x14ac:dyDescent="0.35">
      <c r="A5" s="14" t="s">
        <v>796</v>
      </c>
      <c r="B5" t="s">
        <v>794</v>
      </c>
      <c r="C5">
        <f>'Social Benefits'!J30</f>
        <v>160.9</v>
      </c>
      <c r="D5">
        <f>'Social Benefits'!K30</f>
        <v>58.4</v>
      </c>
      <c r="E5">
        <f>'Social Benefits'!L30</f>
        <v>34.5</v>
      </c>
      <c r="F5">
        <f>'Social Benefits'!M30</f>
        <v>21.4</v>
      </c>
      <c r="G5">
        <f>'Social Benefits'!N30</f>
        <v>13.3</v>
      </c>
      <c r="H5">
        <f>'Social Benefits'!O30</f>
        <v>21.804000000000041</v>
      </c>
      <c r="I5" s="35">
        <f>'Social Benefits'!P30</f>
        <v>51.919000000000011</v>
      </c>
      <c r="J5" s="35">
        <f>'Social Benefits'!Q30</f>
        <v>46.619</v>
      </c>
      <c r="K5" s="35">
        <f>'Social Benefits'!R30</f>
        <v>39.719000000000008</v>
      </c>
      <c r="L5" s="35">
        <f>'Social Benefits'!S30</f>
        <v>27.819000000000003</v>
      </c>
      <c r="M5" s="35">
        <f>'Social Benefits'!T30</f>
        <v>6.3160000000000007</v>
      </c>
      <c r="N5" s="35">
        <f>'Social Benefits'!U30</f>
        <v>1.4159999999999999</v>
      </c>
      <c r="O5" s="35">
        <f>'Social Benefits'!V30</f>
        <v>1.4159999999999999</v>
      </c>
      <c r="P5" s="163">
        <f>'Social Benefits'!W30</f>
        <v>1.4159999999999999</v>
      </c>
      <c r="Q5" s="163">
        <f>'Social Benefits'!X30</f>
        <v>1.4790000000000001</v>
      </c>
    </row>
    <row r="6" spans="1:22" x14ac:dyDescent="0.35">
      <c r="A6" s="35" t="s">
        <v>201</v>
      </c>
      <c r="B6" s="35" t="s">
        <v>831</v>
      </c>
      <c r="C6" s="169">
        <f>Subsidies!J45</f>
        <v>0</v>
      </c>
      <c r="D6" s="169">
        <f>Subsidies!K45</f>
        <v>0</v>
      </c>
      <c r="E6" s="169">
        <f>Subsidies!L45</f>
        <v>0</v>
      </c>
      <c r="F6" s="169">
        <f>Subsidies!M45</f>
        <v>0</v>
      </c>
      <c r="G6" s="169">
        <f>Subsidies!N45</f>
        <v>58.782959999999989</v>
      </c>
      <c r="H6" s="169">
        <f>Subsidies!O45</f>
        <v>267.78904</v>
      </c>
      <c r="I6" s="169">
        <f>Subsidies!P45</f>
        <v>110.24799999999999</v>
      </c>
      <c r="J6" s="169">
        <f>Subsidies!Q45</f>
        <v>110.24799999999999</v>
      </c>
      <c r="K6" s="169">
        <f>Subsidies!R45</f>
        <v>110.24799999999999</v>
      </c>
      <c r="L6" s="169">
        <f>Subsidies!S45</f>
        <v>110.24799999999999</v>
      </c>
      <c r="M6" s="169">
        <f>Subsidies!T45</f>
        <v>12.726000000000001</v>
      </c>
      <c r="N6" s="169">
        <f>Subsidies!U45</f>
        <v>12.726000000000001</v>
      </c>
      <c r="O6" s="169">
        <f>Subsidies!V45</f>
        <v>12.726000000000001</v>
      </c>
      <c r="P6" s="164">
        <f>Subsidies!W45</f>
        <v>12.726000000000001</v>
      </c>
      <c r="Q6" s="164">
        <f>Subsidies!X45</f>
        <v>1.365</v>
      </c>
    </row>
    <row r="7" spans="1:22" ht="29.15" customHeight="1" x14ac:dyDescent="0.35">
      <c r="A7" s="14" t="s">
        <v>870</v>
      </c>
      <c r="B7" t="s">
        <v>868</v>
      </c>
      <c r="C7" s="35" t="e">
        <f>Taxes!#REF!</f>
        <v>#REF!</v>
      </c>
      <c r="D7" s="35" t="e">
        <f>Taxes!#REF!</f>
        <v>#REF!</v>
      </c>
      <c r="E7" s="35" t="e">
        <f>Taxes!#REF!</f>
        <v>#REF!</v>
      </c>
      <c r="F7" s="35" t="e">
        <f>Taxes!#REF!</f>
        <v>#REF!</v>
      </c>
      <c r="G7" s="35" t="e">
        <f>Taxes!#REF!</f>
        <v>#REF!</v>
      </c>
      <c r="H7" s="35" t="e">
        <f>Taxes!#REF!</f>
        <v>#REF!</v>
      </c>
      <c r="I7" s="35" t="e">
        <f>Taxes!#REF!</f>
        <v>#REF!</v>
      </c>
      <c r="J7" s="35" t="e">
        <f>Taxes!#REF!</f>
        <v>#REF!</v>
      </c>
      <c r="K7" s="35" t="e">
        <f>Taxes!#REF!</f>
        <v>#REF!</v>
      </c>
      <c r="L7" s="35" t="e">
        <f>Taxes!#REF!</f>
        <v>#REF!</v>
      </c>
      <c r="M7" s="35" t="e">
        <f>Taxes!#REF!</f>
        <v>#REF!</v>
      </c>
      <c r="N7" s="35" t="e">
        <f>Taxes!#REF!</f>
        <v>#REF!</v>
      </c>
      <c r="O7" s="35" t="e">
        <f>Taxes!#REF!</f>
        <v>#REF!</v>
      </c>
      <c r="P7" s="163" t="e">
        <f>Taxes!#REF!</f>
        <v>#REF!</v>
      </c>
      <c r="Q7" s="163" t="e">
        <f>Taxes!#REF!</f>
        <v>#REF!</v>
      </c>
    </row>
    <row r="8" spans="1:22" x14ac:dyDescent="0.35">
      <c r="A8" t="s">
        <v>871</v>
      </c>
      <c r="B8" t="s">
        <v>869</v>
      </c>
      <c r="C8" s="35"/>
      <c r="D8" s="35"/>
      <c r="E8" s="35"/>
      <c r="F8" s="35"/>
      <c r="G8" s="35"/>
      <c r="H8" s="35"/>
      <c r="J8" s="167"/>
      <c r="K8" s="167"/>
      <c r="L8" s="167"/>
      <c r="M8" s="167"/>
      <c r="N8" s="167" t="e">
        <f>forecast!#REF!</f>
        <v>#REF!</v>
      </c>
      <c r="O8" s="167" t="e">
        <f>forecast!#REF!</f>
        <v>#REF!</v>
      </c>
      <c r="P8" s="165" t="e">
        <f>forecast!#REF!</f>
        <v>#REF!</v>
      </c>
      <c r="Q8" s="165" t="e">
        <f>forecast!#REF!</f>
        <v>#REF!</v>
      </c>
    </row>
    <row r="9" spans="1:22" x14ac:dyDescent="0.35">
      <c r="A9" s="14" t="s">
        <v>928</v>
      </c>
      <c r="B9" t="s">
        <v>929</v>
      </c>
      <c r="C9">
        <f>Grants!J106</f>
        <v>75.986000000000004</v>
      </c>
      <c r="D9">
        <f>Grants!K106</f>
        <v>79.650999999999996</v>
      </c>
      <c r="E9">
        <f>Grants!L106</f>
        <v>75.400999999999996</v>
      </c>
      <c r="F9">
        <f>Grants!M106</f>
        <v>73.034999999999997</v>
      </c>
      <c r="G9">
        <f>Grants!N106</f>
        <v>75.13</v>
      </c>
      <c r="H9">
        <f>Grants!O106</f>
        <v>70.191999999999993</v>
      </c>
      <c r="I9">
        <f>Grants!P106</f>
        <v>72.266999999999996</v>
      </c>
      <c r="J9">
        <f>Grants!Q106</f>
        <v>74.974000000000004</v>
      </c>
      <c r="K9">
        <f>Grants!R106</f>
        <v>75.229285714285723</v>
      </c>
      <c r="L9">
        <f>Grants!S106</f>
        <v>75.229285714285723</v>
      </c>
      <c r="M9" s="35">
        <f>Grants!T106</f>
        <v>76.048285714285726</v>
      </c>
      <c r="N9" s="35">
        <f>Grants!U106</f>
        <v>76.048285714285726</v>
      </c>
      <c r="O9" s="35">
        <f>Grants!V106</f>
        <v>76.048285714285726</v>
      </c>
      <c r="P9" s="163">
        <f>Grants!W106</f>
        <v>76.048285714285726</v>
      </c>
      <c r="Q9" s="163">
        <f>Grants!X106</f>
        <v>77.707285714285717</v>
      </c>
    </row>
    <row r="10" spans="1:22" x14ac:dyDescent="0.35">
      <c r="A10" t="s">
        <v>1985</v>
      </c>
      <c r="B10" t="s">
        <v>1986</v>
      </c>
      <c r="C10">
        <v>0</v>
      </c>
      <c r="D10">
        <v>0</v>
      </c>
      <c r="E10">
        <v>0</v>
      </c>
      <c r="F10">
        <v>0</v>
      </c>
      <c r="G10">
        <v>0</v>
      </c>
      <c r="H10">
        <v>0</v>
      </c>
      <c r="I10">
        <v>0</v>
      </c>
      <c r="J10">
        <v>0</v>
      </c>
      <c r="K10">
        <v>0</v>
      </c>
      <c r="L10">
        <f>'Supply Side IRA'!S14</f>
        <v>11.312146474264033</v>
      </c>
      <c r="M10">
        <f>'Supply Side IRA'!T14</f>
        <v>11.41652772794744</v>
      </c>
      <c r="N10">
        <f>'Supply Side IRA'!U14</f>
        <v>35.755431152428351</v>
      </c>
      <c r="O10">
        <f>'Supply Side IRA'!V14</f>
        <v>58.110152249485409</v>
      </c>
      <c r="P10" s="166">
        <f>'Supply Side IRA'!W14</f>
        <v>83.238925829781905</v>
      </c>
      <c r="Q10" s="166">
        <f>'Supply Side IRA'!X14</f>
        <v>107.09511973283159</v>
      </c>
    </row>
    <row r="11" spans="1:22" x14ac:dyDescent="0.35">
      <c r="A11" s="14" t="s">
        <v>1992</v>
      </c>
      <c r="B11" t="s">
        <v>1993</v>
      </c>
      <c r="C11">
        <f>'Student loans'!J11</f>
        <v>45</v>
      </c>
      <c r="D11">
        <f>'Student loans'!K11</f>
        <v>45</v>
      </c>
      <c r="E11">
        <f>'Student loans'!L11</f>
        <v>45</v>
      </c>
      <c r="F11">
        <f>'Student loans'!M11</f>
        <v>45</v>
      </c>
      <c r="G11">
        <f>'Student loans'!N11</f>
        <v>45</v>
      </c>
      <c r="H11">
        <f>'Student loans'!O11</f>
        <v>45</v>
      </c>
      <c r="I11">
        <f>'Student loans'!P11</f>
        <v>45</v>
      </c>
      <c r="J11">
        <f>'Student loans'!Q11</f>
        <v>45</v>
      </c>
      <c r="K11">
        <f>'Student loans'!R11</f>
        <v>45</v>
      </c>
      <c r="L11">
        <f>'Student loans'!S11</f>
        <v>45</v>
      </c>
      <c r="M11">
        <f>'Student loans'!T11</f>
        <v>45</v>
      </c>
      <c r="N11">
        <f>'Student loans'!U11</f>
        <v>45</v>
      </c>
      <c r="O11">
        <f>'Student loans'!V11</f>
        <v>45</v>
      </c>
      <c r="P11" s="166">
        <f>'Student loans'!W11</f>
        <v>2.0815079999999999</v>
      </c>
      <c r="Q11" s="166">
        <f>'Student loans'!X11</f>
        <v>2.1006180000000003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6"/>
  <sheetViews>
    <sheetView zoomScale="124" zoomScaleNormal="124" workbookViewId="0">
      <selection activeCell="G16" sqref="G16"/>
    </sheetView>
  </sheetViews>
  <sheetFormatPr defaultColWidth="10.90625" defaultRowHeight="14.5" x14ac:dyDescent="0.35"/>
  <cols>
    <col min="1" max="1" width="32.81640625" customWidth="1"/>
    <col min="2" max="2" width="28.54296875" customWidth="1"/>
  </cols>
  <sheetData>
    <row r="1" spans="1:10" x14ac:dyDescent="0.35">
      <c r="A1" s="77" t="s">
        <v>178</v>
      </c>
      <c r="B1" s="77" t="s">
        <v>179</v>
      </c>
      <c r="C1" s="80" t="s">
        <v>190</v>
      </c>
      <c r="D1" s="80" t="s">
        <v>191</v>
      </c>
      <c r="E1" s="80" t="s">
        <v>175</v>
      </c>
      <c r="F1" s="80" t="s">
        <v>176</v>
      </c>
      <c r="G1" s="80" t="s">
        <v>177</v>
      </c>
      <c r="H1" s="80" t="s">
        <v>768</v>
      </c>
      <c r="I1" s="80" t="s">
        <v>769</v>
      </c>
      <c r="J1" s="80" t="s">
        <v>770</v>
      </c>
    </row>
    <row r="2" spans="1:10" x14ac:dyDescent="0.35">
      <c r="A2" s="79" t="s">
        <v>1714</v>
      </c>
      <c r="B2" t="s">
        <v>1732</v>
      </c>
      <c r="C2" s="72">
        <f>Deflators!Y23</f>
        <v>6.9500583978272523E-3</v>
      </c>
      <c r="D2" s="72">
        <f>Deflators!Z23</f>
        <v>6.132782549199689E-3</v>
      </c>
      <c r="E2" s="72">
        <f>Deflators!AA23</f>
        <v>6.263939117848949E-3</v>
      </c>
      <c r="F2" s="72">
        <f>Deflators!AB23</f>
        <v>6.011374998392105E-3</v>
      </c>
      <c r="G2" s="72">
        <f>Deflators!AC23</f>
        <v>5.7158459107606863E-3</v>
      </c>
      <c r="H2" s="170">
        <f>Deflators!AD23</f>
        <v>5.6021331079985082E-3</v>
      </c>
      <c r="I2" s="170">
        <f>Deflators!AE23</f>
        <v>5.5051295661012745E-3</v>
      </c>
      <c r="J2" s="170">
        <f>Deflators!AF23</f>
        <v>5.4813148370724818E-3</v>
      </c>
    </row>
    <row r="3" spans="1:10" x14ac:dyDescent="0.35">
      <c r="A3" s="47" t="s">
        <v>1728</v>
      </c>
      <c r="B3" t="s">
        <v>1733</v>
      </c>
      <c r="C3" s="72">
        <f>Deflators!Y24</f>
        <v>7.215874096539121E-3</v>
      </c>
      <c r="D3" s="72">
        <f>Deflators!Z24</f>
        <v>6.6582050868881915E-3</v>
      </c>
      <c r="E3" s="72">
        <f>Deflators!AA24</f>
        <v>6.898570281810068E-3</v>
      </c>
      <c r="F3" s="72">
        <f>Deflators!AB24</f>
        <v>6.6455960621367716E-3</v>
      </c>
      <c r="G3" s="72">
        <f>Deflators!AC24</f>
        <v>6.2848398732100463E-3</v>
      </c>
      <c r="H3" s="170">
        <f>Deflators!AD24</f>
        <v>6.1232008362259727E-3</v>
      </c>
      <c r="I3" s="170">
        <f>Deflators!AE24</f>
        <v>6.1131488702046433E-3</v>
      </c>
      <c r="J3" s="170">
        <f>Deflators!AF24</f>
        <v>6.0599186724319409E-3</v>
      </c>
    </row>
    <row r="4" spans="1:10" x14ac:dyDescent="0.35">
      <c r="A4" s="47" t="s">
        <v>1729</v>
      </c>
      <c r="B4" t="s">
        <v>1734</v>
      </c>
      <c r="C4" s="72">
        <f>Deflators!Y25</f>
        <v>8.2337423954825795E-3</v>
      </c>
      <c r="D4" s="72">
        <f>Deflators!Z25</f>
        <v>7.58917652918778E-3</v>
      </c>
      <c r="E4" s="72">
        <f>Deflators!AA25</f>
        <v>7.2839918058120734E-3</v>
      </c>
      <c r="F4" s="72">
        <f>Deflators!AB25</f>
        <v>7.123968633533817E-3</v>
      </c>
      <c r="G4" s="72">
        <f>Deflators!AC25</f>
        <v>7.2694683660272652E-3</v>
      </c>
      <c r="H4" s="170">
        <f>Deflators!AD25</f>
        <v>7.1407424296099364E-3</v>
      </c>
      <c r="I4" s="170">
        <f>Deflators!AE25</f>
        <v>7.0468203480871239E-3</v>
      </c>
      <c r="J4" s="170">
        <f>Deflators!AF25</f>
        <v>6.9731217228798936E-3</v>
      </c>
    </row>
    <row r="5" spans="1:10" x14ac:dyDescent="0.35">
      <c r="A5" s="47" t="s">
        <v>1730</v>
      </c>
      <c r="B5" t="s">
        <v>1735</v>
      </c>
      <c r="C5" s="72">
        <f>Deflators!Y26</f>
        <v>8.2337423954825795E-3</v>
      </c>
      <c r="D5" s="72">
        <f>Deflators!Z26</f>
        <v>7.58917652918778E-3</v>
      </c>
      <c r="E5" s="72">
        <f>Deflators!AA26</f>
        <v>7.2839918058120734E-3</v>
      </c>
      <c r="F5" s="72">
        <f>Deflators!AB26</f>
        <v>7.123968633533817E-3</v>
      </c>
      <c r="G5" s="72">
        <f>Deflators!AC26</f>
        <v>7.2694683660272652E-3</v>
      </c>
      <c r="H5" s="170">
        <f>Deflators!AD26</f>
        <v>7.1407424296099364E-3</v>
      </c>
      <c r="I5" s="170">
        <f>Deflators!AE26</f>
        <v>7.0468203480871239E-3</v>
      </c>
      <c r="J5" s="170">
        <f>Deflators!AF26</f>
        <v>6.9731217228798936E-3</v>
      </c>
    </row>
    <row r="6" spans="1:10" x14ac:dyDescent="0.35">
      <c r="A6" s="35" t="s">
        <v>1731</v>
      </c>
      <c r="B6" t="s">
        <v>1736</v>
      </c>
      <c r="C6" s="72">
        <f>Deflators!Y27</f>
        <v>8.2337423954825795E-3</v>
      </c>
      <c r="D6" s="72">
        <f>Deflators!Z27</f>
        <v>7.58917652918778E-3</v>
      </c>
      <c r="E6" s="72">
        <f>Deflators!AA27</f>
        <v>7.2839918058120734E-3</v>
      </c>
      <c r="F6" s="72">
        <f>Deflators!AB27</f>
        <v>7.123968633533817E-3</v>
      </c>
      <c r="G6" s="72">
        <f>Deflators!AC27</f>
        <v>7.2694683660272652E-3</v>
      </c>
      <c r="H6" s="170">
        <f>Deflators!AD27</f>
        <v>7.1407424296099364E-3</v>
      </c>
      <c r="I6" s="170">
        <f>Deflators!AE27</f>
        <v>7.0468203480871239E-3</v>
      </c>
      <c r="J6" s="170">
        <f>Deflators!AF27</f>
        <v>6.9731217228798936E-3</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S15"/>
  <sheetViews>
    <sheetView zoomScale="110" zoomScaleNormal="110" workbookViewId="0">
      <selection activeCell="P10" sqref="P10"/>
    </sheetView>
  </sheetViews>
  <sheetFormatPr defaultColWidth="10.90625" defaultRowHeight="14.5" x14ac:dyDescent="0.35"/>
  <cols>
    <col min="1" max="2" width="70.81640625" customWidth="1"/>
  </cols>
  <sheetData>
    <row r="1" spans="1:45" ht="15.65" customHeight="1" x14ac:dyDescent="0.35">
      <c r="A1" s="1291" t="s">
        <v>254</v>
      </c>
      <c r="B1" s="1291"/>
      <c r="C1" s="1291"/>
      <c r="D1" s="1291"/>
      <c r="E1" s="1291"/>
      <c r="F1" s="1291"/>
      <c r="G1" s="1291"/>
      <c r="H1" s="1291"/>
      <c r="I1" s="1291"/>
      <c r="J1" s="1291"/>
      <c r="K1" s="1291"/>
      <c r="L1" s="1291"/>
      <c r="M1" s="1291"/>
      <c r="N1" s="1291"/>
      <c r="O1" s="1291"/>
    </row>
    <row r="2" spans="1:45" ht="31.4" customHeight="1" x14ac:dyDescent="0.35">
      <c r="A2" s="171"/>
      <c r="B2" s="171" t="s">
        <v>179</v>
      </c>
      <c r="C2" s="177">
        <v>1</v>
      </c>
      <c r="D2" s="177">
        <f>C2+1</f>
        <v>2</v>
      </c>
      <c r="E2" s="177">
        <f t="shared" ref="E2:N2" si="0">D2+1</f>
        <v>3</v>
      </c>
      <c r="F2" s="177">
        <f t="shared" si="0"/>
        <v>4</v>
      </c>
      <c r="G2" s="177">
        <f t="shared" si="0"/>
        <v>5</v>
      </c>
      <c r="H2" s="177">
        <f t="shared" si="0"/>
        <v>6</v>
      </c>
      <c r="I2" s="177">
        <f t="shared" si="0"/>
        <v>7</v>
      </c>
      <c r="J2" s="177">
        <f t="shared" si="0"/>
        <v>8</v>
      </c>
      <c r="K2" s="177">
        <f t="shared" si="0"/>
        <v>9</v>
      </c>
      <c r="L2" s="177">
        <f t="shared" si="0"/>
        <v>10</v>
      </c>
      <c r="M2" s="177">
        <f t="shared" si="0"/>
        <v>11</v>
      </c>
      <c r="N2" s="177">
        <f t="shared" si="0"/>
        <v>12</v>
      </c>
      <c r="O2" s="175" t="s">
        <v>255</v>
      </c>
    </row>
    <row r="3" spans="1:45" ht="15.65" customHeight="1" x14ac:dyDescent="0.35">
      <c r="A3" s="172" t="s">
        <v>256</v>
      </c>
      <c r="B3" s="172" t="s">
        <v>257</v>
      </c>
      <c r="C3" s="72">
        <v>0.22500000000000001</v>
      </c>
      <c r="D3" s="72">
        <v>0.22500000000000001</v>
      </c>
      <c r="E3" s="72">
        <v>0.22500000000000001</v>
      </c>
      <c r="F3" s="72">
        <v>0.22500000000000001</v>
      </c>
      <c r="G3" s="178">
        <v>0</v>
      </c>
      <c r="H3" s="178">
        <v>0</v>
      </c>
      <c r="I3" s="178">
        <v>0</v>
      </c>
      <c r="J3" s="178">
        <v>0</v>
      </c>
      <c r="K3" s="178">
        <v>0</v>
      </c>
      <c r="L3" s="178">
        <v>0</v>
      </c>
      <c r="M3" s="178">
        <v>0</v>
      </c>
      <c r="N3" s="178">
        <v>0</v>
      </c>
      <c r="O3" s="176">
        <f>SUM(C3:N3)</f>
        <v>0.9</v>
      </c>
      <c r="P3" s="72"/>
      <c r="Q3" s="72"/>
      <c r="R3" s="72"/>
      <c r="S3" s="72"/>
      <c r="T3" s="178"/>
      <c r="U3" s="178"/>
      <c r="V3" s="178"/>
      <c r="W3" s="178"/>
      <c r="X3" s="178"/>
      <c r="Y3" s="178"/>
      <c r="Z3" s="178"/>
      <c r="AA3" s="178"/>
      <c r="AC3" s="76"/>
      <c r="AD3" s="76"/>
      <c r="AE3" s="76"/>
      <c r="AF3" s="76"/>
      <c r="AG3" s="76"/>
      <c r="AH3" s="76"/>
      <c r="AI3" s="76"/>
      <c r="AJ3" s="76"/>
      <c r="AK3" s="76"/>
      <c r="AL3" s="76"/>
      <c r="AM3" s="76"/>
      <c r="AN3" s="76"/>
      <c r="AO3" s="76"/>
      <c r="AP3" s="76"/>
      <c r="AQ3" s="76"/>
      <c r="AR3" s="76"/>
      <c r="AS3" s="76"/>
    </row>
    <row r="4" spans="1:45" ht="15.65" customHeight="1" x14ac:dyDescent="0.35">
      <c r="A4" s="174" t="s">
        <v>258</v>
      </c>
      <c r="B4" s="174" t="s">
        <v>259</v>
      </c>
      <c r="C4" s="72">
        <v>-3.3333333333333333E-2</v>
      </c>
      <c r="D4" s="72">
        <v>-3.3333333333333333E-2</v>
      </c>
      <c r="E4" s="72">
        <v>-3.3333333333333333E-2</v>
      </c>
      <c r="F4" s="72">
        <v>-3.3333333333333333E-2</v>
      </c>
      <c r="G4" s="72">
        <v>-3.3333333333333333E-2</v>
      </c>
      <c r="H4" s="72">
        <v>-3.3333333333333333E-2</v>
      </c>
      <c r="I4" s="72">
        <v>-3.3333333333333333E-2</v>
      </c>
      <c r="J4" s="72">
        <v>-3.3333333333333333E-2</v>
      </c>
      <c r="K4" s="72">
        <v>-3.3333333333333333E-2</v>
      </c>
      <c r="L4" s="72">
        <v>-3.3333333333333333E-2</v>
      </c>
      <c r="M4" s="72">
        <v>-3.3333333333333333E-2</v>
      </c>
      <c r="N4" s="72">
        <v>-3.3333333333333333E-2</v>
      </c>
      <c r="O4" s="176">
        <f>SUM(C4:N4)</f>
        <v>-0.39999999999999997</v>
      </c>
      <c r="P4" s="72"/>
      <c r="Q4" s="72"/>
      <c r="R4" s="72"/>
      <c r="S4" s="72"/>
      <c r="T4" s="72"/>
      <c r="U4" s="72"/>
      <c r="V4" s="72"/>
      <c r="W4" s="72"/>
      <c r="X4" s="72"/>
      <c r="Y4" s="72"/>
      <c r="Z4" s="72"/>
      <c r="AA4" s="72"/>
      <c r="AC4" s="76"/>
      <c r="AD4" s="76"/>
      <c r="AE4" s="76"/>
      <c r="AF4" s="76"/>
      <c r="AG4" s="76"/>
      <c r="AH4" s="76"/>
      <c r="AI4" s="76"/>
      <c r="AJ4" s="76"/>
      <c r="AK4" s="76"/>
      <c r="AL4" s="76"/>
      <c r="AM4" s="76"/>
      <c r="AN4" s="76"/>
    </row>
    <row r="5" spans="1:45" ht="15.65" customHeight="1" x14ac:dyDescent="0.35">
      <c r="A5" s="174" t="s">
        <v>260</v>
      </c>
      <c r="B5" s="174" t="s">
        <v>261</v>
      </c>
      <c r="C5" s="72">
        <v>-0.12</v>
      </c>
      <c r="D5" s="72">
        <v>-0.12</v>
      </c>
      <c r="E5" s="72">
        <v>-0.06</v>
      </c>
      <c r="F5" s="72">
        <v>-0.06</v>
      </c>
      <c r="G5" s="72">
        <v>-0.06</v>
      </c>
      <c r="H5" s="72">
        <v>-0.06</v>
      </c>
      <c r="I5" s="72">
        <v>-0.06</v>
      </c>
      <c r="J5" s="72">
        <v>-0.06</v>
      </c>
      <c r="K5" s="72">
        <v>0</v>
      </c>
      <c r="L5" s="72">
        <v>0</v>
      </c>
      <c r="M5" s="72">
        <v>0</v>
      </c>
      <c r="N5" s="72">
        <v>0</v>
      </c>
      <c r="O5" s="176">
        <f t="shared" ref="O5:O13" si="1">SUM(C5:N5)</f>
        <v>-0.60000000000000009</v>
      </c>
      <c r="P5" s="72"/>
      <c r="Q5" s="72"/>
      <c r="R5" s="72"/>
      <c r="S5" s="72"/>
      <c r="T5" s="72"/>
      <c r="U5" s="72"/>
      <c r="V5" s="72"/>
      <c r="W5" s="72"/>
      <c r="X5" s="72"/>
      <c r="Y5" s="72"/>
      <c r="Z5" s="72"/>
      <c r="AA5" s="72"/>
      <c r="AC5" s="76"/>
      <c r="AD5" s="76"/>
      <c r="AE5" s="76"/>
      <c r="AF5" s="76"/>
      <c r="AG5" s="76"/>
      <c r="AH5" s="76"/>
      <c r="AI5" s="76"/>
      <c r="AJ5" s="76"/>
      <c r="AK5" s="76"/>
      <c r="AL5" s="76"/>
      <c r="AM5" s="76"/>
      <c r="AN5" s="76"/>
    </row>
    <row r="6" spans="1:45" ht="15.65" customHeight="1" x14ac:dyDescent="0.35">
      <c r="A6" s="172" t="s">
        <v>262</v>
      </c>
      <c r="B6" s="172" t="s">
        <v>213</v>
      </c>
      <c r="C6" s="72">
        <v>0.24499999999999997</v>
      </c>
      <c r="D6" s="72">
        <v>0.105</v>
      </c>
      <c r="E6" s="72">
        <v>5.5999999999999994E-2</v>
      </c>
      <c r="F6" s="72">
        <v>5.5999999999999994E-2</v>
      </c>
      <c r="G6" s="72">
        <v>5.5999999999999994E-2</v>
      </c>
      <c r="H6" s="72">
        <v>5.5999999999999994E-2</v>
      </c>
      <c r="I6" s="72">
        <v>5.5999999999999994E-2</v>
      </c>
      <c r="J6" s="72">
        <v>5.5999999999999994E-2</v>
      </c>
      <c r="K6" s="72">
        <v>0</v>
      </c>
      <c r="L6" s="72">
        <v>0</v>
      </c>
      <c r="M6" s="72">
        <v>0</v>
      </c>
      <c r="N6" s="72">
        <v>0</v>
      </c>
      <c r="O6" s="176">
        <f t="shared" si="1"/>
        <v>0.68600000000000017</v>
      </c>
      <c r="P6" s="72"/>
      <c r="Q6" s="72"/>
      <c r="R6" s="72"/>
      <c r="S6" s="72"/>
      <c r="T6" s="72"/>
      <c r="U6" s="72"/>
      <c r="V6" s="72"/>
      <c r="W6" s="72"/>
      <c r="X6" s="72"/>
      <c r="Y6" s="72"/>
      <c r="Z6" s="72"/>
      <c r="AA6" s="72"/>
      <c r="AC6" s="76"/>
      <c r="AD6" s="76"/>
      <c r="AE6" s="76"/>
      <c r="AF6" s="76"/>
      <c r="AG6" s="76"/>
      <c r="AH6" s="76"/>
      <c r="AI6" s="76"/>
      <c r="AJ6" s="76"/>
      <c r="AK6" s="76"/>
      <c r="AL6" s="76"/>
      <c r="AM6" s="76"/>
      <c r="AN6" s="76"/>
    </row>
    <row r="7" spans="1:45" ht="15.65" customHeight="1" x14ac:dyDescent="0.35">
      <c r="A7" s="172" t="s">
        <v>263</v>
      </c>
      <c r="B7" s="172" t="s">
        <v>264</v>
      </c>
      <c r="C7" s="72">
        <v>0.315</v>
      </c>
      <c r="D7" s="72">
        <v>0.315</v>
      </c>
      <c r="E7" s="72">
        <v>9.0000000000000011E-2</v>
      </c>
      <c r="F7" s="72">
        <v>9.0000000000000011E-2</v>
      </c>
      <c r="G7" s="72">
        <v>4.5000000000000005E-2</v>
      </c>
      <c r="H7" s="72">
        <v>4.5000000000000005E-2</v>
      </c>
      <c r="I7" s="72">
        <v>0</v>
      </c>
      <c r="J7" s="72">
        <v>0</v>
      </c>
      <c r="K7" s="72">
        <v>0</v>
      </c>
      <c r="L7" s="72">
        <v>0</v>
      </c>
      <c r="M7" s="72">
        <v>0</v>
      </c>
      <c r="N7" s="72">
        <v>0</v>
      </c>
      <c r="O7" s="176">
        <f t="shared" si="1"/>
        <v>0.9</v>
      </c>
      <c r="P7" s="72"/>
      <c r="Q7" s="72"/>
      <c r="R7" s="72"/>
      <c r="S7" s="72"/>
      <c r="T7" s="72"/>
      <c r="U7" s="72"/>
      <c r="V7" s="72"/>
      <c r="W7" s="72"/>
      <c r="X7" s="72"/>
      <c r="Y7" s="72"/>
      <c r="Z7" s="72"/>
      <c r="AA7" s="72"/>
      <c r="AC7" s="76"/>
      <c r="AD7" s="76"/>
      <c r="AE7" s="76"/>
      <c r="AF7" s="76"/>
      <c r="AG7" s="76"/>
      <c r="AH7" s="76"/>
      <c r="AI7" s="76"/>
      <c r="AJ7" s="76"/>
      <c r="AK7" s="76"/>
      <c r="AL7" s="76"/>
      <c r="AM7" s="76"/>
      <c r="AN7" s="76"/>
    </row>
    <row r="8" spans="1:45" ht="15.65" customHeight="1" x14ac:dyDescent="0.35">
      <c r="A8" s="172" t="s">
        <v>265</v>
      </c>
      <c r="B8" s="172" t="s">
        <v>266</v>
      </c>
      <c r="C8" s="72">
        <v>0.22500000000000001</v>
      </c>
      <c r="D8" s="72">
        <v>0.22500000000000001</v>
      </c>
      <c r="E8" s="72">
        <v>0.22500000000000001</v>
      </c>
      <c r="F8" s="72">
        <v>0.22500000000000001</v>
      </c>
      <c r="G8" s="72">
        <v>0</v>
      </c>
      <c r="H8" s="72">
        <v>0</v>
      </c>
      <c r="I8" s="72">
        <v>0</v>
      </c>
      <c r="J8" s="72">
        <v>0</v>
      </c>
      <c r="K8" s="72">
        <v>0</v>
      </c>
      <c r="L8" s="72">
        <v>0</v>
      </c>
      <c r="M8" s="72">
        <v>0</v>
      </c>
      <c r="N8" s="72">
        <v>0</v>
      </c>
      <c r="O8" s="176">
        <f t="shared" si="1"/>
        <v>0.9</v>
      </c>
      <c r="P8" s="72"/>
      <c r="Q8" s="72"/>
      <c r="R8" s="72"/>
      <c r="S8" s="72"/>
      <c r="T8" s="72"/>
      <c r="U8" s="72"/>
      <c r="V8" s="72"/>
      <c r="W8" s="72"/>
      <c r="X8" s="72"/>
      <c r="Y8" s="72"/>
      <c r="Z8" s="72"/>
      <c r="AA8" s="72"/>
      <c r="AC8" s="76"/>
      <c r="AD8" s="76"/>
      <c r="AE8" s="76"/>
      <c r="AF8" s="76"/>
      <c r="AG8" s="76"/>
      <c r="AH8" s="76"/>
      <c r="AI8" s="76"/>
      <c r="AJ8" s="76"/>
      <c r="AK8" s="76"/>
      <c r="AL8" s="76"/>
      <c r="AM8" s="76"/>
      <c r="AN8" s="76"/>
    </row>
    <row r="9" spans="1:45" ht="15.65" customHeight="1" x14ac:dyDescent="0.35">
      <c r="A9" s="172" t="s">
        <v>267</v>
      </c>
      <c r="B9" s="172" t="s">
        <v>268</v>
      </c>
      <c r="C9" s="72">
        <v>4.9500000000000002E-2</v>
      </c>
      <c r="D9" s="72">
        <v>4.2750000000000003E-2</v>
      </c>
      <c r="E9" s="72">
        <v>4.0500000000000001E-2</v>
      </c>
      <c r="F9" s="72">
        <v>3.8250000000000006E-2</v>
      </c>
      <c r="G9" s="72">
        <v>3.6000000000000004E-2</v>
      </c>
      <c r="H9" s="72">
        <v>3.6000000000000004E-2</v>
      </c>
      <c r="I9" s="72">
        <v>3.6000000000000004E-2</v>
      </c>
      <c r="J9" s="72">
        <v>3.6000000000000004E-2</v>
      </c>
      <c r="K9" s="72">
        <v>3.3750000000000002E-2</v>
      </c>
      <c r="L9" s="72">
        <v>3.3750000000000002E-2</v>
      </c>
      <c r="M9" s="72">
        <v>3.3750000000000002E-2</v>
      </c>
      <c r="N9" s="72">
        <v>3.3750000000000002E-2</v>
      </c>
      <c r="O9" s="176">
        <f t="shared" si="1"/>
        <v>0.45000000000000007</v>
      </c>
      <c r="P9" s="72"/>
      <c r="Q9" s="72"/>
      <c r="R9" s="72"/>
      <c r="S9" s="72"/>
      <c r="T9" s="72"/>
      <c r="U9" s="72"/>
      <c r="V9" s="72"/>
      <c r="W9" s="72"/>
      <c r="X9" s="72"/>
      <c r="Y9" s="72"/>
      <c r="Z9" s="72"/>
      <c r="AA9" s="72"/>
      <c r="AC9" s="76"/>
      <c r="AD9" s="76"/>
      <c r="AE9" s="76"/>
      <c r="AF9" s="76"/>
      <c r="AG9" s="76"/>
      <c r="AH9" s="76"/>
      <c r="AI9" s="76"/>
      <c r="AJ9" s="76"/>
      <c r="AK9" s="76"/>
      <c r="AL9" s="76"/>
      <c r="AM9" s="76"/>
      <c r="AN9" s="76"/>
    </row>
    <row r="10" spans="1:45" ht="15.65" customHeight="1" x14ac:dyDescent="0.35">
      <c r="A10" s="172" t="s">
        <v>269</v>
      </c>
      <c r="B10" s="172" t="s">
        <v>215</v>
      </c>
      <c r="C10" s="72">
        <v>0.14000000000000001</v>
      </c>
      <c r="D10" s="72">
        <v>0.1</v>
      </c>
      <c r="E10" s="72">
        <v>0.1</v>
      </c>
      <c r="F10" s="72">
        <v>0.05</v>
      </c>
      <c r="G10" s="72">
        <v>0.05</v>
      </c>
      <c r="H10" s="72">
        <v>0.05</v>
      </c>
      <c r="I10" s="72">
        <v>0.05</v>
      </c>
      <c r="J10" s="72">
        <v>0.05</v>
      </c>
      <c r="K10" s="72">
        <v>0.05</v>
      </c>
      <c r="L10" s="72">
        <v>0.03</v>
      </c>
      <c r="M10" s="72">
        <v>0.03</v>
      </c>
      <c r="N10" s="72">
        <v>0.03</v>
      </c>
      <c r="O10" s="176">
        <f>SUM(C10:N10)</f>
        <v>0.7300000000000002</v>
      </c>
      <c r="P10" s="72"/>
      <c r="Q10" s="72"/>
      <c r="R10" s="72"/>
      <c r="S10" s="72"/>
      <c r="T10" s="72"/>
      <c r="U10" s="72"/>
      <c r="V10" s="72"/>
      <c r="W10" s="72"/>
      <c r="X10" s="72"/>
      <c r="Y10" s="72"/>
      <c r="Z10" s="72"/>
      <c r="AA10" s="72"/>
      <c r="AC10" s="76"/>
      <c r="AD10" s="76"/>
      <c r="AE10" s="76"/>
      <c r="AF10" s="76"/>
      <c r="AG10" s="76"/>
      <c r="AH10" s="76"/>
      <c r="AI10" s="76"/>
      <c r="AJ10" s="76"/>
      <c r="AK10" s="76"/>
      <c r="AL10" s="76"/>
      <c r="AM10" s="76"/>
      <c r="AN10" s="76"/>
    </row>
    <row r="11" spans="1:45" ht="15.65" customHeight="1" x14ac:dyDescent="0.35">
      <c r="A11" s="172" t="s">
        <v>270</v>
      </c>
      <c r="B11" s="172" t="s">
        <v>271</v>
      </c>
      <c r="C11" s="72">
        <v>0.2</v>
      </c>
      <c r="D11" s="72">
        <v>0.17</v>
      </c>
      <c r="E11" s="72">
        <v>0.16</v>
      </c>
      <c r="F11" s="72">
        <v>0.15</v>
      </c>
      <c r="G11" s="72">
        <v>0.09</v>
      </c>
      <c r="H11" s="72">
        <v>0.05</v>
      </c>
      <c r="I11" s="72">
        <v>0.05</v>
      </c>
      <c r="J11" s="72">
        <v>0.04</v>
      </c>
      <c r="K11" s="72">
        <v>0</v>
      </c>
      <c r="L11" s="72">
        <v>0</v>
      </c>
      <c r="M11" s="72">
        <v>0</v>
      </c>
      <c r="N11" s="72">
        <v>0</v>
      </c>
      <c r="O11" s="176">
        <f>SUM(C11:N11)</f>
        <v>0.91000000000000014</v>
      </c>
      <c r="P11" s="72"/>
      <c r="Q11" s="72"/>
      <c r="R11" s="72"/>
      <c r="S11" s="72"/>
      <c r="T11" s="72"/>
      <c r="U11" s="72"/>
      <c r="V11" s="72"/>
      <c r="W11" s="72"/>
      <c r="X11" s="72"/>
      <c r="Y11" s="72"/>
      <c r="Z11" s="72"/>
      <c r="AA11" s="72"/>
      <c r="AC11" s="76"/>
      <c r="AD11" s="76"/>
      <c r="AE11" s="76"/>
      <c r="AF11" s="76"/>
      <c r="AG11" s="76"/>
      <c r="AH11" s="76"/>
      <c r="AI11" s="76"/>
      <c r="AJ11" s="76"/>
      <c r="AK11" s="76"/>
      <c r="AL11" s="76"/>
      <c r="AM11" s="76"/>
      <c r="AN11" s="76"/>
    </row>
    <row r="12" spans="1:45" ht="47.15" customHeight="1" x14ac:dyDescent="0.35">
      <c r="A12" s="173" t="s">
        <v>272</v>
      </c>
      <c r="B12" s="173" t="s">
        <v>273</v>
      </c>
      <c r="C12" s="72">
        <v>0.2</v>
      </c>
      <c r="D12" s="72">
        <v>0.17</v>
      </c>
      <c r="E12" s="72">
        <v>0.16</v>
      </c>
      <c r="F12" s="72">
        <v>0.15</v>
      </c>
      <c r="G12" s="72">
        <v>0.09</v>
      </c>
      <c r="H12" s="72">
        <v>0.05</v>
      </c>
      <c r="I12" s="72">
        <v>0.05</v>
      </c>
      <c r="J12" s="72">
        <v>0.04</v>
      </c>
      <c r="K12" s="72">
        <v>0</v>
      </c>
      <c r="L12" s="72">
        <v>0</v>
      </c>
      <c r="M12" s="72">
        <v>0</v>
      </c>
      <c r="N12" s="72">
        <v>0</v>
      </c>
      <c r="O12" s="176">
        <f t="shared" si="1"/>
        <v>0.91000000000000014</v>
      </c>
      <c r="P12" s="72"/>
      <c r="Q12" s="72"/>
      <c r="R12" s="72"/>
      <c r="S12" s="72"/>
      <c r="T12" s="72"/>
      <c r="U12" s="72"/>
      <c r="V12" s="72"/>
      <c r="W12" s="72"/>
      <c r="X12" s="72"/>
      <c r="Y12" s="72"/>
      <c r="Z12" s="72"/>
      <c r="AA12" s="72"/>
      <c r="AC12" s="76"/>
      <c r="AD12" s="76"/>
      <c r="AE12" s="76"/>
      <c r="AF12" s="76"/>
      <c r="AG12" s="76"/>
      <c r="AH12" s="76"/>
      <c r="AI12" s="76"/>
      <c r="AJ12" s="76"/>
      <c r="AK12" s="76"/>
      <c r="AL12" s="76"/>
      <c r="AM12" s="76"/>
      <c r="AN12" s="76"/>
    </row>
    <row r="13" spans="1:45" ht="31.4" customHeight="1" x14ac:dyDescent="0.35">
      <c r="A13" s="173" t="s">
        <v>274</v>
      </c>
      <c r="B13" s="173" t="s">
        <v>275</v>
      </c>
      <c r="C13" s="72">
        <v>0.14000000000000001</v>
      </c>
      <c r="D13" s="72">
        <v>0.1</v>
      </c>
      <c r="E13" s="72">
        <v>0.1</v>
      </c>
      <c r="F13" s="72">
        <v>0.05</v>
      </c>
      <c r="G13" s="72">
        <v>0.05</v>
      </c>
      <c r="H13" s="72">
        <v>0.05</v>
      </c>
      <c r="I13" s="72">
        <v>0.05</v>
      </c>
      <c r="J13" s="72">
        <v>0.05</v>
      </c>
      <c r="K13" s="72">
        <v>0.05</v>
      </c>
      <c r="L13" s="72">
        <v>0</v>
      </c>
      <c r="M13" s="72">
        <v>0</v>
      </c>
      <c r="N13" s="72">
        <v>0</v>
      </c>
      <c r="O13" s="176">
        <f t="shared" si="1"/>
        <v>0.64000000000000012</v>
      </c>
      <c r="P13" s="72"/>
      <c r="Q13" s="72"/>
      <c r="R13" s="72"/>
      <c r="S13" s="72"/>
      <c r="T13" s="72"/>
      <c r="U13" s="72"/>
      <c r="V13" s="72"/>
      <c r="W13" s="72"/>
      <c r="X13" s="72"/>
      <c r="Y13" s="72"/>
      <c r="Z13" s="72"/>
      <c r="AA13" s="72"/>
      <c r="AC13" s="76"/>
      <c r="AD13" s="76"/>
      <c r="AE13" s="76"/>
      <c r="AF13" s="76"/>
      <c r="AG13" s="76"/>
      <c r="AH13" s="76"/>
      <c r="AI13" s="76"/>
      <c r="AJ13" s="76"/>
      <c r="AK13" s="76"/>
      <c r="AL13" s="76"/>
      <c r="AM13" s="76"/>
      <c r="AN13" s="76"/>
    </row>
    <row r="14" spans="1:45" ht="47.15" customHeight="1" x14ac:dyDescent="0.35">
      <c r="A14" s="173" t="s">
        <v>276</v>
      </c>
      <c r="B14" s="173" t="s">
        <v>277</v>
      </c>
      <c r="C14" s="72">
        <v>0.04</v>
      </c>
      <c r="D14" s="72">
        <v>0.04</v>
      </c>
      <c r="E14" s="72">
        <v>1.7000000000000001E-2</v>
      </c>
      <c r="F14" s="72">
        <v>1.7000000000000001E-2</v>
      </c>
      <c r="G14" s="72">
        <v>1.7000000000000001E-2</v>
      </c>
      <c r="H14" s="72">
        <v>1.7000000000000001E-2</v>
      </c>
      <c r="I14" s="72">
        <v>1.7000000000000001E-2</v>
      </c>
      <c r="J14" s="72">
        <v>1.7000000000000001E-2</v>
      </c>
      <c r="K14" s="72">
        <v>1.7000000000000001E-2</v>
      </c>
      <c r="L14" s="72">
        <v>1.7000000000000001E-2</v>
      </c>
      <c r="M14" s="72">
        <v>1.7000000000000001E-2</v>
      </c>
      <c r="N14" s="72">
        <v>1.7000000000000001E-2</v>
      </c>
      <c r="O14" s="176">
        <f>SUM(C14:N14)</f>
        <v>0.25000000000000011</v>
      </c>
      <c r="P14" s="72"/>
      <c r="Q14" s="72"/>
      <c r="R14" s="72"/>
      <c r="S14" s="72"/>
      <c r="T14" s="72"/>
      <c r="U14" s="72"/>
      <c r="V14" s="72"/>
      <c r="W14" s="72"/>
      <c r="X14" s="72"/>
      <c r="Y14" s="72"/>
      <c r="Z14" s="72"/>
      <c r="AA14" s="72"/>
      <c r="AC14" s="76"/>
      <c r="AD14" s="76"/>
      <c r="AE14" s="76"/>
      <c r="AF14" s="76"/>
      <c r="AG14" s="76"/>
      <c r="AH14" s="76"/>
      <c r="AI14" s="76"/>
      <c r="AJ14" s="76"/>
      <c r="AK14" s="76"/>
      <c r="AL14" s="76"/>
      <c r="AM14" s="76"/>
      <c r="AN14" s="76"/>
    </row>
    <row r="15" spans="1:45" ht="15.75" customHeight="1" x14ac:dyDescent="0.35">
      <c r="B15" s="173"/>
    </row>
  </sheetData>
  <mergeCells count="1">
    <mergeCell ref="A1:O1"/>
  </mergeCells>
  <pageMargins left="0.7" right="0.7" top="0.75" bottom="0.75" header="0.3" footer="0.3"/>
  <pageSetup paperSize="9" orientation="portrait" horizontalDpi="300" verticalDpi="300"/>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P101"/>
  <sheetViews>
    <sheetView topLeftCell="Q7" zoomScaleNormal="100" workbookViewId="0">
      <selection activeCell="V29" sqref="V29"/>
    </sheetView>
  </sheetViews>
  <sheetFormatPr defaultColWidth="10.9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6" width="9.453125" customWidth="1"/>
    <col min="37" max="40" width="8.453125" customWidth="1"/>
  </cols>
  <sheetData>
    <row r="1" spans="2:34" x14ac:dyDescent="0.35">
      <c r="B1" s="1292" t="s">
        <v>53</v>
      </c>
      <c r="C1" s="1292"/>
      <c r="D1" s="1292"/>
      <c r="E1" s="1292"/>
      <c r="F1" s="1292"/>
      <c r="G1" s="1292"/>
      <c r="H1" s="1292"/>
      <c r="I1" s="1292"/>
      <c r="J1" s="1292"/>
      <c r="K1" s="1292"/>
      <c r="L1" s="1292"/>
      <c r="M1" s="1292"/>
      <c r="N1" s="1292"/>
      <c r="O1" s="1292"/>
      <c r="P1" s="1292"/>
      <c r="Q1" s="1292"/>
      <c r="R1" s="1292"/>
      <c r="S1" s="1292"/>
      <c r="T1" s="1292"/>
      <c r="U1" s="1292"/>
      <c r="V1" s="1292"/>
      <c r="W1" s="1292"/>
      <c r="X1" s="1292"/>
      <c r="Y1" s="1292"/>
      <c r="Z1" s="1292"/>
      <c r="AA1" s="1292"/>
      <c r="AB1" s="1292"/>
      <c r="AC1" s="1292"/>
      <c r="AD1" s="179"/>
      <c r="AE1" s="179"/>
      <c r="AF1" s="179"/>
      <c r="AG1" s="179"/>
    </row>
    <row r="2" spans="2:34" ht="14.25" customHeight="1" x14ac:dyDescent="0.35">
      <c r="B2" s="1293" t="s">
        <v>278</v>
      </c>
      <c r="C2" s="1293"/>
      <c r="D2" s="1293"/>
      <c r="E2" s="1293"/>
      <c r="F2" s="1293"/>
      <c r="G2" s="1293"/>
      <c r="H2" s="1293"/>
      <c r="I2" s="1293"/>
      <c r="J2" s="1293"/>
      <c r="K2" s="1293"/>
      <c r="L2" s="1293"/>
      <c r="M2" s="1293"/>
      <c r="N2" s="1293"/>
      <c r="O2" s="1293"/>
      <c r="P2" s="1293"/>
      <c r="Q2" s="1293"/>
      <c r="R2" s="1293"/>
      <c r="S2" s="1293"/>
      <c r="T2" s="1293"/>
      <c r="U2" s="1293"/>
      <c r="V2" s="1293"/>
      <c r="W2" s="1293"/>
      <c r="X2" s="1293"/>
      <c r="Y2" s="1293"/>
      <c r="Z2" s="1293"/>
      <c r="AA2" s="1293"/>
      <c r="AB2" s="1293"/>
      <c r="AC2" s="1293"/>
      <c r="AD2" s="180"/>
      <c r="AE2" s="180"/>
      <c r="AF2" s="180"/>
      <c r="AG2" s="180"/>
    </row>
    <row r="3" spans="2:34" x14ac:dyDescent="0.35">
      <c r="B3" s="1293"/>
      <c r="C3" s="1293"/>
      <c r="D3" s="1293"/>
      <c r="E3" s="1293"/>
      <c r="F3" s="1293"/>
      <c r="G3" s="1293"/>
      <c r="H3" s="1293"/>
      <c r="I3" s="1293"/>
      <c r="J3" s="1293"/>
      <c r="K3" s="1293"/>
      <c r="L3" s="1293"/>
      <c r="M3" s="1293"/>
      <c r="N3" s="1293"/>
      <c r="O3" s="1293"/>
      <c r="P3" s="1293"/>
      <c r="Q3" s="1293"/>
      <c r="R3" s="1293"/>
      <c r="S3" s="1293"/>
      <c r="T3" s="1293"/>
      <c r="U3" s="1293"/>
      <c r="V3" s="1293"/>
      <c r="W3" s="1293"/>
      <c r="X3" s="1293"/>
      <c r="Y3" s="1293"/>
      <c r="Z3" s="1293"/>
      <c r="AA3" s="1293"/>
      <c r="AB3" s="1293"/>
      <c r="AC3" s="1293"/>
      <c r="AD3" s="180"/>
      <c r="AE3" s="180"/>
      <c r="AF3" s="180"/>
      <c r="AG3" s="180"/>
    </row>
    <row r="4" spans="2:34" x14ac:dyDescent="0.35">
      <c r="B4" s="1293"/>
      <c r="C4" s="1293"/>
      <c r="D4" s="1293"/>
      <c r="E4" s="1293"/>
      <c r="F4" s="1293"/>
      <c r="G4" s="1293"/>
      <c r="H4" s="1293"/>
      <c r="I4" s="1293"/>
      <c r="J4" s="1293"/>
      <c r="K4" s="1293"/>
      <c r="L4" s="1293"/>
      <c r="M4" s="1293"/>
      <c r="N4" s="1293"/>
      <c r="O4" s="1293"/>
      <c r="P4" s="1293"/>
      <c r="Q4" s="1293"/>
      <c r="R4" s="1293"/>
      <c r="S4" s="1293"/>
      <c r="T4" s="1293"/>
      <c r="U4" s="1293"/>
      <c r="V4" s="1293"/>
      <c r="W4" s="1293"/>
      <c r="X4" s="1293"/>
      <c r="Y4" s="1293"/>
      <c r="Z4" s="1293"/>
      <c r="AA4" s="1293"/>
      <c r="AB4" s="1293"/>
      <c r="AC4" s="1293"/>
      <c r="AD4" s="180"/>
      <c r="AE4" s="180"/>
      <c r="AF4" s="180"/>
      <c r="AG4" s="180"/>
    </row>
    <row r="5" spans="2:34" x14ac:dyDescent="0.35">
      <c r="B5" s="1293"/>
      <c r="C5" s="1293"/>
      <c r="D5" s="1293"/>
      <c r="E5" s="1293"/>
      <c r="F5" s="1293"/>
      <c r="G5" s="1293"/>
      <c r="H5" s="1293"/>
      <c r="I5" s="1293"/>
      <c r="J5" s="1293"/>
      <c r="K5" s="1293"/>
      <c r="L5" s="1293"/>
      <c r="M5" s="1293"/>
      <c r="N5" s="1293"/>
      <c r="O5" s="1293"/>
      <c r="P5" s="1293"/>
      <c r="Q5" s="1293"/>
      <c r="R5" s="1293"/>
      <c r="S5" s="1293"/>
      <c r="T5" s="1293"/>
      <c r="U5" s="1293"/>
      <c r="V5" s="1293"/>
      <c r="W5" s="1293"/>
      <c r="X5" s="1293"/>
      <c r="Y5" s="1293"/>
      <c r="Z5" s="1293"/>
      <c r="AA5" s="1293"/>
      <c r="AB5" s="1293"/>
      <c r="AC5" s="1293"/>
      <c r="AD5" s="180"/>
      <c r="AE5" s="180"/>
      <c r="AF5" s="180"/>
      <c r="AG5" s="180"/>
    </row>
    <row r="6" spans="2:34" ht="38.9" customHeight="1" x14ac:dyDescent="0.35">
      <c r="B6" s="1293"/>
      <c r="C6" s="1293"/>
      <c r="D6" s="1293"/>
      <c r="E6" s="1293"/>
      <c r="F6" s="1293"/>
      <c r="G6" s="1293"/>
      <c r="H6" s="1293"/>
      <c r="I6" s="1293"/>
      <c r="J6" s="1293"/>
      <c r="K6" s="1293"/>
      <c r="L6" s="1293"/>
      <c r="M6" s="1293"/>
      <c r="N6" s="1293"/>
      <c r="O6" s="1293"/>
      <c r="P6" s="1293"/>
      <c r="Q6" s="1293"/>
      <c r="R6" s="1293"/>
      <c r="S6" s="1293"/>
      <c r="T6" s="1293"/>
      <c r="U6" s="1293"/>
      <c r="V6" s="1293"/>
      <c r="W6" s="1293"/>
      <c r="X6" s="1293"/>
      <c r="Y6" s="1293"/>
      <c r="Z6" s="1293"/>
      <c r="AA6" s="1293"/>
      <c r="AB6" s="1293"/>
      <c r="AC6" s="1293"/>
      <c r="AD6" s="180"/>
      <c r="AE6" s="180"/>
      <c r="AF6" s="180"/>
      <c r="AG6" s="180"/>
    </row>
    <row r="7" spans="2:34" x14ac:dyDescent="0.35">
      <c r="B7" s="227"/>
      <c r="C7" s="227"/>
      <c r="D7" s="227"/>
      <c r="E7" s="227"/>
      <c r="F7" s="227"/>
      <c r="G7" s="227"/>
      <c r="H7" s="228"/>
      <c r="I7" s="228"/>
      <c r="J7" s="228"/>
      <c r="K7" s="228"/>
      <c r="L7" s="228"/>
      <c r="M7" s="228"/>
      <c r="N7" s="228"/>
      <c r="O7" s="228"/>
      <c r="P7" s="228"/>
      <c r="Q7" s="228"/>
      <c r="R7" s="228"/>
      <c r="S7" s="228"/>
      <c r="T7" s="228"/>
      <c r="U7" s="228"/>
      <c r="V7" s="228"/>
    </row>
    <row r="8" spans="2:34" ht="14.9" customHeight="1" x14ac:dyDescent="0.35">
      <c r="B8" s="1297" t="s">
        <v>279</v>
      </c>
      <c r="C8" s="1298"/>
      <c r="D8" s="1301" t="s">
        <v>280</v>
      </c>
      <c r="E8" s="1313"/>
      <c r="F8" s="1313"/>
      <c r="G8" s="1313"/>
      <c r="H8" s="1313"/>
      <c r="I8" s="1313"/>
      <c r="J8" s="1313"/>
      <c r="K8" s="1313"/>
      <c r="L8" s="1313"/>
      <c r="M8" s="1313"/>
      <c r="N8" s="1313"/>
      <c r="O8" s="1313"/>
      <c r="P8" s="1313"/>
      <c r="Q8" s="1313"/>
      <c r="R8" s="1313"/>
      <c r="S8" s="1313"/>
      <c r="T8" s="1313"/>
      <c r="U8" s="1314"/>
      <c r="V8" s="1300"/>
      <c r="W8" s="1309" t="s">
        <v>281</v>
      </c>
      <c r="X8" s="1310"/>
      <c r="Y8" s="1311"/>
      <c r="Z8" s="1311"/>
      <c r="AA8" s="1311"/>
      <c r="AB8" s="1311"/>
      <c r="AC8" s="1310"/>
      <c r="AD8" s="1312"/>
      <c r="AE8" s="200"/>
      <c r="AF8" s="200"/>
      <c r="AG8" s="200"/>
    </row>
    <row r="9" spans="2:34" ht="12.75" customHeight="1" x14ac:dyDescent="0.35">
      <c r="B9" s="1299"/>
      <c r="C9" s="1300"/>
      <c r="D9" s="148">
        <v>2018</v>
      </c>
      <c r="E9" s="1294">
        <v>2019</v>
      </c>
      <c r="F9" s="1295"/>
      <c r="G9" s="1295"/>
      <c r="H9" s="1296"/>
      <c r="I9" s="1294">
        <v>2020</v>
      </c>
      <c r="J9" s="1295"/>
      <c r="K9" s="1295"/>
      <c r="L9" s="1296"/>
      <c r="M9" s="1278">
        <v>2021</v>
      </c>
      <c r="N9" s="1306"/>
      <c r="O9" s="1306"/>
      <c r="P9" s="1307"/>
      <c r="Q9" s="1308">
        <v>2022</v>
      </c>
      <c r="R9" s="1308"/>
      <c r="S9" s="223"/>
      <c r="T9" s="251"/>
      <c r="U9" s="201"/>
      <c r="V9" s="251">
        <v>2023</v>
      </c>
      <c r="W9" s="253"/>
      <c r="X9" s="222"/>
      <c r="Y9" s="1303">
        <v>2024</v>
      </c>
      <c r="Z9" s="1304"/>
      <c r="AA9" s="1304"/>
      <c r="AB9" s="1305"/>
      <c r="AC9" s="1303">
        <v>2025</v>
      </c>
      <c r="AD9" s="1304"/>
      <c r="AE9" s="1304"/>
      <c r="AF9" s="1305"/>
      <c r="AG9" s="213">
        <v>2026</v>
      </c>
    </row>
    <row r="10" spans="2:34" ht="14.9" customHeight="1" x14ac:dyDescent="0.35">
      <c r="B10" s="1301"/>
      <c r="C10" s="1302"/>
      <c r="D10" s="148" t="s">
        <v>282</v>
      </c>
      <c r="E10" s="148" t="s">
        <v>283</v>
      </c>
      <c r="F10" s="144" t="s">
        <v>284</v>
      </c>
      <c r="G10" s="144" t="s">
        <v>238</v>
      </c>
      <c r="H10" s="145" t="s">
        <v>282</v>
      </c>
      <c r="I10" s="144" t="s">
        <v>283</v>
      </c>
      <c r="J10" s="144" t="s">
        <v>284</v>
      </c>
      <c r="K10" s="144" t="s">
        <v>238</v>
      </c>
      <c r="L10" s="144" t="s">
        <v>282</v>
      </c>
      <c r="M10" s="248" t="s">
        <v>283</v>
      </c>
      <c r="N10" s="249" t="s">
        <v>284</v>
      </c>
      <c r="O10" s="249" t="s">
        <v>238</v>
      </c>
      <c r="P10" s="247" t="s">
        <v>282</v>
      </c>
      <c r="Q10" s="144" t="s">
        <v>283</v>
      </c>
      <c r="R10" s="144" t="s">
        <v>284</v>
      </c>
      <c r="S10" s="144" t="s">
        <v>238</v>
      </c>
      <c r="T10" s="144" t="s">
        <v>282</v>
      </c>
      <c r="U10" s="248" t="s">
        <v>283</v>
      </c>
      <c r="V10" s="249" t="s">
        <v>284</v>
      </c>
      <c r="W10" s="232" t="s">
        <v>238</v>
      </c>
      <c r="X10" s="233" t="s">
        <v>282</v>
      </c>
      <c r="Y10" s="231" t="s">
        <v>283</v>
      </c>
      <c r="Z10" s="229" t="s">
        <v>284</v>
      </c>
      <c r="AA10" s="232" t="s">
        <v>238</v>
      </c>
      <c r="AB10" s="233" t="s">
        <v>282</v>
      </c>
      <c r="AC10" s="231" t="s">
        <v>283</v>
      </c>
      <c r="AD10" s="229" t="s">
        <v>284</v>
      </c>
      <c r="AE10" s="232" t="s">
        <v>238</v>
      </c>
      <c r="AF10" s="233" t="s">
        <v>282</v>
      </c>
      <c r="AG10" s="234" t="s">
        <v>283</v>
      </c>
    </row>
    <row r="11" spans="2:34" x14ac:dyDescent="0.35">
      <c r="B11" s="212" t="s">
        <v>102</v>
      </c>
      <c r="C11" s="235" t="s">
        <v>285</v>
      </c>
      <c r="D11" s="215">
        <f>'Haver Pivoted'!GO14</f>
        <v>27.1</v>
      </c>
      <c r="E11" s="250">
        <f>'Haver Pivoted'!GP14</f>
        <v>30.5</v>
      </c>
      <c r="F11" s="250">
        <f>'Haver Pivoted'!GQ14</f>
        <v>27.7</v>
      </c>
      <c r="G11" s="250">
        <f>'Haver Pivoted'!GR14</f>
        <v>25</v>
      </c>
      <c r="H11" s="250">
        <f>'Haver Pivoted'!GS14</f>
        <v>26.7</v>
      </c>
      <c r="I11" s="250">
        <f>'Haver Pivoted'!GT14</f>
        <v>40.9</v>
      </c>
      <c r="J11" s="250">
        <f>'Haver Pivoted'!GU14</f>
        <v>951.4</v>
      </c>
      <c r="K11" s="250">
        <f>'Haver Pivoted'!GV14</f>
        <v>802.3</v>
      </c>
      <c r="L11" s="250">
        <f>'Haver Pivoted'!GW14</f>
        <v>323.5</v>
      </c>
      <c r="M11" s="250">
        <f>'Haver Pivoted'!GX14</f>
        <v>583.5</v>
      </c>
      <c r="N11" s="250">
        <f>'Haver Pivoted'!GY14</f>
        <v>451.8</v>
      </c>
      <c r="O11" s="250">
        <f>'Haver Pivoted'!GZ14</f>
        <v>226.8</v>
      </c>
      <c r="P11" s="250">
        <f>'Haver Pivoted'!HA14</f>
        <v>33.9</v>
      </c>
      <c r="Q11" s="195">
        <f>'Haver Pivoted'!HB14</f>
        <v>26.2</v>
      </c>
      <c r="R11" s="195">
        <f>'Haver Pivoted'!HC14</f>
        <v>21.4</v>
      </c>
      <c r="S11" s="144">
        <f>'Haver Pivoted'!HD14</f>
        <v>19.600000000000001</v>
      </c>
      <c r="T11" s="144">
        <f>'Haver Pivoted'!HE14</f>
        <v>22.1</v>
      </c>
      <c r="U11" s="144">
        <f>'Haver Pivoted'!HF14</f>
        <v>22</v>
      </c>
      <c r="V11" s="144">
        <f>'Haver Pivoted'!HG14</f>
        <v>22.3</v>
      </c>
      <c r="W11" s="144">
        <f>'Haver Pivoted'!HH14</f>
        <v>21</v>
      </c>
      <c r="X11" s="144">
        <f>'Haver Pivoted'!HI14</f>
        <v>22.7</v>
      </c>
      <c r="Y11" s="240">
        <f t="shared" ref="Y11:AD11" si="0">Y12+Y13+Y20</f>
        <v>23.885714285714286</v>
      </c>
      <c r="Z11" s="240">
        <f t="shared" si="0"/>
        <v>25.771428571428572</v>
      </c>
      <c r="AA11" s="240">
        <f t="shared" si="0"/>
        <v>27.028571428571432</v>
      </c>
      <c r="AB11" s="252">
        <f t="shared" si="0"/>
        <v>28.285714285714292</v>
      </c>
      <c r="AC11" s="197">
        <f>AC12+AC13+AC20</f>
        <v>28.914285714285718</v>
      </c>
      <c r="AD11" s="197">
        <f t="shared" si="0"/>
        <v>29.542857142857152</v>
      </c>
      <c r="AE11" s="197"/>
      <c r="AF11" s="197"/>
      <c r="AG11" s="197"/>
      <c r="AH11" s="202" t="s">
        <v>286</v>
      </c>
    </row>
    <row r="12" spans="2:34" x14ac:dyDescent="0.35">
      <c r="B12" s="226" t="s">
        <v>287</v>
      </c>
      <c r="C12" s="216" t="s">
        <v>288</v>
      </c>
      <c r="D12" s="237">
        <f>'Haver Pivoted'!GO63</f>
        <v>0</v>
      </c>
      <c r="E12" s="195">
        <f>'Haver Pivoted'!GP63</f>
        <v>0</v>
      </c>
      <c r="F12" s="195">
        <f>'Haver Pivoted'!GQ63</f>
        <v>0</v>
      </c>
      <c r="G12" s="195">
        <f>'Haver Pivoted'!GR63</f>
        <v>0</v>
      </c>
      <c r="H12" s="195">
        <f>'Haver Pivoted'!GS63</f>
        <v>0</v>
      </c>
      <c r="I12" s="195">
        <f>'Haver Pivoted'!GT63</f>
        <v>0</v>
      </c>
      <c r="J12" s="195">
        <f>'Haver Pivoted'!GU63</f>
        <v>0.1</v>
      </c>
      <c r="K12" s="195">
        <f>'Haver Pivoted'!GV63</f>
        <v>3.7</v>
      </c>
      <c r="L12" s="195">
        <f>'Haver Pivoted'!GW63</f>
        <v>12.9</v>
      </c>
      <c r="M12" s="195">
        <f>'Haver Pivoted'!GX63</f>
        <v>25.5</v>
      </c>
      <c r="N12" s="195">
        <f>'Haver Pivoted'!GY63</f>
        <v>3.8</v>
      </c>
      <c r="O12" s="195">
        <f>'Haver Pivoted'!GZ63</f>
        <v>1.8</v>
      </c>
      <c r="P12" s="195">
        <f>'Haver Pivoted'!HA63</f>
        <v>0.6</v>
      </c>
      <c r="Q12" s="195">
        <f>'Haver Pivoted'!HB63</f>
        <v>0.2</v>
      </c>
      <c r="R12" s="195">
        <f>'Haver Pivoted'!HC63</f>
        <v>0.1</v>
      </c>
      <c r="S12" s="144">
        <f>'Haver Pivoted'!HD63</f>
        <v>0</v>
      </c>
      <c r="T12" s="144">
        <f>'Haver Pivoted'!HE63</f>
        <v>0</v>
      </c>
      <c r="U12" s="144">
        <f>'Haver Pivoted'!HF63</f>
        <v>0</v>
      </c>
      <c r="V12" s="144">
        <f>'Haver Pivoted'!HG63</f>
        <v>0</v>
      </c>
      <c r="W12" s="144">
        <f>'Haver Pivoted'!HH63</f>
        <v>0</v>
      </c>
      <c r="X12" s="144">
        <f>'Haver Pivoted'!HI63</f>
        <v>0</v>
      </c>
      <c r="Y12" s="197">
        <f t="shared" ref="Y12:AD12" si="1">X12*Y23/X23</f>
        <v>0</v>
      </c>
      <c r="Z12" s="197">
        <f t="shared" si="1"/>
        <v>0</v>
      </c>
      <c r="AA12" s="197">
        <f t="shared" si="1"/>
        <v>0</v>
      </c>
      <c r="AB12" s="197">
        <f t="shared" si="1"/>
        <v>0</v>
      </c>
      <c r="AC12" s="197">
        <f t="shared" si="1"/>
        <v>0</v>
      </c>
      <c r="AD12" s="197">
        <f t="shared" si="1"/>
        <v>0</v>
      </c>
      <c r="AE12" s="197"/>
      <c r="AF12" s="197"/>
      <c r="AG12" s="197"/>
    </row>
    <row r="13" spans="2:34" x14ac:dyDescent="0.35">
      <c r="B13" s="226" t="s">
        <v>289</v>
      </c>
      <c r="C13" s="216"/>
      <c r="D13" s="237"/>
      <c r="E13" s="195"/>
      <c r="F13" s="195"/>
      <c r="G13" s="195"/>
      <c r="H13" s="185">
        <f>SUM(H14:H17)</f>
        <v>0</v>
      </c>
      <c r="I13" s="185">
        <f t="shared" ref="I13:M13" si="2">SUM(I14:I17)</f>
        <v>0</v>
      </c>
      <c r="J13" s="185">
        <f t="shared" si="2"/>
        <v>779.7</v>
      </c>
      <c r="K13" s="185">
        <f t="shared" si="2"/>
        <v>582.6</v>
      </c>
      <c r="L13" s="185">
        <f t="shared" si="2"/>
        <v>216.5</v>
      </c>
      <c r="M13" s="185">
        <f t="shared" si="2"/>
        <v>497.6</v>
      </c>
      <c r="N13" s="191">
        <f>SUM(N14:N17)</f>
        <v>401.5</v>
      </c>
      <c r="O13" s="191">
        <f t="shared" ref="O13:AC13" si="3">SUM(O14:O17)</f>
        <v>207.4</v>
      </c>
      <c r="P13" s="191">
        <f t="shared" si="3"/>
        <v>5.5</v>
      </c>
      <c r="Q13" s="191">
        <v>0</v>
      </c>
      <c r="R13" s="191">
        <f t="shared" si="3"/>
        <v>1</v>
      </c>
      <c r="S13" s="191">
        <f t="shared" si="3"/>
        <v>0.5</v>
      </c>
      <c r="T13" s="191">
        <f t="shared" si="3"/>
        <v>0.30000000000000004</v>
      </c>
      <c r="U13" s="191">
        <f t="shared" si="3"/>
        <v>0</v>
      </c>
      <c r="V13" s="185">
        <f t="shared" si="3"/>
        <v>0</v>
      </c>
      <c r="W13" s="185">
        <f t="shared" si="3"/>
        <v>0</v>
      </c>
      <c r="X13" s="197">
        <f t="shared" si="3"/>
        <v>0</v>
      </c>
      <c r="Y13" s="197">
        <f t="shared" si="3"/>
        <v>0</v>
      </c>
      <c r="Z13" s="197">
        <f t="shared" si="3"/>
        <v>0</v>
      </c>
      <c r="AA13" s="197">
        <f t="shared" si="3"/>
        <v>0</v>
      </c>
      <c r="AB13" s="197">
        <f t="shared" si="3"/>
        <v>0</v>
      </c>
      <c r="AC13" s="197">
        <f t="shared" si="3"/>
        <v>0</v>
      </c>
      <c r="AD13" s="197">
        <f t="shared" ref="AD13" si="4">SUM(AD14:AD17)</f>
        <v>0</v>
      </c>
      <c r="AE13" s="197"/>
      <c r="AF13" s="197"/>
      <c r="AG13" s="197"/>
    </row>
    <row r="14" spans="2:34" ht="18" customHeight="1" x14ac:dyDescent="0.35">
      <c r="B14" s="208" t="s">
        <v>290</v>
      </c>
      <c r="C14" s="209" t="s">
        <v>288</v>
      </c>
      <c r="D14" s="236">
        <f>'Haver Pivoted'!GO63</f>
        <v>0</v>
      </c>
      <c r="E14" s="190">
        <f>'Haver Pivoted'!GP63</f>
        <v>0</v>
      </c>
      <c r="F14" s="190">
        <f>'Haver Pivoted'!GQ63</f>
        <v>0</v>
      </c>
      <c r="G14" s="190">
        <f>'Haver Pivoted'!GR63</f>
        <v>0</v>
      </c>
      <c r="H14" s="190">
        <f>'Haver Pivoted'!GS63</f>
        <v>0</v>
      </c>
      <c r="I14" s="190">
        <f>'Haver Pivoted'!GT63</f>
        <v>0</v>
      </c>
      <c r="J14" s="190">
        <f>'Haver Pivoted'!GU63</f>
        <v>0.1</v>
      </c>
      <c r="K14" s="190">
        <f>'Haver Pivoted'!GV63</f>
        <v>3.7</v>
      </c>
      <c r="L14" s="190">
        <f>'Haver Pivoted'!GW63</f>
        <v>12.9</v>
      </c>
      <c r="M14" s="190">
        <f>'Haver Pivoted'!GX63</f>
        <v>25.5</v>
      </c>
      <c r="N14" s="190">
        <f>'Haver Pivoted'!GY63</f>
        <v>3.8</v>
      </c>
      <c r="O14" s="190">
        <f>'Haver Pivoted'!GZ63</f>
        <v>1.8</v>
      </c>
      <c r="P14" s="190">
        <f>'Haver Pivoted'!HA63</f>
        <v>0.6</v>
      </c>
      <c r="Q14" s="190">
        <f>'Haver Pivoted'!HB63</f>
        <v>0.2</v>
      </c>
      <c r="R14" s="190">
        <f>'Haver Pivoted'!HC63</f>
        <v>0.1</v>
      </c>
      <c r="S14" s="196">
        <f>'Haver Pivoted'!HD63</f>
        <v>0</v>
      </c>
      <c r="T14" s="196">
        <f>'Haver Pivoted'!HE63</f>
        <v>0</v>
      </c>
      <c r="U14" s="196">
        <f>'Haver Pivoted'!HF63</f>
        <v>0</v>
      </c>
      <c r="V14" s="196">
        <f>'Haver Pivoted'!HG63</f>
        <v>0</v>
      </c>
      <c r="W14" s="196">
        <f>'Haver Pivoted'!HH63</f>
        <v>0</v>
      </c>
      <c r="X14" s="196">
        <f>'Haver Pivoted'!HI63</f>
        <v>0</v>
      </c>
      <c r="Y14" s="197">
        <f>Y12</f>
        <v>0</v>
      </c>
      <c r="Z14" s="197">
        <f t="shared" ref="Z14:AC14" si="5">Z12</f>
        <v>0</v>
      </c>
      <c r="AA14" s="197">
        <f t="shared" si="5"/>
        <v>0</v>
      </c>
      <c r="AB14" s="197">
        <f t="shared" si="5"/>
        <v>0</v>
      </c>
      <c r="AC14" s="197">
        <f t="shared" si="5"/>
        <v>0</v>
      </c>
      <c r="AD14" s="197">
        <f t="shared" ref="AD14" si="6">AD12</f>
        <v>0</v>
      </c>
      <c r="AE14" s="197"/>
      <c r="AF14" s="197"/>
      <c r="AG14" s="197"/>
    </row>
    <row r="15" spans="2:34" ht="18" customHeight="1" x14ac:dyDescent="0.35">
      <c r="B15" s="208" t="s">
        <v>291</v>
      </c>
      <c r="C15" s="209" t="s">
        <v>292</v>
      </c>
      <c r="D15" s="236">
        <f>'Haver Pivoted'!GO59</f>
        <v>0</v>
      </c>
      <c r="E15" s="190">
        <f>'Haver Pivoted'!GP59</f>
        <v>0</v>
      </c>
      <c r="F15" s="190">
        <f>'Haver Pivoted'!GQ59</f>
        <v>0</v>
      </c>
      <c r="G15" s="190">
        <f>'Haver Pivoted'!GR59</f>
        <v>0</v>
      </c>
      <c r="H15" s="190">
        <f>'Haver Pivoted'!GS59</f>
        <v>0</v>
      </c>
      <c r="I15" s="190">
        <f>'Haver Pivoted'!GT59</f>
        <v>0</v>
      </c>
      <c r="J15" s="190">
        <f>'Haver Pivoted'!GU59</f>
        <v>6.3</v>
      </c>
      <c r="K15" s="190">
        <f>'Haver Pivoted'!GV59</f>
        <v>26.7</v>
      </c>
      <c r="L15" s="190">
        <f>'Haver Pivoted'!GW59</f>
        <v>82.1</v>
      </c>
      <c r="M15" s="190">
        <f>'Haver Pivoted'!GX59</f>
        <v>94.7</v>
      </c>
      <c r="N15" s="190">
        <f>'Haver Pivoted'!GY59</f>
        <v>92.1</v>
      </c>
      <c r="O15" s="190">
        <f>'Haver Pivoted'!GZ59</f>
        <v>51.6</v>
      </c>
      <c r="P15" s="190">
        <f>'Haver Pivoted'!HA59</f>
        <v>2.8</v>
      </c>
      <c r="Q15" s="190">
        <f>'Haver Pivoted'!HB59</f>
        <v>0.8</v>
      </c>
      <c r="R15" s="190">
        <f>'Haver Pivoted'!HC59</f>
        <v>0.5</v>
      </c>
      <c r="S15" s="196">
        <f>'Haver Pivoted'!HD59</f>
        <v>0.3</v>
      </c>
      <c r="T15" s="196">
        <f>'Haver Pivoted'!HE59</f>
        <v>0.2</v>
      </c>
      <c r="U15" s="196">
        <f>'Haver Pivoted'!HF59</f>
        <v>0</v>
      </c>
      <c r="V15" s="196">
        <f>'Haver Pivoted'!HG59</f>
        <v>0</v>
      </c>
      <c r="W15" s="196">
        <f>'Haver Pivoted'!HH59</f>
        <v>0</v>
      </c>
      <c r="X15" s="196">
        <f>'Haver Pivoted'!HI59</f>
        <v>0</v>
      </c>
      <c r="Y15" s="197">
        <f t="shared" ref="Y15:AD17" si="7">X15*Y$23/X$23</f>
        <v>0</v>
      </c>
      <c r="Z15" s="197">
        <f t="shared" si="7"/>
        <v>0</v>
      </c>
      <c r="AA15" s="197">
        <f t="shared" si="7"/>
        <v>0</v>
      </c>
      <c r="AB15" s="197">
        <f t="shared" si="7"/>
        <v>0</v>
      </c>
      <c r="AC15" s="197">
        <f t="shared" si="7"/>
        <v>0</v>
      </c>
      <c r="AD15" s="197">
        <f t="shared" si="7"/>
        <v>0</v>
      </c>
      <c r="AE15" s="197"/>
      <c r="AF15" s="197"/>
      <c r="AG15" s="197"/>
    </row>
    <row r="16" spans="2:34" ht="18" customHeight="1" x14ac:dyDescent="0.35">
      <c r="B16" s="208" t="s">
        <v>293</v>
      </c>
      <c r="C16" s="209" t="s">
        <v>294</v>
      </c>
      <c r="D16" s="236">
        <f>'Haver Pivoted'!GO60</f>
        <v>0</v>
      </c>
      <c r="E16" s="190">
        <f>'Haver Pivoted'!GP60</f>
        <v>0</v>
      </c>
      <c r="F16" s="190">
        <f>'Haver Pivoted'!GQ60</f>
        <v>0</v>
      </c>
      <c r="G16" s="190">
        <f>'Haver Pivoted'!GR60</f>
        <v>0</v>
      </c>
      <c r="H16" s="190">
        <f>'Haver Pivoted'!GS60</f>
        <v>0</v>
      </c>
      <c r="I16" s="190">
        <f>'Haver Pivoted'!GT60</f>
        <v>0</v>
      </c>
      <c r="J16" s="190">
        <f>'Haver Pivoted'!GU60</f>
        <v>74.400000000000006</v>
      </c>
      <c r="K16" s="190">
        <f>'Haver Pivoted'!GV60</f>
        <v>138.30000000000001</v>
      </c>
      <c r="L16" s="190">
        <f>'Haver Pivoted'!GW60</f>
        <v>106.8</v>
      </c>
      <c r="M16" s="190">
        <f>'Haver Pivoted'!GX60</f>
        <v>89.2</v>
      </c>
      <c r="N16" s="190">
        <f>'Haver Pivoted'!GY60</f>
        <v>72.3</v>
      </c>
      <c r="O16" s="190">
        <f>'Haver Pivoted'!GZ60</f>
        <v>43.5</v>
      </c>
      <c r="P16" s="190">
        <f>'Haver Pivoted'!HA60</f>
        <v>2.1</v>
      </c>
      <c r="Q16" s="190">
        <f>'Haver Pivoted'!HB60</f>
        <v>0.8</v>
      </c>
      <c r="R16" s="190">
        <f>'Haver Pivoted'!HC60</f>
        <v>0.4</v>
      </c>
      <c r="S16" s="196">
        <f>'Haver Pivoted'!HD60</f>
        <v>0.2</v>
      </c>
      <c r="T16" s="196">
        <f>'Haver Pivoted'!HE60</f>
        <v>0.1</v>
      </c>
      <c r="U16" s="196">
        <f>'Haver Pivoted'!HF60</f>
        <v>0</v>
      </c>
      <c r="V16" s="196">
        <f>'Haver Pivoted'!HG60</f>
        <v>0</v>
      </c>
      <c r="W16" s="196">
        <f>'Haver Pivoted'!HH60</f>
        <v>0</v>
      </c>
      <c r="X16" s="196">
        <f>'Haver Pivoted'!HI60</f>
        <v>0</v>
      </c>
      <c r="Y16" s="197">
        <f t="shared" si="7"/>
        <v>0</v>
      </c>
      <c r="Z16" s="197">
        <f t="shared" si="7"/>
        <v>0</v>
      </c>
      <c r="AA16" s="197">
        <f t="shared" si="7"/>
        <v>0</v>
      </c>
      <c r="AB16" s="197">
        <f t="shared" si="7"/>
        <v>0</v>
      </c>
      <c r="AC16" s="197">
        <f t="shared" si="7"/>
        <v>0</v>
      </c>
      <c r="AD16" s="197">
        <f t="shared" si="7"/>
        <v>0</v>
      </c>
      <c r="AE16" s="197"/>
      <c r="AF16" s="197"/>
      <c r="AG16" s="197"/>
    </row>
    <row r="17" spans="2:36" ht="18" customHeight="1" x14ac:dyDescent="0.35">
      <c r="B17" s="208" t="s">
        <v>295</v>
      </c>
      <c r="C17" s="209" t="s">
        <v>296</v>
      </c>
      <c r="D17" s="236">
        <f>'Haver Pivoted'!GO61</f>
        <v>0</v>
      </c>
      <c r="E17" s="190">
        <f>'Haver Pivoted'!GP61</f>
        <v>0</v>
      </c>
      <c r="F17" s="190">
        <f>'Haver Pivoted'!GQ61</f>
        <v>0</v>
      </c>
      <c r="G17" s="190">
        <f>'Haver Pivoted'!GR61</f>
        <v>0</v>
      </c>
      <c r="H17" s="190">
        <f>'Haver Pivoted'!GS61</f>
        <v>0</v>
      </c>
      <c r="I17" s="190">
        <f>'Haver Pivoted'!GT61</f>
        <v>0</v>
      </c>
      <c r="J17" s="190">
        <f>'Haver Pivoted'!GU61</f>
        <v>698.9</v>
      </c>
      <c r="K17" s="190">
        <f>'Haver Pivoted'!GV61</f>
        <v>413.9</v>
      </c>
      <c r="L17" s="190">
        <f>'Haver Pivoted'!GW61</f>
        <v>14.7</v>
      </c>
      <c r="M17" s="190">
        <f>'Haver Pivoted'!GX61</f>
        <v>288.2</v>
      </c>
      <c r="N17" s="190">
        <f>'Haver Pivoted'!GY61</f>
        <v>233.3</v>
      </c>
      <c r="O17" s="190">
        <f>'Haver Pivoted'!GZ61</f>
        <v>110.5</v>
      </c>
      <c r="P17" s="190">
        <f>'Haver Pivoted'!HA61</f>
        <v>0</v>
      </c>
      <c r="Q17" s="190">
        <f>'Haver Pivoted'!HB61</f>
        <v>0</v>
      </c>
      <c r="R17" s="190">
        <f>'Haver Pivoted'!HC61</f>
        <v>0</v>
      </c>
      <c r="S17" s="196">
        <f>'Haver Pivoted'!HD61</f>
        <v>0</v>
      </c>
      <c r="T17" s="196">
        <f>'Haver Pivoted'!HE61</f>
        <v>0</v>
      </c>
      <c r="U17" s="196">
        <f>'Haver Pivoted'!HF61</f>
        <v>0</v>
      </c>
      <c r="V17" s="196">
        <f>'Haver Pivoted'!HG61</f>
        <v>0</v>
      </c>
      <c r="W17" s="196">
        <f>'Haver Pivoted'!HH61</f>
        <v>0</v>
      </c>
      <c r="X17" s="196">
        <f>'Haver Pivoted'!HI61</f>
        <v>0</v>
      </c>
      <c r="Y17" s="197">
        <f t="shared" si="7"/>
        <v>0</v>
      </c>
      <c r="Z17" s="197">
        <f t="shared" si="7"/>
        <v>0</v>
      </c>
      <c r="AA17" s="197">
        <f t="shared" si="7"/>
        <v>0</v>
      </c>
      <c r="AB17" s="197">
        <f t="shared" si="7"/>
        <v>0</v>
      </c>
      <c r="AC17" s="197">
        <f t="shared" si="7"/>
        <v>0</v>
      </c>
      <c r="AD17" s="197">
        <f t="shared" si="7"/>
        <v>0</v>
      </c>
      <c r="AE17" s="197"/>
      <c r="AF17" s="197"/>
      <c r="AG17" s="197"/>
    </row>
    <row r="18" spans="2:36" x14ac:dyDescent="0.35">
      <c r="B18" s="210" t="s">
        <v>158</v>
      </c>
      <c r="C18" s="202" t="s">
        <v>297</v>
      </c>
      <c r="D18" s="237">
        <f>'Haver Pivoted'!GO64</f>
        <v>0</v>
      </c>
      <c r="E18" s="195">
        <f>'Haver Pivoted'!GP64</f>
        <v>0</v>
      </c>
      <c r="F18" s="195">
        <f>'Haver Pivoted'!GQ64</f>
        <v>0</v>
      </c>
      <c r="G18" s="195">
        <f>'Haver Pivoted'!GR64</f>
        <v>0</v>
      </c>
      <c r="H18" s="195">
        <f>'Haver Pivoted'!GS64</f>
        <v>0</v>
      </c>
      <c r="I18" s="195">
        <f>'Haver Pivoted'!GT64</f>
        <v>0</v>
      </c>
      <c r="J18" s="195">
        <f>'Haver Pivoted'!GU64</f>
        <v>0</v>
      </c>
      <c r="K18" s="195">
        <f>'Haver Pivoted'!GV64</f>
        <v>106.2</v>
      </c>
      <c r="L18" s="195">
        <f>'Haver Pivoted'!GW64</f>
        <v>35.9</v>
      </c>
      <c r="M18" s="195">
        <f>'Haver Pivoted'!GX64</f>
        <v>1.6</v>
      </c>
      <c r="N18" s="195">
        <f>'Haver Pivoted'!GY64</f>
        <v>0.6</v>
      </c>
      <c r="O18" s="195">
        <f>'Haver Pivoted'!GZ64</f>
        <v>0.1</v>
      </c>
      <c r="P18" s="195">
        <f>'Haver Pivoted'!HA64</f>
        <v>0</v>
      </c>
      <c r="Q18" s="190">
        <f>'Haver Pivoted'!HB64</f>
        <v>0</v>
      </c>
      <c r="R18" s="190">
        <f>'Haver Pivoted'!HC64</f>
        <v>0</v>
      </c>
      <c r="S18" s="196">
        <f>'Haver Pivoted'!HD64</f>
        <v>0</v>
      </c>
      <c r="T18" s="196">
        <f>'Haver Pivoted'!HE64</f>
        <v>0</v>
      </c>
      <c r="U18" s="196">
        <f>'Haver Pivoted'!HF64</f>
        <v>0</v>
      </c>
      <c r="V18" s="196">
        <f>'Haver Pivoted'!HG64</f>
        <v>0</v>
      </c>
      <c r="W18" s="196">
        <f>'Haver Pivoted'!HH64</f>
        <v>0</v>
      </c>
      <c r="X18" s="196">
        <f>'Haver Pivoted'!HI64</f>
        <v>0</v>
      </c>
      <c r="Y18" s="197"/>
      <c r="Z18" s="197"/>
      <c r="AA18" s="197"/>
      <c r="AB18" s="197"/>
      <c r="AC18" s="197"/>
      <c r="AD18" s="197"/>
      <c r="AE18" s="197"/>
      <c r="AF18" s="197"/>
      <c r="AG18" s="197"/>
    </row>
    <row r="19" spans="2:36" ht="14.9" customHeight="1" x14ac:dyDescent="0.35">
      <c r="B19" s="230" t="s">
        <v>298</v>
      </c>
      <c r="C19" s="217"/>
      <c r="D19" s="224">
        <f t="shared" ref="D19:N19" si="8">D11-D20</f>
        <v>0</v>
      </c>
      <c r="E19" s="188">
        <f t="shared" si="8"/>
        <v>0</v>
      </c>
      <c r="F19" s="188">
        <f t="shared" si="8"/>
        <v>0</v>
      </c>
      <c r="G19" s="188">
        <f t="shared" si="8"/>
        <v>0</v>
      </c>
      <c r="H19" s="188">
        <f t="shared" si="8"/>
        <v>0</v>
      </c>
      <c r="I19" s="188">
        <f t="shared" si="8"/>
        <v>0</v>
      </c>
      <c r="J19" s="188">
        <f t="shared" si="8"/>
        <v>779.80000000000007</v>
      </c>
      <c r="K19" s="188">
        <f t="shared" si="8"/>
        <v>586.29999999999995</v>
      </c>
      <c r="L19" s="188">
        <f t="shared" si="8"/>
        <v>229.4</v>
      </c>
      <c r="M19" s="188">
        <f t="shared" si="8"/>
        <v>523.1</v>
      </c>
      <c r="N19" s="189">
        <f t="shared" si="8"/>
        <v>405.3</v>
      </c>
      <c r="O19" s="189">
        <f>O11-O20</f>
        <v>209.20000000000002</v>
      </c>
      <c r="P19" s="189">
        <f t="shared" ref="P19" si="9">P11-P20</f>
        <v>6.1000000000000014</v>
      </c>
      <c r="Q19" s="189">
        <f>Q11-Q20</f>
        <v>0.19999999999999929</v>
      </c>
      <c r="R19" s="189">
        <f>R11-R20</f>
        <v>1.1000000000000014</v>
      </c>
      <c r="S19" s="189">
        <f>S11-S20</f>
        <v>0.5</v>
      </c>
      <c r="T19" s="189">
        <f>T11-T20</f>
        <v>0.30000000000000071</v>
      </c>
      <c r="U19" s="189">
        <f>U11-U20</f>
        <v>0</v>
      </c>
      <c r="V19" s="188">
        <v>0</v>
      </c>
      <c r="W19" s="188">
        <v>0</v>
      </c>
      <c r="X19" s="198">
        <f>X11-X20</f>
        <v>7.1428571428569398E-2</v>
      </c>
      <c r="Y19" s="198">
        <f t="shared" ref="Y19:AC19" si="10">Y11-Y20</f>
        <v>0</v>
      </c>
      <c r="Z19" s="198">
        <f t="shared" si="10"/>
        <v>0</v>
      </c>
      <c r="AA19" s="198">
        <f t="shared" si="10"/>
        <v>0</v>
      </c>
      <c r="AB19" s="198">
        <f t="shared" si="10"/>
        <v>0</v>
      </c>
      <c r="AC19" s="198">
        <f t="shared" si="10"/>
        <v>0</v>
      </c>
      <c r="AD19" s="198">
        <f t="shared" ref="AD19" si="11">AD11-AD20</f>
        <v>0</v>
      </c>
      <c r="AE19" s="198"/>
      <c r="AF19" s="198"/>
      <c r="AG19" s="198"/>
    </row>
    <row r="20" spans="2:36" ht="14.9" customHeight="1" x14ac:dyDescent="0.35">
      <c r="B20" s="230" t="s">
        <v>299</v>
      </c>
      <c r="C20" s="217"/>
      <c r="D20" s="224">
        <f t="shared" ref="D20:H20" si="12">D11</f>
        <v>27.1</v>
      </c>
      <c r="E20" s="188">
        <f t="shared" si="12"/>
        <v>30.5</v>
      </c>
      <c r="F20" s="188">
        <f t="shared" si="12"/>
        <v>27.7</v>
      </c>
      <c r="G20" s="188">
        <f t="shared" si="12"/>
        <v>25</v>
      </c>
      <c r="H20" s="188">
        <f t="shared" si="12"/>
        <v>26.7</v>
      </c>
      <c r="I20" s="188">
        <f>I11</f>
        <v>40.9</v>
      </c>
      <c r="J20" s="188">
        <f>J11-J13-J12</f>
        <v>171.59999999999994</v>
      </c>
      <c r="K20" s="188">
        <f>K11-K13-K12</f>
        <v>215.99999999999994</v>
      </c>
      <c r="L20" s="188">
        <f>L11-L13-L12</f>
        <v>94.1</v>
      </c>
      <c r="M20" s="188">
        <f>M11-M13-M12</f>
        <v>60.399999999999977</v>
      </c>
      <c r="N20" s="189">
        <f t="shared" ref="N20:U20" si="13">N11-N12-N13</f>
        <v>46.5</v>
      </c>
      <c r="O20" s="189">
        <f t="shared" si="13"/>
        <v>17.599999999999994</v>
      </c>
      <c r="P20" s="189">
        <f t="shared" si="13"/>
        <v>27.799999999999997</v>
      </c>
      <c r="Q20" s="190">
        <f t="shared" si="13"/>
        <v>26</v>
      </c>
      <c r="R20" s="190">
        <f t="shared" si="13"/>
        <v>20.299999999999997</v>
      </c>
      <c r="S20" s="190">
        <f t="shared" si="13"/>
        <v>19.100000000000001</v>
      </c>
      <c r="T20" s="190">
        <f t="shared" si="13"/>
        <v>21.8</v>
      </c>
      <c r="U20" s="190">
        <f t="shared" si="13"/>
        <v>22</v>
      </c>
      <c r="V20" s="188">
        <f>U20*V23/U23</f>
        <v>22.62857142857143</v>
      </c>
      <c r="W20" s="188">
        <f>V20*W23/V23</f>
        <v>22.62857142857143</v>
      </c>
      <c r="X20" s="198">
        <f t="shared" ref="X20:AC20" si="14">W20*X23/W23</f>
        <v>22.62857142857143</v>
      </c>
      <c r="Y20" s="198">
        <f t="shared" si="14"/>
        <v>23.885714285714286</v>
      </c>
      <c r="Z20" s="198">
        <f t="shared" si="14"/>
        <v>25.771428571428572</v>
      </c>
      <c r="AA20" s="198">
        <f t="shared" si="14"/>
        <v>27.028571428571432</v>
      </c>
      <c r="AB20" s="198">
        <f t="shared" si="14"/>
        <v>28.285714285714292</v>
      </c>
      <c r="AC20" s="198">
        <f t="shared" si="14"/>
        <v>28.914285714285718</v>
      </c>
      <c r="AD20" s="198">
        <f>AC20*AD23/AC23</f>
        <v>29.542857142857152</v>
      </c>
      <c r="AE20" s="198">
        <f t="shared" ref="AE20:AF20" si="15">AD20*AE23/AD23</f>
        <v>28.914285714285718</v>
      </c>
      <c r="AF20" s="198">
        <f t="shared" si="15"/>
        <v>28.285714285714292</v>
      </c>
      <c r="AG20" s="193"/>
      <c r="AH20" s="225" t="s">
        <v>300</v>
      </c>
    </row>
    <row r="21" spans="2:36" x14ac:dyDescent="0.35">
      <c r="B21" s="210"/>
      <c r="C21" s="211"/>
      <c r="D21" s="236"/>
      <c r="E21" s="190"/>
      <c r="F21" s="190"/>
      <c r="G21" s="190"/>
      <c r="H21" s="185"/>
      <c r="I21" s="185"/>
      <c r="J21" s="185"/>
      <c r="K21" s="185"/>
      <c r="L21" s="185"/>
      <c r="M21" s="185"/>
      <c r="N21" s="185"/>
      <c r="O21" s="185"/>
      <c r="P21" s="185"/>
      <c r="Q21" s="185"/>
      <c r="R21" s="185"/>
      <c r="S21" s="185"/>
      <c r="T21" s="214"/>
      <c r="U21" s="185"/>
      <c r="V21" s="185"/>
      <c r="W21" s="197"/>
      <c r="X21" s="197"/>
      <c r="Y21" s="197"/>
      <c r="Z21" s="197"/>
      <c r="AA21" s="197"/>
      <c r="AB21" s="197"/>
      <c r="AC21" s="197"/>
      <c r="AD21" s="197"/>
      <c r="AE21" s="197"/>
      <c r="AF21" s="197"/>
      <c r="AG21" s="192"/>
    </row>
    <row r="22" spans="2:36" x14ac:dyDescent="0.35">
      <c r="B22" s="246" t="s">
        <v>1908</v>
      </c>
      <c r="C22" s="211"/>
      <c r="D22" s="190"/>
      <c r="E22" s="190"/>
      <c r="F22" s="190"/>
      <c r="G22" s="190"/>
      <c r="H22" s="185"/>
      <c r="I22" s="185"/>
      <c r="J22" s="185"/>
      <c r="K22" s="185"/>
      <c r="L22" s="185"/>
      <c r="M22" s="185"/>
      <c r="N22" s="185"/>
      <c r="O22" s="185"/>
      <c r="P22" s="185"/>
      <c r="Q22" s="185"/>
      <c r="R22" s="185"/>
      <c r="S22" s="185"/>
      <c r="T22" s="214"/>
      <c r="U22" s="186"/>
      <c r="V22" s="186">
        <v>3.6</v>
      </c>
      <c r="W22" s="199">
        <v>3.8</v>
      </c>
      <c r="X22" s="199">
        <v>4.0999999999999996</v>
      </c>
      <c r="Y22" s="199">
        <v>4.3</v>
      </c>
      <c r="Z22" s="199">
        <v>4.5</v>
      </c>
      <c r="AA22" s="199">
        <v>4.5999999999999996</v>
      </c>
      <c r="AB22" s="199">
        <v>4.7</v>
      </c>
      <c r="AC22" s="199">
        <v>4.7</v>
      </c>
      <c r="AD22" s="199">
        <v>4.5999999999999996</v>
      </c>
      <c r="AE22" s="199">
        <v>4.5999999999999996</v>
      </c>
      <c r="AF22" s="199">
        <v>4.5</v>
      </c>
      <c r="AG22" s="194"/>
    </row>
    <row r="23" spans="2:36" x14ac:dyDescent="0.35">
      <c r="B23" s="210" t="s">
        <v>1889</v>
      </c>
      <c r="C23" s="202"/>
      <c r="D23" s="237"/>
      <c r="E23" s="195"/>
      <c r="F23" s="195"/>
      <c r="G23" s="195"/>
      <c r="H23" s="185"/>
      <c r="I23" s="185"/>
      <c r="J23" s="185"/>
      <c r="K23" s="185"/>
      <c r="L23" s="185"/>
      <c r="M23" s="185">
        <f t="shared" ref="M23:U23" si="16">GETPIVOTDATA("Monthly UR",$E$29,"Quarters",M24,"Years",M25)</f>
        <v>6.166666666666667</v>
      </c>
      <c r="N23" s="185">
        <f t="shared" si="16"/>
        <v>5.7666666666666657</v>
      </c>
      <c r="O23" s="185">
        <f t="shared" si="16"/>
        <v>5.1333333333333337</v>
      </c>
      <c r="P23" s="185">
        <f t="shared" si="16"/>
        <v>4.2333333333333334</v>
      </c>
      <c r="Q23" s="185">
        <f t="shared" si="16"/>
        <v>3.8000000000000003</v>
      </c>
      <c r="R23" s="185">
        <f t="shared" si="16"/>
        <v>3.6</v>
      </c>
      <c r="S23" s="185">
        <f t="shared" si="16"/>
        <v>3.5666666666666664</v>
      </c>
      <c r="T23" s="185">
        <f t="shared" si="16"/>
        <v>3.6</v>
      </c>
      <c r="U23" s="187">
        <f t="shared" si="16"/>
        <v>3.5</v>
      </c>
      <c r="V23" s="203">
        <v>3.6</v>
      </c>
      <c r="W23" s="203">
        <v>3.6</v>
      </c>
      <c r="X23" s="203">
        <f>V22</f>
        <v>3.6</v>
      </c>
      <c r="Y23" s="203">
        <f t="shared" ref="Y23:AC23" si="17">W22</f>
        <v>3.8</v>
      </c>
      <c r="Z23" s="203">
        <f t="shared" si="17"/>
        <v>4.0999999999999996</v>
      </c>
      <c r="AA23" s="203">
        <f t="shared" si="17"/>
        <v>4.3</v>
      </c>
      <c r="AB23" s="203">
        <f t="shared" si="17"/>
        <v>4.5</v>
      </c>
      <c r="AC23" s="203">
        <f t="shared" si="17"/>
        <v>4.5999999999999996</v>
      </c>
      <c r="AD23" s="203">
        <f>AB22</f>
        <v>4.7</v>
      </c>
      <c r="AE23" s="203">
        <f>AE22</f>
        <v>4.5999999999999996</v>
      </c>
      <c r="AF23" s="203">
        <f>AF22</f>
        <v>4.5</v>
      </c>
      <c r="AG23" s="194"/>
      <c r="AH23" s="186" t="s">
        <v>301</v>
      </c>
    </row>
    <row r="24" spans="2:36" ht="15.75" customHeight="1" x14ac:dyDescent="0.35">
      <c r="B24" s="204" t="s">
        <v>1881</v>
      </c>
      <c r="C24" s="205"/>
      <c r="D24" s="206"/>
      <c r="E24" s="206"/>
      <c r="F24" s="206"/>
      <c r="G24" s="206"/>
      <c r="H24" s="206"/>
      <c r="I24" s="206"/>
      <c r="J24" s="206"/>
      <c r="K24" s="206"/>
      <c r="L24" s="206"/>
      <c r="M24" s="206">
        <v>1</v>
      </c>
      <c r="N24" s="206">
        <v>2</v>
      </c>
      <c r="O24" s="206">
        <v>3</v>
      </c>
      <c r="P24" s="206">
        <v>4</v>
      </c>
      <c r="Q24" s="206">
        <v>1</v>
      </c>
      <c r="R24" s="206">
        <v>2</v>
      </c>
      <c r="S24" s="206">
        <v>3</v>
      </c>
      <c r="T24" s="206">
        <v>4</v>
      </c>
      <c r="U24" s="206">
        <v>1</v>
      </c>
      <c r="V24" s="206">
        <v>2</v>
      </c>
      <c r="W24" s="206">
        <v>3</v>
      </c>
      <c r="X24" s="206">
        <v>4</v>
      </c>
      <c r="Y24" s="206">
        <v>1</v>
      </c>
      <c r="Z24" s="206">
        <v>2</v>
      </c>
      <c r="AA24" s="206">
        <v>3</v>
      </c>
      <c r="AB24" s="206">
        <v>4</v>
      </c>
      <c r="AC24" s="206">
        <v>1</v>
      </c>
      <c r="AD24" s="206">
        <v>2</v>
      </c>
      <c r="AE24" s="206">
        <v>3</v>
      </c>
      <c r="AF24" s="206">
        <v>4</v>
      </c>
      <c r="AG24" s="207">
        <v>1</v>
      </c>
      <c r="AH24" s="195"/>
      <c r="AI24" s="195"/>
      <c r="AJ24" s="195"/>
    </row>
    <row r="25" spans="2:36" x14ac:dyDescent="0.35">
      <c r="B25" s="218" t="s">
        <v>1882</v>
      </c>
      <c r="C25" s="219"/>
      <c r="D25" s="220"/>
      <c r="E25" s="220"/>
      <c r="F25" s="220"/>
      <c r="G25" s="220"/>
      <c r="H25" s="220"/>
      <c r="I25" s="220"/>
      <c r="J25" s="220"/>
      <c r="K25" s="220"/>
      <c r="L25" s="220"/>
      <c r="M25" s="220">
        <v>2021</v>
      </c>
      <c r="N25" s="220">
        <v>2021</v>
      </c>
      <c r="O25" s="220">
        <v>2021</v>
      </c>
      <c r="P25" s="220">
        <v>2021</v>
      </c>
      <c r="Q25" s="220">
        <v>2022</v>
      </c>
      <c r="R25" s="220">
        <v>2022</v>
      </c>
      <c r="S25" s="220">
        <v>2022</v>
      </c>
      <c r="T25" s="220">
        <v>2022</v>
      </c>
      <c r="U25" s="220">
        <v>2023</v>
      </c>
      <c r="V25" s="220">
        <v>2023</v>
      </c>
      <c r="W25" s="220">
        <v>2023</v>
      </c>
      <c r="X25" s="220">
        <v>2023</v>
      </c>
      <c r="Y25" s="220">
        <v>2024</v>
      </c>
      <c r="Z25" s="220">
        <v>2024</v>
      </c>
      <c r="AA25" s="220">
        <v>2024</v>
      </c>
      <c r="AB25" s="220">
        <v>2024</v>
      </c>
      <c r="AC25" s="220">
        <v>2025</v>
      </c>
      <c r="AD25" s="220">
        <v>2025</v>
      </c>
      <c r="AE25" s="220">
        <v>2025</v>
      </c>
      <c r="AF25" s="220">
        <v>2025</v>
      </c>
      <c r="AG25" s="221">
        <v>2026</v>
      </c>
      <c r="AH25" s="186"/>
    </row>
    <row r="26" spans="2:36" x14ac:dyDescent="0.35">
      <c r="B26" s="35"/>
      <c r="C26" s="202"/>
      <c r="D26" s="195"/>
      <c r="E26" s="195"/>
      <c r="F26" s="195"/>
      <c r="G26" s="195"/>
      <c r="H26" s="195"/>
      <c r="I26" s="195"/>
      <c r="J26" s="195"/>
      <c r="K26" s="195"/>
      <c r="L26" s="195"/>
      <c r="M26" s="195"/>
      <c r="N26" s="195"/>
      <c r="O26" s="195"/>
      <c r="P26" s="195"/>
      <c r="Q26" s="195"/>
      <c r="R26" s="195"/>
      <c r="S26" s="195"/>
      <c r="T26" s="195"/>
      <c r="U26" s="195"/>
      <c r="V26" s="195"/>
      <c r="W26" s="195"/>
      <c r="X26" s="195"/>
      <c r="Y26" s="195"/>
      <c r="Z26" s="195"/>
      <c r="AA26" s="195"/>
      <c r="AB26" s="195"/>
      <c r="AC26" s="195"/>
      <c r="AD26" s="195"/>
      <c r="AE26" s="195"/>
      <c r="AF26" s="195"/>
      <c r="AG26" s="195"/>
      <c r="AH26" s="186"/>
    </row>
    <row r="27" spans="2:36" x14ac:dyDescent="0.35">
      <c r="C27" s="202"/>
      <c r="D27" s="195"/>
      <c r="E27" s="195"/>
      <c r="F27" s="195"/>
      <c r="G27" s="195"/>
      <c r="H27" s="185"/>
      <c r="I27" s="185"/>
      <c r="J27" s="185"/>
      <c r="K27" s="185"/>
      <c r="L27" s="185"/>
      <c r="M27" s="185"/>
      <c r="N27" s="185"/>
      <c r="O27" s="185"/>
      <c r="P27" s="185"/>
      <c r="AH27" s="186"/>
    </row>
    <row r="28" spans="2:36" x14ac:dyDescent="0.35">
      <c r="M28" s="202"/>
      <c r="N28" s="202"/>
      <c r="O28" s="202"/>
    </row>
    <row r="29" spans="2:36" ht="45" customHeight="1" x14ac:dyDescent="0.35">
      <c r="B29" s="243" t="s">
        <v>302</v>
      </c>
      <c r="C29" s="244" t="s">
        <v>303</v>
      </c>
      <c r="D29" s="241"/>
      <c r="E29" s="14" t="s">
        <v>1871</v>
      </c>
      <c r="F29" s="14" t="s">
        <v>1876</v>
      </c>
      <c r="G29" s="14"/>
      <c r="H29" s="14"/>
      <c r="I29" s="14"/>
      <c r="J29" s="14"/>
      <c r="O29" s="245"/>
    </row>
    <row r="30" spans="2:36" x14ac:dyDescent="0.35">
      <c r="B30" s="238">
        <v>44197</v>
      </c>
      <c r="C30" s="152">
        <v>6.3</v>
      </c>
      <c r="D30" s="242"/>
      <c r="E30" s="56" t="s">
        <v>1800</v>
      </c>
      <c r="F30" s="35"/>
      <c r="G30" s="35"/>
      <c r="H30" s="167"/>
      <c r="I30" s="35"/>
      <c r="J30" s="167"/>
      <c r="O30" s="202"/>
    </row>
    <row r="31" spans="2:36" x14ac:dyDescent="0.35">
      <c r="B31" s="238">
        <v>44228</v>
      </c>
      <c r="C31" s="152">
        <v>6.2</v>
      </c>
      <c r="D31" s="242"/>
      <c r="E31" s="100" t="s">
        <v>1872</v>
      </c>
      <c r="F31" s="134">
        <v>6.166666666666667</v>
      </c>
      <c r="G31" s="35"/>
      <c r="H31" s="167"/>
      <c r="I31" s="35"/>
      <c r="J31" s="167"/>
      <c r="O31" s="202"/>
    </row>
    <row r="32" spans="2:36" x14ac:dyDescent="0.35">
      <c r="B32" s="238">
        <v>44256</v>
      </c>
      <c r="C32" s="152">
        <v>6</v>
      </c>
      <c r="D32" s="242"/>
      <c r="E32" s="100" t="s">
        <v>1873</v>
      </c>
      <c r="F32" s="134">
        <v>5.7666666666666657</v>
      </c>
      <c r="G32" s="35"/>
      <c r="H32" s="167"/>
      <c r="I32" s="35"/>
      <c r="J32" s="167"/>
      <c r="O32" s="202"/>
    </row>
    <row r="33" spans="1:42" x14ac:dyDescent="0.35">
      <c r="B33" s="238">
        <v>44287</v>
      </c>
      <c r="C33" s="152">
        <v>6.1</v>
      </c>
      <c r="D33" s="242"/>
      <c r="E33" s="100" t="s">
        <v>1874</v>
      </c>
      <c r="F33" s="134">
        <v>5.1333333333333337</v>
      </c>
      <c r="G33" s="35"/>
      <c r="H33" s="167"/>
      <c r="I33" s="35"/>
      <c r="J33" s="167"/>
      <c r="O33" s="202"/>
    </row>
    <row r="34" spans="1:42" x14ac:dyDescent="0.35">
      <c r="A34" s="35"/>
      <c r="B34" s="238">
        <v>44317</v>
      </c>
      <c r="C34" s="152">
        <v>5.8</v>
      </c>
      <c r="D34" s="242"/>
      <c r="E34" s="100" t="s">
        <v>1875</v>
      </c>
      <c r="F34" s="134">
        <v>4.2333333333333334</v>
      </c>
      <c r="G34" s="35"/>
      <c r="H34" s="167"/>
      <c r="I34" s="35"/>
      <c r="J34" s="167"/>
      <c r="O34" s="202"/>
    </row>
    <row r="35" spans="1:42" x14ac:dyDescent="0.35">
      <c r="A35" s="35"/>
      <c r="B35" s="238">
        <v>44348</v>
      </c>
      <c r="C35" s="152">
        <v>5.4</v>
      </c>
      <c r="D35" s="242"/>
      <c r="E35" s="56" t="s">
        <v>1746</v>
      </c>
      <c r="F35" s="134"/>
      <c r="G35" s="35"/>
      <c r="H35" s="167"/>
      <c r="I35" s="35"/>
      <c r="J35" s="167"/>
      <c r="O35" s="202"/>
    </row>
    <row r="36" spans="1:42" x14ac:dyDescent="0.35">
      <c r="A36" s="35"/>
      <c r="B36" s="238">
        <v>44378</v>
      </c>
      <c r="C36" s="152">
        <v>5.4</v>
      </c>
      <c r="D36" s="242"/>
      <c r="E36" s="100" t="s">
        <v>1872</v>
      </c>
      <c r="F36" s="134">
        <v>3.8000000000000003</v>
      </c>
      <c r="G36" s="35"/>
      <c r="H36" s="167"/>
      <c r="I36" s="35"/>
      <c r="J36" s="167"/>
      <c r="O36" s="202"/>
    </row>
    <row r="37" spans="1:42" x14ac:dyDescent="0.35">
      <c r="A37" s="35"/>
      <c r="B37" s="238">
        <v>44409</v>
      </c>
      <c r="C37" s="152">
        <v>5.2</v>
      </c>
      <c r="D37" s="242"/>
      <c r="E37" s="100" t="s">
        <v>1873</v>
      </c>
      <c r="F37" s="134">
        <v>3.6</v>
      </c>
      <c r="G37" s="35"/>
      <c r="H37" s="167"/>
      <c r="I37" s="35"/>
      <c r="J37" s="167"/>
      <c r="O37" s="202"/>
    </row>
    <row r="38" spans="1:42" x14ac:dyDescent="0.35">
      <c r="A38" s="35"/>
      <c r="B38" s="238">
        <v>44440</v>
      </c>
      <c r="C38" s="152">
        <v>4.8</v>
      </c>
      <c r="D38" s="242"/>
      <c r="E38" s="100" t="s">
        <v>1874</v>
      </c>
      <c r="F38" s="134">
        <v>3.5666666666666664</v>
      </c>
      <c r="G38" s="35"/>
      <c r="H38" s="167"/>
      <c r="I38" s="35"/>
      <c r="J38" s="167"/>
      <c r="O38" s="202"/>
    </row>
    <row r="39" spans="1:42" x14ac:dyDescent="0.35">
      <c r="A39" s="35"/>
      <c r="B39" s="238">
        <v>44470</v>
      </c>
      <c r="C39" s="152">
        <v>4.5999999999999996</v>
      </c>
      <c r="D39" s="242"/>
      <c r="E39" s="100" t="s">
        <v>1875</v>
      </c>
      <c r="F39" s="134">
        <v>3.6</v>
      </c>
      <c r="G39" s="35"/>
      <c r="H39" s="167"/>
      <c r="I39" s="35"/>
      <c r="J39" s="167"/>
      <c r="O39" s="202"/>
    </row>
    <row r="40" spans="1:42" x14ac:dyDescent="0.35">
      <c r="A40" s="35"/>
      <c r="B40" s="238">
        <v>44501</v>
      </c>
      <c r="C40" s="152">
        <v>4.2</v>
      </c>
      <c r="D40" s="242"/>
      <c r="E40" s="56" t="s">
        <v>1877</v>
      </c>
      <c r="F40" s="134"/>
      <c r="G40" s="35"/>
      <c r="H40" s="167"/>
      <c r="I40" s="35"/>
      <c r="J40" s="167"/>
      <c r="O40" s="202"/>
      <c r="AH40" s="202"/>
      <c r="AI40" s="202"/>
      <c r="AJ40" s="202"/>
      <c r="AK40" s="202"/>
      <c r="AL40" s="202"/>
      <c r="AM40" s="202"/>
      <c r="AN40" s="202"/>
      <c r="AO40" s="202"/>
      <c r="AP40" s="202"/>
    </row>
    <row r="41" spans="1:42" x14ac:dyDescent="0.35">
      <c r="A41" s="35"/>
      <c r="B41" s="238">
        <v>44531</v>
      </c>
      <c r="C41" s="152">
        <v>3.9</v>
      </c>
      <c r="D41" s="242"/>
      <c r="E41" s="100" t="s">
        <v>1872</v>
      </c>
      <c r="F41" s="134">
        <v>3.5</v>
      </c>
      <c r="G41" s="35"/>
      <c r="H41" s="167"/>
      <c r="I41" s="35"/>
      <c r="J41" s="167"/>
      <c r="O41" s="202"/>
      <c r="AH41" s="202"/>
      <c r="AI41" s="202"/>
      <c r="AJ41" s="202"/>
      <c r="AK41" s="202"/>
      <c r="AL41" s="202"/>
      <c r="AM41" s="202"/>
      <c r="AN41" s="202"/>
      <c r="AO41" s="202"/>
      <c r="AP41" s="202"/>
    </row>
    <row r="42" spans="1:42" x14ac:dyDescent="0.35">
      <c r="A42" s="35"/>
      <c r="B42" s="238">
        <v>44562</v>
      </c>
      <c r="C42" s="152">
        <v>4</v>
      </c>
      <c r="D42" s="35"/>
      <c r="E42" s="100" t="s">
        <v>1873</v>
      </c>
      <c r="F42" s="134"/>
      <c r="G42" s="35"/>
      <c r="H42" s="167"/>
      <c r="I42" s="35"/>
      <c r="J42" s="167"/>
      <c r="O42" s="202"/>
    </row>
    <row r="43" spans="1:42" x14ac:dyDescent="0.35">
      <c r="A43" s="35"/>
      <c r="B43" s="238">
        <v>44593</v>
      </c>
      <c r="C43" s="152">
        <v>3.8</v>
      </c>
      <c r="D43" s="35"/>
      <c r="E43" s="100" t="s">
        <v>1874</v>
      </c>
      <c r="F43" s="134"/>
      <c r="G43" s="35"/>
      <c r="H43" s="167"/>
      <c r="I43" s="35"/>
      <c r="J43" s="167"/>
    </row>
    <row r="44" spans="1:42" x14ac:dyDescent="0.35">
      <c r="A44" s="35"/>
      <c r="B44" s="238">
        <v>44621</v>
      </c>
      <c r="C44" s="152">
        <v>3.6</v>
      </c>
      <c r="D44" s="35"/>
      <c r="E44" s="100" t="s">
        <v>1875</v>
      </c>
      <c r="F44" s="134"/>
      <c r="G44" s="35"/>
      <c r="H44" s="167"/>
      <c r="I44" s="35"/>
      <c r="J44" s="167"/>
    </row>
    <row r="45" spans="1:42" x14ac:dyDescent="0.35">
      <c r="A45" s="35"/>
      <c r="B45" s="238">
        <v>44652</v>
      </c>
      <c r="C45" s="152">
        <v>3.6</v>
      </c>
      <c r="D45" s="35"/>
      <c r="E45" s="56" t="s">
        <v>1878</v>
      </c>
      <c r="F45" s="134"/>
      <c r="G45" s="35"/>
      <c r="H45" s="167"/>
      <c r="I45" s="35"/>
      <c r="J45" s="167"/>
    </row>
    <row r="46" spans="1:42" x14ac:dyDescent="0.35">
      <c r="A46" s="35"/>
      <c r="B46" s="238">
        <v>44682</v>
      </c>
      <c r="C46" s="152">
        <v>3.6</v>
      </c>
      <c r="D46" s="35"/>
      <c r="E46" s="100" t="s">
        <v>1872</v>
      </c>
      <c r="F46" s="134"/>
      <c r="G46" s="35"/>
      <c r="H46" s="167"/>
      <c r="I46" s="35"/>
      <c r="J46" s="167"/>
    </row>
    <row r="47" spans="1:42" x14ac:dyDescent="0.35">
      <c r="A47" s="35"/>
      <c r="B47" s="238">
        <v>44713</v>
      </c>
      <c r="C47" s="152">
        <v>3.6</v>
      </c>
      <c r="D47" s="35"/>
      <c r="E47" s="100" t="s">
        <v>1873</v>
      </c>
      <c r="F47" s="134"/>
      <c r="G47" s="35"/>
      <c r="H47" s="167"/>
      <c r="I47" s="35"/>
      <c r="J47" s="167"/>
    </row>
    <row r="48" spans="1:42" x14ac:dyDescent="0.35">
      <c r="A48" s="35"/>
      <c r="B48" s="238">
        <v>44743</v>
      </c>
      <c r="C48" s="152">
        <v>3.5</v>
      </c>
      <c r="D48" s="35"/>
      <c r="E48" s="100" t="s">
        <v>1874</v>
      </c>
      <c r="F48" s="134"/>
      <c r="G48" s="35"/>
      <c r="H48" s="167"/>
      <c r="I48" s="35"/>
      <c r="J48" s="167"/>
    </row>
    <row r="49" spans="1:10" x14ac:dyDescent="0.35">
      <c r="A49" s="35"/>
      <c r="B49" s="238">
        <v>44774</v>
      </c>
      <c r="C49" s="152">
        <v>3.7</v>
      </c>
      <c r="D49" s="35"/>
      <c r="E49" s="100" t="s">
        <v>1875</v>
      </c>
      <c r="F49" s="134"/>
      <c r="G49" s="35"/>
      <c r="H49" s="167"/>
      <c r="I49" s="35"/>
      <c r="J49" s="167"/>
    </row>
    <row r="50" spans="1:10" x14ac:dyDescent="0.35">
      <c r="A50" s="35"/>
      <c r="B50" s="238">
        <v>44805</v>
      </c>
      <c r="C50" s="152">
        <v>3.5</v>
      </c>
      <c r="D50" s="35"/>
      <c r="E50" s="56" t="s">
        <v>1879</v>
      </c>
      <c r="F50" s="134"/>
      <c r="G50" s="35"/>
      <c r="H50" s="35"/>
      <c r="I50" s="35"/>
      <c r="J50" s="35"/>
    </row>
    <row r="51" spans="1:10" x14ac:dyDescent="0.35">
      <c r="A51" s="35"/>
      <c r="B51" s="238">
        <v>44835</v>
      </c>
      <c r="C51" s="152">
        <v>3.7</v>
      </c>
      <c r="D51" s="35"/>
      <c r="E51" s="100" t="s">
        <v>1872</v>
      </c>
      <c r="F51" s="134"/>
      <c r="G51" s="35"/>
      <c r="H51" s="35"/>
      <c r="I51" s="35"/>
      <c r="J51" s="35"/>
    </row>
    <row r="52" spans="1:10" x14ac:dyDescent="0.35">
      <c r="A52" s="35"/>
      <c r="B52" s="238">
        <v>44866</v>
      </c>
      <c r="C52" s="152">
        <v>3.6</v>
      </c>
      <c r="D52" s="35"/>
      <c r="E52" s="100" t="s">
        <v>1873</v>
      </c>
      <c r="F52" s="134"/>
      <c r="G52" s="35"/>
      <c r="H52" s="35"/>
      <c r="I52" s="35"/>
      <c r="J52" s="35"/>
    </row>
    <row r="53" spans="1:10" x14ac:dyDescent="0.35">
      <c r="A53" s="35"/>
      <c r="B53" s="238">
        <v>44896</v>
      </c>
      <c r="C53" s="152">
        <v>3.5</v>
      </c>
      <c r="D53" s="35"/>
      <c r="E53" s="100" t="s">
        <v>1874</v>
      </c>
      <c r="F53" s="134"/>
      <c r="G53" s="35"/>
      <c r="H53" s="35"/>
      <c r="I53" s="35"/>
      <c r="J53" s="35"/>
    </row>
    <row r="54" spans="1:10" x14ac:dyDescent="0.35">
      <c r="B54" s="238">
        <v>44927</v>
      </c>
      <c r="C54" s="152">
        <v>3.4</v>
      </c>
      <c r="D54" s="35"/>
      <c r="E54" s="100" t="s">
        <v>1875</v>
      </c>
      <c r="F54" s="134"/>
      <c r="G54" s="35"/>
      <c r="H54" s="35"/>
      <c r="I54" s="35"/>
      <c r="J54" s="35"/>
    </row>
    <row r="55" spans="1:10" x14ac:dyDescent="0.35">
      <c r="B55" s="238">
        <v>44958</v>
      </c>
      <c r="C55" s="152">
        <v>3.6</v>
      </c>
      <c r="D55" s="35"/>
      <c r="E55" s="56" t="s">
        <v>1880</v>
      </c>
      <c r="F55" s="134"/>
      <c r="G55" s="35"/>
      <c r="H55" s="35"/>
      <c r="I55" s="35"/>
      <c r="J55" s="35"/>
    </row>
    <row r="56" spans="1:10" x14ac:dyDescent="0.35">
      <c r="B56" s="238">
        <v>44986</v>
      </c>
      <c r="C56" s="152">
        <v>3.5</v>
      </c>
      <c r="D56" s="35"/>
      <c r="E56" s="100" t="s">
        <v>1872</v>
      </c>
      <c r="F56" s="134"/>
      <c r="G56" s="35"/>
      <c r="H56" s="35"/>
      <c r="I56" s="35"/>
      <c r="J56" s="35"/>
    </row>
    <row r="57" spans="1:10" x14ac:dyDescent="0.35">
      <c r="B57" s="238">
        <v>45017</v>
      </c>
      <c r="C57" s="152"/>
      <c r="D57" s="35"/>
      <c r="E57" s="100" t="s">
        <v>1873</v>
      </c>
      <c r="F57" s="134"/>
      <c r="G57" s="35"/>
      <c r="H57" s="35"/>
      <c r="I57" s="35"/>
      <c r="J57" s="35"/>
    </row>
    <row r="58" spans="1:10" x14ac:dyDescent="0.35">
      <c r="B58" s="238">
        <v>45047</v>
      </c>
      <c r="C58" s="152"/>
      <c r="D58" s="35"/>
      <c r="E58" s="100" t="s">
        <v>1874</v>
      </c>
      <c r="F58" s="134"/>
      <c r="G58" s="35"/>
      <c r="H58" s="35"/>
      <c r="I58" s="35"/>
      <c r="J58" s="35"/>
    </row>
    <row r="59" spans="1:10" x14ac:dyDescent="0.35">
      <c r="B59" s="238">
        <v>45078</v>
      </c>
      <c r="C59" s="152"/>
      <c r="D59" s="35"/>
      <c r="E59" s="100" t="s">
        <v>1875</v>
      </c>
      <c r="F59" s="134"/>
      <c r="G59" s="35"/>
      <c r="H59" s="35"/>
      <c r="I59" s="35"/>
      <c r="J59" s="35"/>
    </row>
    <row r="60" spans="1:10" x14ac:dyDescent="0.35">
      <c r="B60" s="238">
        <v>45108</v>
      </c>
      <c r="C60" s="152"/>
      <c r="D60" s="35"/>
      <c r="E60" s="35"/>
      <c r="F60" s="35"/>
      <c r="G60" s="35"/>
      <c r="H60" s="35"/>
      <c r="I60" s="35"/>
      <c r="J60" s="35"/>
    </row>
    <row r="61" spans="1:10" x14ac:dyDescent="0.35">
      <c r="B61" s="238">
        <v>45139</v>
      </c>
      <c r="C61" s="152"/>
      <c r="D61" s="35"/>
      <c r="E61" s="35"/>
      <c r="F61" s="35"/>
      <c r="G61" s="35"/>
      <c r="H61" s="35"/>
      <c r="I61" s="35"/>
      <c r="J61" s="35"/>
    </row>
    <row r="62" spans="1:10" x14ac:dyDescent="0.35">
      <c r="B62" s="238">
        <v>45170</v>
      </c>
      <c r="C62" s="152"/>
      <c r="D62" s="35"/>
      <c r="E62" s="35"/>
      <c r="F62" s="35"/>
      <c r="G62" s="35"/>
      <c r="H62" s="35"/>
      <c r="I62" s="35"/>
      <c r="J62" s="35"/>
    </row>
    <row r="63" spans="1:10" x14ac:dyDescent="0.35">
      <c r="B63" s="238">
        <v>45200</v>
      </c>
      <c r="C63" s="152"/>
      <c r="D63" s="35"/>
      <c r="E63" s="35"/>
      <c r="F63" s="35"/>
      <c r="G63" s="35"/>
      <c r="H63" s="35"/>
      <c r="I63" s="35"/>
      <c r="J63" s="35"/>
    </row>
    <row r="64" spans="1:10" x14ac:dyDescent="0.35">
      <c r="B64" s="238">
        <v>45231</v>
      </c>
      <c r="C64" s="152"/>
      <c r="D64" s="35"/>
      <c r="E64" s="35"/>
      <c r="F64" s="35"/>
      <c r="G64" s="35"/>
      <c r="H64" s="35"/>
      <c r="I64" s="35"/>
      <c r="J64" s="35"/>
    </row>
    <row r="65" spans="2:10" x14ac:dyDescent="0.35">
      <c r="B65" s="238">
        <v>45261</v>
      </c>
      <c r="C65" s="152"/>
      <c r="D65" s="35"/>
      <c r="E65" s="35"/>
      <c r="F65" s="35"/>
      <c r="G65" s="35"/>
      <c r="H65" s="35"/>
      <c r="I65" s="35"/>
      <c r="J65" s="35"/>
    </row>
    <row r="66" spans="2:10" x14ac:dyDescent="0.35">
      <c r="B66" s="238">
        <v>45292</v>
      </c>
      <c r="C66" s="152"/>
      <c r="D66" s="35"/>
      <c r="E66" s="35"/>
      <c r="F66" s="35"/>
      <c r="G66" s="35"/>
      <c r="H66" s="35"/>
      <c r="I66" s="35"/>
      <c r="J66" s="35"/>
    </row>
    <row r="67" spans="2:10" x14ac:dyDescent="0.35">
      <c r="B67" s="238">
        <v>45323</v>
      </c>
      <c r="C67" s="152"/>
      <c r="D67" s="35"/>
      <c r="E67" s="35"/>
      <c r="F67" s="35"/>
      <c r="G67" s="35"/>
      <c r="H67" s="35"/>
      <c r="I67" s="35"/>
      <c r="J67" s="35"/>
    </row>
    <row r="68" spans="2:10" x14ac:dyDescent="0.35">
      <c r="B68" s="238">
        <v>45352</v>
      </c>
      <c r="C68" s="152"/>
      <c r="D68" s="35"/>
      <c r="E68" s="35"/>
      <c r="F68" s="35"/>
      <c r="G68" s="35"/>
      <c r="H68" s="35"/>
      <c r="I68" s="35"/>
      <c r="J68" s="35"/>
    </row>
    <row r="69" spans="2:10" x14ac:dyDescent="0.35">
      <c r="B69" s="238">
        <v>45383</v>
      </c>
      <c r="C69" s="152"/>
      <c r="D69" s="35"/>
      <c r="E69" s="35"/>
      <c r="F69" s="35"/>
      <c r="G69" s="35"/>
      <c r="H69" s="35"/>
      <c r="I69" s="35"/>
      <c r="J69" s="35"/>
    </row>
    <row r="70" spans="2:10" x14ac:dyDescent="0.35">
      <c r="B70" s="238">
        <v>45413</v>
      </c>
      <c r="C70" s="152"/>
      <c r="D70" s="35"/>
      <c r="E70" s="35"/>
      <c r="F70" s="35"/>
      <c r="G70" s="35"/>
      <c r="H70" s="35"/>
      <c r="I70" s="35"/>
      <c r="J70" s="35"/>
    </row>
    <row r="71" spans="2:10" x14ac:dyDescent="0.35">
      <c r="B71" s="238">
        <v>45444</v>
      </c>
      <c r="C71" s="152"/>
      <c r="D71" s="35"/>
      <c r="E71" s="35"/>
      <c r="F71" s="35"/>
      <c r="G71" s="35"/>
      <c r="H71" s="35"/>
      <c r="I71" s="35"/>
      <c r="J71" s="35"/>
    </row>
    <row r="72" spans="2:10" x14ac:dyDescent="0.35">
      <c r="B72" s="238">
        <v>45474</v>
      </c>
      <c r="C72" s="152"/>
      <c r="D72" s="35"/>
      <c r="E72" s="35"/>
      <c r="F72" s="35"/>
      <c r="G72" s="35"/>
      <c r="H72" s="35"/>
      <c r="I72" s="35"/>
      <c r="J72" s="35"/>
    </row>
    <row r="73" spans="2:10" x14ac:dyDescent="0.35">
      <c r="B73" s="238">
        <v>45505</v>
      </c>
      <c r="C73" s="152"/>
      <c r="D73" s="35"/>
      <c r="E73" s="35"/>
      <c r="F73" s="35"/>
      <c r="G73" s="35"/>
      <c r="H73" s="35"/>
      <c r="I73" s="35"/>
      <c r="J73" s="35"/>
    </row>
    <row r="74" spans="2:10" x14ac:dyDescent="0.35">
      <c r="B74" s="238">
        <v>45536</v>
      </c>
      <c r="C74" s="152"/>
      <c r="D74" s="35"/>
      <c r="E74" s="35"/>
      <c r="F74" s="35"/>
      <c r="G74" s="35"/>
      <c r="H74" s="35"/>
      <c r="I74" s="35"/>
      <c r="J74" s="35"/>
    </row>
    <row r="75" spans="2:10" x14ac:dyDescent="0.35">
      <c r="B75" s="238">
        <v>45566</v>
      </c>
      <c r="C75" s="152"/>
      <c r="D75" s="35"/>
      <c r="E75" s="35"/>
      <c r="F75" s="35"/>
      <c r="G75" s="35"/>
      <c r="H75" s="35"/>
      <c r="I75" s="35"/>
      <c r="J75" s="35"/>
    </row>
    <row r="76" spans="2:10" x14ac:dyDescent="0.35">
      <c r="B76" s="238">
        <v>45597</v>
      </c>
      <c r="C76" s="152"/>
      <c r="D76" s="35"/>
      <c r="E76" s="35"/>
      <c r="F76" s="35"/>
      <c r="G76" s="35"/>
      <c r="H76" s="35"/>
      <c r="I76" s="35"/>
      <c r="J76" s="35"/>
    </row>
    <row r="77" spans="2:10" x14ac:dyDescent="0.35">
      <c r="B77" s="238">
        <v>45627</v>
      </c>
      <c r="C77" s="152"/>
      <c r="D77" s="35"/>
      <c r="E77" s="35"/>
      <c r="F77" s="35"/>
      <c r="G77" s="35"/>
      <c r="H77" s="35"/>
      <c r="I77" s="35"/>
      <c r="J77" s="35"/>
    </row>
    <row r="78" spans="2:10" x14ac:dyDescent="0.35">
      <c r="B78" s="238">
        <v>45658</v>
      </c>
      <c r="C78" s="152"/>
      <c r="D78" s="35"/>
      <c r="E78" s="35"/>
      <c r="F78" s="35"/>
      <c r="G78" s="35"/>
      <c r="H78" s="35"/>
      <c r="I78" s="35"/>
      <c r="J78" s="35"/>
    </row>
    <row r="79" spans="2:10" x14ac:dyDescent="0.35">
      <c r="B79" s="238">
        <v>45689</v>
      </c>
      <c r="C79" s="152"/>
      <c r="D79" s="35"/>
      <c r="E79" s="35"/>
      <c r="F79" s="35"/>
      <c r="G79" s="35"/>
      <c r="H79" s="35"/>
      <c r="I79" s="35"/>
      <c r="J79" s="35"/>
    </row>
    <row r="80" spans="2:10" x14ac:dyDescent="0.35">
      <c r="B80" s="238">
        <v>45717</v>
      </c>
      <c r="C80" s="152"/>
      <c r="D80" s="35"/>
      <c r="E80" s="35"/>
      <c r="F80" s="35"/>
      <c r="G80" s="35"/>
      <c r="H80" s="35"/>
      <c r="I80" s="35"/>
      <c r="J80" s="35"/>
    </row>
    <row r="81" spans="2:10" x14ac:dyDescent="0.35">
      <c r="B81" s="238">
        <v>45748</v>
      </c>
      <c r="C81" s="152"/>
      <c r="D81" s="35"/>
      <c r="E81" s="35"/>
      <c r="F81" s="35"/>
      <c r="G81" s="35"/>
      <c r="H81" s="35"/>
      <c r="I81" s="35"/>
      <c r="J81" s="35"/>
    </row>
    <row r="82" spans="2:10" x14ac:dyDescent="0.35">
      <c r="B82" s="238">
        <v>45778</v>
      </c>
      <c r="C82" s="152"/>
      <c r="D82" s="35"/>
      <c r="E82" s="35"/>
      <c r="F82" s="35"/>
      <c r="G82" s="35"/>
      <c r="H82" s="35"/>
      <c r="I82" s="35"/>
      <c r="J82" s="35"/>
    </row>
    <row r="83" spans="2:10" x14ac:dyDescent="0.35">
      <c r="B83" s="238">
        <v>45809</v>
      </c>
      <c r="C83" s="152"/>
      <c r="D83" s="35"/>
      <c r="E83" s="35"/>
      <c r="F83" s="35"/>
      <c r="G83" s="35"/>
      <c r="H83" s="35"/>
      <c r="I83" s="35"/>
      <c r="J83" s="35"/>
    </row>
    <row r="84" spans="2:10" x14ac:dyDescent="0.35">
      <c r="B84" s="238">
        <v>45839</v>
      </c>
      <c r="C84" s="152"/>
      <c r="D84" s="35"/>
      <c r="E84" s="35"/>
      <c r="F84" s="35"/>
      <c r="G84" s="35"/>
      <c r="H84" s="35"/>
      <c r="I84" s="35"/>
      <c r="J84" s="35"/>
    </row>
    <row r="85" spans="2:10" x14ac:dyDescent="0.35">
      <c r="B85" s="238">
        <v>45870</v>
      </c>
      <c r="C85" s="152"/>
      <c r="D85" s="35"/>
      <c r="E85" s="35"/>
      <c r="F85" s="35"/>
      <c r="G85" s="35"/>
      <c r="H85" s="35"/>
      <c r="I85" s="35"/>
      <c r="J85" s="35"/>
    </row>
    <row r="86" spans="2:10" x14ac:dyDescent="0.35">
      <c r="B86" s="238">
        <v>45901</v>
      </c>
      <c r="C86" s="152"/>
      <c r="D86" s="35"/>
      <c r="E86" s="35"/>
      <c r="F86" s="35"/>
      <c r="G86" s="35"/>
      <c r="H86" s="35"/>
      <c r="I86" s="35"/>
      <c r="J86" s="35"/>
    </row>
    <row r="87" spans="2:10" x14ac:dyDescent="0.35">
      <c r="B87" s="238">
        <v>45931</v>
      </c>
      <c r="C87" s="152"/>
      <c r="D87" s="35"/>
      <c r="E87" s="35"/>
      <c r="F87" s="35"/>
      <c r="G87" s="35"/>
      <c r="H87" s="35"/>
      <c r="I87" s="35"/>
      <c r="J87" s="35"/>
    </row>
    <row r="88" spans="2:10" x14ac:dyDescent="0.35">
      <c r="B88" s="238">
        <v>45962</v>
      </c>
      <c r="C88" s="152"/>
      <c r="D88" s="35"/>
      <c r="E88" s="35"/>
      <c r="F88" s="35"/>
      <c r="G88" s="35"/>
      <c r="H88" s="35"/>
      <c r="I88" s="35"/>
      <c r="J88" s="35"/>
    </row>
    <row r="89" spans="2:10" x14ac:dyDescent="0.35">
      <c r="B89" s="238">
        <v>45992</v>
      </c>
      <c r="C89" s="152"/>
      <c r="D89" s="35"/>
      <c r="E89" s="35"/>
      <c r="F89" s="35"/>
      <c r="G89" s="35"/>
      <c r="H89" s="35"/>
      <c r="I89" s="35"/>
      <c r="J89" s="35"/>
    </row>
    <row r="90" spans="2:10" x14ac:dyDescent="0.35">
      <c r="B90" s="238">
        <v>46023</v>
      </c>
      <c r="C90" s="152"/>
      <c r="D90" s="35"/>
      <c r="E90" s="35"/>
      <c r="F90" s="35"/>
      <c r="G90" s="35"/>
      <c r="H90" s="35"/>
      <c r="I90" s="35"/>
      <c r="J90" s="35"/>
    </row>
    <row r="91" spans="2:10" x14ac:dyDescent="0.35">
      <c r="B91" s="238">
        <v>46054</v>
      </c>
      <c r="C91" s="152"/>
      <c r="D91" s="35"/>
      <c r="E91" s="35"/>
      <c r="F91" s="35"/>
      <c r="G91" s="35"/>
      <c r="H91" s="35"/>
      <c r="I91" s="35"/>
      <c r="J91" s="35"/>
    </row>
    <row r="92" spans="2:10" x14ac:dyDescent="0.35">
      <c r="B92" s="238">
        <v>46082</v>
      </c>
      <c r="C92" s="152"/>
      <c r="D92" s="35"/>
      <c r="E92" s="35"/>
      <c r="F92" s="35"/>
      <c r="G92" s="35"/>
      <c r="H92" s="35"/>
      <c r="I92" s="35"/>
      <c r="J92" s="35"/>
    </row>
    <row r="93" spans="2:10" x14ac:dyDescent="0.35">
      <c r="B93" s="238">
        <v>46113</v>
      </c>
      <c r="C93" s="152"/>
      <c r="D93" s="35"/>
      <c r="E93" s="35"/>
      <c r="F93" s="35"/>
      <c r="G93" s="35"/>
      <c r="H93" s="35"/>
      <c r="I93" s="35"/>
      <c r="J93" s="35"/>
    </row>
    <row r="94" spans="2:10" x14ac:dyDescent="0.35">
      <c r="B94" s="238">
        <v>46143</v>
      </c>
      <c r="C94" s="152"/>
      <c r="D94" s="35"/>
      <c r="E94" s="35"/>
      <c r="F94" s="35"/>
      <c r="G94" s="35"/>
      <c r="H94" s="35"/>
      <c r="I94" s="35"/>
      <c r="J94" s="35"/>
    </row>
    <row r="95" spans="2:10" x14ac:dyDescent="0.35">
      <c r="B95" s="238">
        <v>46174</v>
      </c>
      <c r="C95" s="152"/>
      <c r="D95" s="35"/>
      <c r="E95" s="35"/>
      <c r="F95" s="35"/>
      <c r="G95" s="35"/>
      <c r="H95" s="35"/>
      <c r="I95" s="35"/>
      <c r="J95" s="35"/>
    </row>
    <row r="96" spans="2:10" x14ac:dyDescent="0.35">
      <c r="B96" s="238">
        <v>46204</v>
      </c>
      <c r="C96" s="152"/>
      <c r="D96" s="35"/>
      <c r="E96" s="35"/>
      <c r="F96" s="35"/>
      <c r="G96" s="35"/>
      <c r="H96" s="35"/>
      <c r="I96" s="35"/>
      <c r="J96" s="35"/>
    </row>
    <row r="97" spans="2:10" x14ac:dyDescent="0.35">
      <c r="B97" s="238">
        <v>46235</v>
      </c>
      <c r="C97" s="152"/>
      <c r="D97" s="35"/>
      <c r="E97" s="35"/>
      <c r="F97" s="35"/>
      <c r="G97" s="35"/>
      <c r="H97" s="35"/>
      <c r="I97" s="35"/>
      <c r="J97" s="35"/>
    </row>
    <row r="98" spans="2:10" x14ac:dyDescent="0.35">
      <c r="B98" s="238">
        <v>46266</v>
      </c>
      <c r="C98" s="152"/>
      <c r="D98" s="35"/>
      <c r="E98" s="35"/>
      <c r="F98" s="35"/>
      <c r="G98" s="35"/>
      <c r="H98" s="35"/>
      <c r="I98" s="35"/>
      <c r="J98" s="35"/>
    </row>
    <row r="99" spans="2:10" x14ac:dyDescent="0.35">
      <c r="B99" s="238">
        <v>46296</v>
      </c>
      <c r="C99" s="152"/>
      <c r="D99" s="35"/>
      <c r="E99" s="35"/>
      <c r="F99" s="35"/>
      <c r="G99" s="35"/>
      <c r="H99" s="35"/>
      <c r="I99" s="35"/>
      <c r="J99" s="35"/>
    </row>
    <row r="100" spans="2:10" x14ac:dyDescent="0.35">
      <c r="B100" s="238">
        <v>46327</v>
      </c>
      <c r="C100" s="152"/>
      <c r="D100" s="35"/>
      <c r="E100" s="35"/>
      <c r="F100" s="35"/>
      <c r="G100" s="35"/>
      <c r="H100" s="35"/>
      <c r="I100" s="35"/>
      <c r="J100" s="35"/>
    </row>
    <row r="101" spans="2:10" x14ac:dyDescent="0.35">
      <c r="B101" s="239">
        <v>46357</v>
      </c>
      <c r="C101" s="154"/>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FF00"/>
  </sheetPr>
  <dimension ref="A1:AL100"/>
  <sheetViews>
    <sheetView zoomScale="90" zoomScaleNormal="90" workbookViewId="0">
      <selection activeCell="L34" sqref="L34"/>
    </sheetView>
  </sheetViews>
  <sheetFormatPr defaultColWidth="10.9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292" t="s">
        <v>53</v>
      </c>
      <c r="C1" s="1292"/>
      <c r="D1" s="1292"/>
      <c r="E1" s="1292"/>
      <c r="F1" s="1292"/>
      <c r="G1" s="1292"/>
      <c r="H1" s="1292"/>
      <c r="I1" s="1292"/>
      <c r="J1" s="1292"/>
      <c r="K1" s="1292"/>
      <c r="L1" s="1292"/>
      <c r="M1" s="1292"/>
      <c r="N1" s="1292"/>
      <c r="O1" s="1292"/>
      <c r="P1" s="1292"/>
      <c r="Q1" s="1292"/>
      <c r="R1" s="1292"/>
      <c r="S1" s="1292"/>
      <c r="T1" s="1292"/>
      <c r="U1" s="1292"/>
      <c r="V1" s="1292"/>
      <c r="W1" s="1292"/>
      <c r="X1" s="1292"/>
      <c r="Y1" s="1292"/>
      <c r="Z1" s="1292"/>
      <c r="AA1" s="1292"/>
      <c r="AB1" s="1292"/>
      <c r="AC1" s="1292"/>
    </row>
    <row r="2" spans="2:30" ht="14.25" customHeight="1" x14ac:dyDescent="0.35">
      <c r="B2" s="1293" t="s">
        <v>278</v>
      </c>
      <c r="C2" s="1293"/>
      <c r="D2" s="1293"/>
      <c r="E2" s="1293"/>
      <c r="F2" s="1293"/>
      <c r="G2" s="1293"/>
      <c r="H2" s="1293"/>
      <c r="I2" s="1293"/>
      <c r="J2" s="1293"/>
      <c r="K2" s="1293"/>
      <c r="L2" s="1293"/>
      <c r="M2" s="1293"/>
      <c r="N2" s="1293"/>
      <c r="O2" s="1293"/>
      <c r="P2" s="1293"/>
      <c r="Q2" s="1293"/>
      <c r="R2" s="1293"/>
      <c r="S2" s="1293"/>
      <c r="T2" s="1293"/>
      <c r="U2" s="1293"/>
      <c r="V2" s="1293"/>
      <c r="W2" s="1293"/>
      <c r="X2" s="1293"/>
      <c r="Y2" s="1293"/>
      <c r="Z2" s="1293"/>
      <c r="AA2" s="1293"/>
      <c r="AB2" s="1293"/>
      <c r="AC2" s="1293"/>
    </row>
    <row r="3" spans="2:30" x14ac:dyDescent="0.35">
      <c r="B3" s="1293"/>
      <c r="C3" s="1293"/>
      <c r="D3" s="1293"/>
      <c r="E3" s="1293"/>
      <c r="F3" s="1293"/>
      <c r="G3" s="1293"/>
      <c r="H3" s="1293"/>
      <c r="I3" s="1293"/>
      <c r="J3" s="1293"/>
      <c r="K3" s="1293"/>
      <c r="L3" s="1293"/>
      <c r="M3" s="1293"/>
      <c r="N3" s="1293"/>
      <c r="O3" s="1293"/>
      <c r="P3" s="1293"/>
      <c r="Q3" s="1293"/>
      <c r="R3" s="1293"/>
      <c r="S3" s="1293"/>
      <c r="T3" s="1293"/>
      <c r="U3" s="1293"/>
      <c r="V3" s="1293"/>
      <c r="W3" s="1293"/>
      <c r="X3" s="1293"/>
      <c r="Y3" s="1293"/>
      <c r="Z3" s="1293"/>
      <c r="AA3" s="1293"/>
      <c r="AB3" s="1293"/>
      <c r="AC3" s="1293"/>
    </row>
    <row r="4" spans="2:30" x14ac:dyDescent="0.35">
      <c r="B4" s="1293"/>
      <c r="C4" s="1293"/>
      <c r="D4" s="1293"/>
      <c r="E4" s="1293"/>
      <c r="F4" s="1293"/>
      <c r="G4" s="1293"/>
      <c r="H4" s="1293"/>
      <c r="I4" s="1293"/>
      <c r="J4" s="1293"/>
      <c r="K4" s="1293"/>
      <c r="L4" s="1293"/>
      <c r="M4" s="1293"/>
      <c r="N4" s="1293"/>
      <c r="O4" s="1293"/>
      <c r="P4" s="1293"/>
      <c r="Q4" s="1293"/>
      <c r="R4" s="1293"/>
      <c r="S4" s="1293"/>
      <c r="T4" s="1293"/>
      <c r="U4" s="1293"/>
      <c r="V4" s="1293"/>
      <c r="W4" s="1293"/>
      <c r="X4" s="1293"/>
      <c r="Y4" s="1293"/>
      <c r="Z4" s="1293"/>
      <c r="AA4" s="1293"/>
      <c r="AB4" s="1293"/>
      <c r="AC4" s="1293"/>
    </row>
    <row r="5" spans="2:30" x14ac:dyDescent="0.35">
      <c r="B5" s="1293"/>
      <c r="C5" s="1293"/>
      <c r="D5" s="1293"/>
      <c r="E5" s="1293"/>
      <c r="F5" s="1293"/>
      <c r="G5" s="1293"/>
      <c r="H5" s="1293"/>
      <c r="I5" s="1293"/>
      <c r="J5" s="1293"/>
      <c r="K5" s="1293"/>
      <c r="L5" s="1293"/>
      <c r="M5" s="1293"/>
      <c r="N5" s="1293"/>
      <c r="O5" s="1293"/>
      <c r="P5" s="1293"/>
      <c r="Q5" s="1293"/>
      <c r="R5" s="1293"/>
      <c r="S5" s="1293"/>
      <c r="T5" s="1293"/>
      <c r="U5" s="1293"/>
      <c r="V5" s="1293"/>
      <c r="W5" s="1293"/>
      <c r="X5" s="1293"/>
      <c r="Y5" s="1293"/>
      <c r="Z5" s="1293"/>
      <c r="AA5" s="1293"/>
      <c r="AB5" s="1293"/>
      <c r="AC5" s="1293"/>
    </row>
    <row r="6" spans="2:30" ht="38.9" customHeight="1" x14ac:dyDescent="0.35">
      <c r="B6" s="1293"/>
      <c r="C6" s="1293"/>
      <c r="D6" s="1293"/>
      <c r="E6" s="1293"/>
      <c r="F6" s="1293"/>
      <c r="G6" s="1293"/>
      <c r="H6" s="1293"/>
      <c r="I6" s="1293"/>
      <c r="J6" s="1293"/>
      <c r="K6" s="1293"/>
      <c r="L6" s="1293"/>
      <c r="M6" s="1293"/>
      <c r="N6" s="1293"/>
      <c r="O6" s="1293"/>
      <c r="P6" s="1293"/>
      <c r="Q6" s="1293"/>
      <c r="R6" s="1293"/>
      <c r="S6" s="1293"/>
      <c r="T6" s="1293"/>
      <c r="U6" s="1293"/>
      <c r="V6" s="1293"/>
      <c r="W6" s="1293"/>
      <c r="X6" s="1293"/>
      <c r="Y6" s="1293"/>
      <c r="Z6" s="1293"/>
      <c r="AA6" s="1293"/>
      <c r="AB6" s="1293"/>
      <c r="AC6" s="1293"/>
    </row>
    <row r="7" spans="2:30" x14ac:dyDescent="0.35">
      <c r="B7" s="227"/>
      <c r="C7" s="227"/>
      <c r="D7" s="227"/>
      <c r="E7" s="227"/>
      <c r="F7" s="227"/>
      <c r="G7" s="227"/>
      <c r="H7" s="228"/>
      <c r="I7" s="228"/>
      <c r="J7" s="228"/>
      <c r="K7" s="228"/>
      <c r="L7" s="228"/>
      <c r="M7" s="228"/>
      <c r="N7" s="228"/>
      <c r="O7" s="228"/>
      <c r="P7" s="228"/>
      <c r="Q7" s="228"/>
      <c r="R7" s="228"/>
      <c r="S7" s="228"/>
      <c r="T7" s="228"/>
      <c r="U7" s="228"/>
      <c r="V7" s="228"/>
      <c r="W7" s="228"/>
      <c r="X7" s="228"/>
      <c r="Y7" s="228"/>
    </row>
    <row r="8" spans="2:30" ht="14.9" customHeight="1" x14ac:dyDescent="0.35">
      <c r="B8" s="1297" t="s">
        <v>279</v>
      </c>
      <c r="C8" s="1298"/>
      <c r="D8" s="1316" t="s">
        <v>280</v>
      </c>
      <c r="E8" s="1317"/>
      <c r="F8" s="1317"/>
      <c r="G8" s="1317"/>
      <c r="H8" s="1317"/>
      <c r="I8" s="1317"/>
      <c r="J8" s="1317"/>
      <c r="K8" s="1317"/>
      <c r="L8" s="1317"/>
      <c r="M8" s="1317"/>
      <c r="N8" s="1317"/>
      <c r="O8" s="1317"/>
      <c r="P8" s="1317"/>
      <c r="Q8" s="1317"/>
      <c r="R8" s="1317"/>
      <c r="S8" s="1317"/>
      <c r="T8" s="1318"/>
      <c r="U8" s="1319" t="s">
        <v>281</v>
      </c>
      <c r="V8" s="1320"/>
      <c r="W8" s="1320"/>
      <c r="X8" s="1320"/>
      <c r="Y8" s="1320"/>
      <c r="Z8" s="1320"/>
      <c r="AA8" s="1320"/>
      <c r="AB8" s="1320"/>
      <c r="AC8" s="1321"/>
    </row>
    <row r="9" spans="2:30" ht="12.75" customHeight="1" x14ac:dyDescent="0.35">
      <c r="B9" s="1299"/>
      <c r="C9" s="1300"/>
      <c r="D9" s="142">
        <v>2018</v>
      </c>
      <c r="E9" s="1278">
        <v>2019</v>
      </c>
      <c r="F9" s="1306"/>
      <c r="G9" s="1306"/>
      <c r="H9" s="1307"/>
      <c r="I9" s="1306">
        <v>2020</v>
      </c>
      <c r="J9" s="1306"/>
      <c r="K9" s="1306"/>
      <c r="L9" s="1306"/>
      <c r="M9" s="1278">
        <v>2021</v>
      </c>
      <c r="N9" s="1306"/>
      <c r="O9" s="1306"/>
      <c r="P9" s="1306"/>
      <c r="Q9" s="1322">
        <v>2022</v>
      </c>
      <c r="R9" s="1323"/>
      <c r="S9" s="251"/>
      <c r="T9" s="258"/>
      <c r="U9" s="1304">
        <v>2023</v>
      </c>
      <c r="V9" s="1315"/>
      <c r="W9" s="1315"/>
      <c r="X9" s="1305"/>
      <c r="Y9" s="1303">
        <v>2024</v>
      </c>
      <c r="Z9" s="1315"/>
      <c r="AA9" s="1315"/>
      <c r="AB9" s="1315"/>
      <c r="AC9" s="213">
        <v>2025</v>
      </c>
    </row>
    <row r="10" spans="2:30" ht="14.9" customHeight="1" x14ac:dyDescent="0.35">
      <c r="B10" s="1299"/>
      <c r="C10" s="1300"/>
      <c r="D10" s="148" t="s">
        <v>282</v>
      </c>
      <c r="E10" s="148" t="s">
        <v>283</v>
      </c>
      <c r="F10" s="144" t="s">
        <v>284</v>
      </c>
      <c r="G10" s="144" t="s">
        <v>238</v>
      </c>
      <c r="H10" s="145" t="s">
        <v>282</v>
      </c>
      <c r="I10" s="144" t="s">
        <v>283</v>
      </c>
      <c r="J10" s="144" t="s">
        <v>284</v>
      </c>
      <c r="K10" s="144" t="s">
        <v>238</v>
      </c>
      <c r="L10" s="144" t="s">
        <v>282</v>
      </c>
      <c r="M10" s="148" t="s">
        <v>283</v>
      </c>
      <c r="N10" s="144" t="s">
        <v>284</v>
      </c>
      <c r="O10" s="144" t="s">
        <v>238</v>
      </c>
      <c r="P10" s="144" t="s">
        <v>282</v>
      </c>
      <c r="Q10" s="148" t="s">
        <v>283</v>
      </c>
      <c r="R10" s="144" t="s">
        <v>284</v>
      </c>
      <c r="S10" s="144" t="s">
        <v>238</v>
      </c>
      <c r="T10" s="145" t="s">
        <v>282</v>
      </c>
      <c r="U10" s="232" t="s">
        <v>283</v>
      </c>
      <c r="V10" s="232" t="s">
        <v>284</v>
      </c>
      <c r="W10" s="232" t="s">
        <v>238</v>
      </c>
      <c r="X10" s="233" t="s">
        <v>282</v>
      </c>
      <c r="Y10" s="231" t="s">
        <v>283</v>
      </c>
      <c r="Z10" s="229" t="s">
        <v>284</v>
      </c>
      <c r="AA10" s="232" t="s">
        <v>238</v>
      </c>
      <c r="AB10" s="232" t="s">
        <v>282</v>
      </c>
      <c r="AC10" s="234" t="s">
        <v>283</v>
      </c>
    </row>
    <row r="11" spans="2:30" x14ac:dyDescent="0.35">
      <c r="B11" s="212" t="s">
        <v>102</v>
      </c>
      <c r="C11" s="235" t="s">
        <v>285</v>
      </c>
      <c r="D11" s="215">
        <f>'Haver Pivoted'!GO14</f>
        <v>27.1</v>
      </c>
      <c r="E11" s="270">
        <f>'Haver Pivoted'!GP14</f>
        <v>30.5</v>
      </c>
      <c r="F11" s="270">
        <f>'Haver Pivoted'!GQ14</f>
        <v>27.7</v>
      </c>
      <c r="G11" s="270">
        <f>'Haver Pivoted'!GR14</f>
        <v>25</v>
      </c>
      <c r="H11" s="270">
        <f>'Haver Pivoted'!GS14</f>
        <v>26.7</v>
      </c>
      <c r="I11" s="270">
        <f>'Haver Pivoted'!GT14</f>
        <v>40.9</v>
      </c>
      <c r="J11" s="270">
        <f>'Haver Pivoted'!GU14</f>
        <v>951.4</v>
      </c>
      <c r="K11" s="270">
        <f>'Haver Pivoted'!GV14</f>
        <v>802.3</v>
      </c>
      <c r="L11" s="270">
        <f>'Haver Pivoted'!GW14</f>
        <v>323.5</v>
      </c>
      <c r="M11" s="270">
        <f>'Haver Pivoted'!GX14</f>
        <v>583.5</v>
      </c>
      <c r="N11" s="270">
        <f>'Haver Pivoted'!GY14</f>
        <v>451.8</v>
      </c>
      <c r="O11" s="270">
        <f>'Haver Pivoted'!GZ14</f>
        <v>226.8</v>
      </c>
      <c r="P11" s="270">
        <f>'Haver Pivoted'!HA14</f>
        <v>33.9</v>
      </c>
      <c r="Q11" s="270">
        <f>'Haver Pivoted'!HB14</f>
        <v>26.2</v>
      </c>
      <c r="R11" s="270">
        <f>'Haver Pivoted'!HC14</f>
        <v>21.4</v>
      </c>
      <c r="S11" s="143">
        <f>'Haver Pivoted'!HD14</f>
        <v>19.600000000000001</v>
      </c>
      <c r="T11" s="184">
        <f>'Haver Pivoted'!HE14</f>
        <v>22.1</v>
      </c>
      <c r="U11" s="184">
        <f>'Haver Pivoted'!HF14</f>
        <v>22</v>
      </c>
      <c r="V11" s="240">
        <f t="shared" ref="V11:AC11" si="0">V12+V13+V20</f>
        <v>28.907999999999998</v>
      </c>
      <c r="W11" s="240">
        <f t="shared" si="0"/>
        <v>30.79371428571428</v>
      </c>
      <c r="X11" s="240">
        <f t="shared" si="0"/>
        <v>32.145142857142851</v>
      </c>
      <c r="Y11" s="240">
        <f t="shared" si="0"/>
        <v>32.05085714285714</v>
      </c>
      <c r="Z11" s="240">
        <f t="shared" si="0"/>
        <v>31.07028571428571</v>
      </c>
      <c r="AA11" s="240">
        <f t="shared" si="0"/>
        <v>30.542285714285711</v>
      </c>
      <c r="AB11" s="240">
        <f t="shared" si="0"/>
        <v>30.165142857142857</v>
      </c>
      <c r="AC11" s="257">
        <f t="shared" si="0"/>
        <v>30.020571428571422</v>
      </c>
      <c r="AD11" s="202" t="s">
        <v>286</v>
      </c>
    </row>
    <row r="12" spans="2:30" x14ac:dyDescent="0.35">
      <c r="B12" s="226" t="s">
        <v>287</v>
      </c>
      <c r="C12" s="216" t="s">
        <v>288</v>
      </c>
      <c r="D12" s="237">
        <f>'Haver Pivoted'!GO63</f>
        <v>0</v>
      </c>
      <c r="E12" s="195">
        <f>'Haver Pivoted'!GP63</f>
        <v>0</v>
      </c>
      <c r="F12" s="195">
        <f>'Haver Pivoted'!GQ63</f>
        <v>0</v>
      </c>
      <c r="G12" s="195">
        <f>'Haver Pivoted'!GR63</f>
        <v>0</v>
      </c>
      <c r="H12" s="195">
        <f>'Haver Pivoted'!GS63</f>
        <v>0</v>
      </c>
      <c r="I12" s="195">
        <f>'Haver Pivoted'!GT63</f>
        <v>0</v>
      </c>
      <c r="J12" s="195">
        <f>'Haver Pivoted'!GU63</f>
        <v>0.1</v>
      </c>
      <c r="K12" s="195">
        <f>'Haver Pivoted'!GV63</f>
        <v>3.7</v>
      </c>
      <c r="L12" s="195">
        <f>'Haver Pivoted'!GW63</f>
        <v>12.9</v>
      </c>
      <c r="M12" s="195">
        <f>'Haver Pivoted'!GX63</f>
        <v>25.5</v>
      </c>
      <c r="N12" s="195">
        <f>'Haver Pivoted'!GY63</f>
        <v>3.8</v>
      </c>
      <c r="O12" s="195">
        <f>'Haver Pivoted'!GZ63</f>
        <v>1.8</v>
      </c>
      <c r="P12" s="195">
        <f>'Haver Pivoted'!HA63</f>
        <v>0.6</v>
      </c>
      <c r="Q12" s="195">
        <f>'Haver Pivoted'!HB63</f>
        <v>0.2</v>
      </c>
      <c r="R12" s="195">
        <f>'Haver Pivoted'!HC63</f>
        <v>0.1</v>
      </c>
      <c r="S12" s="144">
        <f>'Haver Pivoted'!HD63</f>
        <v>0</v>
      </c>
      <c r="T12" s="145">
        <f>'Haver Pivoted'!HE63</f>
        <v>0</v>
      </c>
      <c r="U12" s="145">
        <f>'Haver Pivoted'!HF63</f>
        <v>0</v>
      </c>
      <c r="V12" s="197">
        <f>U12*V23/U23</f>
        <v>0</v>
      </c>
      <c r="W12" s="197">
        <f t="shared" ref="W12:AB12" si="1">V12*W23/V23</f>
        <v>0</v>
      </c>
      <c r="X12" s="197">
        <f t="shared" si="1"/>
        <v>0</v>
      </c>
      <c r="Y12" s="197">
        <f t="shared" si="1"/>
        <v>0</v>
      </c>
      <c r="Z12" s="197">
        <f t="shared" si="1"/>
        <v>0</v>
      </c>
      <c r="AA12" s="197">
        <f t="shared" si="1"/>
        <v>0</v>
      </c>
      <c r="AB12" s="197">
        <f t="shared" si="1"/>
        <v>0</v>
      </c>
      <c r="AC12" s="264">
        <f>AB12*AC23/AB23</f>
        <v>0</v>
      </c>
    </row>
    <row r="13" spans="2:30" x14ac:dyDescent="0.35">
      <c r="B13" s="226" t="s">
        <v>289</v>
      </c>
      <c r="C13" s="216"/>
      <c r="D13" s="237"/>
      <c r="E13" s="195"/>
      <c r="F13" s="195"/>
      <c r="G13" s="195"/>
      <c r="H13" s="185">
        <f>SUM(H14:H17)</f>
        <v>0</v>
      </c>
      <c r="I13" s="185">
        <f t="shared" ref="I13:M13" si="2">SUM(I14:I17)</f>
        <v>0</v>
      </c>
      <c r="J13" s="185">
        <f t="shared" si="2"/>
        <v>779.7</v>
      </c>
      <c r="K13" s="185">
        <f t="shared" si="2"/>
        <v>582.6</v>
      </c>
      <c r="L13" s="185">
        <f t="shared" si="2"/>
        <v>216.5</v>
      </c>
      <c r="M13" s="185">
        <f t="shared" si="2"/>
        <v>497.6</v>
      </c>
      <c r="N13" s="191">
        <f>SUM(N14:N17)</f>
        <v>401.5</v>
      </c>
      <c r="O13" s="191">
        <f t="shared" ref="O13:AC13" si="3">SUM(O14:O17)</f>
        <v>207.4</v>
      </c>
      <c r="P13" s="191">
        <f t="shared" si="3"/>
        <v>5.5</v>
      </c>
      <c r="Q13" s="191">
        <v>0</v>
      </c>
      <c r="R13" s="191">
        <f t="shared" si="3"/>
        <v>1</v>
      </c>
      <c r="S13" s="255">
        <f t="shared" si="3"/>
        <v>0.5</v>
      </c>
      <c r="T13" s="265">
        <f t="shared" si="3"/>
        <v>0.30000000000000004</v>
      </c>
      <c r="U13" s="265">
        <f t="shared" si="3"/>
        <v>0</v>
      </c>
      <c r="V13" s="197">
        <f t="shared" si="3"/>
        <v>0</v>
      </c>
      <c r="W13" s="197">
        <f t="shared" si="3"/>
        <v>0</v>
      </c>
      <c r="X13" s="197">
        <f t="shared" si="3"/>
        <v>0</v>
      </c>
      <c r="Y13" s="197">
        <f t="shared" si="3"/>
        <v>0</v>
      </c>
      <c r="Z13" s="197">
        <f t="shared" si="3"/>
        <v>0</v>
      </c>
      <c r="AA13" s="197">
        <f t="shared" si="3"/>
        <v>0</v>
      </c>
      <c r="AB13" s="197">
        <f t="shared" si="3"/>
        <v>0</v>
      </c>
      <c r="AC13" s="264">
        <f t="shared" si="3"/>
        <v>0</v>
      </c>
    </row>
    <row r="14" spans="2:30" ht="18" customHeight="1" x14ac:dyDescent="0.35">
      <c r="B14" s="208" t="s">
        <v>290</v>
      </c>
      <c r="C14" s="209" t="s">
        <v>288</v>
      </c>
      <c r="D14" s="236">
        <f>'Haver Pivoted'!GO63</f>
        <v>0</v>
      </c>
      <c r="E14" s="190">
        <f>'Haver Pivoted'!GP63</f>
        <v>0</v>
      </c>
      <c r="F14" s="190">
        <f>'Haver Pivoted'!GQ63</f>
        <v>0</v>
      </c>
      <c r="G14" s="190">
        <f>'Haver Pivoted'!GR63</f>
        <v>0</v>
      </c>
      <c r="H14" s="190">
        <f>'Haver Pivoted'!GS63</f>
        <v>0</v>
      </c>
      <c r="I14" s="190">
        <f>'Haver Pivoted'!GT63</f>
        <v>0</v>
      </c>
      <c r="J14" s="190">
        <f>'Haver Pivoted'!GU63</f>
        <v>0.1</v>
      </c>
      <c r="K14" s="190">
        <f>'Haver Pivoted'!GV63</f>
        <v>3.7</v>
      </c>
      <c r="L14" s="190">
        <f>'Haver Pivoted'!GW63</f>
        <v>12.9</v>
      </c>
      <c r="M14" s="190">
        <f>'Haver Pivoted'!GX63</f>
        <v>25.5</v>
      </c>
      <c r="N14" s="190">
        <f>'Haver Pivoted'!GY63</f>
        <v>3.8</v>
      </c>
      <c r="O14" s="190">
        <f>'Haver Pivoted'!GZ63</f>
        <v>1.8</v>
      </c>
      <c r="P14" s="190">
        <f>'Haver Pivoted'!HA63</f>
        <v>0.6</v>
      </c>
      <c r="Q14" s="190">
        <f>'Haver Pivoted'!HB63</f>
        <v>0.2</v>
      </c>
      <c r="R14" s="190">
        <f>'Haver Pivoted'!HC63</f>
        <v>0.1</v>
      </c>
      <c r="S14" s="196">
        <f>'Haver Pivoted'!HD63</f>
        <v>0</v>
      </c>
      <c r="T14" s="263">
        <f>'Haver Pivoted'!HE63</f>
        <v>0</v>
      </c>
      <c r="U14" s="263">
        <f>'Haver Pivoted'!HF63</f>
        <v>0</v>
      </c>
      <c r="V14" s="197">
        <f t="shared" ref="V14:X14" si="4">V12</f>
        <v>0</v>
      </c>
      <c r="W14" s="197">
        <f t="shared" si="4"/>
        <v>0</v>
      </c>
      <c r="X14" s="197">
        <f t="shared" si="4"/>
        <v>0</v>
      </c>
      <c r="Y14" s="197">
        <f>Y12</f>
        <v>0</v>
      </c>
      <c r="Z14" s="197">
        <f t="shared" ref="Z14:AC14" si="5">Z12</f>
        <v>0</v>
      </c>
      <c r="AA14" s="197">
        <f t="shared" si="5"/>
        <v>0</v>
      </c>
      <c r="AB14" s="197">
        <f t="shared" si="5"/>
        <v>0</v>
      </c>
      <c r="AC14" s="264">
        <f t="shared" si="5"/>
        <v>0</v>
      </c>
    </row>
    <row r="15" spans="2:30" ht="18" customHeight="1" x14ac:dyDescent="0.35">
      <c r="B15" s="208" t="s">
        <v>291</v>
      </c>
      <c r="C15" s="209" t="s">
        <v>292</v>
      </c>
      <c r="D15" s="236">
        <f>'Haver Pivoted'!GO59</f>
        <v>0</v>
      </c>
      <c r="E15" s="190">
        <f>'Haver Pivoted'!GP59</f>
        <v>0</v>
      </c>
      <c r="F15" s="190">
        <f>'Haver Pivoted'!GQ59</f>
        <v>0</v>
      </c>
      <c r="G15" s="190">
        <f>'Haver Pivoted'!GR59</f>
        <v>0</v>
      </c>
      <c r="H15" s="190">
        <f>'Haver Pivoted'!GS59</f>
        <v>0</v>
      </c>
      <c r="I15" s="190">
        <f>'Haver Pivoted'!GT59</f>
        <v>0</v>
      </c>
      <c r="J15" s="190">
        <f>'Haver Pivoted'!GU59</f>
        <v>6.3</v>
      </c>
      <c r="K15" s="190">
        <f>'Haver Pivoted'!GV59</f>
        <v>26.7</v>
      </c>
      <c r="L15" s="190">
        <f>'Haver Pivoted'!GW59</f>
        <v>82.1</v>
      </c>
      <c r="M15" s="190">
        <f>'Haver Pivoted'!GX59</f>
        <v>94.7</v>
      </c>
      <c r="N15" s="190">
        <f>'Haver Pivoted'!GY59</f>
        <v>92.1</v>
      </c>
      <c r="O15" s="190">
        <f>'Haver Pivoted'!GZ59</f>
        <v>51.6</v>
      </c>
      <c r="P15" s="190">
        <f>'Haver Pivoted'!HA59</f>
        <v>2.8</v>
      </c>
      <c r="Q15" s="190">
        <f>'Haver Pivoted'!HB59</f>
        <v>0.8</v>
      </c>
      <c r="R15" s="190">
        <f>'Haver Pivoted'!HC59</f>
        <v>0.5</v>
      </c>
      <c r="S15" s="196">
        <f>'Haver Pivoted'!HD59</f>
        <v>0.3</v>
      </c>
      <c r="T15" s="263">
        <f>'Haver Pivoted'!HE59</f>
        <v>0.2</v>
      </c>
      <c r="U15" s="263">
        <f>'Haver Pivoted'!HF59</f>
        <v>0</v>
      </c>
      <c r="V15" s="197">
        <f t="shared" ref="V15:AB17" si="6">U15*V$23/U$23</f>
        <v>0</v>
      </c>
      <c r="W15" s="197">
        <f t="shared" si="6"/>
        <v>0</v>
      </c>
      <c r="X15" s="197">
        <f t="shared" si="6"/>
        <v>0</v>
      </c>
      <c r="Y15" s="197">
        <f t="shared" si="6"/>
        <v>0</v>
      </c>
      <c r="Z15" s="197">
        <f t="shared" si="6"/>
        <v>0</v>
      </c>
      <c r="AA15" s="197">
        <f t="shared" si="6"/>
        <v>0</v>
      </c>
      <c r="AB15" s="197">
        <f t="shared" si="6"/>
        <v>0</v>
      </c>
      <c r="AC15" s="264">
        <f>AB15*AC$23/AB$23</f>
        <v>0</v>
      </c>
    </row>
    <row r="16" spans="2:30" ht="18" customHeight="1" x14ac:dyDescent="0.35">
      <c r="B16" s="208" t="s">
        <v>293</v>
      </c>
      <c r="C16" s="209" t="s">
        <v>294</v>
      </c>
      <c r="D16" s="236">
        <f>'Haver Pivoted'!GO60</f>
        <v>0</v>
      </c>
      <c r="E16" s="190">
        <f>'Haver Pivoted'!GP60</f>
        <v>0</v>
      </c>
      <c r="F16" s="190">
        <f>'Haver Pivoted'!GQ60</f>
        <v>0</v>
      </c>
      <c r="G16" s="190">
        <f>'Haver Pivoted'!GR60</f>
        <v>0</v>
      </c>
      <c r="H16" s="190">
        <f>'Haver Pivoted'!GS60</f>
        <v>0</v>
      </c>
      <c r="I16" s="190">
        <f>'Haver Pivoted'!GT60</f>
        <v>0</v>
      </c>
      <c r="J16" s="190">
        <f>'Haver Pivoted'!GU60</f>
        <v>74.400000000000006</v>
      </c>
      <c r="K16" s="190">
        <f>'Haver Pivoted'!GV60</f>
        <v>138.30000000000001</v>
      </c>
      <c r="L16" s="190">
        <f>'Haver Pivoted'!GW60</f>
        <v>106.8</v>
      </c>
      <c r="M16" s="190">
        <f>'Haver Pivoted'!GX60</f>
        <v>89.2</v>
      </c>
      <c r="N16" s="190">
        <f>'Haver Pivoted'!GY60</f>
        <v>72.3</v>
      </c>
      <c r="O16" s="190">
        <f>'Haver Pivoted'!GZ60</f>
        <v>43.5</v>
      </c>
      <c r="P16" s="190">
        <f>'Haver Pivoted'!HA60</f>
        <v>2.1</v>
      </c>
      <c r="Q16" s="190">
        <f>'Haver Pivoted'!HB60</f>
        <v>0.8</v>
      </c>
      <c r="R16" s="190">
        <f>'Haver Pivoted'!HC60</f>
        <v>0.4</v>
      </c>
      <c r="S16" s="196">
        <f>'Haver Pivoted'!HD60</f>
        <v>0.2</v>
      </c>
      <c r="T16" s="263">
        <f>'Haver Pivoted'!HE60</f>
        <v>0.1</v>
      </c>
      <c r="U16" s="263">
        <f>'Haver Pivoted'!HF60</f>
        <v>0</v>
      </c>
      <c r="V16" s="197">
        <f t="shared" si="6"/>
        <v>0</v>
      </c>
      <c r="W16" s="197">
        <f t="shared" si="6"/>
        <v>0</v>
      </c>
      <c r="X16" s="197">
        <f t="shared" si="6"/>
        <v>0</v>
      </c>
      <c r="Y16" s="197">
        <f t="shared" si="6"/>
        <v>0</v>
      </c>
      <c r="Z16" s="197">
        <f t="shared" si="6"/>
        <v>0</v>
      </c>
      <c r="AA16" s="197">
        <f t="shared" si="6"/>
        <v>0</v>
      </c>
      <c r="AB16" s="197">
        <f t="shared" si="6"/>
        <v>0</v>
      </c>
      <c r="AC16" s="264">
        <f>AB16*AC$23/AB$23</f>
        <v>0</v>
      </c>
    </row>
    <row r="17" spans="1:32" ht="18" customHeight="1" x14ac:dyDescent="0.35">
      <c r="B17" s="208" t="s">
        <v>295</v>
      </c>
      <c r="C17" s="209" t="s">
        <v>296</v>
      </c>
      <c r="D17" s="236">
        <f>'Haver Pivoted'!GO61</f>
        <v>0</v>
      </c>
      <c r="E17" s="190">
        <f>'Haver Pivoted'!GP61</f>
        <v>0</v>
      </c>
      <c r="F17" s="190">
        <f>'Haver Pivoted'!GQ61</f>
        <v>0</v>
      </c>
      <c r="G17" s="190">
        <f>'Haver Pivoted'!GR61</f>
        <v>0</v>
      </c>
      <c r="H17" s="190">
        <f>'Haver Pivoted'!GS61</f>
        <v>0</v>
      </c>
      <c r="I17" s="190">
        <f>'Haver Pivoted'!GT61</f>
        <v>0</v>
      </c>
      <c r="J17" s="190">
        <f>'Haver Pivoted'!GU61</f>
        <v>698.9</v>
      </c>
      <c r="K17" s="190">
        <f>'Haver Pivoted'!GV61</f>
        <v>413.9</v>
      </c>
      <c r="L17" s="190">
        <f>'Haver Pivoted'!GW61</f>
        <v>14.7</v>
      </c>
      <c r="M17" s="190">
        <f>'Haver Pivoted'!GX61</f>
        <v>288.2</v>
      </c>
      <c r="N17" s="190">
        <f>'Haver Pivoted'!GY61</f>
        <v>233.3</v>
      </c>
      <c r="O17" s="190">
        <f>'Haver Pivoted'!GZ61</f>
        <v>110.5</v>
      </c>
      <c r="P17" s="190">
        <f>'Haver Pivoted'!HA61</f>
        <v>0</v>
      </c>
      <c r="Q17" s="190">
        <f>'Haver Pivoted'!HB61</f>
        <v>0</v>
      </c>
      <c r="R17" s="190">
        <f>'Haver Pivoted'!HC61</f>
        <v>0</v>
      </c>
      <c r="S17" s="196">
        <f>'Haver Pivoted'!HD61</f>
        <v>0</v>
      </c>
      <c r="T17" s="263">
        <f>'Haver Pivoted'!HE61</f>
        <v>0</v>
      </c>
      <c r="U17" s="263">
        <f>'Haver Pivoted'!HF61</f>
        <v>0</v>
      </c>
      <c r="V17" s="197">
        <f t="shared" si="6"/>
        <v>0</v>
      </c>
      <c r="W17" s="197">
        <f t="shared" si="6"/>
        <v>0</v>
      </c>
      <c r="X17" s="197">
        <f t="shared" si="6"/>
        <v>0</v>
      </c>
      <c r="Y17" s="197">
        <f t="shared" si="6"/>
        <v>0</v>
      </c>
      <c r="Z17" s="197">
        <f t="shared" si="6"/>
        <v>0</v>
      </c>
      <c r="AA17" s="197">
        <f t="shared" si="6"/>
        <v>0</v>
      </c>
      <c r="AB17" s="197">
        <f t="shared" si="6"/>
        <v>0</v>
      </c>
      <c r="AC17" s="264">
        <f>AB17*AC$23/AB$23</f>
        <v>0</v>
      </c>
    </row>
    <row r="18" spans="1:32" x14ac:dyDescent="0.35">
      <c r="B18" s="210" t="s">
        <v>158</v>
      </c>
      <c r="C18" s="202" t="s">
        <v>297</v>
      </c>
      <c r="D18" s="237">
        <f>'Haver Pivoted'!GO64</f>
        <v>0</v>
      </c>
      <c r="E18" s="195">
        <f>'Haver Pivoted'!GP64</f>
        <v>0</v>
      </c>
      <c r="F18" s="195">
        <f>'Haver Pivoted'!GQ64</f>
        <v>0</v>
      </c>
      <c r="G18" s="195">
        <f>'Haver Pivoted'!GR64</f>
        <v>0</v>
      </c>
      <c r="H18" s="195">
        <f>'Haver Pivoted'!GS64</f>
        <v>0</v>
      </c>
      <c r="I18" s="195">
        <f>'Haver Pivoted'!GT64</f>
        <v>0</v>
      </c>
      <c r="J18" s="195">
        <f>'Haver Pivoted'!GU64</f>
        <v>0</v>
      </c>
      <c r="K18" s="195">
        <f>'Haver Pivoted'!GV64</f>
        <v>106.2</v>
      </c>
      <c r="L18" s="195">
        <f>'Haver Pivoted'!GW64</f>
        <v>35.9</v>
      </c>
      <c r="M18" s="195">
        <f>'Haver Pivoted'!GX64</f>
        <v>1.6</v>
      </c>
      <c r="N18" s="195">
        <f>'Haver Pivoted'!GY64</f>
        <v>0.6</v>
      </c>
      <c r="O18" s="195">
        <f>'Haver Pivoted'!GZ64</f>
        <v>0.1</v>
      </c>
      <c r="P18" s="195">
        <f>'Haver Pivoted'!HA64</f>
        <v>0</v>
      </c>
      <c r="Q18" s="190">
        <f>'Haver Pivoted'!HB64</f>
        <v>0</v>
      </c>
      <c r="R18" s="190">
        <f>'Haver Pivoted'!HC64</f>
        <v>0</v>
      </c>
      <c r="S18" s="196">
        <f>'Haver Pivoted'!HD64</f>
        <v>0</v>
      </c>
      <c r="T18" s="263">
        <f>'Haver Pivoted'!HE64</f>
        <v>0</v>
      </c>
      <c r="U18" s="263">
        <f>'Haver Pivoted'!HF64</f>
        <v>0</v>
      </c>
      <c r="V18" s="197"/>
      <c r="W18" s="197"/>
      <c r="X18" s="197"/>
      <c r="Y18" s="197"/>
      <c r="Z18" s="197"/>
      <c r="AA18" s="197"/>
      <c r="AB18" s="197"/>
      <c r="AC18" s="264"/>
    </row>
    <row r="19" spans="1:32" ht="14.9" customHeight="1" x14ac:dyDescent="0.35">
      <c r="B19" s="230" t="s">
        <v>298</v>
      </c>
      <c r="C19" s="217"/>
      <c r="D19" s="224">
        <f t="shared" ref="D19:N19" si="7">D11-D20</f>
        <v>0</v>
      </c>
      <c r="E19" s="188">
        <f t="shared" si="7"/>
        <v>0</v>
      </c>
      <c r="F19" s="188">
        <f t="shared" si="7"/>
        <v>0</v>
      </c>
      <c r="G19" s="188">
        <f t="shared" si="7"/>
        <v>0</v>
      </c>
      <c r="H19" s="188">
        <f t="shared" si="7"/>
        <v>0</v>
      </c>
      <c r="I19" s="188">
        <f t="shared" si="7"/>
        <v>0</v>
      </c>
      <c r="J19" s="188">
        <f t="shared" si="7"/>
        <v>779.80000000000007</v>
      </c>
      <c r="K19" s="188">
        <f t="shared" si="7"/>
        <v>586.29999999999995</v>
      </c>
      <c r="L19" s="188">
        <f t="shared" si="7"/>
        <v>229.4</v>
      </c>
      <c r="M19" s="188">
        <f t="shared" si="7"/>
        <v>523.1</v>
      </c>
      <c r="N19" s="189">
        <f t="shared" si="7"/>
        <v>405.3</v>
      </c>
      <c r="O19" s="189">
        <f>O11-O20</f>
        <v>209.20000000000002</v>
      </c>
      <c r="P19" s="189">
        <f t="shared" ref="P19" si="8">P11-P20</f>
        <v>6.1000000000000014</v>
      </c>
      <c r="Q19" s="189">
        <f>Q11-Q20</f>
        <v>0.19999999999999929</v>
      </c>
      <c r="R19" s="189">
        <f>R11-R20</f>
        <v>1.1000000000000014</v>
      </c>
      <c r="S19" s="256">
        <f>S11-S20</f>
        <v>0.5</v>
      </c>
      <c r="T19" s="262">
        <f>T11-T20</f>
        <v>0.30000000000000071</v>
      </c>
      <c r="U19" s="262">
        <f>U11-U20</f>
        <v>0</v>
      </c>
      <c r="V19" s="198">
        <f t="shared" ref="V19:AC19" si="9">V11-V20</f>
        <v>0</v>
      </c>
      <c r="W19" s="198">
        <f t="shared" si="9"/>
        <v>0</v>
      </c>
      <c r="X19" s="198">
        <f t="shared" si="9"/>
        <v>0</v>
      </c>
      <c r="Y19" s="198">
        <f t="shared" si="9"/>
        <v>0</v>
      </c>
      <c r="Z19" s="198">
        <f t="shared" si="9"/>
        <v>0</v>
      </c>
      <c r="AA19" s="198">
        <f t="shared" si="9"/>
        <v>0</v>
      </c>
      <c r="AB19" s="198">
        <f t="shared" si="9"/>
        <v>0</v>
      </c>
      <c r="AC19" s="198">
        <f t="shared" si="9"/>
        <v>0</v>
      </c>
    </row>
    <row r="20" spans="1:32" ht="14.9" customHeight="1" x14ac:dyDescent="0.35">
      <c r="B20" s="230" t="s">
        <v>299</v>
      </c>
      <c r="C20" s="217"/>
      <c r="D20" s="224">
        <f t="shared" ref="D20:H20" si="10">D11</f>
        <v>27.1</v>
      </c>
      <c r="E20" s="188">
        <f t="shared" si="10"/>
        <v>30.5</v>
      </c>
      <c r="F20" s="188">
        <f t="shared" si="10"/>
        <v>27.7</v>
      </c>
      <c r="G20" s="188">
        <f t="shared" si="10"/>
        <v>25</v>
      </c>
      <c r="H20" s="188">
        <f t="shared" si="10"/>
        <v>26.7</v>
      </c>
      <c r="I20" s="188">
        <f>I11</f>
        <v>40.9</v>
      </c>
      <c r="J20" s="188">
        <f>J11-J13-J12</f>
        <v>171.59999999999994</v>
      </c>
      <c r="K20" s="188">
        <f>K11-K13-K12</f>
        <v>215.99999999999994</v>
      </c>
      <c r="L20" s="188">
        <f>L11-L13-L12</f>
        <v>94.1</v>
      </c>
      <c r="M20" s="188">
        <f>M11-M13-M12</f>
        <v>60.399999999999977</v>
      </c>
      <c r="N20" s="189">
        <f t="shared" ref="N20:U20" si="11">N11-N12-N13</f>
        <v>46.5</v>
      </c>
      <c r="O20" s="189">
        <f t="shared" si="11"/>
        <v>17.599999999999994</v>
      </c>
      <c r="P20" s="189">
        <f t="shared" si="11"/>
        <v>27.799999999999997</v>
      </c>
      <c r="Q20" s="190">
        <f t="shared" si="11"/>
        <v>26</v>
      </c>
      <c r="R20" s="190">
        <f t="shared" si="11"/>
        <v>20.299999999999997</v>
      </c>
      <c r="S20" s="196">
        <f t="shared" si="11"/>
        <v>19.100000000000001</v>
      </c>
      <c r="T20" s="263">
        <f t="shared" si="11"/>
        <v>21.8</v>
      </c>
      <c r="U20" s="263">
        <f t="shared" si="11"/>
        <v>22</v>
      </c>
      <c r="V20" s="198">
        <f t="shared" ref="V20:AB20" si="12">U20*V23/U23</f>
        <v>28.907999999999998</v>
      </c>
      <c r="W20" s="198">
        <f t="shared" si="12"/>
        <v>30.79371428571428</v>
      </c>
      <c r="X20" s="198">
        <f t="shared" si="12"/>
        <v>32.145142857142851</v>
      </c>
      <c r="Y20" s="198">
        <f t="shared" si="12"/>
        <v>32.05085714285714</v>
      </c>
      <c r="Z20" s="198">
        <f t="shared" si="12"/>
        <v>31.07028571428571</v>
      </c>
      <c r="AA20" s="198">
        <f t="shared" si="12"/>
        <v>30.542285714285711</v>
      </c>
      <c r="AB20" s="198">
        <f t="shared" si="12"/>
        <v>30.165142857142857</v>
      </c>
      <c r="AC20" s="261">
        <f>AB20*AC23/AB23</f>
        <v>30.020571428571422</v>
      </c>
      <c r="AD20" s="225" t="s">
        <v>300</v>
      </c>
    </row>
    <row r="21" spans="1:32" x14ac:dyDescent="0.35">
      <c r="B21" s="210"/>
      <c r="C21" s="211"/>
      <c r="D21" s="236"/>
      <c r="E21" s="190"/>
      <c r="F21" s="190"/>
      <c r="G21" s="190"/>
      <c r="H21" s="185"/>
      <c r="I21" s="185"/>
      <c r="J21" s="185"/>
      <c r="K21" s="185"/>
      <c r="L21" s="185"/>
      <c r="M21" s="185"/>
      <c r="N21" s="185"/>
      <c r="O21" s="185"/>
      <c r="P21" s="185"/>
      <c r="Q21" s="185"/>
      <c r="R21" s="185"/>
      <c r="S21" s="185"/>
      <c r="T21" s="273"/>
      <c r="U21" s="185"/>
      <c r="V21" s="197"/>
      <c r="W21" s="197"/>
      <c r="X21" s="197"/>
      <c r="Y21" s="197"/>
      <c r="Z21" s="197"/>
      <c r="AA21" s="197"/>
      <c r="AB21" s="197"/>
      <c r="AC21" s="264"/>
    </row>
    <row r="22" spans="1:32" x14ac:dyDescent="0.35">
      <c r="B22" s="202" t="s">
        <v>1802</v>
      </c>
      <c r="C22" s="211"/>
      <c r="D22" s="190"/>
      <c r="E22" s="190"/>
      <c r="F22" s="190"/>
      <c r="G22" s="190"/>
      <c r="H22" s="185"/>
      <c r="I22" s="185"/>
      <c r="J22" s="185"/>
      <c r="K22" s="185"/>
      <c r="L22" s="185"/>
      <c r="M22" s="185"/>
      <c r="N22" s="185"/>
      <c r="O22" s="185"/>
      <c r="P22" s="185"/>
      <c r="Q22" s="185"/>
      <c r="R22" s="185"/>
      <c r="S22" s="185"/>
      <c r="T22" s="214"/>
      <c r="U22" s="186"/>
      <c r="V22" s="199">
        <v>4.5990000000000002</v>
      </c>
      <c r="W22" s="199">
        <v>4.899</v>
      </c>
      <c r="X22" s="199">
        <v>5.1139999999999999</v>
      </c>
      <c r="Y22" s="199">
        <v>5.0990000000000002</v>
      </c>
      <c r="Z22" s="199">
        <v>4.9429999999999996</v>
      </c>
      <c r="AA22" s="199">
        <v>4.859</v>
      </c>
      <c r="AB22" s="199">
        <v>4.7990000000000004</v>
      </c>
      <c r="AC22" s="199">
        <v>4.7759999999999998</v>
      </c>
    </row>
    <row r="23" spans="1:32" x14ac:dyDescent="0.35">
      <c r="B23" s="210" t="s">
        <v>1867</v>
      </c>
      <c r="C23" s="266"/>
      <c r="D23" s="267"/>
      <c r="E23" s="268"/>
      <c r="F23" s="268"/>
      <c r="G23" s="268"/>
      <c r="H23" s="269"/>
      <c r="I23" s="269"/>
      <c r="J23" s="269"/>
      <c r="K23" s="269"/>
      <c r="L23" s="269"/>
      <c r="M23" s="269">
        <f>GETPIVOTDATA("Monthly UR",$E$28,"Quarters",M24,"Years",M25)</f>
        <v>6.166666666666667</v>
      </c>
      <c r="N23" s="269">
        <f t="shared" ref="N23:U23" si="13">GETPIVOTDATA("Monthly UR",$E$28,"Quarters",N24,"Years",N25)</f>
        <v>5.7666666666666657</v>
      </c>
      <c r="O23" s="269">
        <f t="shared" si="13"/>
        <v>5.1333333333333337</v>
      </c>
      <c r="P23" s="269">
        <f t="shared" si="13"/>
        <v>4.2333333333333334</v>
      </c>
      <c r="Q23" s="269">
        <f t="shared" si="13"/>
        <v>3.8000000000000003</v>
      </c>
      <c r="R23" s="269">
        <f t="shared" si="13"/>
        <v>3.6</v>
      </c>
      <c r="S23" s="269">
        <f t="shared" si="13"/>
        <v>3.5666666666666664</v>
      </c>
      <c r="T23" s="269">
        <f t="shared" si="13"/>
        <v>3.6</v>
      </c>
      <c r="U23" s="269">
        <f t="shared" si="13"/>
        <v>3.5</v>
      </c>
      <c r="V23" s="274">
        <v>4.5990000000000002</v>
      </c>
      <c r="W23" s="274">
        <v>4.899</v>
      </c>
      <c r="X23" s="274">
        <v>5.1139999999999999</v>
      </c>
      <c r="Y23" s="274">
        <v>5.0990000000000002</v>
      </c>
      <c r="Z23" s="274">
        <v>4.9429999999999996</v>
      </c>
      <c r="AA23" s="274">
        <v>4.859</v>
      </c>
      <c r="AB23" s="274">
        <v>4.7990000000000004</v>
      </c>
      <c r="AC23" s="275">
        <v>4.7759999999999998</v>
      </c>
      <c r="AD23" s="186" t="s">
        <v>301</v>
      </c>
    </row>
    <row r="24" spans="1:32" ht="15.75" customHeight="1" x14ac:dyDescent="0.35">
      <c r="B24" s="271" t="s">
        <v>1881</v>
      </c>
      <c r="C24" s="259"/>
      <c r="D24" s="260"/>
      <c r="E24" s="260"/>
      <c r="F24" s="260"/>
      <c r="G24" s="260"/>
      <c r="H24" s="260"/>
      <c r="I24" s="260"/>
      <c r="J24" s="260"/>
      <c r="K24" s="260"/>
      <c r="L24" s="260"/>
      <c r="M24" s="260">
        <v>1</v>
      </c>
      <c r="N24" s="260">
        <v>2</v>
      </c>
      <c r="O24" s="260">
        <v>3</v>
      </c>
      <c r="P24" s="260">
        <v>4</v>
      </c>
      <c r="Q24" s="260">
        <v>1</v>
      </c>
      <c r="R24" s="260">
        <v>2</v>
      </c>
      <c r="S24" s="260">
        <v>3</v>
      </c>
      <c r="T24" s="260">
        <v>4</v>
      </c>
      <c r="U24" s="260">
        <v>1</v>
      </c>
      <c r="V24" s="260">
        <v>2</v>
      </c>
      <c r="W24" s="260">
        <v>3</v>
      </c>
      <c r="X24" s="260">
        <v>4</v>
      </c>
      <c r="Y24" s="260">
        <v>1</v>
      </c>
      <c r="Z24" s="260">
        <v>2</v>
      </c>
      <c r="AA24" s="260">
        <v>3</v>
      </c>
      <c r="AB24" s="260">
        <v>4</v>
      </c>
      <c r="AC24" s="260">
        <v>1</v>
      </c>
      <c r="AD24" s="195">
        <v>2</v>
      </c>
      <c r="AE24" s="195">
        <v>3</v>
      </c>
      <c r="AF24" s="195">
        <v>4</v>
      </c>
    </row>
    <row r="25" spans="1:32" x14ac:dyDescent="0.35">
      <c r="B25" s="272" t="s">
        <v>1882</v>
      </c>
      <c r="C25" s="259"/>
      <c r="D25" s="260"/>
      <c r="E25" s="260"/>
      <c r="F25" s="260"/>
      <c r="G25" s="260"/>
      <c r="H25" s="260"/>
      <c r="I25" s="260"/>
      <c r="J25" s="260"/>
      <c r="K25" s="260"/>
      <c r="L25" s="260"/>
      <c r="M25" s="260">
        <v>2021</v>
      </c>
      <c r="N25" s="260">
        <v>2021</v>
      </c>
      <c r="O25" s="260">
        <v>2021</v>
      </c>
      <c r="P25" s="260">
        <v>2021</v>
      </c>
      <c r="Q25" s="260">
        <v>2022</v>
      </c>
      <c r="R25" s="260">
        <v>2022</v>
      </c>
      <c r="S25" s="260">
        <v>2022</v>
      </c>
      <c r="T25" s="260">
        <v>2022</v>
      </c>
      <c r="U25" s="260">
        <v>2023</v>
      </c>
      <c r="V25" s="260">
        <v>2023</v>
      </c>
      <c r="W25" s="260">
        <v>2023</v>
      </c>
      <c r="X25" s="260">
        <v>2023</v>
      </c>
      <c r="Y25" s="260">
        <v>2024</v>
      </c>
      <c r="Z25" s="260">
        <v>2024</v>
      </c>
      <c r="AA25" s="260">
        <v>2024</v>
      </c>
      <c r="AB25" s="260">
        <v>2024</v>
      </c>
      <c r="AC25" s="260">
        <v>2025</v>
      </c>
      <c r="AD25" s="186"/>
    </row>
    <row r="26" spans="1:32" x14ac:dyDescent="0.35">
      <c r="C26" s="202"/>
      <c r="D26" s="195"/>
      <c r="E26" s="195"/>
      <c r="F26" s="195"/>
      <c r="G26" s="195"/>
      <c r="H26" s="185"/>
      <c r="I26" s="185"/>
      <c r="J26" s="185"/>
      <c r="K26" s="185"/>
      <c r="L26" s="185"/>
      <c r="M26" s="185"/>
      <c r="N26" s="185"/>
      <c r="O26" s="185"/>
      <c r="P26" s="185"/>
      <c r="AD26" s="186"/>
    </row>
    <row r="27" spans="1:32" x14ac:dyDescent="0.35">
      <c r="M27" s="202"/>
      <c r="N27" s="202"/>
      <c r="O27" s="202"/>
    </row>
    <row r="28" spans="1:32" ht="43.5" customHeight="1" x14ac:dyDescent="0.35">
      <c r="B28" s="243" t="s">
        <v>302</v>
      </c>
      <c r="C28" s="244" t="s">
        <v>303</v>
      </c>
      <c r="D28" s="241"/>
      <c r="E28" s="14" t="s">
        <v>1871</v>
      </c>
      <c r="F28" s="14" t="s">
        <v>1876</v>
      </c>
      <c r="G28" s="14"/>
      <c r="H28" s="14"/>
      <c r="I28" s="14"/>
      <c r="J28" s="14"/>
      <c r="O28" s="245"/>
    </row>
    <row r="29" spans="1:32" x14ac:dyDescent="0.35">
      <c r="A29" s="35"/>
      <c r="B29" s="238">
        <v>44197</v>
      </c>
      <c r="C29" s="152">
        <v>6.3</v>
      </c>
      <c r="D29" s="242"/>
      <c r="E29" s="56" t="s">
        <v>1800</v>
      </c>
      <c r="F29" s="35"/>
      <c r="G29" s="35"/>
      <c r="H29" s="167"/>
      <c r="I29" s="35"/>
      <c r="J29" s="167"/>
      <c r="O29" s="202"/>
    </row>
    <row r="30" spans="1:32" x14ac:dyDescent="0.35">
      <c r="A30" s="35"/>
      <c r="B30" s="238">
        <v>44228</v>
      </c>
      <c r="C30" s="152">
        <v>6.2</v>
      </c>
      <c r="D30" s="242"/>
      <c r="E30" s="100" t="s">
        <v>1872</v>
      </c>
      <c r="F30" s="134">
        <v>6.166666666666667</v>
      </c>
      <c r="G30" s="35"/>
      <c r="H30" s="167"/>
      <c r="I30" s="35"/>
      <c r="J30" s="167"/>
      <c r="O30" s="202"/>
    </row>
    <row r="31" spans="1:32" x14ac:dyDescent="0.35">
      <c r="A31" s="35"/>
      <c r="B31" s="238">
        <v>44256</v>
      </c>
      <c r="C31" s="152">
        <v>6</v>
      </c>
      <c r="D31" s="242"/>
      <c r="E31" s="100" t="s">
        <v>1873</v>
      </c>
      <c r="F31" s="134">
        <v>5.7666666666666657</v>
      </c>
      <c r="G31" s="35"/>
      <c r="H31" s="167"/>
      <c r="I31" s="35"/>
      <c r="J31" s="167"/>
      <c r="O31" s="202"/>
    </row>
    <row r="32" spans="1:32" x14ac:dyDescent="0.35">
      <c r="A32" s="35"/>
      <c r="B32" s="238">
        <v>44287</v>
      </c>
      <c r="C32" s="152">
        <v>6.1</v>
      </c>
      <c r="D32" s="242"/>
      <c r="E32" s="100" t="s">
        <v>1874</v>
      </c>
      <c r="F32" s="134">
        <v>5.1333333333333337</v>
      </c>
      <c r="G32" s="35"/>
      <c r="H32" s="167"/>
      <c r="I32" s="35"/>
      <c r="J32" s="167"/>
      <c r="O32" s="202"/>
    </row>
    <row r="33" spans="1:38" x14ac:dyDescent="0.35">
      <c r="A33" s="35"/>
      <c r="B33" s="238">
        <v>44317</v>
      </c>
      <c r="C33" s="152">
        <v>5.8</v>
      </c>
      <c r="D33" s="242"/>
      <c r="E33" s="100" t="s">
        <v>1875</v>
      </c>
      <c r="F33" s="134">
        <v>4.2333333333333334</v>
      </c>
      <c r="G33" s="35"/>
      <c r="H33" s="167"/>
      <c r="I33" s="35"/>
      <c r="J33" s="167"/>
      <c r="O33" s="202"/>
    </row>
    <row r="34" spans="1:38" x14ac:dyDescent="0.35">
      <c r="A34" s="35"/>
      <c r="B34" s="238">
        <v>44348</v>
      </c>
      <c r="C34" s="152">
        <v>5.4</v>
      </c>
      <c r="D34" s="242"/>
      <c r="E34" s="56" t="s">
        <v>1746</v>
      </c>
      <c r="F34" s="134"/>
      <c r="G34" s="35"/>
      <c r="H34" s="167"/>
      <c r="I34" s="35"/>
      <c r="J34" s="167"/>
      <c r="O34" s="202"/>
    </row>
    <row r="35" spans="1:38" x14ac:dyDescent="0.35">
      <c r="A35" s="35"/>
      <c r="B35" s="238">
        <v>44378</v>
      </c>
      <c r="C35" s="152">
        <v>5.4</v>
      </c>
      <c r="D35" s="242"/>
      <c r="E35" s="100" t="s">
        <v>1872</v>
      </c>
      <c r="F35" s="134">
        <v>3.8000000000000003</v>
      </c>
      <c r="G35" s="35"/>
      <c r="H35" s="167"/>
      <c r="I35" s="35"/>
      <c r="J35" s="167"/>
      <c r="O35" s="202"/>
    </row>
    <row r="36" spans="1:38" x14ac:dyDescent="0.35">
      <c r="A36" s="35"/>
      <c r="B36" s="238">
        <v>44409</v>
      </c>
      <c r="C36" s="152">
        <v>5.2</v>
      </c>
      <c r="D36" s="242"/>
      <c r="E36" s="100" t="s">
        <v>1873</v>
      </c>
      <c r="F36" s="134">
        <v>3.6</v>
      </c>
      <c r="G36" s="35"/>
      <c r="H36" s="167"/>
      <c r="I36" s="35"/>
      <c r="J36" s="167"/>
      <c r="O36" s="202"/>
    </row>
    <row r="37" spans="1:38" x14ac:dyDescent="0.35">
      <c r="A37" s="35"/>
      <c r="B37" s="238">
        <v>44440</v>
      </c>
      <c r="C37" s="152">
        <v>4.8</v>
      </c>
      <c r="D37" s="242"/>
      <c r="E37" s="100" t="s">
        <v>1874</v>
      </c>
      <c r="F37" s="134">
        <v>3.5666666666666664</v>
      </c>
      <c r="G37" s="35"/>
      <c r="H37" s="167"/>
      <c r="I37" s="35"/>
      <c r="J37" s="167"/>
      <c r="O37" s="202"/>
    </row>
    <row r="38" spans="1:38" x14ac:dyDescent="0.35">
      <c r="A38" s="35"/>
      <c r="B38" s="238">
        <v>44470</v>
      </c>
      <c r="C38" s="152">
        <v>4.5999999999999996</v>
      </c>
      <c r="D38" s="242"/>
      <c r="E38" s="100" t="s">
        <v>1875</v>
      </c>
      <c r="F38" s="134">
        <v>3.6</v>
      </c>
      <c r="G38" s="35"/>
      <c r="H38" s="167"/>
      <c r="I38" s="35"/>
      <c r="J38" s="167"/>
      <c r="O38" s="202"/>
    </row>
    <row r="39" spans="1:38" x14ac:dyDescent="0.35">
      <c r="A39" s="35"/>
      <c r="B39" s="238">
        <v>44501</v>
      </c>
      <c r="C39" s="152">
        <v>4.2</v>
      </c>
      <c r="D39" s="242"/>
      <c r="E39" s="56" t="s">
        <v>1877</v>
      </c>
      <c r="F39" s="134"/>
      <c r="G39" s="35"/>
      <c r="H39" s="167"/>
      <c r="I39" s="35"/>
      <c r="J39" s="167"/>
      <c r="O39" s="202"/>
      <c r="AD39" s="202"/>
      <c r="AE39" s="202"/>
      <c r="AF39" s="202"/>
      <c r="AG39" s="202"/>
      <c r="AH39" s="202"/>
      <c r="AI39" s="202"/>
      <c r="AJ39" s="202"/>
      <c r="AK39" s="202"/>
      <c r="AL39" s="202"/>
    </row>
    <row r="40" spans="1:38" x14ac:dyDescent="0.35">
      <c r="A40" s="35"/>
      <c r="B40" s="238">
        <v>44531</v>
      </c>
      <c r="C40" s="152">
        <v>3.9</v>
      </c>
      <c r="D40" s="242"/>
      <c r="E40" s="100" t="s">
        <v>1872</v>
      </c>
      <c r="F40" s="134">
        <v>3.5</v>
      </c>
      <c r="G40" s="35"/>
      <c r="H40" s="167"/>
      <c r="I40" s="35"/>
      <c r="J40" s="167"/>
      <c r="O40" s="202"/>
      <c r="AD40" s="202"/>
      <c r="AE40" s="202"/>
      <c r="AF40" s="202"/>
      <c r="AG40" s="202"/>
      <c r="AH40" s="202"/>
      <c r="AI40" s="202"/>
      <c r="AJ40" s="202"/>
      <c r="AK40" s="202"/>
      <c r="AL40" s="202"/>
    </row>
    <row r="41" spans="1:38" x14ac:dyDescent="0.35">
      <c r="A41" s="35"/>
      <c r="B41" s="238">
        <v>44562</v>
      </c>
      <c r="C41" s="152">
        <v>4</v>
      </c>
      <c r="D41" s="35"/>
      <c r="E41" s="100" t="s">
        <v>1873</v>
      </c>
      <c r="F41" s="134"/>
      <c r="G41" s="35"/>
      <c r="H41" s="167"/>
      <c r="I41" s="35"/>
      <c r="J41" s="167"/>
      <c r="O41" s="202"/>
    </row>
    <row r="42" spans="1:38" x14ac:dyDescent="0.35">
      <c r="A42" s="35"/>
      <c r="B42" s="238">
        <v>44593</v>
      </c>
      <c r="C42" s="152">
        <v>3.8</v>
      </c>
      <c r="D42" s="35"/>
      <c r="E42" s="100" t="s">
        <v>1874</v>
      </c>
      <c r="F42" s="134"/>
      <c r="G42" s="35"/>
      <c r="H42" s="167"/>
      <c r="I42" s="35"/>
      <c r="J42" s="167"/>
    </row>
    <row r="43" spans="1:38" x14ac:dyDescent="0.35">
      <c r="A43" s="35"/>
      <c r="B43" s="238">
        <v>44621</v>
      </c>
      <c r="C43" s="152">
        <v>3.6</v>
      </c>
      <c r="D43" s="35"/>
      <c r="E43" s="100" t="s">
        <v>1875</v>
      </c>
      <c r="F43" s="134"/>
      <c r="G43" s="35"/>
      <c r="H43" s="167"/>
      <c r="I43" s="35"/>
      <c r="J43" s="167"/>
    </row>
    <row r="44" spans="1:38" x14ac:dyDescent="0.35">
      <c r="A44" s="35"/>
      <c r="B44" s="238">
        <v>44652</v>
      </c>
      <c r="C44" s="152">
        <v>3.6</v>
      </c>
      <c r="D44" s="35"/>
      <c r="E44" s="56" t="s">
        <v>1878</v>
      </c>
      <c r="F44" s="134"/>
      <c r="G44" s="35"/>
      <c r="H44" s="167"/>
      <c r="I44" s="35"/>
      <c r="J44" s="167"/>
    </row>
    <row r="45" spans="1:38" x14ac:dyDescent="0.35">
      <c r="A45" s="35"/>
      <c r="B45" s="238">
        <v>44682</v>
      </c>
      <c r="C45" s="152">
        <v>3.6</v>
      </c>
      <c r="D45" s="35"/>
      <c r="E45" s="100" t="s">
        <v>1872</v>
      </c>
      <c r="F45" s="134"/>
      <c r="G45" s="35"/>
      <c r="H45" s="167"/>
      <c r="I45" s="35"/>
      <c r="J45" s="167"/>
    </row>
    <row r="46" spans="1:38" x14ac:dyDescent="0.35">
      <c r="A46" s="35"/>
      <c r="B46" s="238">
        <v>44713</v>
      </c>
      <c r="C46" s="152">
        <v>3.6</v>
      </c>
      <c r="D46" s="35"/>
      <c r="E46" s="100" t="s">
        <v>1873</v>
      </c>
      <c r="F46" s="134"/>
      <c r="G46" s="35"/>
      <c r="H46" s="167"/>
      <c r="I46" s="35"/>
      <c r="J46" s="167"/>
    </row>
    <row r="47" spans="1:38" x14ac:dyDescent="0.35">
      <c r="A47" s="35"/>
      <c r="B47" s="238">
        <v>44743</v>
      </c>
      <c r="C47" s="152">
        <v>3.5</v>
      </c>
      <c r="D47" s="35"/>
      <c r="E47" s="100" t="s">
        <v>1874</v>
      </c>
      <c r="F47" s="134"/>
      <c r="G47" s="35"/>
      <c r="H47" s="167"/>
      <c r="I47" s="35"/>
      <c r="J47" s="167"/>
    </row>
    <row r="48" spans="1:38" x14ac:dyDescent="0.35">
      <c r="A48" s="35"/>
      <c r="B48" s="238">
        <v>44774</v>
      </c>
      <c r="C48" s="152">
        <v>3.7</v>
      </c>
      <c r="D48" s="35"/>
      <c r="E48" s="100" t="s">
        <v>1875</v>
      </c>
      <c r="F48" s="134"/>
      <c r="G48" s="35"/>
      <c r="H48" s="167"/>
      <c r="I48" s="35"/>
      <c r="J48" s="167"/>
    </row>
    <row r="49" spans="2:10" x14ac:dyDescent="0.35">
      <c r="B49" s="238">
        <v>44805</v>
      </c>
      <c r="C49" s="152">
        <v>3.5</v>
      </c>
      <c r="D49" s="35"/>
      <c r="E49" s="56" t="s">
        <v>1879</v>
      </c>
      <c r="F49" s="134"/>
      <c r="G49" s="35"/>
      <c r="H49" s="35"/>
      <c r="I49" s="35"/>
      <c r="J49" s="35"/>
    </row>
    <row r="50" spans="2:10" x14ac:dyDescent="0.35">
      <c r="B50" s="238">
        <v>44835</v>
      </c>
      <c r="C50" s="152">
        <v>3.7</v>
      </c>
      <c r="D50" s="35"/>
      <c r="E50" s="100" t="s">
        <v>1872</v>
      </c>
      <c r="F50" s="134"/>
      <c r="G50" s="35"/>
      <c r="H50" s="35"/>
      <c r="I50" s="35"/>
      <c r="J50" s="35"/>
    </row>
    <row r="51" spans="2:10" x14ac:dyDescent="0.35">
      <c r="B51" s="238">
        <v>44866</v>
      </c>
      <c r="C51" s="152">
        <v>3.6</v>
      </c>
      <c r="D51" s="35"/>
      <c r="E51" s="100" t="s">
        <v>1873</v>
      </c>
      <c r="F51" s="134"/>
      <c r="G51" s="35"/>
      <c r="H51" s="35"/>
      <c r="I51" s="35"/>
      <c r="J51" s="35"/>
    </row>
    <row r="52" spans="2:10" x14ac:dyDescent="0.35">
      <c r="B52" s="238">
        <v>44896</v>
      </c>
      <c r="C52" s="152">
        <v>3.5</v>
      </c>
      <c r="D52" s="35"/>
      <c r="E52" s="100" t="s">
        <v>1874</v>
      </c>
      <c r="F52" s="134"/>
      <c r="G52" s="35"/>
      <c r="H52" s="35"/>
      <c r="I52" s="35"/>
      <c r="J52" s="35"/>
    </row>
    <row r="53" spans="2:10" x14ac:dyDescent="0.35">
      <c r="B53" s="238">
        <v>44927</v>
      </c>
      <c r="C53" s="152">
        <v>3.4</v>
      </c>
      <c r="D53" s="35"/>
      <c r="E53" s="100" t="s">
        <v>1875</v>
      </c>
      <c r="F53" s="134"/>
      <c r="G53" s="35"/>
      <c r="H53" s="35"/>
      <c r="I53" s="35"/>
      <c r="J53" s="35"/>
    </row>
    <row r="54" spans="2:10" x14ac:dyDescent="0.35">
      <c r="B54" s="238">
        <v>44958</v>
      </c>
      <c r="C54" s="152">
        <v>3.6</v>
      </c>
      <c r="D54" s="35"/>
      <c r="E54" s="56" t="s">
        <v>1880</v>
      </c>
      <c r="F54" s="134"/>
      <c r="G54" s="35"/>
      <c r="H54" s="35"/>
      <c r="I54" s="35"/>
      <c r="J54" s="35"/>
    </row>
    <row r="55" spans="2:10" x14ac:dyDescent="0.35">
      <c r="B55" s="238">
        <v>44986</v>
      </c>
      <c r="C55" s="152">
        <v>3.5</v>
      </c>
      <c r="D55" s="35"/>
      <c r="E55" s="100" t="s">
        <v>1872</v>
      </c>
      <c r="F55" s="134"/>
      <c r="G55" s="35"/>
      <c r="H55" s="35"/>
      <c r="I55" s="35"/>
      <c r="J55" s="35"/>
    </row>
    <row r="56" spans="2:10" x14ac:dyDescent="0.35">
      <c r="B56" s="238">
        <v>45017</v>
      </c>
      <c r="C56" s="152"/>
      <c r="D56" s="35"/>
      <c r="E56" s="100" t="s">
        <v>1873</v>
      </c>
      <c r="F56" s="134"/>
      <c r="G56" s="35"/>
      <c r="H56" s="35"/>
      <c r="I56" s="35"/>
      <c r="J56" s="35"/>
    </row>
    <row r="57" spans="2:10" x14ac:dyDescent="0.35">
      <c r="B57" s="238">
        <v>45047</v>
      </c>
      <c r="C57" s="152"/>
      <c r="D57" s="35"/>
      <c r="E57" s="100" t="s">
        <v>1874</v>
      </c>
      <c r="F57" s="134"/>
      <c r="G57" s="35"/>
      <c r="H57" s="35"/>
      <c r="I57" s="35"/>
      <c r="J57" s="35"/>
    </row>
    <row r="58" spans="2:10" x14ac:dyDescent="0.35">
      <c r="B58" s="238">
        <v>45078</v>
      </c>
      <c r="C58" s="152"/>
      <c r="D58" s="35"/>
      <c r="E58" s="100" t="s">
        <v>1875</v>
      </c>
      <c r="F58" s="134"/>
      <c r="G58" s="35"/>
      <c r="H58" s="35"/>
      <c r="I58" s="35"/>
      <c r="J58" s="35"/>
    </row>
    <row r="59" spans="2:10" x14ac:dyDescent="0.35">
      <c r="B59" s="238">
        <v>45108</v>
      </c>
      <c r="C59" s="152"/>
      <c r="D59" s="35"/>
      <c r="E59" s="35"/>
      <c r="F59" s="35"/>
      <c r="G59" s="35"/>
      <c r="H59" s="35"/>
      <c r="I59" s="35"/>
      <c r="J59" s="35"/>
    </row>
    <row r="60" spans="2:10" x14ac:dyDescent="0.35">
      <c r="B60" s="238">
        <v>45139</v>
      </c>
      <c r="C60" s="152"/>
      <c r="D60" s="35"/>
      <c r="E60" s="35"/>
      <c r="F60" s="35"/>
      <c r="G60" s="35"/>
      <c r="H60" s="35"/>
      <c r="I60" s="35"/>
      <c r="J60" s="35"/>
    </row>
    <row r="61" spans="2:10" x14ac:dyDescent="0.35">
      <c r="B61" s="238">
        <v>45170</v>
      </c>
      <c r="C61" s="152"/>
      <c r="D61" s="35"/>
      <c r="E61" s="35"/>
      <c r="F61" s="35"/>
      <c r="G61" s="35"/>
      <c r="H61" s="35"/>
      <c r="I61" s="35"/>
      <c r="J61" s="35"/>
    </row>
    <row r="62" spans="2:10" x14ac:dyDescent="0.35">
      <c r="B62" s="238">
        <v>45200</v>
      </c>
      <c r="C62" s="152"/>
      <c r="D62" s="35"/>
      <c r="E62" s="35"/>
      <c r="F62" s="35"/>
      <c r="G62" s="35"/>
      <c r="H62" s="35"/>
      <c r="I62" s="35"/>
      <c r="J62" s="35"/>
    </row>
    <row r="63" spans="2:10" x14ac:dyDescent="0.35">
      <c r="B63" s="238">
        <v>45231</v>
      </c>
      <c r="C63" s="152"/>
      <c r="D63" s="35"/>
      <c r="E63" s="35"/>
      <c r="F63" s="35"/>
      <c r="G63" s="35"/>
      <c r="H63" s="35"/>
      <c r="I63" s="35"/>
      <c r="J63" s="35"/>
    </row>
    <row r="64" spans="2:10" x14ac:dyDescent="0.35">
      <c r="B64" s="238">
        <v>45261</v>
      </c>
      <c r="C64" s="152"/>
      <c r="D64" s="35"/>
      <c r="E64" s="35"/>
      <c r="F64" s="35"/>
      <c r="G64" s="35"/>
      <c r="H64" s="35"/>
      <c r="I64" s="35"/>
      <c r="J64" s="35"/>
    </row>
    <row r="65" spans="2:10" x14ac:dyDescent="0.35">
      <c r="B65" s="238">
        <v>45292</v>
      </c>
      <c r="C65" s="152"/>
      <c r="D65" s="35"/>
      <c r="E65" s="35"/>
      <c r="F65" s="35"/>
      <c r="G65" s="35"/>
      <c r="H65" s="35"/>
      <c r="I65" s="35"/>
      <c r="J65" s="35"/>
    </row>
    <row r="66" spans="2:10" x14ac:dyDescent="0.35">
      <c r="B66" s="238">
        <v>45323</v>
      </c>
      <c r="C66" s="152"/>
      <c r="D66" s="35"/>
      <c r="E66" s="35"/>
      <c r="F66" s="35"/>
      <c r="G66" s="35"/>
      <c r="H66" s="35"/>
      <c r="I66" s="35"/>
      <c r="J66" s="35"/>
    </row>
    <row r="67" spans="2:10" x14ac:dyDescent="0.35">
      <c r="B67" s="238">
        <v>45352</v>
      </c>
      <c r="C67" s="152"/>
      <c r="D67" s="35"/>
      <c r="E67" s="35"/>
      <c r="F67" s="35"/>
      <c r="G67" s="35"/>
      <c r="H67" s="35"/>
      <c r="I67" s="35"/>
      <c r="J67" s="35"/>
    </row>
    <row r="68" spans="2:10" x14ac:dyDescent="0.35">
      <c r="B68" s="238">
        <v>45383</v>
      </c>
      <c r="C68" s="152"/>
      <c r="D68" s="35"/>
      <c r="E68" s="35"/>
      <c r="F68" s="35"/>
      <c r="G68" s="35"/>
      <c r="H68" s="35"/>
      <c r="I68" s="35"/>
      <c r="J68" s="35"/>
    </row>
    <row r="69" spans="2:10" x14ac:dyDescent="0.35">
      <c r="B69" s="238">
        <v>45413</v>
      </c>
      <c r="C69" s="152"/>
      <c r="D69" s="35"/>
      <c r="E69" s="35"/>
      <c r="F69" s="35"/>
      <c r="G69" s="35"/>
      <c r="H69" s="35"/>
      <c r="I69" s="35"/>
      <c r="J69" s="35"/>
    </row>
    <row r="70" spans="2:10" x14ac:dyDescent="0.35">
      <c r="B70" s="238">
        <v>45444</v>
      </c>
      <c r="C70" s="152"/>
      <c r="D70" s="35"/>
      <c r="E70" s="35"/>
      <c r="F70" s="35"/>
      <c r="G70" s="35"/>
      <c r="H70" s="35"/>
      <c r="I70" s="35"/>
      <c r="J70" s="35"/>
    </row>
    <row r="71" spans="2:10" x14ac:dyDescent="0.35">
      <c r="B71" s="238">
        <v>45474</v>
      </c>
      <c r="C71" s="152"/>
      <c r="D71" s="35"/>
      <c r="E71" s="35"/>
      <c r="F71" s="35"/>
      <c r="G71" s="35"/>
      <c r="H71" s="35"/>
      <c r="I71" s="35"/>
      <c r="J71" s="35"/>
    </row>
    <row r="72" spans="2:10" x14ac:dyDescent="0.35">
      <c r="B72" s="238">
        <v>45505</v>
      </c>
      <c r="C72" s="152"/>
      <c r="D72" s="35"/>
      <c r="E72" s="35"/>
      <c r="F72" s="35"/>
      <c r="G72" s="35"/>
      <c r="H72" s="35"/>
      <c r="I72" s="35"/>
      <c r="J72" s="35"/>
    </row>
    <row r="73" spans="2:10" x14ac:dyDescent="0.35">
      <c r="B73" s="238">
        <v>45536</v>
      </c>
      <c r="C73" s="152"/>
      <c r="D73" s="35"/>
      <c r="E73" s="35"/>
      <c r="F73" s="35"/>
      <c r="G73" s="35"/>
      <c r="H73" s="35"/>
      <c r="I73" s="35"/>
      <c r="J73" s="35"/>
    </row>
    <row r="74" spans="2:10" x14ac:dyDescent="0.35">
      <c r="B74" s="238">
        <v>45566</v>
      </c>
      <c r="C74" s="152"/>
      <c r="D74" s="35"/>
      <c r="E74" s="35"/>
      <c r="F74" s="35"/>
      <c r="G74" s="35"/>
      <c r="H74" s="35"/>
      <c r="I74" s="35"/>
      <c r="J74" s="35"/>
    </row>
    <row r="75" spans="2:10" x14ac:dyDescent="0.35">
      <c r="B75" s="238">
        <v>45597</v>
      </c>
      <c r="C75" s="152"/>
      <c r="D75" s="35"/>
      <c r="E75" s="35"/>
      <c r="F75" s="35"/>
      <c r="G75" s="35"/>
      <c r="H75" s="35"/>
      <c r="I75" s="35"/>
      <c r="J75" s="35"/>
    </row>
    <row r="76" spans="2:10" x14ac:dyDescent="0.35">
      <c r="B76" s="238">
        <v>45627</v>
      </c>
      <c r="C76" s="152"/>
      <c r="D76" s="35"/>
      <c r="E76" s="35"/>
      <c r="F76" s="35"/>
      <c r="G76" s="35"/>
      <c r="H76" s="35"/>
      <c r="I76" s="35"/>
      <c r="J76" s="35"/>
    </row>
    <row r="77" spans="2:10" x14ac:dyDescent="0.35">
      <c r="B77" s="238">
        <v>45658</v>
      </c>
      <c r="C77" s="152"/>
      <c r="D77" s="35"/>
      <c r="E77" s="35"/>
      <c r="F77" s="35"/>
      <c r="G77" s="35"/>
      <c r="H77" s="35"/>
      <c r="I77" s="35"/>
      <c r="J77" s="35"/>
    </row>
    <row r="78" spans="2:10" x14ac:dyDescent="0.35">
      <c r="B78" s="238">
        <v>45689</v>
      </c>
      <c r="C78" s="152"/>
      <c r="D78" s="35"/>
      <c r="E78" s="35"/>
      <c r="F78" s="35"/>
      <c r="G78" s="35"/>
      <c r="H78" s="35"/>
      <c r="I78" s="35"/>
      <c r="J78" s="35"/>
    </row>
    <row r="79" spans="2:10" x14ac:dyDescent="0.35">
      <c r="B79" s="238">
        <v>45717</v>
      </c>
      <c r="C79" s="152"/>
      <c r="D79" s="35"/>
      <c r="E79" s="35"/>
      <c r="F79" s="35"/>
      <c r="G79" s="35"/>
      <c r="H79" s="35"/>
      <c r="I79" s="35"/>
      <c r="J79" s="35"/>
    </row>
    <row r="80" spans="2:10" x14ac:dyDescent="0.35">
      <c r="B80" s="238">
        <v>45748</v>
      </c>
      <c r="C80" s="152"/>
      <c r="D80" s="35"/>
      <c r="E80" s="35"/>
      <c r="F80" s="35"/>
      <c r="G80" s="35"/>
      <c r="H80" s="35"/>
      <c r="I80" s="35"/>
      <c r="J80" s="35"/>
    </row>
    <row r="81" spans="2:10" x14ac:dyDescent="0.35">
      <c r="B81" s="238">
        <v>45778</v>
      </c>
      <c r="C81" s="152"/>
      <c r="D81" s="35"/>
      <c r="E81" s="35"/>
      <c r="F81" s="35"/>
      <c r="G81" s="35"/>
      <c r="H81" s="35"/>
      <c r="I81" s="35"/>
      <c r="J81" s="35"/>
    </row>
    <row r="82" spans="2:10" x14ac:dyDescent="0.35">
      <c r="B82" s="238">
        <v>45809</v>
      </c>
      <c r="C82" s="152"/>
      <c r="D82" s="35"/>
      <c r="E82" s="35"/>
      <c r="F82" s="35"/>
      <c r="G82" s="35"/>
      <c r="H82" s="35"/>
      <c r="I82" s="35"/>
      <c r="J82" s="35"/>
    </row>
    <row r="83" spans="2:10" x14ac:dyDescent="0.35">
      <c r="B83" s="238">
        <v>45839</v>
      </c>
      <c r="C83" s="152"/>
      <c r="D83" s="35"/>
      <c r="E83" s="35"/>
      <c r="F83" s="35"/>
      <c r="G83" s="35"/>
      <c r="H83" s="35"/>
      <c r="I83" s="35"/>
      <c r="J83" s="35"/>
    </row>
    <row r="84" spans="2:10" x14ac:dyDescent="0.35">
      <c r="B84" s="238">
        <v>45870</v>
      </c>
      <c r="C84" s="152"/>
      <c r="D84" s="35"/>
      <c r="E84" s="35"/>
      <c r="F84" s="35"/>
      <c r="G84" s="35"/>
      <c r="H84" s="35"/>
      <c r="I84" s="35"/>
      <c r="J84" s="35"/>
    </row>
    <row r="85" spans="2:10" x14ac:dyDescent="0.35">
      <c r="B85" s="238">
        <v>45901</v>
      </c>
      <c r="C85" s="152"/>
      <c r="D85" s="35"/>
      <c r="E85" s="35"/>
      <c r="F85" s="35"/>
      <c r="G85" s="35"/>
      <c r="H85" s="35"/>
      <c r="I85" s="35"/>
      <c r="J85" s="35"/>
    </row>
    <row r="86" spans="2:10" x14ac:dyDescent="0.35">
      <c r="B86" s="238">
        <v>45931</v>
      </c>
      <c r="C86" s="152"/>
      <c r="D86" s="35"/>
      <c r="E86" s="35"/>
      <c r="F86" s="35"/>
      <c r="G86" s="35"/>
      <c r="H86" s="35"/>
      <c r="I86" s="35"/>
      <c r="J86" s="35"/>
    </row>
    <row r="87" spans="2:10" x14ac:dyDescent="0.35">
      <c r="B87" s="238">
        <v>45962</v>
      </c>
      <c r="C87" s="152"/>
      <c r="D87" s="35"/>
      <c r="E87" s="35"/>
      <c r="F87" s="35"/>
      <c r="G87" s="35"/>
      <c r="H87" s="35"/>
      <c r="I87" s="35"/>
      <c r="J87" s="35"/>
    </row>
    <row r="88" spans="2:10" x14ac:dyDescent="0.35">
      <c r="B88" s="238">
        <v>45992</v>
      </c>
      <c r="C88" s="152"/>
      <c r="D88" s="35"/>
      <c r="E88" s="35"/>
      <c r="F88" s="35"/>
      <c r="G88" s="35"/>
      <c r="H88" s="35"/>
      <c r="I88" s="35"/>
      <c r="J88" s="35"/>
    </row>
    <row r="89" spans="2:10" x14ac:dyDescent="0.35">
      <c r="B89" s="238">
        <v>46023</v>
      </c>
      <c r="C89" s="152"/>
      <c r="D89" s="35"/>
      <c r="E89" s="35"/>
      <c r="F89" s="35"/>
      <c r="G89" s="35"/>
      <c r="H89" s="35"/>
      <c r="I89" s="35"/>
      <c r="J89" s="35"/>
    </row>
    <row r="90" spans="2:10" x14ac:dyDescent="0.35">
      <c r="B90" s="238">
        <v>46054</v>
      </c>
      <c r="C90" s="152"/>
      <c r="D90" s="35"/>
      <c r="E90" s="35"/>
      <c r="F90" s="35"/>
      <c r="G90" s="35"/>
      <c r="H90" s="35"/>
      <c r="I90" s="35"/>
      <c r="J90" s="35"/>
    </row>
    <row r="91" spans="2:10" x14ac:dyDescent="0.35">
      <c r="B91" s="238">
        <v>46082</v>
      </c>
      <c r="C91" s="152"/>
      <c r="D91" s="35"/>
      <c r="E91" s="35"/>
      <c r="F91" s="35"/>
      <c r="G91" s="35"/>
      <c r="H91" s="35"/>
      <c r="I91" s="35"/>
      <c r="J91" s="35"/>
    </row>
    <row r="92" spans="2:10" x14ac:dyDescent="0.35">
      <c r="B92" s="238">
        <v>46113</v>
      </c>
      <c r="C92" s="152"/>
      <c r="D92" s="35"/>
      <c r="E92" s="35"/>
      <c r="F92" s="35"/>
      <c r="G92" s="35"/>
      <c r="H92" s="35"/>
      <c r="I92" s="35"/>
      <c r="J92" s="35"/>
    </row>
    <row r="93" spans="2:10" x14ac:dyDescent="0.35">
      <c r="B93" s="238">
        <v>46143</v>
      </c>
      <c r="C93" s="152"/>
      <c r="D93" s="35"/>
      <c r="E93" s="35"/>
      <c r="F93" s="35"/>
      <c r="G93" s="35"/>
      <c r="H93" s="35"/>
      <c r="I93" s="35"/>
      <c r="J93" s="35"/>
    </row>
    <row r="94" spans="2:10" x14ac:dyDescent="0.35">
      <c r="B94" s="238">
        <v>46174</v>
      </c>
      <c r="C94" s="152"/>
      <c r="D94" s="35"/>
      <c r="E94" s="35"/>
      <c r="F94" s="35"/>
      <c r="G94" s="35"/>
      <c r="H94" s="35"/>
      <c r="I94" s="35"/>
      <c r="J94" s="35"/>
    </row>
    <row r="95" spans="2:10" x14ac:dyDescent="0.35">
      <c r="B95" s="238">
        <v>46204</v>
      </c>
      <c r="C95" s="152"/>
      <c r="D95" s="35"/>
      <c r="E95" s="35"/>
      <c r="F95" s="35"/>
      <c r="G95" s="35"/>
      <c r="H95" s="35"/>
      <c r="I95" s="35"/>
      <c r="J95" s="35"/>
    </row>
    <row r="96" spans="2:10" x14ac:dyDescent="0.35">
      <c r="B96" s="238">
        <v>46235</v>
      </c>
      <c r="C96" s="152"/>
      <c r="D96" s="35"/>
      <c r="E96" s="35"/>
      <c r="F96" s="35"/>
      <c r="G96" s="35"/>
      <c r="H96" s="35"/>
      <c r="I96" s="35"/>
      <c r="J96" s="35"/>
    </row>
    <row r="97" spans="2:10" x14ac:dyDescent="0.35">
      <c r="B97" s="238">
        <v>46266</v>
      </c>
      <c r="C97" s="152"/>
      <c r="D97" s="35"/>
      <c r="E97" s="35"/>
      <c r="F97" s="35"/>
      <c r="G97" s="35"/>
      <c r="H97" s="35"/>
      <c r="I97" s="35"/>
      <c r="J97" s="35"/>
    </row>
    <row r="98" spans="2:10" x14ac:dyDescent="0.35">
      <c r="B98" s="238">
        <v>46296</v>
      </c>
      <c r="C98" s="152"/>
      <c r="D98" s="35"/>
      <c r="E98" s="35"/>
      <c r="F98" s="35"/>
      <c r="G98" s="35"/>
      <c r="H98" s="35"/>
      <c r="I98" s="35"/>
      <c r="J98" s="35"/>
    </row>
    <row r="99" spans="2:10" x14ac:dyDescent="0.35">
      <c r="B99" s="238">
        <v>46327</v>
      </c>
      <c r="C99" s="152"/>
      <c r="D99" s="35"/>
      <c r="E99" s="35"/>
      <c r="F99" s="35"/>
      <c r="G99" s="35"/>
      <c r="H99" s="35"/>
      <c r="I99" s="35"/>
      <c r="J99" s="35"/>
    </row>
    <row r="100" spans="2:10" x14ac:dyDescent="0.35">
      <c r="B100" s="239">
        <v>46357</v>
      </c>
      <c r="C100" s="154"/>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N109"/>
  <sheetViews>
    <sheetView topLeftCell="A61" zoomScale="80" zoomScaleNormal="80" workbookViewId="0">
      <selection activeCell="V75" sqref="V75"/>
    </sheetView>
  </sheetViews>
  <sheetFormatPr defaultColWidth="10.9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33" width="8.1796875" customWidth="1"/>
    <col min="34" max="34" width="29.453125" customWidth="1"/>
    <col min="35" max="35" width="31.1796875" customWidth="1"/>
    <col min="36" max="36" width="114.81640625" customWidth="1"/>
  </cols>
  <sheetData>
    <row r="1" spans="2:38" x14ac:dyDescent="0.35">
      <c r="B1" s="1292" t="s">
        <v>192</v>
      </c>
      <c r="C1" s="1292"/>
      <c r="D1" s="1292"/>
      <c r="E1" s="1292"/>
      <c r="F1" s="1292"/>
      <c r="G1" s="1292"/>
      <c r="H1" s="1292"/>
      <c r="I1" s="1292"/>
      <c r="J1" s="1292"/>
      <c r="K1" s="1292"/>
      <c r="L1" s="1292"/>
      <c r="M1" s="1292"/>
      <c r="N1" s="1292"/>
      <c r="O1" s="1292"/>
      <c r="P1" s="1292"/>
      <c r="Q1" s="1292"/>
      <c r="R1" s="1292"/>
      <c r="S1" s="1292"/>
      <c r="T1" s="1292"/>
      <c r="U1" s="1292"/>
      <c r="V1" s="1292"/>
      <c r="W1" s="1292"/>
      <c r="X1" s="1292"/>
      <c r="Y1" s="1292"/>
      <c r="Z1" s="179"/>
      <c r="AA1" s="179"/>
      <c r="AB1" s="179"/>
      <c r="AC1" s="179"/>
      <c r="AD1" s="179"/>
      <c r="AE1" s="179"/>
      <c r="AF1" s="179"/>
      <c r="AG1" s="179"/>
      <c r="AH1" s="168"/>
      <c r="AI1" s="168"/>
    </row>
    <row r="2" spans="2:38" ht="14.25" customHeight="1" x14ac:dyDescent="0.35">
      <c r="B2" s="1293" t="s">
        <v>332</v>
      </c>
      <c r="C2" s="1293"/>
      <c r="D2" s="1293"/>
      <c r="E2" s="1293"/>
      <c r="F2" s="1293"/>
      <c r="G2" s="1293"/>
      <c r="H2" s="1293"/>
      <c r="I2" s="1293"/>
      <c r="J2" s="1293"/>
      <c r="K2" s="1293"/>
      <c r="L2" s="1293"/>
      <c r="M2" s="1293"/>
      <c r="N2" s="1293"/>
      <c r="O2" s="1293"/>
      <c r="P2" s="1293"/>
      <c r="Q2" s="1293"/>
      <c r="R2" s="1293"/>
      <c r="S2" s="1293"/>
      <c r="T2" s="1293"/>
      <c r="U2" s="1293"/>
      <c r="V2" s="1293"/>
      <c r="W2" s="1293"/>
      <c r="X2" s="1293"/>
      <c r="Y2" s="1293"/>
      <c r="Z2" s="1293"/>
      <c r="AA2" s="1293"/>
      <c r="AB2" s="1293"/>
      <c r="AC2" s="1293"/>
      <c r="AD2" s="180"/>
      <c r="AE2" s="180"/>
      <c r="AF2" s="180"/>
      <c r="AG2" s="180"/>
      <c r="AH2" s="180"/>
      <c r="AI2" s="180"/>
    </row>
    <row r="3" spans="2:38" ht="50.9" customHeight="1" x14ac:dyDescent="0.35">
      <c r="B3" s="1293"/>
      <c r="C3" s="1293"/>
      <c r="D3" s="1293"/>
      <c r="E3" s="1293"/>
      <c r="F3" s="1293"/>
      <c r="G3" s="1293"/>
      <c r="H3" s="1293"/>
      <c r="I3" s="1293"/>
      <c r="J3" s="1293"/>
      <c r="K3" s="1293"/>
      <c r="L3" s="1293"/>
      <c r="M3" s="1293"/>
      <c r="N3" s="1293"/>
      <c r="O3" s="1293"/>
      <c r="P3" s="1293"/>
      <c r="Q3" s="1293"/>
      <c r="R3" s="1293"/>
      <c r="S3" s="1293"/>
      <c r="T3" s="1293"/>
      <c r="U3" s="1293"/>
      <c r="V3" s="1293"/>
      <c r="W3" s="1293"/>
      <c r="X3" s="1293"/>
      <c r="Y3" s="1293"/>
      <c r="Z3" s="1293"/>
      <c r="AA3" s="1293"/>
      <c r="AB3" s="1293"/>
      <c r="AC3" s="1293"/>
      <c r="AD3" s="180"/>
      <c r="AE3" s="180"/>
      <c r="AF3" s="180"/>
      <c r="AG3" s="180"/>
      <c r="AH3" s="180"/>
      <c r="AI3" s="180"/>
    </row>
    <row r="4" spans="2:38" ht="5.25" customHeight="1" x14ac:dyDescent="0.35">
      <c r="B4" s="1293"/>
      <c r="C4" s="1293"/>
      <c r="D4" s="1293"/>
      <c r="E4" s="1293"/>
      <c r="F4" s="1293"/>
      <c r="G4" s="1293"/>
      <c r="H4" s="1293"/>
      <c r="I4" s="1293"/>
      <c r="J4" s="1293"/>
      <c r="K4" s="1293"/>
      <c r="L4" s="1293"/>
      <c r="M4" s="1293"/>
      <c r="N4" s="1293"/>
      <c r="O4" s="1293"/>
      <c r="P4" s="1293"/>
      <c r="Q4" s="1293"/>
      <c r="R4" s="1293"/>
      <c r="S4" s="1293"/>
      <c r="T4" s="1293"/>
      <c r="U4" s="1293"/>
      <c r="V4" s="1293"/>
      <c r="W4" s="1293"/>
      <c r="X4" s="1293"/>
      <c r="Y4" s="1293"/>
      <c r="Z4" s="1293"/>
      <c r="AA4" s="1293"/>
      <c r="AB4" s="1293"/>
      <c r="AC4" s="1293"/>
      <c r="AD4" s="180"/>
      <c r="AE4" s="180"/>
      <c r="AF4" s="180"/>
      <c r="AG4" s="180"/>
      <c r="AH4" s="180"/>
      <c r="AI4" s="180"/>
    </row>
    <row r="5" spans="2:38" x14ac:dyDescent="0.35">
      <c r="B5" s="359" t="s">
        <v>333</v>
      </c>
    </row>
    <row r="6" spans="2:38" ht="14.9" customHeight="1" x14ac:dyDescent="0.35">
      <c r="B6" s="1297" t="s">
        <v>334</v>
      </c>
      <c r="C6" s="1298"/>
      <c r="D6" s="1301" t="s">
        <v>280</v>
      </c>
      <c r="E6" s="1313"/>
      <c r="F6" s="1313"/>
      <c r="G6" s="1313"/>
      <c r="H6" s="1313"/>
      <c r="I6" s="1313"/>
      <c r="J6" s="1313"/>
      <c r="K6" s="1313"/>
      <c r="L6" s="1313"/>
      <c r="M6" s="1313"/>
      <c r="N6" s="1313"/>
      <c r="O6" s="1313"/>
      <c r="P6" s="1313"/>
      <c r="Q6" s="1313"/>
      <c r="R6" s="1313"/>
      <c r="S6" s="1313"/>
      <c r="T6" s="1313"/>
      <c r="U6" s="1314"/>
      <c r="V6" s="1300"/>
      <c r="W6" s="1341" t="s">
        <v>281</v>
      </c>
      <c r="X6" s="1311"/>
      <c r="Y6" s="1311"/>
      <c r="Z6" s="1311"/>
      <c r="AA6" s="1311"/>
      <c r="AB6" s="1311"/>
      <c r="AC6" s="1311"/>
      <c r="AD6" s="1311"/>
      <c r="AE6" s="1311"/>
      <c r="AF6" s="1311"/>
      <c r="AG6" s="1342"/>
      <c r="AH6" s="1337" t="s">
        <v>335</v>
      </c>
      <c r="AI6" s="1340" t="s">
        <v>336</v>
      </c>
    </row>
    <row r="7" spans="2:38" ht="24" customHeight="1" x14ac:dyDescent="0.35">
      <c r="B7" s="1299"/>
      <c r="C7" s="1300"/>
      <c r="D7" s="148">
        <v>2018</v>
      </c>
      <c r="E7" s="1294">
        <v>2019</v>
      </c>
      <c r="F7" s="1295"/>
      <c r="G7" s="1295"/>
      <c r="H7" s="1296"/>
      <c r="I7" s="1294">
        <v>2020</v>
      </c>
      <c r="J7" s="1295"/>
      <c r="K7" s="1295"/>
      <c r="L7" s="1295"/>
      <c r="M7" s="1294">
        <v>2021</v>
      </c>
      <c r="N7" s="1295"/>
      <c r="O7" s="1295"/>
      <c r="P7" s="1295"/>
      <c r="Q7" s="1278">
        <v>2022</v>
      </c>
      <c r="R7" s="1279"/>
      <c r="S7" s="1279"/>
      <c r="T7" s="1279"/>
      <c r="U7" s="292"/>
      <c r="V7" s="293">
        <v>2023</v>
      </c>
      <c r="W7" s="294"/>
      <c r="X7" s="295"/>
      <c r="Y7" s="1303">
        <v>2024</v>
      </c>
      <c r="Z7" s="1304"/>
      <c r="AA7" s="1304"/>
      <c r="AB7" s="1305"/>
      <c r="AC7" s="1303">
        <v>2025</v>
      </c>
      <c r="AD7" s="1304"/>
      <c r="AE7" s="1304"/>
      <c r="AF7" s="1305"/>
      <c r="AG7" s="213">
        <v>2026</v>
      </c>
      <c r="AH7" s="1338"/>
      <c r="AI7" s="1338"/>
    </row>
    <row r="8" spans="2:38" ht="14.25" customHeight="1" x14ac:dyDescent="0.35">
      <c r="B8" s="1301"/>
      <c r="C8" s="1302"/>
      <c r="D8" s="148" t="s">
        <v>282</v>
      </c>
      <c r="E8" s="148" t="s">
        <v>283</v>
      </c>
      <c r="F8" s="144" t="s">
        <v>284</v>
      </c>
      <c r="G8" s="144" t="s">
        <v>238</v>
      </c>
      <c r="H8" s="145" t="s">
        <v>282</v>
      </c>
      <c r="I8" s="144" t="s">
        <v>283</v>
      </c>
      <c r="J8" s="144" t="s">
        <v>284</v>
      </c>
      <c r="K8" s="144" t="s">
        <v>238</v>
      </c>
      <c r="L8" s="144" t="s">
        <v>282</v>
      </c>
      <c r="M8" s="148" t="s">
        <v>283</v>
      </c>
      <c r="N8" s="144" t="s">
        <v>284</v>
      </c>
      <c r="O8" s="144" t="s">
        <v>238</v>
      </c>
      <c r="P8" s="144" t="s">
        <v>282</v>
      </c>
      <c r="Q8" s="148" t="s">
        <v>283</v>
      </c>
      <c r="R8" s="144" t="s">
        <v>284</v>
      </c>
      <c r="S8" s="144" t="s">
        <v>238</v>
      </c>
      <c r="T8" s="144" t="s">
        <v>282</v>
      </c>
      <c r="U8" s="248" t="s">
        <v>283</v>
      </c>
      <c r="V8" s="249" t="s">
        <v>284</v>
      </c>
      <c r="W8" s="232" t="s">
        <v>238</v>
      </c>
      <c r="X8" s="233" t="s">
        <v>282</v>
      </c>
      <c r="Y8" s="231" t="s">
        <v>283</v>
      </c>
      <c r="Z8" s="229" t="s">
        <v>284</v>
      </c>
      <c r="AA8" s="232" t="s">
        <v>238</v>
      </c>
      <c r="AB8" s="233" t="s">
        <v>282</v>
      </c>
      <c r="AC8" s="231" t="s">
        <v>283</v>
      </c>
      <c r="AD8" s="229" t="s">
        <v>284</v>
      </c>
      <c r="AE8" s="232" t="s">
        <v>238</v>
      </c>
      <c r="AF8" s="233" t="s">
        <v>282</v>
      </c>
      <c r="AG8" s="234" t="s">
        <v>283</v>
      </c>
      <c r="AH8" s="1339"/>
      <c r="AI8" s="1339"/>
    </row>
    <row r="9" spans="2:38" ht="23.9" customHeight="1" x14ac:dyDescent="0.35">
      <c r="B9" s="308" t="s">
        <v>337</v>
      </c>
      <c r="C9" s="378" t="s">
        <v>338</v>
      </c>
      <c r="D9" s="325">
        <f>'Haver Pivoted'!GO32</f>
        <v>590.1</v>
      </c>
      <c r="E9" s="326">
        <f>'Haver Pivoted'!GP32</f>
        <v>593.1</v>
      </c>
      <c r="F9" s="326">
        <f>'Haver Pivoted'!GQ32</f>
        <v>610.70000000000005</v>
      </c>
      <c r="G9" s="326">
        <f>'Haver Pivoted'!GR32</f>
        <v>610.4</v>
      </c>
      <c r="H9" s="326">
        <f>'Haver Pivoted'!GS32</f>
        <v>621.79999999999995</v>
      </c>
      <c r="I9" s="326">
        <f>'Haver Pivoted'!GT32</f>
        <v>638.20000000000005</v>
      </c>
      <c r="J9" s="326">
        <f>'Haver Pivoted'!GU32</f>
        <v>1388.6</v>
      </c>
      <c r="K9" s="326">
        <f>'Haver Pivoted'!GV32</f>
        <v>737</v>
      </c>
      <c r="L9" s="326">
        <f>'Haver Pivoted'!GW32</f>
        <v>751.3</v>
      </c>
      <c r="M9" s="326">
        <f>'Haver Pivoted'!GX32</f>
        <v>781.8</v>
      </c>
      <c r="N9" s="326">
        <f>'Haver Pivoted'!GY32</f>
        <v>1645.9</v>
      </c>
      <c r="O9" s="326">
        <f>'Haver Pivoted'!GZ32</f>
        <v>1084.4000000000001</v>
      </c>
      <c r="P9" s="326">
        <f>'Haver Pivoted'!HA32</f>
        <v>929</v>
      </c>
      <c r="Q9" s="326">
        <f>'Haver Pivoted'!HB32</f>
        <v>937.5</v>
      </c>
      <c r="R9" s="326">
        <f>'Haver Pivoted'!HC32</f>
        <v>961.8</v>
      </c>
      <c r="S9" s="327">
        <f>'Haver Pivoted'!HD32</f>
        <v>950.2</v>
      </c>
      <c r="T9" s="327">
        <f>'Haver Pivoted'!HE32</f>
        <v>946.2</v>
      </c>
      <c r="U9" s="287">
        <f>'Haver Pivoted'!HF32</f>
        <v>974.6</v>
      </c>
      <c r="V9" s="287">
        <f>'Haver Pivoted'!HG32</f>
        <v>974.1</v>
      </c>
      <c r="W9" s="287">
        <f>'Haver Pivoted'!HH32</f>
        <v>918.5</v>
      </c>
      <c r="X9" s="287">
        <f>'Haver Pivoted'!HI32</f>
        <v>911</v>
      </c>
      <c r="Y9" s="290">
        <f t="shared" ref="Y9:AB9" si="0">Y10+Y11</f>
        <v>854.61379450663253</v>
      </c>
      <c r="Z9" s="290">
        <f t="shared" si="0"/>
        <v>825.81642848229467</v>
      </c>
      <c r="AA9" s="290">
        <f t="shared" si="0"/>
        <v>816.28303840089075</v>
      </c>
      <c r="AB9" s="290">
        <f t="shared" si="0"/>
        <v>808.61161304899645</v>
      </c>
      <c r="AC9" s="290">
        <f>AC10+AC11</f>
        <v>814.86670519943641</v>
      </c>
      <c r="AD9" s="290">
        <f>AD10+AD11</f>
        <v>250.00057210180088</v>
      </c>
      <c r="AE9" s="290"/>
      <c r="AF9" s="290"/>
      <c r="AG9" s="290"/>
      <c r="AH9" s="346"/>
      <c r="AI9" s="379"/>
    </row>
    <row r="10" spans="2:38" ht="27.65" customHeight="1" x14ac:dyDescent="0.35">
      <c r="B10" s="385" t="s">
        <v>133</v>
      </c>
      <c r="C10" s="190" t="s">
        <v>339</v>
      </c>
      <c r="D10" s="331">
        <f>'Haver Pivoted'!GO40</f>
        <v>391.92099999999999</v>
      </c>
      <c r="E10" s="68">
        <f>'Haver Pivoted'!GP40</f>
        <v>406.23</v>
      </c>
      <c r="F10" s="68">
        <f>'Haver Pivoted'!GQ40</f>
        <v>414.87200000000001</v>
      </c>
      <c r="G10" s="68">
        <f>'Haver Pivoted'!GR40</f>
        <v>418.36200000000002</v>
      </c>
      <c r="H10" s="68">
        <f>'Haver Pivoted'!GS40</f>
        <v>414.971</v>
      </c>
      <c r="I10" s="68">
        <f>'Haver Pivoted'!GT40</f>
        <v>424.089</v>
      </c>
      <c r="J10" s="68">
        <f>'Haver Pivoted'!GU40</f>
        <v>505.45</v>
      </c>
      <c r="K10" s="68">
        <f>'Haver Pivoted'!GV40</f>
        <v>483.86599999999999</v>
      </c>
      <c r="L10" s="68">
        <f>'Haver Pivoted'!GW40</f>
        <v>506.75599999999997</v>
      </c>
      <c r="M10" s="68">
        <f>'Haver Pivoted'!GX40</f>
        <v>501.459</v>
      </c>
      <c r="N10" s="68">
        <f>'Haver Pivoted'!GY40</f>
        <v>526.38599999999997</v>
      </c>
      <c r="O10" s="68">
        <f>'Haver Pivoted'!GZ40</f>
        <v>541.66800000000001</v>
      </c>
      <c r="P10" s="68">
        <f>'Haver Pivoted'!HA40</f>
        <v>563.64300000000003</v>
      </c>
      <c r="Q10" s="68">
        <f>'Haver Pivoted'!HB40</f>
        <v>594.56200000000001</v>
      </c>
      <c r="R10" s="68">
        <f>'Haver Pivoted'!HC40</f>
        <v>595.59299999999996</v>
      </c>
      <c r="S10" s="286">
        <f>'Haver Pivoted'!HD40</f>
        <v>607.94899999999996</v>
      </c>
      <c r="T10" s="286">
        <f>'Haver Pivoted'!HE40</f>
        <v>607.13699999999994</v>
      </c>
      <c r="U10" s="286">
        <f>'Haver Pivoted'!HF40</f>
        <v>630.96299999999997</v>
      </c>
      <c r="V10" s="286">
        <f>'Haver Pivoted'!HG40</f>
        <v>639.71100000000001</v>
      </c>
      <c r="W10" s="286">
        <f>'Haver Pivoted'!HH40</f>
        <v>590.947</v>
      </c>
      <c r="X10" s="286">
        <f>'Haver Pivoted'!HI40</f>
        <v>616.99699999999996</v>
      </c>
      <c r="Y10" s="291">
        <f>Medicaid!Y28</f>
        <v>583.51744813871062</v>
      </c>
      <c r="Z10" s="291">
        <f>Medicaid!Z28</f>
        <v>571.60610915363998</v>
      </c>
      <c r="AA10" s="291">
        <f>Medicaid!AA28</f>
        <v>559.9379162764875</v>
      </c>
      <c r="AB10" s="291">
        <f>Medicaid!AB28</f>
        <v>563.98665304899646</v>
      </c>
      <c r="AC10" s="291">
        <f>Medicaid!AC28</f>
        <v>568.06466497679764</v>
      </c>
      <c r="AD10" s="291">
        <f>Medicaid!AH28</f>
        <v>0</v>
      </c>
      <c r="AE10" s="291"/>
      <c r="AF10" s="291"/>
      <c r="AG10" s="291"/>
      <c r="AH10" s="314"/>
      <c r="AI10" s="366"/>
    </row>
    <row r="11" spans="2:38" ht="17.25" customHeight="1" x14ac:dyDescent="0.35">
      <c r="B11" s="210" t="s">
        <v>340</v>
      </c>
      <c r="C11" s="190"/>
      <c r="D11" s="331">
        <f t="shared" ref="D11:G11" si="1">D9-D10</f>
        <v>198.17900000000003</v>
      </c>
      <c r="E11" s="68">
        <f t="shared" si="1"/>
        <v>186.87</v>
      </c>
      <c r="F11" s="68">
        <f t="shared" si="1"/>
        <v>195.82800000000003</v>
      </c>
      <c r="G11" s="68">
        <f t="shared" si="1"/>
        <v>192.03799999999995</v>
      </c>
      <c r="H11" s="68">
        <f>H9-H10</f>
        <v>206.82899999999995</v>
      </c>
      <c r="I11" s="68">
        <f t="shared" ref="I11:N11" si="2">I9-I10</f>
        <v>214.11100000000005</v>
      </c>
      <c r="J11" s="68">
        <f t="shared" si="2"/>
        <v>883.14999999999986</v>
      </c>
      <c r="K11" s="68">
        <f t="shared" si="2"/>
        <v>253.13400000000001</v>
      </c>
      <c r="L11" s="68">
        <f t="shared" si="2"/>
        <v>244.54399999999998</v>
      </c>
      <c r="M11" s="68">
        <f t="shared" si="2"/>
        <v>280.34099999999995</v>
      </c>
      <c r="N11" s="68">
        <f t="shared" si="2"/>
        <v>1119.5140000000001</v>
      </c>
      <c r="O11" s="68">
        <f t="shared" ref="O11:T11" si="3">O9-O10</f>
        <v>542.73200000000008</v>
      </c>
      <c r="P11" s="68">
        <f t="shared" si="3"/>
        <v>365.35699999999997</v>
      </c>
      <c r="Q11" s="68">
        <f t="shared" si="3"/>
        <v>342.93799999999999</v>
      </c>
      <c r="R11" s="68">
        <f t="shared" si="3"/>
        <v>366.20699999999999</v>
      </c>
      <c r="S11" s="286">
        <f t="shared" si="3"/>
        <v>342.25100000000009</v>
      </c>
      <c r="T11" s="286">
        <f t="shared" si="3"/>
        <v>339.0630000000001</v>
      </c>
      <c r="U11" s="286">
        <f>U9-U10</f>
        <v>343.63700000000006</v>
      </c>
      <c r="V11" s="286">
        <f>V9-V10</f>
        <v>334.38900000000001</v>
      </c>
      <c r="W11" s="286">
        <f>W9-W10</f>
        <v>327.553</v>
      </c>
      <c r="X11" s="286">
        <f>X9-X10</f>
        <v>294.00300000000004</v>
      </c>
      <c r="Y11" s="291">
        <f t="shared" ref="Y11:AB11" si="4">SUM(Y12:Y20)</f>
        <v>271.09634636792191</v>
      </c>
      <c r="Z11" s="291">
        <f t="shared" si="4"/>
        <v>254.21031932865475</v>
      </c>
      <c r="AA11" s="291">
        <f t="shared" si="4"/>
        <v>256.34512212440319</v>
      </c>
      <c r="AB11" s="291">
        <f t="shared" si="4"/>
        <v>244.62496000000002</v>
      </c>
      <c r="AC11" s="291">
        <f>SUM(AC12:AC20)</f>
        <v>246.80204022263877</v>
      </c>
      <c r="AD11" s="291">
        <f>SUM(AD12:AD20)</f>
        <v>250.00057210180088</v>
      </c>
      <c r="AE11" s="291"/>
      <c r="AF11" s="291"/>
      <c r="AG11" s="291"/>
      <c r="AH11" s="314"/>
      <c r="AI11" s="366"/>
    </row>
    <row r="12" spans="2:38" ht="16.399999999999999" customHeight="1" x14ac:dyDescent="0.35">
      <c r="B12" s="322" t="s">
        <v>149</v>
      </c>
      <c r="C12" s="52" t="s">
        <v>341</v>
      </c>
      <c r="D12" s="391"/>
      <c r="E12" s="52"/>
      <c r="F12" s="52"/>
      <c r="G12" s="52"/>
      <c r="H12" s="68"/>
      <c r="I12" s="68"/>
      <c r="J12" s="68">
        <f>'Haver Pivoted'!GU56</f>
        <v>597.9</v>
      </c>
      <c r="K12" s="68"/>
      <c r="L12" s="68"/>
      <c r="M12" s="68"/>
      <c r="N12" s="68"/>
      <c r="O12" s="50">
        <v>0</v>
      </c>
      <c r="P12" s="50">
        <v>0</v>
      </c>
      <c r="Q12" s="50">
        <v>0</v>
      </c>
      <c r="R12" s="50">
        <v>0</v>
      </c>
      <c r="S12" s="50">
        <v>0</v>
      </c>
      <c r="T12" s="50">
        <v>0</v>
      </c>
      <c r="U12" s="50">
        <v>0</v>
      </c>
      <c r="V12" s="50">
        <v>0</v>
      </c>
      <c r="W12" s="50">
        <v>0</v>
      </c>
      <c r="X12" s="291">
        <v>0</v>
      </c>
      <c r="Y12" s="291">
        <v>0</v>
      </c>
      <c r="Z12" s="291">
        <v>0</v>
      </c>
      <c r="AA12" s="291">
        <v>0</v>
      </c>
      <c r="AB12" s="291">
        <v>0</v>
      </c>
      <c r="AC12" s="291">
        <v>0</v>
      </c>
      <c r="AD12" s="291">
        <v>0</v>
      </c>
      <c r="AE12" s="291"/>
      <c r="AF12" s="291"/>
      <c r="AG12" s="291"/>
      <c r="AH12" s="314">
        <f t="shared" ref="AH12:AH17" si="5">SUM(I12:Y12)/4</f>
        <v>149.47499999999999</v>
      </c>
      <c r="AI12" s="366">
        <f>AH26</f>
        <v>150</v>
      </c>
    </row>
    <row r="13" spans="2:38" x14ac:dyDescent="0.35">
      <c r="B13" s="322" t="s">
        <v>150</v>
      </c>
      <c r="C13" s="52" t="s">
        <v>342</v>
      </c>
      <c r="D13" s="391"/>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86">
        <f>'Haver Pivoted'!HD57</f>
        <v>68.3</v>
      </c>
      <c r="T13" s="286">
        <f>'Haver Pivoted'!HE57</f>
        <v>64</v>
      </c>
      <c r="U13" s="288">
        <f>U27+U31+U37</f>
        <v>60.929333333333297</v>
      </c>
      <c r="V13" s="288">
        <f t="shared" ref="V13:AD13" si="6">V27+V31+V37</f>
        <v>60.929333333333297</v>
      </c>
      <c r="W13" s="288">
        <f>W27+W31+W37</f>
        <v>60.929333333333297</v>
      </c>
      <c r="X13" s="288">
        <f t="shared" si="6"/>
        <v>54.244333333333302</v>
      </c>
      <c r="Y13" s="288">
        <f t="shared" si="6"/>
        <v>50.911000000000001</v>
      </c>
      <c r="Z13" s="288">
        <f t="shared" si="6"/>
        <v>31.911000000000001</v>
      </c>
      <c r="AA13" s="288">
        <f t="shared" si="6"/>
        <v>31.911000000000001</v>
      </c>
      <c r="AB13" s="288">
        <f t="shared" si="6"/>
        <v>23.099</v>
      </c>
      <c r="AC13" s="288">
        <f t="shared" si="6"/>
        <v>23.099</v>
      </c>
      <c r="AD13" s="288">
        <f t="shared" si="6"/>
        <v>23.099</v>
      </c>
      <c r="AE13" s="288"/>
      <c r="AF13" s="288"/>
      <c r="AG13" s="288"/>
      <c r="AH13" s="314">
        <f t="shared" si="5"/>
        <v>225.58583333333326</v>
      </c>
      <c r="AI13" s="366">
        <f>AH27+AH31+AH37</f>
        <v>225.76349999999994</v>
      </c>
      <c r="AJ13" s="56">
        <f>SUM(J13:R13)/4</f>
        <v>120.52500000000001</v>
      </c>
    </row>
    <row r="14" spans="2:38" x14ac:dyDescent="0.35">
      <c r="B14" s="322" t="s">
        <v>152</v>
      </c>
      <c r="C14" s="49" t="s">
        <v>307</v>
      </c>
      <c r="D14" s="318"/>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86">
        <f>'Haver Pivoted'!HD58</f>
        <v>7.5</v>
      </c>
      <c r="T14" s="286">
        <f>'Haver Pivoted'!HE58</f>
        <v>6.2</v>
      </c>
      <c r="U14" s="286">
        <f>'Haver Pivoted'!HF58</f>
        <v>0</v>
      </c>
      <c r="V14" s="286">
        <f>'Haver Pivoted'!HG58</f>
        <v>0</v>
      </c>
      <c r="W14" s="286">
        <f>'Haver Pivoted'!HH58</f>
        <v>0</v>
      </c>
      <c r="X14" s="286">
        <f>'Haver Pivoted'!HI58</f>
        <v>0</v>
      </c>
      <c r="Y14" s="291">
        <f>'Provider Relief (expired)'!Y12</f>
        <v>0</v>
      </c>
      <c r="Z14" s="291">
        <f>'Provider Relief (expired)'!Z12</f>
        <v>0</v>
      </c>
      <c r="AA14" s="291">
        <f>'Provider Relief (expired)'!AA12</f>
        <v>0</v>
      </c>
      <c r="AB14" s="291">
        <f>'Provider Relief (expired)'!AB12</f>
        <v>0</v>
      </c>
      <c r="AC14" s="291">
        <f>'Provider Relief (expired)'!AC12</f>
        <v>0</v>
      </c>
      <c r="AD14" s="291">
        <f>'Provider Relief (expired)'!AD12</f>
        <v>0</v>
      </c>
      <c r="AE14" s="291"/>
      <c r="AF14" s="291"/>
      <c r="AG14" s="291"/>
      <c r="AH14" s="314">
        <f t="shared" si="5"/>
        <v>47.375</v>
      </c>
      <c r="AI14" s="366">
        <f>AH28+AH32+AH38</f>
        <v>34.125000000000007</v>
      </c>
    </row>
    <row r="15" spans="2:38" ht="15.75" customHeight="1" x14ac:dyDescent="0.35">
      <c r="B15" s="322" t="s">
        <v>343</v>
      </c>
      <c r="C15" s="49"/>
      <c r="D15" s="318"/>
      <c r="E15" s="49"/>
      <c r="F15" s="49"/>
      <c r="G15" s="49"/>
      <c r="H15" s="68"/>
      <c r="I15" s="68"/>
      <c r="J15" s="68"/>
      <c r="K15" s="68"/>
      <c r="L15" s="68"/>
      <c r="M15" s="68">
        <f>M30</f>
        <v>9.6666666666666661</v>
      </c>
      <c r="N15" s="50">
        <f t="shared" ref="N15:AC15" si="7">N30</f>
        <v>9.6666666666666661</v>
      </c>
      <c r="O15" s="50">
        <f t="shared" si="7"/>
        <v>9.6666666666666661</v>
      </c>
      <c r="P15" s="50">
        <f>P30</f>
        <v>9.6666666666666661</v>
      </c>
      <c r="Q15" s="50">
        <f>Q30</f>
        <v>9.6666666666666661</v>
      </c>
      <c r="R15" s="50">
        <f t="shared" si="7"/>
        <v>9.6666666666666661</v>
      </c>
      <c r="S15" s="50">
        <f t="shared" si="7"/>
        <v>9.6666666666666661</v>
      </c>
      <c r="T15" s="50">
        <f t="shared" si="7"/>
        <v>9.6666666666666661</v>
      </c>
      <c r="U15" s="50">
        <f t="shared" si="7"/>
        <v>9.6666666666666661</v>
      </c>
      <c r="V15" s="50">
        <f t="shared" si="7"/>
        <v>9.6666666666666661</v>
      </c>
      <c r="W15" s="50">
        <f t="shared" si="7"/>
        <v>9.6666666666666661</v>
      </c>
      <c r="X15" s="291">
        <f t="shared" si="7"/>
        <v>9.6666666666666661</v>
      </c>
      <c r="Y15" s="291">
        <f t="shared" si="7"/>
        <v>0</v>
      </c>
      <c r="Z15" s="291">
        <f t="shared" si="7"/>
        <v>0</v>
      </c>
      <c r="AA15" s="291">
        <f t="shared" si="7"/>
        <v>0</v>
      </c>
      <c r="AB15" s="291">
        <f t="shared" si="7"/>
        <v>0</v>
      </c>
      <c r="AC15" s="291">
        <f t="shared" si="7"/>
        <v>0</v>
      </c>
      <c r="AD15" s="291">
        <f t="shared" ref="AD15" si="8">AD30</f>
        <v>0</v>
      </c>
      <c r="AE15" s="291"/>
      <c r="AF15" s="291"/>
      <c r="AG15" s="291"/>
      <c r="AH15" s="314">
        <f t="shared" si="5"/>
        <v>29.000000000000004</v>
      </c>
      <c r="AI15" s="367">
        <f>AH30</f>
        <v>29.000000000000004</v>
      </c>
      <c r="AJ15" s="334" t="s">
        <v>344</v>
      </c>
      <c r="AK15" s="334"/>
      <c r="AL15" s="334"/>
    </row>
    <row r="16" spans="2:38" ht="31.4" customHeight="1" x14ac:dyDescent="0.35">
      <c r="B16" s="322" t="s">
        <v>345</v>
      </c>
      <c r="C16" s="49"/>
      <c r="D16" s="318"/>
      <c r="E16" s="49"/>
      <c r="F16" s="49"/>
      <c r="G16" s="49"/>
      <c r="H16" s="68"/>
      <c r="I16" s="68"/>
      <c r="J16" s="68"/>
      <c r="K16" s="68"/>
      <c r="L16" s="68"/>
      <c r="M16" s="68">
        <f>M34+M33</f>
        <v>12</v>
      </c>
      <c r="N16" s="50">
        <f>N34+N33</f>
        <v>12</v>
      </c>
      <c r="O16" s="50">
        <f>O34+O33</f>
        <v>12</v>
      </c>
      <c r="P16" s="50">
        <f t="shared" ref="P16:AC16" si="9">P34+P33</f>
        <v>12</v>
      </c>
      <c r="Q16" s="50">
        <f t="shared" si="9"/>
        <v>12</v>
      </c>
      <c r="R16" s="50">
        <f t="shared" si="9"/>
        <v>12</v>
      </c>
      <c r="S16" s="50">
        <f t="shared" si="9"/>
        <v>12</v>
      </c>
      <c r="T16" s="50">
        <f t="shared" si="9"/>
        <v>12</v>
      </c>
      <c r="U16" s="50">
        <f t="shared" si="9"/>
        <v>12</v>
      </c>
      <c r="V16" s="50">
        <f t="shared" si="9"/>
        <v>12</v>
      </c>
      <c r="W16" s="50">
        <f t="shared" si="9"/>
        <v>12</v>
      </c>
      <c r="X16" s="291">
        <f t="shared" si="9"/>
        <v>12</v>
      </c>
      <c r="Y16" s="291">
        <f t="shared" si="9"/>
        <v>0</v>
      </c>
      <c r="Z16" s="291">
        <f t="shared" si="9"/>
        <v>0</v>
      </c>
      <c r="AA16" s="291">
        <f t="shared" si="9"/>
        <v>0</v>
      </c>
      <c r="AB16" s="291">
        <f t="shared" si="9"/>
        <v>0</v>
      </c>
      <c r="AC16" s="291">
        <f t="shared" si="9"/>
        <v>0</v>
      </c>
      <c r="AD16" s="291">
        <f t="shared" ref="AD16" si="10">AD34+AD33</f>
        <v>0</v>
      </c>
      <c r="AE16" s="291"/>
      <c r="AF16" s="291"/>
      <c r="AG16" s="291"/>
      <c r="AH16" s="314">
        <f t="shared" si="5"/>
        <v>36</v>
      </c>
      <c r="AI16" s="366">
        <f>SUM(AH33:AH34)+AH39</f>
        <v>130.3365</v>
      </c>
      <c r="AJ16" s="334" t="s">
        <v>346</v>
      </c>
      <c r="AK16" s="334"/>
      <c r="AL16" s="334"/>
    </row>
    <row r="17" spans="1:38" x14ac:dyDescent="0.35">
      <c r="B17" s="322" t="s">
        <v>347</v>
      </c>
      <c r="C17" s="49"/>
      <c r="D17" s="318"/>
      <c r="E17" s="49"/>
      <c r="F17" s="49"/>
      <c r="G17" s="49"/>
      <c r="H17" s="68"/>
      <c r="I17" s="68"/>
      <c r="J17" s="68"/>
      <c r="K17" s="68"/>
      <c r="L17" s="68"/>
      <c r="M17" s="68"/>
      <c r="N17" s="50">
        <f>N39</f>
        <v>59.256</v>
      </c>
      <c r="O17" s="50">
        <f>O39</f>
        <v>59.256</v>
      </c>
      <c r="P17" s="50">
        <f>P39</f>
        <v>35.671000000000006</v>
      </c>
      <c r="Q17" s="50">
        <f>Q39</f>
        <v>35.671000000000006</v>
      </c>
      <c r="R17" s="50">
        <f t="shared" ref="R17:AC17" si="11">R39</f>
        <v>35.671000000000006</v>
      </c>
      <c r="S17" s="50">
        <f t="shared" si="11"/>
        <v>35.671000000000006</v>
      </c>
      <c r="T17" s="50">
        <f t="shared" si="11"/>
        <v>24.216000000000001</v>
      </c>
      <c r="U17" s="50">
        <f t="shared" si="11"/>
        <v>24.216000000000001</v>
      </c>
      <c r="V17" s="50">
        <f t="shared" si="11"/>
        <v>24.216000000000001</v>
      </c>
      <c r="W17" s="50">
        <f t="shared" si="11"/>
        <v>24.216000000000001</v>
      </c>
      <c r="X17" s="291">
        <f t="shared" si="11"/>
        <v>9.6430000000000007</v>
      </c>
      <c r="Y17" s="291">
        <f t="shared" si="11"/>
        <v>9.6430000000000007</v>
      </c>
      <c r="Z17" s="291">
        <f t="shared" si="11"/>
        <v>9.6430000000000007</v>
      </c>
      <c r="AA17" s="291">
        <f t="shared" si="11"/>
        <v>9.6430000000000007</v>
      </c>
      <c r="AB17" s="291">
        <f t="shared" si="11"/>
        <v>4.5789999999999997</v>
      </c>
      <c r="AC17" s="291">
        <f t="shared" si="11"/>
        <v>4.5789999999999997</v>
      </c>
      <c r="AD17" s="291">
        <f t="shared" ref="AD17" si="12">AD39</f>
        <v>4.5789999999999997</v>
      </c>
      <c r="AE17" s="291"/>
      <c r="AF17" s="291"/>
      <c r="AG17" s="291"/>
      <c r="AH17" s="314">
        <f t="shared" si="5"/>
        <v>94.336500000000001</v>
      </c>
      <c r="AI17" s="366"/>
      <c r="AJ17" s="334"/>
      <c r="AK17" s="334"/>
      <c r="AL17" s="334"/>
    </row>
    <row r="18" spans="1:38" ht="54" customHeight="1" x14ac:dyDescent="0.35">
      <c r="B18" s="373" t="s">
        <v>783</v>
      </c>
      <c r="C18" s="49"/>
      <c r="D18" s="318"/>
      <c r="E18" s="49"/>
      <c r="F18" s="49"/>
      <c r="G18" s="49"/>
      <c r="H18" s="68"/>
      <c r="I18" s="68"/>
      <c r="J18" s="68"/>
      <c r="K18" s="68"/>
      <c r="L18" s="68"/>
      <c r="M18" s="68"/>
      <c r="N18" s="50">
        <v>-40</v>
      </c>
      <c r="O18" s="50">
        <v>-40</v>
      </c>
      <c r="P18" s="50">
        <f>-51</f>
        <v>-51</v>
      </c>
      <c r="Q18" s="50">
        <f>-51</f>
        <v>-51</v>
      </c>
      <c r="R18" s="50">
        <v>-51</v>
      </c>
      <c r="S18" s="50">
        <f>-51</f>
        <v>-51</v>
      </c>
      <c r="T18" s="50">
        <v>0</v>
      </c>
      <c r="U18" s="50">
        <v>0</v>
      </c>
      <c r="V18" s="50">
        <v>0</v>
      </c>
      <c r="W18" s="50">
        <v>0</v>
      </c>
      <c r="X18" s="291">
        <v>-4</v>
      </c>
      <c r="Y18" s="291">
        <v>-4</v>
      </c>
      <c r="Z18" s="291">
        <v>-4</v>
      </c>
      <c r="AA18" s="291">
        <v>-4</v>
      </c>
      <c r="AB18" s="291">
        <v>-4</v>
      </c>
      <c r="AC18" s="291">
        <v>-4</v>
      </c>
      <c r="AD18" s="291">
        <v>-3</v>
      </c>
      <c r="AE18" s="291">
        <v>0</v>
      </c>
      <c r="AF18" s="291">
        <v>0</v>
      </c>
      <c r="AG18" s="291">
        <v>0</v>
      </c>
      <c r="AH18" s="314"/>
      <c r="AI18" s="366"/>
      <c r="AJ18" s="334"/>
      <c r="AK18" s="334"/>
      <c r="AL18" s="334"/>
    </row>
    <row r="19" spans="1:38" ht="15.75" customHeight="1" x14ac:dyDescent="0.35">
      <c r="B19" s="322" t="s">
        <v>348</v>
      </c>
      <c r="C19" s="52" t="s">
        <v>349</v>
      </c>
      <c r="D19" s="318"/>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86">
        <f>'Haver Pivoted'!HD56</f>
        <v>0</v>
      </c>
      <c r="T19" s="286">
        <f>'Haver Pivoted'!HE56</f>
        <v>0</v>
      </c>
      <c r="U19" s="286">
        <f>'Haver Pivoted'!HF56</f>
        <v>0</v>
      </c>
      <c r="V19" s="286">
        <f>'Haver Pivoted'!HG56</f>
        <v>0</v>
      </c>
      <c r="W19" s="286">
        <f>'Haver Pivoted'!HH56</f>
        <v>0</v>
      </c>
      <c r="X19" s="286">
        <f>'Haver Pivoted'!HI56</f>
        <v>0</v>
      </c>
      <c r="Y19" s="283">
        <f t="shared" ref="Y19:AC19" si="13">Y36</f>
        <v>0</v>
      </c>
      <c r="Z19" s="283">
        <f t="shared" si="13"/>
        <v>0</v>
      </c>
      <c r="AA19" s="283">
        <f t="shared" si="13"/>
        <v>0</v>
      </c>
      <c r="AB19" s="283">
        <f t="shared" si="13"/>
        <v>0</v>
      </c>
      <c r="AC19" s="283">
        <f t="shared" si="13"/>
        <v>0</v>
      </c>
      <c r="AD19" s="283">
        <f t="shared" ref="AD19" si="14">AD36</f>
        <v>0</v>
      </c>
      <c r="AE19" s="283">
        <v>0</v>
      </c>
      <c r="AF19" s="283">
        <v>0</v>
      </c>
      <c r="AG19" s="283">
        <v>0</v>
      </c>
      <c r="AH19" s="314">
        <f>SUM(I19:Y19)/4</f>
        <v>245.9</v>
      </c>
      <c r="AI19" s="366">
        <f>AH36</f>
        <v>362.04999999999995</v>
      </c>
      <c r="AJ19" s="357"/>
      <c r="AL19" s="334"/>
    </row>
    <row r="20" spans="1:38" ht="15.75" customHeight="1" x14ac:dyDescent="0.35">
      <c r="A20" s="336"/>
      <c r="B20" s="335" t="s">
        <v>350</v>
      </c>
      <c r="C20" s="349"/>
      <c r="D20" s="347">
        <f t="shared" ref="D20:T20" si="15">D11-SUM(D12:D19)</f>
        <v>198.17900000000003</v>
      </c>
      <c r="E20" s="349">
        <f t="shared" si="15"/>
        <v>186.87</v>
      </c>
      <c r="F20" s="349">
        <f t="shared" si="15"/>
        <v>195.82800000000003</v>
      </c>
      <c r="G20" s="349">
        <f t="shared" si="15"/>
        <v>192.03799999999995</v>
      </c>
      <c r="H20" s="349">
        <f t="shared" si="15"/>
        <v>206.82899999999995</v>
      </c>
      <c r="I20" s="349">
        <f t="shared" si="15"/>
        <v>214.11100000000005</v>
      </c>
      <c r="J20" s="349">
        <f t="shared" si="15"/>
        <v>192.44999999999993</v>
      </c>
      <c r="K20" s="349">
        <f t="shared" si="15"/>
        <v>213.93400000000003</v>
      </c>
      <c r="L20" s="349">
        <f t="shared" si="15"/>
        <v>215.54399999999998</v>
      </c>
      <c r="M20" s="349">
        <f t="shared" si="15"/>
        <v>217.77433333333329</v>
      </c>
      <c r="N20" s="349">
        <f t="shared" si="15"/>
        <v>217.59133333333352</v>
      </c>
      <c r="O20" s="349">
        <f t="shared" si="15"/>
        <v>222.7093333333334</v>
      </c>
      <c r="P20" s="349">
        <f t="shared" si="15"/>
        <v>244.61933333333332</v>
      </c>
      <c r="Q20" s="349">
        <f t="shared" si="15"/>
        <v>248.60033333333331</v>
      </c>
      <c r="R20" s="349">
        <f t="shared" si="15"/>
        <v>262.76933333333329</v>
      </c>
      <c r="S20" s="324">
        <f t="shared" si="15"/>
        <v>260.1133333333334</v>
      </c>
      <c r="T20" s="324">
        <f t="shared" si="15"/>
        <v>222.98033333333342</v>
      </c>
      <c r="U20" s="289">
        <f>U11-SUM(U12:U19)</f>
        <v>236.8250000000001</v>
      </c>
      <c r="V20" s="289">
        <f>V11-SUM(V12:V19)</f>
        <v>227.57700000000006</v>
      </c>
      <c r="W20" s="289">
        <f>W11-SUM(W12:W19)</f>
        <v>220.74100000000004</v>
      </c>
      <c r="X20" s="289">
        <f>X11-SUM(X12:X19)</f>
        <v>212.44900000000007</v>
      </c>
      <c r="Y20" s="290">
        <f t="shared" ref="Y20:AC20" si="16">X20*(1.04)^0.25</f>
        <v>214.54234636792194</v>
      </c>
      <c r="Z20" s="290">
        <f t="shared" si="16"/>
        <v>216.65631932865475</v>
      </c>
      <c r="AA20" s="290">
        <f t="shared" si="16"/>
        <v>218.79112212440319</v>
      </c>
      <c r="AB20" s="290">
        <f t="shared" si="16"/>
        <v>220.94696000000002</v>
      </c>
      <c r="AC20" s="290">
        <f t="shared" si="16"/>
        <v>223.12404022263877</v>
      </c>
      <c r="AD20" s="290">
        <f>AC20*(1.04)^0.25</f>
        <v>225.32257210180089</v>
      </c>
      <c r="AE20" s="290">
        <f t="shared" ref="AE20:AG20" si="17">AD20*(1.04)^0.25</f>
        <v>227.54276700937928</v>
      </c>
      <c r="AF20" s="290">
        <f t="shared" si="17"/>
        <v>229.78483839999998</v>
      </c>
      <c r="AG20" s="290">
        <f t="shared" si="17"/>
        <v>232.04900183154427</v>
      </c>
      <c r="AH20" s="371"/>
      <c r="AI20" s="368"/>
      <c r="AJ20" s="334" t="s">
        <v>351</v>
      </c>
      <c r="AK20" s="334"/>
      <c r="AL20" s="334"/>
    </row>
    <row r="21" spans="1:38" ht="15.75" customHeight="1" x14ac:dyDescent="0.35">
      <c r="A21" s="7"/>
      <c r="B21" s="299"/>
      <c r="C21" s="49"/>
      <c r="D21" s="49"/>
      <c r="E21" s="49"/>
      <c r="F21" s="49"/>
      <c r="G21" s="49"/>
      <c r="H21" s="49"/>
      <c r="I21" s="49"/>
      <c r="J21" s="49"/>
      <c r="K21" s="49"/>
      <c r="L21" s="49"/>
      <c r="M21" s="49"/>
      <c r="N21" s="49"/>
      <c r="O21" s="344"/>
      <c r="P21" s="49"/>
      <c r="Q21" s="191"/>
      <c r="R21" s="191"/>
      <c r="S21" s="191"/>
      <c r="T21" s="191"/>
      <c r="U21" s="191"/>
      <c r="V21" s="191"/>
      <c r="W21" s="191"/>
      <c r="X21" s="191"/>
      <c r="Y21" s="191"/>
      <c r="Z21" s="191"/>
      <c r="AA21" s="191"/>
      <c r="AB21" s="191"/>
      <c r="AC21" s="191"/>
      <c r="AD21" s="191"/>
      <c r="AE21" s="191"/>
      <c r="AF21" s="191"/>
      <c r="AG21" s="191"/>
      <c r="AH21" s="191"/>
      <c r="AI21" s="339"/>
      <c r="AJ21" s="334"/>
      <c r="AK21" s="334"/>
      <c r="AL21" s="334"/>
    </row>
    <row r="22" spans="1:38" x14ac:dyDescent="0.35">
      <c r="C22" s="49"/>
      <c r="D22" s="49"/>
      <c r="E22" s="340"/>
      <c r="F22" s="49"/>
      <c r="G22" s="49"/>
      <c r="H22" s="49"/>
      <c r="I22" s="49"/>
      <c r="J22" s="49"/>
      <c r="K22" s="49"/>
      <c r="L22" s="49"/>
      <c r="M22" s="49"/>
      <c r="N22" s="49"/>
      <c r="P22" s="49"/>
      <c r="Q22" s="49"/>
      <c r="R22" s="49"/>
      <c r="S22" s="49"/>
      <c r="T22" s="49"/>
      <c r="U22" s="49"/>
      <c r="V22" s="49"/>
      <c r="W22" s="49"/>
      <c r="X22" s="49"/>
      <c r="Y22" s="49"/>
      <c r="Z22" s="49"/>
      <c r="AA22" s="49"/>
      <c r="AB22" s="49"/>
      <c r="AC22" s="49"/>
      <c r="AD22" s="49"/>
      <c r="AE22" s="49"/>
      <c r="AF22" s="49"/>
      <c r="AG22" s="49"/>
      <c r="AH22" s="49"/>
      <c r="AI22" s="49"/>
    </row>
    <row r="23" spans="1:38" x14ac:dyDescent="0.35">
      <c r="B23" s="363" t="s">
        <v>352</v>
      </c>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row>
    <row r="24" spans="1:38" ht="27" customHeight="1" x14ac:dyDescent="0.35">
      <c r="B24" s="1331" t="s">
        <v>353</v>
      </c>
      <c r="C24" s="1332"/>
      <c r="D24" s="1333"/>
      <c r="E24" s="1333"/>
      <c r="F24" s="1333"/>
      <c r="G24" s="1333"/>
      <c r="H24" s="1333"/>
      <c r="I24" s="1333"/>
      <c r="J24" s="1333"/>
      <c r="K24" s="1333"/>
      <c r="L24" s="1333"/>
      <c r="M24" s="1333"/>
      <c r="N24" s="1333"/>
      <c r="O24" s="1333"/>
      <c r="P24" s="1333"/>
      <c r="Q24" s="1333"/>
      <c r="R24" s="1333"/>
      <c r="S24" s="1333"/>
      <c r="T24" s="1333"/>
      <c r="U24" s="1333"/>
      <c r="V24" s="1333"/>
      <c r="W24" s="1333"/>
      <c r="X24" s="1333"/>
      <c r="Y24" s="1333"/>
      <c r="Z24" s="1333"/>
      <c r="AA24" s="1333"/>
      <c r="AB24" s="1333"/>
      <c r="AC24" s="1334"/>
      <c r="AD24" s="305"/>
      <c r="AE24" s="305"/>
      <c r="AF24" s="305"/>
      <c r="AG24" s="305"/>
      <c r="AH24" s="304" t="s">
        <v>335</v>
      </c>
      <c r="AI24" s="369"/>
    </row>
    <row r="25" spans="1:38" ht="17.899999999999999" customHeight="1" x14ac:dyDescent="0.35">
      <c r="B25" s="376" t="s">
        <v>354</v>
      </c>
      <c r="C25" s="49"/>
      <c r="D25" s="387"/>
      <c r="E25" s="377"/>
      <c r="F25" s="377"/>
      <c r="G25" s="377"/>
      <c r="H25" s="374"/>
      <c r="I25" s="374"/>
      <c r="J25" s="332">
        <f>SUM(J26:J28)</f>
        <v>692.8</v>
      </c>
      <c r="K25" s="332">
        <f t="shared" ref="K25:P25" si="18">SUM(K26:K28)</f>
        <v>39.200000000000003</v>
      </c>
      <c r="L25" s="332">
        <f t="shared" si="18"/>
        <v>29</v>
      </c>
      <c r="M25" s="332">
        <f t="shared" si="18"/>
        <v>27</v>
      </c>
      <c r="N25" s="332">
        <f t="shared" si="18"/>
        <v>18</v>
      </c>
      <c r="O25" s="332">
        <f t="shared" si="18"/>
        <v>0</v>
      </c>
      <c r="P25" s="312">
        <f t="shared" si="18"/>
        <v>0</v>
      </c>
      <c r="Q25" s="332"/>
      <c r="R25" s="332"/>
      <c r="S25" s="332"/>
      <c r="T25" s="372"/>
      <c r="U25" s="372"/>
      <c r="V25" s="372"/>
      <c r="W25" s="372"/>
      <c r="X25" s="372"/>
      <c r="Y25" s="372"/>
      <c r="Z25" s="372"/>
      <c r="AA25" s="372"/>
      <c r="AB25" s="372"/>
      <c r="AC25" s="302"/>
      <c r="AD25" s="283"/>
      <c r="AE25" s="283"/>
      <c r="AF25" s="283"/>
      <c r="AG25" s="283"/>
      <c r="AH25" s="314">
        <f t="shared" ref="AH25:AH39" si="19">SUM(I25:Y25)/4</f>
        <v>201.5</v>
      </c>
      <c r="AI25" s="1329" t="s">
        <v>355</v>
      </c>
      <c r="AJ25" s="1330"/>
    </row>
    <row r="26" spans="1:38" x14ac:dyDescent="0.35">
      <c r="B26" s="337" t="s">
        <v>149</v>
      </c>
      <c r="C26" s="49"/>
      <c r="D26" s="318"/>
      <c r="E26" s="49"/>
      <c r="F26" s="49"/>
      <c r="G26" s="49"/>
      <c r="H26" s="50"/>
      <c r="I26" s="50"/>
      <c r="J26" s="276">
        <f>C46*4</f>
        <v>600</v>
      </c>
      <c r="K26" s="276"/>
      <c r="L26" s="276"/>
      <c r="M26" s="276"/>
      <c r="N26" s="276"/>
      <c r="O26" s="276"/>
      <c r="P26" s="315"/>
      <c r="Q26" s="276"/>
      <c r="R26" s="276"/>
      <c r="S26" s="276"/>
      <c r="T26" s="283"/>
      <c r="U26" s="283"/>
      <c r="V26" s="283"/>
      <c r="W26" s="283"/>
      <c r="X26" s="283"/>
      <c r="Y26" s="283"/>
      <c r="Z26" s="283"/>
      <c r="AA26" s="283"/>
      <c r="AB26" s="283"/>
      <c r="AC26" s="283"/>
      <c r="AD26" s="283"/>
      <c r="AE26" s="283"/>
      <c r="AF26" s="283"/>
      <c r="AG26" s="283"/>
      <c r="AH26" s="314">
        <f t="shared" si="19"/>
        <v>150</v>
      </c>
      <c r="AI26" s="276"/>
    </row>
    <row r="27" spans="1:38" ht="15" customHeight="1" x14ac:dyDescent="0.35">
      <c r="B27" s="337" t="s">
        <v>150</v>
      </c>
      <c r="C27" s="49"/>
      <c r="D27" s="318"/>
      <c r="E27" s="49"/>
      <c r="F27" s="49"/>
      <c r="G27" s="49"/>
      <c r="H27" s="50"/>
      <c r="I27" s="50"/>
      <c r="J27" s="276">
        <v>28.4</v>
      </c>
      <c r="K27" s="276">
        <v>15.8</v>
      </c>
      <c r="L27" s="276">
        <v>15.2</v>
      </c>
      <c r="M27" s="276">
        <v>10.9</v>
      </c>
      <c r="N27" s="276">
        <v>18</v>
      </c>
      <c r="O27" s="276"/>
      <c r="P27" s="315"/>
      <c r="Q27" s="276"/>
      <c r="R27" s="276"/>
      <c r="S27" s="276">
        <v>20</v>
      </c>
      <c r="T27" s="333">
        <v>10</v>
      </c>
      <c r="U27" s="283"/>
      <c r="V27" s="283"/>
      <c r="W27" s="283"/>
      <c r="X27" s="283"/>
      <c r="Y27" s="283"/>
      <c r="Z27" s="283"/>
      <c r="AA27" s="283"/>
      <c r="AB27" s="283"/>
      <c r="AC27" s="283"/>
      <c r="AD27" s="283"/>
      <c r="AE27" s="283"/>
      <c r="AF27" s="283"/>
      <c r="AG27" s="283"/>
      <c r="AH27" s="314">
        <f t="shared" si="19"/>
        <v>29.575000000000003</v>
      </c>
      <c r="AI27" s="276"/>
    </row>
    <row r="28" spans="1:38" x14ac:dyDescent="0.35">
      <c r="B28" s="337" t="s">
        <v>152</v>
      </c>
      <c r="C28" s="49"/>
      <c r="D28" s="318"/>
      <c r="E28" s="49"/>
      <c r="F28" s="49"/>
      <c r="G28" s="49"/>
      <c r="H28" s="50"/>
      <c r="I28" s="50"/>
      <c r="J28" s="190">
        <v>64.400000000000006</v>
      </c>
      <c r="K28" s="190">
        <v>23.4</v>
      </c>
      <c r="L28" s="190">
        <v>13.8</v>
      </c>
      <c r="M28" s="190">
        <v>16.100000000000001</v>
      </c>
      <c r="N28" s="276"/>
      <c r="O28" s="276"/>
      <c r="P28" s="315"/>
      <c r="Q28" s="276"/>
      <c r="R28" s="276"/>
      <c r="S28" s="276"/>
      <c r="T28" s="283"/>
      <c r="U28" s="283"/>
      <c r="V28" s="283"/>
      <c r="W28" s="283"/>
      <c r="X28" s="283"/>
      <c r="Y28" s="283"/>
      <c r="Z28" s="283"/>
      <c r="AA28" s="283"/>
      <c r="AB28" s="283"/>
      <c r="AC28" s="283"/>
      <c r="AD28" s="283"/>
      <c r="AE28" s="283"/>
      <c r="AF28" s="283"/>
      <c r="AG28" s="283"/>
      <c r="AH28" s="314">
        <f t="shared" si="19"/>
        <v>29.425000000000004</v>
      </c>
      <c r="AI28" s="276"/>
    </row>
    <row r="29" spans="1:38" ht="16.5" customHeight="1" x14ac:dyDescent="0.35">
      <c r="B29" s="376" t="s">
        <v>356</v>
      </c>
      <c r="C29" s="49"/>
      <c r="D29" s="318"/>
      <c r="E29" s="49"/>
      <c r="F29" s="49"/>
      <c r="G29" s="49"/>
      <c r="H29" s="50"/>
      <c r="I29" s="50"/>
      <c r="J29" s="50"/>
      <c r="K29" s="50"/>
      <c r="L29" s="50"/>
      <c r="M29" s="276">
        <f>SUM(M30:M34)</f>
        <v>43</v>
      </c>
      <c r="N29" s="276">
        <f t="shared" ref="N29:AD29" si="20">SUM(N30:N34)</f>
        <v>70</v>
      </c>
      <c r="O29" s="276">
        <f t="shared" si="20"/>
        <v>59.999999999999964</v>
      </c>
      <c r="P29" s="315">
        <f t="shared" si="20"/>
        <v>50</v>
      </c>
      <c r="Q29" s="276">
        <f t="shared" si="20"/>
        <v>44.999999999999964</v>
      </c>
      <c r="R29" s="276">
        <f t="shared" si="20"/>
        <v>44.999999999999964</v>
      </c>
      <c r="S29" s="276">
        <f t="shared" si="20"/>
        <v>44.999999999999964</v>
      </c>
      <c r="T29" s="283">
        <f t="shared" si="20"/>
        <v>44.999999999999964</v>
      </c>
      <c r="U29" s="283">
        <f t="shared" si="20"/>
        <v>44.999999999999964</v>
      </c>
      <c r="V29" s="283">
        <f t="shared" si="20"/>
        <v>44.999999999999964</v>
      </c>
      <c r="W29" s="283">
        <f t="shared" si="20"/>
        <v>44.999999999999964</v>
      </c>
      <c r="X29" s="283">
        <f t="shared" si="20"/>
        <v>44.999999999999964</v>
      </c>
      <c r="Y29" s="283">
        <f t="shared" si="20"/>
        <v>19</v>
      </c>
      <c r="Z29" s="283">
        <f t="shared" si="20"/>
        <v>0</v>
      </c>
      <c r="AA29" s="283">
        <f t="shared" si="20"/>
        <v>0</v>
      </c>
      <c r="AB29" s="283">
        <f t="shared" si="20"/>
        <v>0</v>
      </c>
      <c r="AC29" s="283">
        <f t="shared" si="20"/>
        <v>0</v>
      </c>
      <c r="AD29" s="283">
        <f t="shared" si="20"/>
        <v>0</v>
      </c>
      <c r="AE29" s="283"/>
      <c r="AF29" s="283"/>
      <c r="AG29" s="283"/>
      <c r="AH29" s="314">
        <f t="shared" si="19"/>
        <v>150.49999999999991</v>
      </c>
      <c r="AI29" s="1329" t="s">
        <v>357</v>
      </c>
      <c r="AJ29" s="1330"/>
    </row>
    <row r="30" spans="1:38" x14ac:dyDescent="0.35">
      <c r="B30" s="337" t="s">
        <v>343</v>
      </c>
      <c r="C30" s="49"/>
      <c r="D30" s="318"/>
      <c r="E30" s="49"/>
      <c r="F30" s="49"/>
      <c r="G30" s="49"/>
      <c r="H30" s="50"/>
      <c r="I30" s="50"/>
      <c r="J30" s="50"/>
      <c r="K30" s="50"/>
      <c r="L30" s="50"/>
      <c r="M30" s="276">
        <f>C49/12*4</f>
        <v>9.6666666666666661</v>
      </c>
      <c r="N30" s="276">
        <f>M30</f>
        <v>9.6666666666666661</v>
      </c>
      <c r="O30" s="276">
        <f t="shared" ref="O30:X30" si="21">N30</f>
        <v>9.6666666666666661</v>
      </c>
      <c r="P30" s="315">
        <f t="shared" si="21"/>
        <v>9.6666666666666661</v>
      </c>
      <c r="Q30" s="276">
        <f t="shared" si="21"/>
        <v>9.6666666666666661</v>
      </c>
      <c r="R30" s="276">
        <f t="shared" si="21"/>
        <v>9.6666666666666661</v>
      </c>
      <c r="S30" s="276">
        <f t="shared" si="21"/>
        <v>9.6666666666666661</v>
      </c>
      <c r="T30" s="283">
        <f t="shared" si="21"/>
        <v>9.6666666666666661</v>
      </c>
      <c r="U30" s="283">
        <f t="shared" si="21"/>
        <v>9.6666666666666661</v>
      </c>
      <c r="V30" s="283">
        <f t="shared" si="21"/>
        <v>9.6666666666666661</v>
      </c>
      <c r="W30" s="283">
        <f t="shared" si="21"/>
        <v>9.6666666666666661</v>
      </c>
      <c r="X30" s="283">
        <f t="shared" si="21"/>
        <v>9.6666666666666661</v>
      </c>
      <c r="Y30" s="291"/>
      <c r="Z30" s="291"/>
      <c r="AA30" s="291"/>
      <c r="AB30" s="291"/>
      <c r="AC30" s="291"/>
      <c r="AD30" s="291"/>
      <c r="AE30" s="291"/>
      <c r="AF30" s="291"/>
      <c r="AG30" s="291"/>
      <c r="AH30" s="314">
        <f t="shared" si="19"/>
        <v>29.000000000000004</v>
      </c>
      <c r="AI30" s="1329"/>
      <c r="AJ30" s="1330"/>
    </row>
    <row r="31" spans="1:38" ht="41.9" customHeight="1" x14ac:dyDescent="0.35">
      <c r="B31" s="337" t="s">
        <v>150</v>
      </c>
      <c r="C31" s="49"/>
      <c r="D31" s="318"/>
      <c r="E31" s="49"/>
      <c r="F31" s="49"/>
      <c r="G31" s="49"/>
      <c r="H31" s="50"/>
      <c r="I31" s="50"/>
      <c r="J31" s="50"/>
      <c r="K31" s="50"/>
      <c r="L31" s="50"/>
      <c r="M31" s="361">
        <f>C60/12*4 - 7</f>
        <v>20.333333333333332</v>
      </c>
      <c r="N31" s="361">
        <f>C60/12*4 + 20</f>
        <v>47.333333333333329</v>
      </c>
      <c r="O31" s="361">
        <v>37.3333333333333</v>
      </c>
      <c r="P31" s="388">
        <v>27.333333333333332</v>
      </c>
      <c r="Q31" s="361">
        <v>22.3333333333333</v>
      </c>
      <c r="R31" s="361">
        <v>22.3333333333333</v>
      </c>
      <c r="S31" s="361">
        <v>22.3333333333333</v>
      </c>
      <c r="T31" s="303">
        <v>22.3333333333333</v>
      </c>
      <c r="U31" s="303">
        <v>22.3333333333333</v>
      </c>
      <c r="V31" s="303">
        <v>22.3333333333333</v>
      </c>
      <c r="W31" s="303">
        <v>22.3333333333333</v>
      </c>
      <c r="X31" s="303">
        <v>22.3333333333333</v>
      </c>
      <c r="Y31" s="303">
        <v>19</v>
      </c>
      <c r="Z31" s="303"/>
      <c r="AA31" s="303"/>
      <c r="AB31" s="303"/>
      <c r="AC31" s="303"/>
      <c r="AD31" s="303"/>
      <c r="AE31" s="303"/>
      <c r="AF31" s="303"/>
      <c r="AG31" s="303"/>
      <c r="AH31" s="314">
        <f t="shared" si="19"/>
        <v>82.499999999999943</v>
      </c>
      <c r="AI31" s="383" t="s">
        <v>358</v>
      </c>
    </row>
    <row r="32" spans="1:38" x14ac:dyDescent="0.35">
      <c r="B32" s="337" t="s">
        <v>152</v>
      </c>
      <c r="C32" s="49"/>
      <c r="D32" s="318"/>
      <c r="E32" s="49"/>
      <c r="F32" s="49"/>
      <c r="G32" s="49"/>
      <c r="H32" s="50"/>
      <c r="I32" s="50"/>
      <c r="J32" s="50"/>
      <c r="K32" s="50"/>
      <c r="L32" s="50"/>
      <c r="M32" s="276">
        <f>C61/12*4</f>
        <v>1</v>
      </c>
      <c r="N32" s="276">
        <f>C61/12*4</f>
        <v>1</v>
      </c>
      <c r="O32" s="276">
        <f t="shared" ref="O32:X32" si="22">$C$61/12*4</f>
        <v>1</v>
      </c>
      <c r="P32" s="315">
        <f t="shared" si="22"/>
        <v>1</v>
      </c>
      <c r="Q32" s="276">
        <f t="shared" si="22"/>
        <v>1</v>
      </c>
      <c r="R32" s="276">
        <f t="shared" si="22"/>
        <v>1</v>
      </c>
      <c r="S32" s="276">
        <f t="shared" si="22"/>
        <v>1</v>
      </c>
      <c r="T32" s="283">
        <f t="shared" si="22"/>
        <v>1</v>
      </c>
      <c r="U32" s="283">
        <f t="shared" si="22"/>
        <v>1</v>
      </c>
      <c r="V32" s="283">
        <f t="shared" si="22"/>
        <v>1</v>
      </c>
      <c r="W32" s="283">
        <f t="shared" si="22"/>
        <v>1</v>
      </c>
      <c r="X32" s="283">
        <f t="shared" si="22"/>
        <v>1</v>
      </c>
      <c r="Y32" s="291"/>
      <c r="Z32" s="291"/>
      <c r="AA32" s="291"/>
      <c r="AB32" s="291"/>
      <c r="AC32" s="291"/>
      <c r="AD32" s="291"/>
      <c r="AE32" s="291"/>
      <c r="AF32" s="291"/>
      <c r="AG32" s="291"/>
      <c r="AH32" s="314">
        <f t="shared" si="19"/>
        <v>3</v>
      </c>
      <c r="AI32" s="50"/>
    </row>
    <row r="33" spans="1:92" ht="13.4" customHeight="1" x14ac:dyDescent="0.35">
      <c r="B33" s="337" t="s">
        <v>359</v>
      </c>
      <c r="C33" s="49"/>
      <c r="D33" s="318"/>
      <c r="E33" s="49"/>
      <c r="F33" s="49"/>
      <c r="G33" s="49"/>
      <c r="H33" s="50"/>
      <c r="I33" s="50"/>
      <c r="J33" s="50"/>
      <c r="K33" s="50"/>
      <c r="L33" s="50"/>
      <c r="M33" s="276">
        <f t="shared" ref="M33:X33" si="23">$C$62/12*4</f>
        <v>11.333333333333334</v>
      </c>
      <c r="N33" s="276">
        <f t="shared" si="23"/>
        <v>11.333333333333334</v>
      </c>
      <c r="O33" s="276">
        <f t="shared" si="23"/>
        <v>11.333333333333334</v>
      </c>
      <c r="P33" s="315">
        <f t="shared" si="23"/>
        <v>11.333333333333334</v>
      </c>
      <c r="Q33" s="276">
        <f t="shared" si="23"/>
        <v>11.333333333333334</v>
      </c>
      <c r="R33" s="276">
        <f t="shared" si="23"/>
        <v>11.333333333333334</v>
      </c>
      <c r="S33" s="276">
        <f t="shared" si="23"/>
        <v>11.333333333333334</v>
      </c>
      <c r="T33" s="283">
        <f t="shared" si="23"/>
        <v>11.333333333333334</v>
      </c>
      <c r="U33" s="283">
        <f t="shared" si="23"/>
        <v>11.333333333333334</v>
      </c>
      <c r="V33" s="283">
        <f t="shared" si="23"/>
        <v>11.333333333333334</v>
      </c>
      <c r="W33" s="283">
        <f t="shared" si="23"/>
        <v>11.333333333333334</v>
      </c>
      <c r="X33" s="283">
        <f t="shared" si="23"/>
        <v>11.333333333333334</v>
      </c>
      <c r="Y33" s="291"/>
      <c r="Z33" s="291"/>
      <c r="AA33" s="291"/>
      <c r="AB33" s="291"/>
      <c r="AC33" s="291"/>
      <c r="AD33" s="291"/>
      <c r="AE33" s="291"/>
      <c r="AF33" s="291"/>
      <c r="AG33" s="291"/>
      <c r="AH33" s="314">
        <f t="shared" si="19"/>
        <v>33.999999999999993</v>
      </c>
      <c r="AI33" s="50"/>
    </row>
    <row r="34" spans="1:92" ht="29.25" customHeight="1" x14ac:dyDescent="0.35">
      <c r="B34" s="337" t="s">
        <v>360</v>
      </c>
      <c r="C34" s="49"/>
      <c r="D34" s="318"/>
      <c r="E34" s="49"/>
      <c r="F34" s="49"/>
      <c r="G34" s="49"/>
      <c r="H34" s="50"/>
      <c r="I34" s="50"/>
      <c r="J34" s="50"/>
      <c r="K34" s="50"/>
      <c r="L34" s="50"/>
      <c r="M34" s="276">
        <f t="shared" ref="M34:X34" si="24">$C$63/12*4</f>
        <v>0.66666666666666663</v>
      </c>
      <c r="N34" s="276">
        <f t="shared" si="24"/>
        <v>0.66666666666666663</v>
      </c>
      <c r="O34" s="276">
        <f t="shared" si="24"/>
        <v>0.66666666666666663</v>
      </c>
      <c r="P34" s="315">
        <f t="shared" si="24"/>
        <v>0.66666666666666663</v>
      </c>
      <c r="Q34" s="276">
        <f t="shared" si="24"/>
        <v>0.66666666666666663</v>
      </c>
      <c r="R34" s="276">
        <f t="shared" si="24"/>
        <v>0.66666666666666663</v>
      </c>
      <c r="S34" s="276">
        <f t="shared" si="24"/>
        <v>0.66666666666666663</v>
      </c>
      <c r="T34" s="283">
        <f t="shared" si="24"/>
        <v>0.66666666666666663</v>
      </c>
      <c r="U34" s="283">
        <f t="shared" si="24"/>
        <v>0.66666666666666663</v>
      </c>
      <c r="V34" s="283">
        <f t="shared" si="24"/>
        <v>0.66666666666666663</v>
      </c>
      <c r="W34" s="283">
        <f t="shared" si="24"/>
        <v>0.66666666666666663</v>
      </c>
      <c r="X34" s="283">
        <f t="shared" si="24"/>
        <v>0.66666666666666663</v>
      </c>
      <c r="Y34" s="291"/>
      <c r="Z34" s="291"/>
      <c r="AA34" s="291"/>
      <c r="AB34" s="291"/>
      <c r="AC34" s="291"/>
      <c r="AD34" s="291"/>
      <c r="AE34" s="291"/>
      <c r="AF34" s="291"/>
      <c r="AG34" s="291"/>
      <c r="AH34" s="314">
        <f t="shared" si="19"/>
        <v>2</v>
      </c>
      <c r="AI34" s="50"/>
    </row>
    <row r="35" spans="1:92" ht="44.25" customHeight="1" x14ac:dyDescent="0.35">
      <c r="B35" s="376" t="s">
        <v>361</v>
      </c>
      <c r="C35" s="49"/>
      <c r="D35" s="318"/>
      <c r="E35" s="49"/>
      <c r="F35" s="49"/>
      <c r="G35" s="49"/>
      <c r="H35" s="50"/>
      <c r="I35" s="50"/>
      <c r="J35" s="50"/>
      <c r="K35" s="50"/>
      <c r="L35" s="50"/>
      <c r="M35" s="276"/>
      <c r="N35" s="276">
        <f t="shared" ref="N35:AD35" si="25">SUM(N36:N40)</f>
        <v>954.03959999999972</v>
      </c>
      <c r="O35" s="276">
        <f t="shared" si="25"/>
        <v>85.500399999999999</v>
      </c>
      <c r="P35" s="315">
        <f t="shared" si="25"/>
        <v>83.481000000000009</v>
      </c>
      <c r="Q35" s="276">
        <f t="shared" si="25"/>
        <v>662.76099999999997</v>
      </c>
      <c r="R35" s="276">
        <f t="shared" si="25"/>
        <v>83.481000000000009</v>
      </c>
      <c r="S35" s="276">
        <f t="shared" si="25"/>
        <v>83.481000000000009</v>
      </c>
      <c r="T35" s="283">
        <f t="shared" si="25"/>
        <v>62.811999999999998</v>
      </c>
      <c r="U35" s="283">
        <f t="shared" si="25"/>
        <v>62.811999999999998</v>
      </c>
      <c r="V35" s="283">
        <f t="shared" si="25"/>
        <v>62.811999999999998</v>
      </c>
      <c r="W35" s="283">
        <f t="shared" si="25"/>
        <v>62.811999999999998</v>
      </c>
      <c r="X35" s="283">
        <f t="shared" si="25"/>
        <v>41.554000000000002</v>
      </c>
      <c r="Y35" s="283">
        <f t="shared" si="25"/>
        <v>41.554000000000002</v>
      </c>
      <c r="Z35" s="283">
        <f t="shared" si="25"/>
        <v>41.554000000000002</v>
      </c>
      <c r="AA35" s="283">
        <f t="shared" si="25"/>
        <v>41.554000000000002</v>
      </c>
      <c r="AB35" s="283">
        <f t="shared" si="25"/>
        <v>27.678000000000001</v>
      </c>
      <c r="AC35" s="283">
        <f t="shared" si="25"/>
        <v>27.678000000000001</v>
      </c>
      <c r="AD35" s="283">
        <f t="shared" si="25"/>
        <v>27.678000000000001</v>
      </c>
      <c r="AE35" s="283"/>
      <c r="AF35" s="283"/>
      <c r="AG35" s="283"/>
      <c r="AH35" s="314">
        <f t="shared" si="19"/>
        <v>571.77499999999986</v>
      </c>
      <c r="AI35" s="1329" t="s">
        <v>362</v>
      </c>
      <c r="AJ35" s="1330"/>
    </row>
    <row r="36" spans="1:92" ht="17.899999999999999" customHeight="1" x14ac:dyDescent="0.35">
      <c r="B36" s="337" t="s">
        <v>348</v>
      </c>
      <c r="C36" s="49"/>
      <c r="D36" s="318"/>
      <c r="E36" s="49"/>
      <c r="F36" s="49"/>
      <c r="G36" s="49"/>
      <c r="H36" s="50"/>
      <c r="I36" s="50"/>
      <c r="J36" s="50"/>
      <c r="K36" s="50"/>
      <c r="L36" s="50"/>
      <c r="M36" s="276"/>
      <c r="N36" s="276">
        <f>0.6*C65*4</f>
        <v>868.91999999999985</v>
      </c>
      <c r="O36" s="276"/>
      <c r="P36" s="315"/>
      <c r="Q36" s="276">
        <f>0.4*C65*4</f>
        <v>579.28</v>
      </c>
      <c r="R36" s="276"/>
      <c r="S36" s="276"/>
      <c r="T36" s="283"/>
      <c r="U36" s="283"/>
      <c r="V36" s="283"/>
      <c r="W36" s="283"/>
      <c r="X36" s="283"/>
      <c r="Y36" s="283"/>
      <c r="Z36" s="283"/>
      <c r="AA36" s="283"/>
      <c r="AB36" s="283"/>
      <c r="AC36" s="283"/>
      <c r="AD36" s="283"/>
      <c r="AE36" s="283"/>
      <c r="AF36" s="283"/>
      <c r="AG36" s="283"/>
      <c r="AH36" s="314">
        <f t="shared" si="19"/>
        <v>362.04999999999995</v>
      </c>
      <c r="AI36" s="357" t="s">
        <v>363</v>
      </c>
      <c r="AJ36" s="357"/>
    </row>
    <row r="37" spans="1:92" x14ac:dyDescent="0.35">
      <c r="B37" s="337" t="s">
        <v>150</v>
      </c>
      <c r="C37" s="49"/>
      <c r="D37" s="318"/>
      <c r="E37" s="49"/>
      <c r="F37" s="49"/>
      <c r="G37" s="49"/>
      <c r="H37" s="50"/>
      <c r="I37" s="50"/>
      <c r="J37" s="50"/>
      <c r="K37" s="50"/>
      <c r="L37" s="50"/>
      <c r="M37" s="276"/>
      <c r="N37" s="276">
        <f>'ARP Quarterly'!D9</f>
        <v>24.693999999999999</v>
      </c>
      <c r="O37" s="276">
        <f>'ARP Quarterly'!E9</f>
        <v>24.693999999999999</v>
      </c>
      <c r="P37" s="315">
        <f>'ARP Quarterly'!F9</f>
        <v>46.79</v>
      </c>
      <c r="Q37" s="276">
        <f>'ARP Quarterly'!G9</f>
        <v>46.79</v>
      </c>
      <c r="R37" s="276">
        <f>'ARP Quarterly'!H9</f>
        <v>46.79</v>
      </c>
      <c r="S37" s="276">
        <f>'ARP Quarterly'!I9</f>
        <v>46.79</v>
      </c>
      <c r="T37" s="283">
        <f>'ARP Quarterly'!J9</f>
        <v>38.595999999999997</v>
      </c>
      <c r="U37" s="283">
        <f>'ARP Quarterly'!K9</f>
        <v>38.595999999999997</v>
      </c>
      <c r="V37" s="283">
        <f>'ARP Quarterly'!L9</f>
        <v>38.595999999999997</v>
      </c>
      <c r="W37" s="283">
        <f>'ARP Quarterly'!M9</f>
        <v>38.595999999999997</v>
      </c>
      <c r="X37" s="283">
        <f>'ARP Quarterly'!N9</f>
        <v>31.911000000000001</v>
      </c>
      <c r="Y37" s="283">
        <f>'ARP Quarterly'!O9</f>
        <v>31.911000000000001</v>
      </c>
      <c r="Z37" s="283">
        <f>'ARP Quarterly'!P9</f>
        <v>31.911000000000001</v>
      </c>
      <c r="AA37" s="283">
        <f>'ARP Quarterly'!Q9</f>
        <v>31.911000000000001</v>
      </c>
      <c r="AB37" s="283">
        <f>'ARP Quarterly'!R9</f>
        <v>23.099</v>
      </c>
      <c r="AC37" s="283">
        <f>'ARP Quarterly'!S9</f>
        <v>23.099</v>
      </c>
      <c r="AD37" s="283">
        <f>'ARP Quarterly'!T9</f>
        <v>23.099</v>
      </c>
      <c r="AE37" s="283"/>
      <c r="AF37" s="283"/>
      <c r="AG37" s="283"/>
      <c r="AH37" s="314">
        <f t="shared" si="19"/>
        <v>113.68849999999999</v>
      </c>
      <c r="AI37" s="276"/>
    </row>
    <row r="38" spans="1:92" x14ac:dyDescent="0.35">
      <c r="B38" s="337" t="s">
        <v>152</v>
      </c>
      <c r="C38" s="49"/>
      <c r="D38" s="318"/>
      <c r="E38" s="49"/>
      <c r="F38" s="49"/>
      <c r="G38" s="49"/>
      <c r="H38" s="50"/>
      <c r="I38" s="50"/>
      <c r="J38" s="50"/>
      <c r="K38" s="50"/>
      <c r="L38" s="50"/>
      <c r="M38" s="276"/>
      <c r="N38" s="276">
        <f>'ARP Quarterly'!D14</f>
        <v>1.1696</v>
      </c>
      <c r="O38" s="276">
        <f>'ARP Quarterly'!E14</f>
        <v>1.5503999999999998</v>
      </c>
      <c r="P38" s="315">
        <f>'ARP Quarterly'!F14</f>
        <v>1.02</v>
      </c>
      <c r="Q38" s="276">
        <f>'ARP Quarterly'!G14</f>
        <v>1.02</v>
      </c>
      <c r="R38" s="276">
        <f>'ARP Quarterly'!H14</f>
        <v>1.02</v>
      </c>
      <c r="S38" s="276">
        <f>'ARP Quarterly'!I14</f>
        <v>1.02</v>
      </c>
      <c r="T38" s="283">
        <f>'ARP Quarterly'!J14</f>
        <v>0</v>
      </c>
      <c r="U38" s="283">
        <f>'ARP Quarterly'!K14</f>
        <v>0</v>
      </c>
      <c r="V38" s="283">
        <f>'ARP Quarterly'!L14</f>
        <v>0</v>
      </c>
      <c r="W38" s="283">
        <f>'ARP Quarterly'!M14</f>
        <v>0</v>
      </c>
      <c r="X38" s="283">
        <f>'ARP Quarterly'!N14</f>
        <v>0</v>
      </c>
      <c r="Y38" s="283">
        <f>'ARP Quarterly'!O14</f>
        <v>0</v>
      </c>
      <c r="Z38" s="283">
        <f>'ARP Quarterly'!P14</f>
        <v>0</v>
      </c>
      <c r="AA38" s="283">
        <f>'ARP Quarterly'!Q14</f>
        <v>0</v>
      </c>
      <c r="AB38" s="283">
        <f>'ARP Quarterly'!R14</f>
        <v>0</v>
      </c>
      <c r="AC38" s="283">
        <f>'ARP Quarterly'!S14</f>
        <v>0</v>
      </c>
      <c r="AD38" s="283">
        <f>'ARP Quarterly'!T14</f>
        <v>0</v>
      </c>
      <c r="AE38" s="283"/>
      <c r="AF38" s="283"/>
      <c r="AG38" s="283"/>
      <c r="AH38" s="314">
        <f t="shared" si="19"/>
        <v>1.6999999999999997</v>
      </c>
      <c r="AI38" s="276"/>
    </row>
    <row r="39" spans="1:92" x14ac:dyDescent="0.35">
      <c r="B39" s="337" t="s">
        <v>364</v>
      </c>
      <c r="C39" s="49"/>
      <c r="D39" s="318"/>
      <c r="E39" s="49"/>
      <c r="F39" s="49"/>
      <c r="G39" s="49"/>
      <c r="H39" s="50"/>
      <c r="I39" s="50"/>
      <c r="J39" s="50"/>
      <c r="K39" s="50"/>
      <c r="L39" s="50"/>
      <c r="M39" s="276"/>
      <c r="N39" s="276">
        <f>'ARP Quarterly'!D10</f>
        <v>59.256</v>
      </c>
      <c r="O39" s="276">
        <f>'ARP Quarterly'!E10</f>
        <v>59.256</v>
      </c>
      <c r="P39" s="315">
        <f>'ARP Quarterly'!F10</f>
        <v>35.671000000000006</v>
      </c>
      <c r="Q39" s="276">
        <f>'ARP Quarterly'!G10</f>
        <v>35.671000000000006</v>
      </c>
      <c r="R39" s="276">
        <f>'ARP Quarterly'!H10</f>
        <v>35.671000000000006</v>
      </c>
      <c r="S39" s="276">
        <f>'ARP Quarterly'!I10</f>
        <v>35.671000000000006</v>
      </c>
      <c r="T39" s="283">
        <f>'ARP Quarterly'!J10</f>
        <v>24.216000000000001</v>
      </c>
      <c r="U39" s="283">
        <f>'ARP Quarterly'!K10</f>
        <v>24.216000000000001</v>
      </c>
      <c r="V39" s="283">
        <f>'ARP Quarterly'!L10</f>
        <v>24.216000000000001</v>
      </c>
      <c r="W39" s="283">
        <f>'ARP Quarterly'!M10</f>
        <v>24.216000000000001</v>
      </c>
      <c r="X39" s="283">
        <f>'ARP Quarterly'!N10</f>
        <v>9.6430000000000007</v>
      </c>
      <c r="Y39" s="283">
        <f>'ARP Quarterly'!O10</f>
        <v>9.6430000000000007</v>
      </c>
      <c r="Z39" s="283">
        <f>'ARP Quarterly'!P10</f>
        <v>9.6430000000000007</v>
      </c>
      <c r="AA39" s="283">
        <f>'ARP Quarterly'!Q10</f>
        <v>9.6430000000000007</v>
      </c>
      <c r="AB39" s="283">
        <f>'ARP Quarterly'!R10</f>
        <v>4.5789999999999997</v>
      </c>
      <c r="AC39" s="283">
        <f>'ARP Quarterly'!S10</f>
        <v>4.5789999999999997</v>
      </c>
      <c r="AD39" s="283">
        <f>'ARP Quarterly'!T10</f>
        <v>4.5789999999999997</v>
      </c>
      <c r="AE39" s="283"/>
      <c r="AF39" s="283"/>
      <c r="AG39" s="283"/>
      <c r="AH39" s="314">
        <f t="shared" si="19"/>
        <v>94.336500000000001</v>
      </c>
      <c r="AI39" s="276"/>
    </row>
    <row r="40" spans="1:92" x14ac:dyDescent="0.35">
      <c r="A40" s="7"/>
      <c r="B40" s="352"/>
      <c r="C40" s="349"/>
      <c r="D40" s="347"/>
      <c r="E40" s="349"/>
      <c r="F40" s="349"/>
      <c r="G40" s="349"/>
      <c r="H40" s="354"/>
      <c r="I40" s="354"/>
      <c r="J40" s="354"/>
      <c r="K40" s="354"/>
      <c r="L40" s="354"/>
      <c r="M40" s="277"/>
      <c r="N40" s="277"/>
      <c r="O40" s="277"/>
      <c r="P40" s="370"/>
      <c r="Q40" s="277"/>
      <c r="R40" s="277"/>
      <c r="S40" s="277"/>
      <c r="T40" s="358"/>
      <c r="U40" s="358"/>
      <c r="V40" s="358"/>
      <c r="W40" s="358"/>
      <c r="X40" s="358"/>
      <c r="Y40" s="358"/>
      <c r="Z40" s="358"/>
      <c r="AA40" s="358"/>
      <c r="AB40" s="358"/>
      <c r="AC40" s="358"/>
      <c r="AD40" s="283"/>
      <c r="AE40" s="283"/>
      <c r="AF40" s="283"/>
      <c r="AG40" s="283"/>
      <c r="AH40" s="370"/>
      <c r="AI40" s="276"/>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row>
    <row r="41" spans="1:92" x14ac:dyDescent="0.35">
      <c r="B41" s="299"/>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row>
    <row r="42" spans="1:92" x14ac:dyDescent="0.35">
      <c r="B42" s="299"/>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row>
    <row r="43" spans="1:92" ht="17.899999999999999" customHeight="1" x14ac:dyDescent="0.35">
      <c r="B43" s="359" t="s">
        <v>365</v>
      </c>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row>
    <row r="44" spans="1:92" ht="29.9" customHeight="1" x14ac:dyDescent="0.35">
      <c r="B44" s="380" t="s">
        <v>366</v>
      </c>
      <c r="C44" s="381" t="s">
        <v>367</v>
      </c>
      <c r="D44" s="382" t="s">
        <v>368</v>
      </c>
      <c r="E44" s="365" t="s">
        <v>369</v>
      </c>
      <c r="F44" s="50"/>
      <c r="G44" s="50"/>
      <c r="H44" s="50"/>
      <c r="I44" s="50"/>
      <c r="J44" s="50"/>
      <c r="K44" s="50"/>
      <c r="L44" s="50"/>
      <c r="M44" s="50"/>
      <c r="N44" s="50"/>
      <c r="O44" s="50"/>
      <c r="P44" s="50"/>
      <c r="Q44" s="50"/>
      <c r="R44" s="50"/>
      <c r="S44" s="50"/>
      <c r="T44" s="50"/>
      <c r="U44" s="50"/>
      <c r="V44" s="50"/>
      <c r="W44" s="50"/>
    </row>
    <row r="45" spans="1:92" ht="18.75" customHeight="1" x14ac:dyDescent="0.35">
      <c r="B45" s="386" t="s">
        <v>370</v>
      </c>
      <c r="C45" s="355">
        <f>SUM(C46:C51)</f>
        <v>898.11599999999999</v>
      </c>
      <c r="D45" s="50">
        <f>SUM(D46:D50)</f>
        <v>202.36666666666667</v>
      </c>
      <c r="E45" s="323">
        <f>SUM(E46:E50)</f>
        <v>650.35233333333326</v>
      </c>
      <c r="F45" s="50"/>
      <c r="G45" s="50"/>
      <c r="H45" s="50"/>
      <c r="I45" s="50"/>
      <c r="J45" s="50"/>
      <c r="K45" s="50"/>
      <c r="L45" s="50"/>
      <c r="M45" s="50"/>
      <c r="N45" s="50"/>
      <c r="O45" s="50"/>
      <c r="P45" s="50"/>
      <c r="Q45" s="50"/>
      <c r="R45" s="50"/>
      <c r="S45" s="50"/>
      <c r="T45" s="50"/>
      <c r="U45" s="50"/>
      <c r="V45" s="50"/>
      <c r="W45" s="50"/>
    </row>
    <row r="46" spans="1:92" x14ac:dyDescent="0.35">
      <c r="B46" s="385" t="s">
        <v>149</v>
      </c>
      <c r="C46" s="355">
        <f>C55</f>
        <v>150</v>
      </c>
      <c r="D46" s="50">
        <f>SUM(H12:M12)/4</f>
        <v>149.47499999999999</v>
      </c>
      <c r="E46" s="314">
        <f>C46-D46</f>
        <v>0.52500000000000568</v>
      </c>
      <c r="F46" s="50"/>
      <c r="G46" s="50"/>
      <c r="H46" s="50"/>
      <c r="I46" s="345"/>
      <c r="J46" s="345"/>
      <c r="K46" s="345"/>
      <c r="L46" s="345"/>
      <c r="M46" s="345"/>
      <c r="N46" s="345"/>
      <c r="O46" s="345"/>
      <c r="P46" s="345"/>
      <c r="Q46" s="50"/>
      <c r="R46" s="50"/>
      <c r="S46" s="50"/>
      <c r="T46" s="50"/>
      <c r="U46" s="50"/>
      <c r="V46" s="50"/>
      <c r="W46" s="50"/>
    </row>
    <row r="47" spans="1:92" x14ac:dyDescent="0.35">
      <c r="B47" s="385" t="s">
        <v>150</v>
      </c>
      <c r="C47" s="389">
        <f>C56+C60+C66</f>
        <v>273.16899999999998</v>
      </c>
      <c r="D47" s="50">
        <f>SUM(H13:M13)/4</f>
        <v>22.075000000000003</v>
      </c>
      <c r="E47" s="314">
        <f>C47-D47</f>
        <v>251.09399999999999</v>
      </c>
      <c r="F47" s="50"/>
      <c r="G47" s="50"/>
      <c r="H47" s="50"/>
      <c r="I47" s="345"/>
      <c r="J47" s="345"/>
      <c r="K47" s="345"/>
      <c r="L47" s="345"/>
      <c r="M47" s="345"/>
      <c r="N47" s="345"/>
      <c r="O47" s="345"/>
      <c r="P47" s="345"/>
      <c r="Q47" s="50"/>
      <c r="R47" s="50"/>
      <c r="S47" s="50"/>
      <c r="T47" s="50"/>
      <c r="U47" s="50"/>
      <c r="V47" s="50"/>
      <c r="W47" s="50"/>
    </row>
    <row r="48" spans="1:92" x14ac:dyDescent="0.35">
      <c r="B48" s="385" t="s">
        <v>152</v>
      </c>
      <c r="C48" s="236">
        <f>C57+C67+C61</f>
        <v>38.5</v>
      </c>
      <c r="D48" s="50">
        <f>SUM(H14:M14)/4</f>
        <v>28.400000000000002</v>
      </c>
      <c r="E48" s="314">
        <f>C48-D48</f>
        <v>10.099999999999998</v>
      </c>
      <c r="F48" s="50"/>
      <c r="G48" s="50"/>
      <c r="H48" s="50"/>
      <c r="I48" s="345"/>
      <c r="J48" s="345"/>
      <c r="K48" s="345"/>
      <c r="L48" s="345"/>
      <c r="M48" s="345"/>
      <c r="N48" s="345"/>
      <c r="O48" s="345"/>
      <c r="P48" s="345"/>
      <c r="Q48" s="1335"/>
      <c r="R48" s="1335"/>
      <c r="S48" s="1335"/>
      <c r="T48" s="1335"/>
      <c r="U48" s="1335"/>
      <c r="V48" s="1335"/>
      <c r="W48" s="1335"/>
      <c r="X48" s="1335"/>
      <c r="Y48" s="1335"/>
      <c r="Z48" s="1335"/>
      <c r="AA48" s="1335"/>
      <c r="AB48" s="1335"/>
      <c r="AC48" s="1335"/>
      <c r="AD48" s="1335"/>
      <c r="AE48" s="1335"/>
      <c r="AF48" s="1335"/>
      <c r="AG48" s="1335"/>
      <c r="AH48" s="1335"/>
      <c r="AI48" s="1335"/>
      <c r="AJ48" s="1335"/>
      <c r="AK48" s="1335"/>
      <c r="AL48" s="1335"/>
    </row>
    <row r="49" spans="1:38" ht="17.25" customHeight="1" x14ac:dyDescent="0.35">
      <c r="B49" s="385" t="s">
        <v>371</v>
      </c>
      <c r="C49" s="236">
        <f>C59</f>
        <v>29</v>
      </c>
      <c r="D49" s="50">
        <f>SUM(H15:M15)/4</f>
        <v>2.4166666666666665</v>
      </c>
      <c r="E49" s="314">
        <f>C49-D49</f>
        <v>26.583333333333332</v>
      </c>
      <c r="F49" s="50"/>
      <c r="G49" s="50"/>
      <c r="H49" s="50"/>
      <c r="I49" s="345"/>
      <c r="J49" s="345"/>
      <c r="K49" s="345"/>
      <c r="L49" s="345"/>
      <c r="M49" s="345"/>
      <c r="N49" s="345"/>
      <c r="O49" s="345"/>
      <c r="P49" s="345"/>
      <c r="Q49" s="1336"/>
      <c r="R49" s="1336"/>
      <c r="S49" s="1336"/>
      <c r="T49" s="1336"/>
      <c r="U49" s="1336"/>
      <c r="V49" s="1336"/>
      <c r="W49" s="1336"/>
      <c r="X49" s="1336"/>
      <c r="Y49" s="1336"/>
      <c r="Z49" s="195"/>
      <c r="AA49" s="195"/>
      <c r="AB49" s="195"/>
      <c r="AC49" s="195"/>
      <c r="AD49" s="195"/>
      <c r="AE49" s="195"/>
      <c r="AF49" s="195"/>
      <c r="AG49" s="195"/>
      <c r="AH49" s="1336"/>
      <c r="AI49" s="1336"/>
      <c r="AJ49" s="1336"/>
      <c r="AK49" s="1336"/>
      <c r="AL49" s="195"/>
    </row>
    <row r="50" spans="1:38" ht="15.75" customHeight="1" x14ac:dyDescent="0.35">
      <c r="B50" s="385" t="s">
        <v>348</v>
      </c>
      <c r="C50" s="236">
        <f>C65</f>
        <v>362.04999999999995</v>
      </c>
      <c r="D50" s="50">
        <v>0</v>
      </c>
      <c r="E50" s="314">
        <f>C50-D50</f>
        <v>362.04999999999995</v>
      </c>
      <c r="F50" s="50"/>
      <c r="G50" s="50"/>
      <c r="H50" s="50"/>
      <c r="I50" s="345"/>
      <c r="J50" s="345"/>
      <c r="K50" s="345"/>
      <c r="L50" s="345"/>
      <c r="M50" s="345"/>
      <c r="N50" s="345"/>
      <c r="O50" s="345"/>
      <c r="P50" s="345"/>
      <c r="Q50" s="195"/>
      <c r="R50" s="195"/>
      <c r="S50" s="195"/>
      <c r="T50" s="195"/>
      <c r="U50" s="195"/>
      <c r="V50" s="195"/>
      <c r="W50" s="195"/>
      <c r="X50" s="195"/>
      <c r="Y50" s="195"/>
      <c r="Z50" s="195"/>
      <c r="AA50" s="195"/>
      <c r="AB50" s="195"/>
      <c r="AC50" s="195"/>
      <c r="AD50" s="195"/>
      <c r="AE50" s="195"/>
      <c r="AF50" s="195"/>
      <c r="AG50" s="195"/>
      <c r="AH50" s="195"/>
      <c r="AI50" s="195"/>
      <c r="AJ50" s="195"/>
      <c r="AK50" s="195"/>
      <c r="AL50" s="195"/>
    </row>
    <row r="51" spans="1:38" ht="15" customHeight="1" x14ac:dyDescent="0.35">
      <c r="B51" s="384" t="s">
        <v>372</v>
      </c>
      <c r="C51" s="355">
        <f>C68+C69+C62+C63</f>
        <v>45.396999999999998</v>
      </c>
      <c r="D51" s="50"/>
      <c r="E51" s="314"/>
      <c r="F51" s="50"/>
      <c r="G51" s="50"/>
      <c r="H51" s="50"/>
      <c r="I51" s="345"/>
      <c r="J51" s="345"/>
      <c r="K51" s="345"/>
      <c r="L51" s="345"/>
      <c r="M51" s="345"/>
      <c r="N51" s="345"/>
      <c r="O51" s="345"/>
      <c r="P51" s="345"/>
      <c r="Q51" s="50"/>
      <c r="R51" s="50"/>
      <c r="S51" s="50"/>
      <c r="T51" s="50"/>
      <c r="U51" s="50"/>
      <c r="V51" s="50"/>
      <c r="W51" s="50"/>
    </row>
    <row r="52" spans="1:38" ht="5.25" customHeight="1" x14ac:dyDescent="0.35">
      <c r="B52" s="384"/>
      <c r="C52" s="355"/>
      <c r="D52" s="50"/>
      <c r="E52" s="314"/>
      <c r="F52" s="50"/>
      <c r="G52" s="50"/>
      <c r="H52" s="50"/>
      <c r="I52" s="345"/>
      <c r="J52" s="345"/>
      <c r="K52" s="345"/>
      <c r="L52" s="345"/>
      <c r="M52" s="345"/>
      <c r="N52" s="345"/>
      <c r="O52" s="345"/>
      <c r="P52" s="345"/>
      <c r="Q52" s="50"/>
      <c r="R52" s="50"/>
      <c r="S52" s="50"/>
      <c r="T52" s="50"/>
      <c r="U52" s="50"/>
      <c r="V52" s="50"/>
      <c r="W52" s="50"/>
    </row>
    <row r="53" spans="1:38" ht="18.75" customHeight="1" x14ac:dyDescent="0.35">
      <c r="B53" s="386" t="s">
        <v>373</v>
      </c>
      <c r="C53" s="236">
        <f>C54+C58+C64</f>
        <v>898.11599999999999</v>
      </c>
      <c r="D53" s="50"/>
      <c r="E53" s="314"/>
      <c r="F53" s="50"/>
      <c r="G53" s="50"/>
      <c r="H53" s="50"/>
      <c r="I53" s="345"/>
      <c r="J53" s="345"/>
      <c r="K53" s="345"/>
      <c r="L53" s="345"/>
      <c r="M53" s="345"/>
      <c r="N53" s="345"/>
      <c r="O53" s="345"/>
      <c r="P53" s="345"/>
      <c r="Q53" s="50"/>
      <c r="R53" s="50"/>
      <c r="S53" s="50"/>
      <c r="T53" s="50"/>
      <c r="U53" s="50"/>
      <c r="V53" s="50"/>
      <c r="W53" s="50"/>
    </row>
    <row r="54" spans="1:38" ht="16.399999999999999" customHeight="1" x14ac:dyDescent="0.35">
      <c r="B54" s="376" t="s">
        <v>354</v>
      </c>
      <c r="C54" s="236">
        <f>SUM(C55:C57)</f>
        <v>199</v>
      </c>
      <c r="D54" s="50"/>
      <c r="E54" s="314"/>
      <c r="F54" s="50"/>
      <c r="G54" s="50"/>
      <c r="H54" s="50"/>
      <c r="I54" s="345"/>
      <c r="J54" s="345"/>
      <c r="K54" s="345"/>
      <c r="L54" s="345"/>
      <c r="M54" s="345"/>
      <c r="N54" s="345"/>
      <c r="O54" s="345"/>
      <c r="P54" s="345"/>
      <c r="Q54" s="50"/>
      <c r="R54" s="50"/>
      <c r="S54" s="50"/>
      <c r="T54" s="50"/>
      <c r="U54" s="50"/>
      <c r="V54" s="50"/>
      <c r="W54" s="50"/>
    </row>
    <row r="55" spans="1:38" ht="20.9" customHeight="1" x14ac:dyDescent="0.35">
      <c r="B55" s="337" t="s">
        <v>149</v>
      </c>
      <c r="C55" s="236">
        <v>150</v>
      </c>
      <c r="D55" s="50"/>
      <c r="E55" s="314"/>
      <c r="F55" s="50"/>
      <c r="G55" s="50"/>
      <c r="H55" s="50"/>
      <c r="I55" s="345"/>
      <c r="J55" s="345"/>
      <c r="K55" s="345"/>
      <c r="L55" s="345"/>
      <c r="M55" s="345"/>
      <c r="N55" s="345"/>
      <c r="O55" s="345"/>
      <c r="P55" s="345"/>
      <c r="Q55" s="50"/>
      <c r="R55" s="50"/>
      <c r="S55" s="50"/>
      <c r="T55" s="50"/>
      <c r="U55" s="50"/>
      <c r="V55" s="50"/>
      <c r="W55" s="50"/>
    </row>
    <row r="56" spans="1:38" ht="16.5" customHeight="1" x14ac:dyDescent="0.35">
      <c r="B56" s="337" t="s">
        <v>150</v>
      </c>
      <c r="C56" s="389">
        <v>22</v>
      </c>
      <c r="D56" s="190"/>
      <c r="E56" s="314"/>
      <c r="F56" s="50"/>
      <c r="G56" s="50"/>
      <c r="H56" s="50"/>
      <c r="I56" s="345"/>
      <c r="J56" s="345"/>
      <c r="K56" s="345"/>
      <c r="L56" s="345"/>
      <c r="M56" s="345"/>
      <c r="N56" s="345"/>
      <c r="O56" s="345"/>
      <c r="P56" s="345"/>
      <c r="Q56" s="50"/>
      <c r="R56" s="50"/>
      <c r="S56" s="50"/>
      <c r="T56" s="50"/>
      <c r="U56" s="50"/>
      <c r="V56" s="50"/>
      <c r="W56" s="50"/>
    </row>
    <row r="57" spans="1:38" x14ac:dyDescent="0.35">
      <c r="B57" s="337" t="s">
        <v>152</v>
      </c>
      <c r="C57" s="236">
        <v>27</v>
      </c>
      <c r="D57" s="50"/>
      <c r="E57" s="314"/>
      <c r="F57" s="49"/>
      <c r="G57" s="50"/>
      <c r="H57" s="50"/>
      <c r="I57" s="345"/>
      <c r="J57" s="345"/>
      <c r="K57" s="345"/>
      <c r="L57" s="345"/>
      <c r="M57" s="345"/>
      <c r="N57" s="345"/>
      <c r="P57" s="345"/>
      <c r="Q57" s="50"/>
      <c r="R57" s="50"/>
      <c r="S57" s="50"/>
      <c r="T57" s="50"/>
      <c r="U57" s="50"/>
      <c r="V57" s="50"/>
      <c r="W57" s="50"/>
    </row>
    <row r="58" spans="1:38" ht="15" customHeight="1" x14ac:dyDescent="0.35">
      <c r="B58" s="376" t="s">
        <v>356</v>
      </c>
      <c r="C58" s="236">
        <f>SUM(C59:C63)</f>
        <v>150</v>
      </c>
      <c r="D58" s="50"/>
      <c r="E58" s="314"/>
      <c r="F58" s="50"/>
      <c r="G58" s="50"/>
      <c r="H58" s="50"/>
      <c r="I58" s="50"/>
      <c r="J58" s="50"/>
      <c r="K58" s="50"/>
      <c r="L58" s="50"/>
      <c r="M58" s="50"/>
      <c r="N58" s="50"/>
      <c r="P58" s="50"/>
      <c r="Q58" s="50"/>
      <c r="R58" s="50"/>
      <c r="S58" s="50"/>
      <c r="T58" s="50"/>
      <c r="U58" s="50"/>
      <c r="V58" s="50"/>
      <c r="W58" s="50"/>
    </row>
    <row r="59" spans="1:38" ht="17.25" customHeight="1" x14ac:dyDescent="0.35">
      <c r="B59" s="337" t="s">
        <v>343</v>
      </c>
      <c r="C59" s="236">
        <f>'Response and Relief Act Score'!F7</f>
        <v>29</v>
      </c>
      <c r="D59" s="50"/>
      <c r="E59" s="314"/>
      <c r="F59" s="50"/>
      <c r="G59" s="50"/>
      <c r="H59" s="50"/>
      <c r="I59" s="50"/>
    </row>
    <row r="60" spans="1:38" x14ac:dyDescent="0.35">
      <c r="B60" s="337" t="s">
        <v>150</v>
      </c>
      <c r="C60" s="236">
        <f>'Response and Relief Act Score'!F5</f>
        <v>82</v>
      </c>
      <c r="D60" s="50"/>
      <c r="E60" s="314"/>
      <c r="F60" s="50"/>
      <c r="G60" s="50"/>
      <c r="H60" s="50"/>
      <c r="I60" s="50"/>
      <c r="J60" s="50"/>
      <c r="K60" s="50"/>
      <c r="L60" s="50"/>
      <c r="M60" s="50"/>
      <c r="N60" s="50"/>
      <c r="P60" s="50"/>
      <c r="Q60" s="50"/>
      <c r="R60" s="50"/>
      <c r="S60" s="50"/>
      <c r="T60" s="50"/>
      <c r="U60" s="50"/>
      <c r="V60" s="50"/>
      <c r="W60" s="50"/>
    </row>
    <row r="61" spans="1:38" x14ac:dyDescent="0.35">
      <c r="B61" s="337" t="s">
        <v>152</v>
      </c>
      <c r="C61" s="236">
        <f>'Response and Relief Act Score'!F6</f>
        <v>3</v>
      </c>
      <c r="D61" s="50"/>
      <c r="E61" s="314"/>
      <c r="F61" s="50"/>
      <c r="G61" s="50"/>
      <c r="H61" s="50"/>
      <c r="I61" s="50"/>
      <c r="J61" s="50"/>
      <c r="K61" s="50"/>
      <c r="L61" s="50"/>
      <c r="M61" s="50"/>
      <c r="N61" s="50"/>
      <c r="P61" s="50"/>
      <c r="Q61" s="50"/>
      <c r="R61" s="50"/>
      <c r="S61" s="50"/>
      <c r="T61" s="50"/>
      <c r="U61" s="50"/>
      <c r="V61" s="50"/>
      <c r="W61" s="50"/>
    </row>
    <row r="62" spans="1:38" ht="29.25" customHeight="1" x14ac:dyDescent="0.35">
      <c r="B62" s="337" t="s">
        <v>359</v>
      </c>
      <c r="C62" s="236">
        <f>'Response and Relief Act Score'!F9</f>
        <v>34</v>
      </c>
      <c r="D62" s="50"/>
      <c r="E62" s="314"/>
      <c r="F62" s="50"/>
      <c r="G62" s="50"/>
      <c r="H62" s="50"/>
      <c r="I62" s="360"/>
      <c r="J62" s="50"/>
      <c r="K62" s="50"/>
      <c r="L62" s="50"/>
      <c r="M62" s="50"/>
      <c r="N62" s="50"/>
      <c r="O62" s="345"/>
      <c r="P62" s="50"/>
      <c r="Q62" s="50"/>
      <c r="R62" s="50"/>
      <c r="S62" s="50"/>
      <c r="T62" s="50"/>
      <c r="U62" s="50"/>
      <c r="V62" s="50"/>
      <c r="W62" s="50"/>
    </row>
    <row r="63" spans="1:38" ht="12.75" customHeight="1" x14ac:dyDescent="0.35">
      <c r="B63" s="337" t="s">
        <v>360</v>
      </c>
      <c r="C63" s="236">
        <f>'Response and Relief Act Score'!F8</f>
        <v>2</v>
      </c>
      <c r="D63" s="50"/>
      <c r="E63" s="314"/>
      <c r="F63" s="50"/>
      <c r="G63" s="50"/>
      <c r="H63" s="50"/>
      <c r="I63" s="50"/>
      <c r="J63" s="50"/>
      <c r="K63" s="50"/>
      <c r="L63" s="50"/>
      <c r="M63" s="50"/>
      <c r="N63" s="50"/>
      <c r="O63" s="50"/>
      <c r="P63" s="50"/>
      <c r="Q63" s="50"/>
      <c r="R63" s="50"/>
      <c r="S63" s="50"/>
      <c r="T63" s="50"/>
      <c r="U63" s="50"/>
      <c r="V63" s="50"/>
      <c r="W63" s="50"/>
    </row>
    <row r="64" spans="1:38" x14ac:dyDescent="0.35">
      <c r="A64" s="351"/>
      <c r="B64" s="348" t="s">
        <v>361</v>
      </c>
      <c r="C64" s="355">
        <f>SUM(C65:C69)</f>
        <v>549.11599999999999</v>
      </c>
      <c r="D64" s="50"/>
      <c r="E64" s="314"/>
      <c r="F64" s="50"/>
      <c r="G64" s="50"/>
      <c r="H64" s="50"/>
      <c r="I64" s="50"/>
      <c r="J64" s="50"/>
      <c r="K64" s="50"/>
      <c r="L64" s="50"/>
      <c r="M64" s="50"/>
      <c r="N64" s="50"/>
      <c r="P64" s="50"/>
      <c r="Q64" s="50"/>
      <c r="R64" s="50"/>
      <c r="S64" s="50"/>
      <c r="T64" s="50"/>
      <c r="U64" s="50"/>
      <c r="V64" s="50"/>
      <c r="W64" s="50"/>
    </row>
    <row r="65" spans="1:35" ht="16.399999999999999" customHeight="1" x14ac:dyDescent="0.35">
      <c r="A65" s="351"/>
      <c r="B65" s="350" t="s">
        <v>348</v>
      </c>
      <c r="C65" s="355">
        <f>'ARP Score'!AJ16</f>
        <v>362.04999999999995</v>
      </c>
      <c r="D65" s="50"/>
      <c r="E65" s="314"/>
      <c r="F65" s="50"/>
      <c r="G65" s="50"/>
      <c r="H65" s="50"/>
      <c r="I65" s="50"/>
      <c r="J65" s="50"/>
      <c r="K65" s="50"/>
      <c r="L65" s="50"/>
      <c r="M65" s="50"/>
      <c r="N65" s="50"/>
      <c r="O65" s="50"/>
      <c r="P65" s="50"/>
      <c r="Q65" s="50"/>
      <c r="R65" s="50"/>
      <c r="S65" s="50"/>
      <c r="T65" s="50"/>
      <c r="U65" s="50"/>
      <c r="V65" s="50"/>
      <c r="W65" s="50"/>
    </row>
    <row r="66" spans="1:35" ht="15" customHeight="1" x14ac:dyDescent="0.35">
      <c r="A66" s="1328"/>
      <c r="B66" s="350" t="s">
        <v>150</v>
      </c>
      <c r="C66" s="355">
        <f>'ARP Score'!AL16</f>
        <v>169.16899999999998</v>
      </c>
      <c r="D66" s="50"/>
      <c r="E66" s="314"/>
      <c r="F66" s="50"/>
      <c r="G66" s="50"/>
      <c r="H66" s="50"/>
      <c r="I66" s="50"/>
      <c r="J66" s="50"/>
      <c r="K66" s="50"/>
      <c r="L66" s="50"/>
      <c r="M66" s="50"/>
      <c r="N66" s="50"/>
      <c r="O66" s="50"/>
      <c r="P66" s="50"/>
      <c r="Q66" s="353"/>
      <c r="R66" s="50"/>
      <c r="S66" s="50"/>
      <c r="T66" s="50"/>
      <c r="U66" s="50"/>
      <c r="V66" s="50"/>
      <c r="W66" s="50"/>
    </row>
    <row r="67" spans="1:35" x14ac:dyDescent="0.35">
      <c r="A67" s="1328"/>
      <c r="B67" s="350" t="s">
        <v>152</v>
      </c>
      <c r="C67" s="355">
        <f>'ARP Score'!AK16</f>
        <v>8.5</v>
      </c>
      <c r="D67" s="50"/>
      <c r="E67" s="314"/>
      <c r="F67" s="50"/>
      <c r="G67" s="50"/>
      <c r="H67" s="50"/>
      <c r="I67" s="50"/>
      <c r="J67" s="50"/>
      <c r="K67" s="50"/>
      <c r="L67" s="50"/>
      <c r="M67" s="50"/>
      <c r="N67" s="50"/>
      <c r="O67" s="50"/>
      <c r="P67" s="50"/>
      <c r="Q67" s="50"/>
      <c r="R67" s="50"/>
      <c r="S67" s="50"/>
      <c r="T67" s="50"/>
      <c r="U67" s="50"/>
      <c r="V67" s="50"/>
      <c r="W67" s="50"/>
    </row>
    <row r="68" spans="1:35" ht="17.25" customHeight="1" x14ac:dyDescent="0.35">
      <c r="A68" s="351"/>
      <c r="B68" s="350" t="s">
        <v>364</v>
      </c>
      <c r="C68" s="355">
        <f>'ARP Score'!AM16</f>
        <v>0.79700000000000004</v>
      </c>
      <c r="D68" s="50"/>
      <c r="E68" s="314"/>
      <c r="F68" s="50"/>
      <c r="G68" s="50"/>
      <c r="H68" s="50"/>
      <c r="I68" s="50"/>
      <c r="J68" s="50"/>
      <c r="K68" s="50"/>
      <c r="L68" s="50"/>
      <c r="M68" s="50"/>
      <c r="N68" s="50"/>
      <c r="O68" s="50"/>
      <c r="P68" s="50"/>
      <c r="Q68" s="50"/>
      <c r="R68" s="50"/>
      <c r="S68" s="50"/>
      <c r="T68" s="50"/>
      <c r="U68" s="50"/>
      <c r="V68" s="50"/>
      <c r="W68" s="50"/>
    </row>
    <row r="69" spans="1:35" ht="17.25" customHeight="1" x14ac:dyDescent="0.35">
      <c r="A69" s="351"/>
      <c r="B69" s="352" t="s">
        <v>374</v>
      </c>
      <c r="C69" s="356">
        <f>'ARP Score'!AN16</f>
        <v>8.6</v>
      </c>
      <c r="D69" s="354"/>
      <c r="E69" s="341"/>
      <c r="F69" s="50"/>
      <c r="G69" s="50"/>
      <c r="H69" s="50"/>
      <c r="I69" s="50"/>
      <c r="J69" s="50"/>
      <c r="K69" s="50"/>
      <c r="L69" s="50"/>
      <c r="M69" s="50"/>
      <c r="N69" s="50"/>
      <c r="O69" s="50"/>
      <c r="P69" s="50"/>
      <c r="Q69" s="50"/>
      <c r="R69" s="50"/>
      <c r="S69" s="50"/>
      <c r="T69" s="50"/>
      <c r="U69" s="50"/>
      <c r="V69" s="50"/>
      <c r="W69" s="50"/>
    </row>
    <row r="70" spans="1:35" ht="17.25" customHeight="1" x14ac:dyDescent="0.35">
      <c r="B70" s="350"/>
      <c r="C70" s="69"/>
      <c r="D70" s="69"/>
      <c r="E70" s="69"/>
      <c r="F70" s="69"/>
      <c r="G70" s="69"/>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row>
    <row r="71" spans="1:35" ht="17.25" customHeight="1" x14ac:dyDescent="0.35">
      <c r="B71" s="338" t="s">
        <v>375</v>
      </c>
      <c r="C71" s="69"/>
      <c r="D71" s="69"/>
      <c r="E71" s="69"/>
      <c r="F71" s="69"/>
      <c r="G71" s="69"/>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row>
    <row r="72" spans="1:35" ht="14.9" customHeight="1" x14ac:dyDescent="0.35">
      <c r="B72" s="1297" t="s">
        <v>376</v>
      </c>
      <c r="C72" s="1298"/>
      <c r="D72" s="1301" t="s">
        <v>280</v>
      </c>
      <c r="E72" s="1313"/>
      <c r="F72" s="1313"/>
      <c r="G72" s="1313"/>
      <c r="H72" s="1313"/>
      <c r="I72" s="1313"/>
      <c r="J72" s="1313"/>
      <c r="K72" s="1313"/>
      <c r="L72" s="1313"/>
      <c r="M72" s="1313"/>
      <c r="N72" s="1313"/>
      <c r="O72" s="1313"/>
      <c r="P72" s="1313"/>
      <c r="Q72" s="1313"/>
      <c r="R72" s="1313"/>
      <c r="S72" s="1313"/>
      <c r="T72" s="1313"/>
      <c r="U72" s="1313"/>
      <c r="V72" s="1302"/>
      <c r="W72" s="1324" t="s">
        <v>281</v>
      </c>
      <c r="X72" s="1325"/>
      <c r="Y72" s="1325"/>
      <c r="Z72" s="1325"/>
      <c r="AA72" s="1325"/>
      <c r="AB72" s="1325"/>
      <c r="AC72" s="1325"/>
      <c r="AD72" s="1325"/>
      <c r="AE72" s="1325"/>
      <c r="AF72" s="1325"/>
      <c r="AG72" s="1325"/>
      <c r="AH72" s="168"/>
      <c r="AI72" s="168"/>
    </row>
    <row r="73" spans="1:35" x14ac:dyDescent="0.35">
      <c r="B73" s="1299"/>
      <c r="C73" s="1300"/>
      <c r="D73" s="142">
        <v>2018</v>
      </c>
      <c r="E73" s="1278">
        <v>2019</v>
      </c>
      <c r="F73" s="1306"/>
      <c r="G73" s="1306"/>
      <c r="H73" s="1307"/>
      <c r="I73" s="1278">
        <v>2020</v>
      </c>
      <c r="J73" s="1306"/>
      <c r="K73" s="1306"/>
      <c r="L73" s="1306"/>
      <c r="M73" s="1278">
        <v>2021</v>
      </c>
      <c r="N73" s="1306"/>
      <c r="O73" s="1306"/>
      <c r="P73" s="1306"/>
      <c r="Q73" s="1322">
        <v>2022</v>
      </c>
      <c r="R73" s="1323"/>
      <c r="S73" s="251"/>
      <c r="T73" s="251"/>
      <c r="U73" s="201"/>
      <c r="V73" s="251">
        <v>2023</v>
      </c>
      <c r="W73" s="253"/>
      <c r="X73" s="222"/>
      <c r="Y73" s="1304">
        <v>2024</v>
      </c>
      <c r="Z73" s="1315"/>
      <c r="AA73" s="1315"/>
      <c r="AB73" s="1305"/>
      <c r="AC73" s="1303">
        <v>2025</v>
      </c>
      <c r="AD73" s="1304"/>
      <c r="AE73" s="1304"/>
      <c r="AF73" s="1305"/>
      <c r="AG73" s="297">
        <v>2026</v>
      </c>
      <c r="AH73" s="202"/>
      <c r="AI73" s="202"/>
    </row>
    <row r="74" spans="1:35" x14ac:dyDescent="0.35">
      <c r="B74" s="1301"/>
      <c r="C74" s="1302"/>
      <c r="D74" s="148" t="s">
        <v>282</v>
      </c>
      <c r="E74" s="148" t="s">
        <v>283</v>
      </c>
      <c r="F74" s="144" t="s">
        <v>284</v>
      </c>
      <c r="G74" s="144" t="s">
        <v>238</v>
      </c>
      <c r="H74" s="145" t="s">
        <v>282</v>
      </c>
      <c r="I74" s="144" t="s">
        <v>283</v>
      </c>
      <c r="J74" s="144" t="s">
        <v>284</v>
      </c>
      <c r="K74" s="144" t="s">
        <v>238</v>
      </c>
      <c r="L74" s="144" t="s">
        <v>282</v>
      </c>
      <c r="M74" s="148" t="s">
        <v>283</v>
      </c>
      <c r="N74" s="144" t="s">
        <v>284</v>
      </c>
      <c r="O74" s="144" t="s">
        <v>238</v>
      </c>
      <c r="P74" s="144" t="s">
        <v>282</v>
      </c>
      <c r="Q74" s="148" t="s">
        <v>283</v>
      </c>
      <c r="R74" s="144" t="s">
        <v>284</v>
      </c>
      <c r="S74" s="144" t="s">
        <v>238</v>
      </c>
      <c r="T74" s="144" t="s">
        <v>282</v>
      </c>
      <c r="U74" s="248" t="s">
        <v>283</v>
      </c>
      <c r="V74" s="249" t="s">
        <v>284</v>
      </c>
      <c r="W74" s="232" t="s">
        <v>238</v>
      </c>
      <c r="X74" s="233" t="s">
        <v>282</v>
      </c>
      <c r="Y74" s="232" t="s">
        <v>283</v>
      </c>
      <c r="Z74" s="229" t="s">
        <v>284</v>
      </c>
      <c r="AA74" s="232" t="s">
        <v>238</v>
      </c>
      <c r="AB74" s="232" t="s">
        <v>282</v>
      </c>
      <c r="AC74" s="231" t="s">
        <v>283</v>
      </c>
      <c r="AD74" s="229" t="s">
        <v>284</v>
      </c>
      <c r="AE74" s="232" t="s">
        <v>238</v>
      </c>
      <c r="AF74" s="233" t="s">
        <v>282</v>
      </c>
      <c r="AG74" s="298" t="s">
        <v>283</v>
      </c>
      <c r="AH74" s="35"/>
      <c r="AI74" s="35"/>
    </row>
    <row r="75" spans="1:35" ht="29.25" customHeight="1" x14ac:dyDescent="0.35">
      <c r="B75" s="308" t="s">
        <v>377</v>
      </c>
      <c r="C75" s="378"/>
      <c r="D75" s="309"/>
      <c r="E75" s="310"/>
      <c r="F75" s="310"/>
      <c r="G75" s="310"/>
      <c r="H75" s="311">
        <f t="shared" ref="H75:O75" si="26">SUM(H77:H85)</f>
        <v>206.82899999999995</v>
      </c>
      <c r="I75" s="311">
        <f t="shared" si="26"/>
        <v>214.11100000000005</v>
      </c>
      <c r="J75" s="311">
        <f t="shared" si="26"/>
        <v>320.24999999999989</v>
      </c>
      <c r="K75" s="311">
        <f t="shared" si="26"/>
        <v>298.13400000000001</v>
      </c>
      <c r="L75" s="311">
        <f t="shared" si="26"/>
        <v>289.54399999999998</v>
      </c>
      <c r="M75" s="311">
        <f t="shared" si="26"/>
        <v>320.34099999999995</v>
      </c>
      <c r="N75" s="311">
        <f t="shared" si="26"/>
        <v>354.35800000000017</v>
      </c>
      <c r="O75" s="311">
        <f t="shared" si="26"/>
        <v>375.57600000000008</v>
      </c>
      <c r="P75" s="311">
        <f>SUM(P77:P86)</f>
        <v>396.106852</v>
      </c>
      <c r="Q75" s="311">
        <f>SUM(Q77:Q86)</f>
        <v>433.66327480000001</v>
      </c>
      <c r="R75" s="311">
        <f>SUM(R77:R86)</f>
        <v>500.88603199999994</v>
      </c>
      <c r="S75" s="311">
        <f>SUM(S77:S86)</f>
        <v>486.87586800000008</v>
      </c>
      <c r="T75" s="332">
        <f t="shared" ref="T75:AG75" si="27">SUM(T77:T86)</f>
        <v>445.45392800000008</v>
      </c>
      <c r="U75" s="276">
        <f>SUM(U77:U86)</f>
        <v>439.61154320000009</v>
      </c>
      <c r="V75" s="276">
        <f>SUM(V77:V86)</f>
        <v>429.15772000000004</v>
      </c>
      <c r="W75" s="276">
        <f>SUM(W77:W86)</f>
        <v>415.61894400000006</v>
      </c>
      <c r="X75" s="283">
        <f t="shared" si="27"/>
        <v>396.93694400000004</v>
      </c>
      <c r="Y75" s="372">
        <f t="shared" si="27"/>
        <v>394.13745836792191</v>
      </c>
      <c r="Z75" s="372">
        <f t="shared" si="27"/>
        <v>373.86442832865475</v>
      </c>
      <c r="AA75" s="372">
        <f t="shared" si="27"/>
        <v>377.90945212440317</v>
      </c>
      <c r="AB75" s="372">
        <f t="shared" si="27"/>
        <v>382.24128570000005</v>
      </c>
      <c r="AC75" s="283">
        <f t="shared" si="27"/>
        <v>364.98703722263872</v>
      </c>
      <c r="AD75" s="283">
        <f t="shared" si="27"/>
        <v>359.88619160180087</v>
      </c>
      <c r="AE75" s="283">
        <f>SUM(AE77:AE86)</f>
        <v>361.98269500937926</v>
      </c>
      <c r="AF75" s="283">
        <f t="shared" si="27"/>
        <v>360.21415719999999</v>
      </c>
      <c r="AG75" s="281">
        <f t="shared" si="27"/>
        <v>234.85200183154427</v>
      </c>
      <c r="AH75" s="296"/>
      <c r="AI75" s="296"/>
    </row>
    <row r="76" spans="1:35" ht="19.399999999999999" customHeight="1" x14ac:dyDescent="0.35">
      <c r="B76" s="386" t="s">
        <v>378</v>
      </c>
      <c r="C76" s="190"/>
      <c r="D76" s="236"/>
      <c r="E76" s="190"/>
      <c r="F76" s="190"/>
      <c r="G76" s="190"/>
      <c r="H76" s="276"/>
      <c r="I76" s="276"/>
      <c r="J76" s="276"/>
      <c r="K76" s="276"/>
      <c r="L76" s="276"/>
      <c r="M76" s="276"/>
      <c r="N76" s="276"/>
      <c r="O76" s="276"/>
      <c r="P76" s="276"/>
      <c r="Q76" s="276"/>
      <c r="R76" s="276"/>
      <c r="S76" s="276"/>
      <c r="T76" s="276"/>
      <c r="U76" s="276"/>
      <c r="V76" s="276"/>
      <c r="W76" s="276"/>
      <c r="X76" s="284"/>
      <c r="Y76" s="284"/>
      <c r="Z76" s="284"/>
      <c r="AA76" s="284"/>
      <c r="AB76" s="284"/>
      <c r="AC76" s="284"/>
      <c r="AD76" s="284"/>
      <c r="AE76" s="284"/>
      <c r="AF76" s="284"/>
      <c r="AG76" s="284"/>
      <c r="AH76" s="296"/>
      <c r="AI76" s="296"/>
    </row>
    <row r="77" spans="1:35" x14ac:dyDescent="0.35">
      <c r="B77" s="322" t="s">
        <v>152</v>
      </c>
      <c r="C77" s="49"/>
      <c r="D77" s="318"/>
      <c r="E77" s="49"/>
      <c r="F77" s="49"/>
      <c r="G77" s="49"/>
      <c r="H77" s="276"/>
      <c r="I77" s="276"/>
      <c r="J77" s="276">
        <f t="shared" ref="J77:AC77" si="28">J14</f>
        <v>64.400000000000006</v>
      </c>
      <c r="K77" s="276">
        <f t="shared" si="28"/>
        <v>23.4</v>
      </c>
      <c r="L77" s="276">
        <f t="shared" si="28"/>
        <v>13.8</v>
      </c>
      <c r="M77" s="276">
        <f t="shared" si="28"/>
        <v>12</v>
      </c>
      <c r="N77" s="276">
        <f t="shared" si="28"/>
        <v>7.5</v>
      </c>
      <c r="O77" s="276">
        <f t="shared" si="28"/>
        <v>10.5</v>
      </c>
      <c r="P77" s="276">
        <f t="shared" si="28"/>
        <v>18</v>
      </c>
      <c r="Q77" s="276">
        <f t="shared" si="28"/>
        <v>15</v>
      </c>
      <c r="R77" s="276">
        <f t="shared" si="28"/>
        <v>11.2</v>
      </c>
      <c r="S77" s="276">
        <f t="shared" si="28"/>
        <v>7.5</v>
      </c>
      <c r="T77" s="276">
        <f t="shared" si="28"/>
        <v>6.2</v>
      </c>
      <c r="U77" s="276">
        <f t="shared" si="28"/>
        <v>0</v>
      </c>
      <c r="V77" s="276">
        <f t="shared" si="28"/>
        <v>0</v>
      </c>
      <c r="W77" s="276">
        <f t="shared" si="28"/>
        <v>0</v>
      </c>
      <c r="X77" s="284">
        <f t="shared" si="28"/>
        <v>0</v>
      </c>
      <c r="Y77" s="284">
        <f t="shared" si="28"/>
        <v>0</v>
      </c>
      <c r="Z77" s="284">
        <f t="shared" si="28"/>
        <v>0</v>
      </c>
      <c r="AA77" s="284">
        <f t="shared" si="28"/>
        <v>0</v>
      </c>
      <c r="AB77" s="284">
        <f t="shared" si="28"/>
        <v>0</v>
      </c>
      <c r="AC77" s="284">
        <f t="shared" si="28"/>
        <v>0</v>
      </c>
      <c r="AD77" s="284">
        <f t="shared" ref="AD77:AG77" si="29">AD14</f>
        <v>0</v>
      </c>
      <c r="AE77" s="284">
        <f t="shared" si="29"/>
        <v>0</v>
      </c>
      <c r="AF77" s="284">
        <f t="shared" si="29"/>
        <v>0</v>
      </c>
      <c r="AG77" s="284">
        <f t="shared" si="29"/>
        <v>0</v>
      </c>
      <c r="AH77" s="276"/>
      <c r="AI77" s="276"/>
    </row>
    <row r="78" spans="1:35" x14ac:dyDescent="0.35">
      <c r="B78" s="322" t="s">
        <v>343</v>
      </c>
      <c r="C78" s="49"/>
      <c r="D78" s="318"/>
      <c r="E78" s="49"/>
      <c r="F78" s="49"/>
      <c r="G78" s="49"/>
      <c r="H78" s="276"/>
      <c r="I78" s="276"/>
      <c r="J78" s="276"/>
      <c r="K78" s="276"/>
      <c r="L78" s="276"/>
      <c r="M78" s="276">
        <f>M30</f>
        <v>9.6666666666666661</v>
      </c>
      <c r="N78" s="276">
        <f t="shared" ref="N78:AC78" si="30">N30</f>
        <v>9.6666666666666661</v>
      </c>
      <c r="O78" s="276">
        <f t="shared" si="30"/>
        <v>9.6666666666666661</v>
      </c>
      <c r="P78" s="276">
        <f t="shared" si="30"/>
        <v>9.6666666666666661</v>
      </c>
      <c r="Q78" s="276">
        <f>Q30</f>
        <v>9.6666666666666661</v>
      </c>
      <c r="R78" s="276">
        <f>R30</f>
        <v>9.6666666666666661</v>
      </c>
      <c r="S78" s="276">
        <f>S30</f>
        <v>9.6666666666666661</v>
      </c>
      <c r="T78" s="276">
        <f t="shared" si="30"/>
        <v>9.6666666666666661</v>
      </c>
      <c r="U78" s="276">
        <f t="shared" si="30"/>
        <v>9.6666666666666661</v>
      </c>
      <c r="V78" s="276">
        <f t="shared" si="30"/>
        <v>9.6666666666666661</v>
      </c>
      <c r="W78" s="276">
        <f t="shared" si="30"/>
        <v>9.6666666666666661</v>
      </c>
      <c r="X78" s="284">
        <f t="shared" si="30"/>
        <v>9.6666666666666661</v>
      </c>
      <c r="Y78" s="284">
        <f t="shared" si="30"/>
        <v>0</v>
      </c>
      <c r="Z78" s="284">
        <f t="shared" si="30"/>
        <v>0</v>
      </c>
      <c r="AA78" s="284">
        <f t="shared" si="30"/>
        <v>0</v>
      </c>
      <c r="AB78" s="284">
        <f t="shared" si="30"/>
        <v>0</v>
      </c>
      <c r="AC78" s="284">
        <f t="shared" si="30"/>
        <v>0</v>
      </c>
      <c r="AD78" s="284">
        <f t="shared" ref="AD78:AG78" si="31">AD30</f>
        <v>0</v>
      </c>
      <c r="AE78" s="284">
        <f t="shared" si="31"/>
        <v>0</v>
      </c>
      <c r="AF78" s="284">
        <f t="shared" si="31"/>
        <v>0</v>
      </c>
      <c r="AG78" s="284">
        <f t="shared" si="31"/>
        <v>0</v>
      </c>
      <c r="AH78" s="276"/>
      <c r="AI78" s="276"/>
    </row>
    <row r="79" spans="1:35" x14ac:dyDescent="0.35">
      <c r="B79" s="322" t="s">
        <v>379</v>
      </c>
      <c r="C79" s="49"/>
      <c r="D79" s="318"/>
      <c r="E79" s="49"/>
      <c r="F79" s="49"/>
      <c r="G79" s="49"/>
      <c r="H79" s="276"/>
      <c r="I79" s="276"/>
      <c r="J79" s="276"/>
      <c r="K79" s="276"/>
      <c r="L79" s="276"/>
      <c r="M79" s="276">
        <f t="shared" ref="M79:AC79" si="32">M16</f>
        <v>12</v>
      </c>
      <c r="N79" s="276">
        <f t="shared" si="32"/>
        <v>12</v>
      </c>
      <c r="O79" s="276">
        <f t="shared" si="32"/>
        <v>12</v>
      </c>
      <c r="P79" s="276">
        <f t="shared" si="32"/>
        <v>12</v>
      </c>
      <c r="Q79" s="276">
        <f t="shared" si="32"/>
        <v>12</v>
      </c>
      <c r="R79" s="276">
        <f t="shared" si="32"/>
        <v>12</v>
      </c>
      <c r="S79" s="276">
        <f t="shared" si="32"/>
        <v>12</v>
      </c>
      <c r="T79" s="276">
        <f t="shared" si="32"/>
        <v>12</v>
      </c>
      <c r="U79" s="276">
        <f t="shared" si="32"/>
        <v>12</v>
      </c>
      <c r="V79" s="276">
        <f t="shared" si="32"/>
        <v>12</v>
      </c>
      <c r="W79" s="276">
        <f t="shared" si="32"/>
        <v>12</v>
      </c>
      <c r="X79" s="284">
        <f t="shared" si="32"/>
        <v>12</v>
      </c>
      <c r="Y79" s="284">
        <f t="shared" si="32"/>
        <v>0</v>
      </c>
      <c r="Z79" s="284">
        <f t="shared" si="32"/>
        <v>0</v>
      </c>
      <c r="AA79" s="284">
        <f t="shared" si="32"/>
        <v>0</v>
      </c>
      <c r="AB79" s="284">
        <f t="shared" si="32"/>
        <v>0</v>
      </c>
      <c r="AC79" s="284">
        <f t="shared" si="32"/>
        <v>0</v>
      </c>
      <c r="AD79" s="284">
        <f t="shared" ref="AD79:AG79" si="33">AD16</f>
        <v>0</v>
      </c>
      <c r="AE79" s="284">
        <f t="shared" si="33"/>
        <v>0</v>
      </c>
      <c r="AF79" s="284">
        <f t="shared" si="33"/>
        <v>0</v>
      </c>
      <c r="AG79" s="284">
        <f t="shared" si="33"/>
        <v>0</v>
      </c>
      <c r="AH79" s="276"/>
      <c r="AI79" s="276"/>
    </row>
    <row r="80" spans="1:35" x14ac:dyDescent="0.35">
      <c r="B80" s="322" t="s">
        <v>380</v>
      </c>
      <c r="C80" s="49"/>
      <c r="D80" s="318"/>
      <c r="E80" s="49"/>
      <c r="F80" s="49"/>
      <c r="G80" s="49"/>
      <c r="H80" s="52">
        <f t="shared" ref="H80:AC80" si="34">H20</f>
        <v>206.82899999999995</v>
      </c>
      <c r="I80" s="52">
        <f t="shared" si="34"/>
        <v>214.11100000000005</v>
      </c>
      <c r="J80" s="52">
        <f t="shared" si="34"/>
        <v>192.44999999999993</v>
      </c>
      <c r="K80" s="52">
        <f t="shared" si="34"/>
        <v>213.93400000000003</v>
      </c>
      <c r="L80" s="52">
        <f t="shared" si="34"/>
        <v>215.54399999999998</v>
      </c>
      <c r="M80" s="52">
        <f t="shared" si="34"/>
        <v>217.77433333333329</v>
      </c>
      <c r="N80" s="52">
        <f t="shared" si="34"/>
        <v>217.59133333333352</v>
      </c>
      <c r="O80" s="52">
        <f t="shared" si="34"/>
        <v>222.7093333333334</v>
      </c>
      <c r="P80" s="52">
        <f t="shared" si="34"/>
        <v>244.61933333333332</v>
      </c>
      <c r="Q80" s="52">
        <f t="shared" si="34"/>
        <v>248.60033333333331</v>
      </c>
      <c r="R80" s="52">
        <f t="shared" si="34"/>
        <v>262.76933333333329</v>
      </c>
      <c r="S80" s="52">
        <f t="shared" si="34"/>
        <v>260.1133333333334</v>
      </c>
      <c r="T80" s="52">
        <f t="shared" si="34"/>
        <v>222.98033333333342</v>
      </c>
      <c r="U80" s="306">
        <f>U20</f>
        <v>236.8250000000001</v>
      </c>
      <c r="V80" s="52">
        <f>V20</f>
        <v>227.57700000000006</v>
      </c>
      <c r="W80" s="52">
        <f t="shared" si="34"/>
        <v>220.74100000000004</v>
      </c>
      <c r="X80" s="285">
        <f t="shared" si="34"/>
        <v>212.44900000000007</v>
      </c>
      <c r="Y80" s="285">
        <f t="shared" si="34"/>
        <v>214.54234636792194</v>
      </c>
      <c r="Z80" s="285">
        <f t="shared" si="34"/>
        <v>216.65631932865475</v>
      </c>
      <c r="AA80" s="285">
        <f t="shared" si="34"/>
        <v>218.79112212440319</v>
      </c>
      <c r="AB80" s="285">
        <f t="shared" si="34"/>
        <v>220.94696000000002</v>
      </c>
      <c r="AC80" s="285">
        <f t="shared" si="34"/>
        <v>223.12404022263877</v>
      </c>
      <c r="AD80" s="285">
        <f>AD20</f>
        <v>225.32257210180089</v>
      </c>
      <c r="AE80" s="285">
        <f>AE20</f>
        <v>227.54276700937928</v>
      </c>
      <c r="AF80" s="285">
        <f t="shared" ref="AF80" si="35">AF20</f>
        <v>229.78483839999998</v>
      </c>
      <c r="AG80" s="285">
        <f>AG20</f>
        <v>232.04900183154427</v>
      </c>
      <c r="AH80" s="52"/>
      <c r="AI80" s="52"/>
    </row>
    <row r="81" spans="2:35" x14ac:dyDescent="0.35">
      <c r="B81" s="322" t="s">
        <v>1190</v>
      </c>
      <c r="C81" s="49"/>
      <c r="D81" s="318"/>
      <c r="E81" s="49"/>
      <c r="F81" s="49"/>
      <c r="G81" s="49"/>
      <c r="H81" s="52"/>
      <c r="I81" s="52"/>
      <c r="J81" s="52"/>
      <c r="K81" s="52"/>
      <c r="L81" s="52"/>
      <c r="M81" s="52"/>
      <c r="N81" s="52"/>
      <c r="O81" s="52"/>
      <c r="P81" s="52"/>
      <c r="Q81" s="52"/>
      <c r="R81" s="52"/>
      <c r="S81" s="278">
        <f>'IRA and CHIPS'!E184</f>
        <v>0</v>
      </c>
      <c r="T81" s="278">
        <f>'IRA and CHIPS'!F184</f>
        <v>6.8000000000000005E-2</v>
      </c>
      <c r="U81" s="278">
        <f>'IRA and CHIPS'!G184</f>
        <v>6.8000000000000005E-2</v>
      </c>
      <c r="V81" s="278">
        <f>'IRA and CHIPS'!H184</f>
        <v>6.8000000000000005E-2</v>
      </c>
      <c r="W81" s="278">
        <f>'IRA and CHIPS'!I184</f>
        <v>6.8000000000000005E-2</v>
      </c>
      <c r="X81" s="301">
        <f>'IRA and CHIPS'!J184</f>
        <v>1.363</v>
      </c>
      <c r="Y81" s="301">
        <f>'IRA and CHIPS'!K184</f>
        <v>1.363</v>
      </c>
      <c r="Z81" s="301">
        <f>'IRA and CHIPS'!L184</f>
        <v>1.363</v>
      </c>
      <c r="AA81" s="301">
        <f>'IRA and CHIPS'!M184</f>
        <v>1.363</v>
      </c>
      <c r="AB81" s="301">
        <f>'IRA and CHIPS'!N184</f>
        <v>2.4329999999999998</v>
      </c>
      <c r="AC81" s="301">
        <f>'IRA and CHIPS'!O184</f>
        <v>2.4329999999999998</v>
      </c>
      <c r="AD81" s="301">
        <f>'IRA and CHIPS'!P184</f>
        <v>2.4329999999999998</v>
      </c>
      <c r="AE81" s="301">
        <f>'IRA and CHIPS'!Q184</f>
        <v>2.4329999999999998</v>
      </c>
      <c r="AF81" s="301">
        <f>'IRA and CHIPS'!R184</f>
        <v>2.8029999999999999</v>
      </c>
      <c r="AG81" s="301">
        <f>'IRA and CHIPS'!S184</f>
        <v>2.8029999999999999</v>
      </c>
      <c r="AH81" s="52"/>
      <c r="AI81" s="52"/>
    </row>
    <row r="82" spans="2:35" ht="14.9" customHeight="1" x14ac:dyDescent="0.35">
      <c r="B82" s="364" t="s">
        <v>381</v>
      </c>
      <c r="C82" s="49"/>
      <c r="D82" s="318"/>
      <c r="E82" s="49"/>
      <c r="F82" s="49"/>
      <c r="G82" s="49"/>
      <c r="H82" s="276"/>
      <c r="I82" s="276"/>
      <c r="J82" s="276"/>
      <c r="K82" s="276"/>
      <c r="L82" s="276"/>
      <c r="M82" s="276"/>
      <c r="N82" s="276"/>
      <c r="O82" s="276"/>
      <c r="P82" s="276"/>
      <c r="Q82" s="276"/>
      <c r="R82" s="276"/>
      <c r="S82" s="276"/>
      <c r="T82" s="276"/>
      <c r="U82" s="276"/>
      <c r="V82" s="276"/>
      <c r="W82" s="284"/>
      <c r="X82" s="284"/>
      <c r="Y82" s="284"/>
      <c r="Z82" s="284"/>
      <c r="AA82" s="284"/>
      <c r="AB82" s="284"/>
      <c r="AC82" s="284"/>
      <c r="AD82" s="284"/>
      <c r="AE82" s="284"/>
      <c r="AF82" s="284"/>
      <c r="AG82" s="284"/>
      <c r="AH82" s="276"/>
      <c r="AI82" s="276"/>
    </row>
    <row r="83" spans="2:35" ht="14.9" customHeight="1" x14ac:dyDescent="0.35">
      <c r="B83" s="322" t="s">
        <v>150</v>
      </c>
      <c r="C83" s="49"/>
      <c r="D83" s="318"/>
      <c r="E83" s="49"/>
      <c r="F83" s="49"/>
      <c r="G83" s="49"/>
      <c r="H83" s="276"/>
      <c r="I83" s="276"/>
      <c r="J83" s="276">
        <f t="shared" ref="J83:X83" si="36">J13</f>
        <v>28.4</v>
      </c>
      <c r="K83" s="276">
        <f t="shared" si="36"/>
        <v>15.8</v>
      </c>
      <c r="L83" s="276">
        <f t="shared" si="36"/>
        <v>15.2</v>
      </c>
      <c r="M83" s="276">
        <f t="shared" si="36"/>
        <v>28.9</v>
      </c>
      <c r="N83" s="276">
        <f t="shared" si="36"/>
        <v>67.599999999999994</v>
      </c>
      <c r="O83" s="276">
        <f t="shared" si="36"/>
        <v>80.7</v>
      </c>
      <c r="P83" s="276">
        <f t="shared" si="36"/>
        <v>87.2</v>
      </c>
      <c r="Q83" s="276">
        <f t="shared" si="36"/>
        <v>72.400000000000006</v>
      </c>
      <c r="R83" s="276">
        <f t="shared" si="36"/>
        <v>85.9</v>
      </c>
      <c r="S83" s="313">
        <f t="shared" si="36"/>
        <v>68.3</v>
      </c>
      <c r="T83" s="313">
        <f t="shared" si="36"/>
        <v>64</v>
      </c>
      <c r="U83" s="313">
        <f t="shared" si="36"/>
        <v>60.929333333333297</v>
      </c>
      <c r="V83" s="313">
        <f t="shared" si="36"/>
        <v>60.929333333333297</v>
      </c>
      <c r="W83" s="313">
        <f t="shared" si="36"/>
        <v>60.929333333333297</v>
      </c>
      <c r="X83" s="313">
        <f t="shared" si="36"/>
        <v>54.244333333333302</v>
      </c>
      <c r="Y83" s="284">
        <f>Y27+Y31+'ARP Quarterly'!O28</f>
        <v>61.518167999999996</v>
      </c>
      <c r="Z83" s="284">
        <f>Z27+Z31+'ARP Quarterly'!P28</f>
        <v>44.428388999999996</v>
      </c>
      <c r="AA83" s="284">
        <f>AA27+AA31+'ARP Quarterly'!Q28</f>
        <v>46.338610000000003</v>
      </c>
      <c r="AB83" s="284">
        <f>AB27+AB31+'ARP Quarterly'!R28</f>
        <v>47.279744500000007</v>
      </c>
      <c r="AC83" s="284">
        <f>AC27+AC31+'ARP Quarterly'!S28</f>
        <v>46.283419000000009</v>
      </c>
      <c r="AD83" s="284">
        <f>AD27+AD31+'ARP Quarterly'!T28</f>
        <v>45.578489500000011</v>
      </c>
      <c r="AE83" s="284">
        <f>AE27+AE31+'ARP Quarterly'!U28</f>
        <v>45.454798000000011</v>
      </c>
      <c r="AF83" s="284">
        <f>AF27+AF31+'ARP Quarterly'!V28</f>
        <v>45.360580000000013</v>
      </c>
      <c r="AG83" s="281"/>
      <c r="AH83" s="299"/>
      <c r="AI83" s="276"/>
    </row>
    <row r="84" spans="2:35" x14ac:dyDescent="0.35">
      <c r="B84" s="322" t="s">
        <v>149</v>
      </c>
      <c r="C84" s="52"/>
      <c r="D84" s="391"/>
      <c r="E84" s="52"/>
      <c r="F84" s="52"/>
      <c r="G84" s="52"/>
      <c r="H84" s="276"/>
      <c r="I84" s="276"/>
      <c r="J84" s="276">
        <v>35</v>
      </c>
      <c r="K84" s="276">
        <v>45</v>
      </c>
      <c r="L84" s="276">
        <v>45</v>
      </c>
      <c r="M84" s="276">
        <v>40</v>
      </c>
      <c r="N84" s="276">
        <v>40</v>
      </c>
      <c r="O84" s="276">
        <v>40</v>
      </c>
      <c r="P84" s="276">
        <v>40</v>
      </c>
      <c r="Q84" s="276">
        <v>50</v>
      </c>
      <c r="R84" s="276">
        <v>50</v>
      </c>
      <c r="S84" s="276">
        <v>50</v>
      </c>
      <c r="T84" s="276">
        <v>50</v>
      </c>
      <c r="U84" s="307">
        <v>40</v>
      </c>
      <c r="V84" s="276">
        <v>30</v>
      </c>
      <c r="W84" s="276">
        <v>20</v>
      </c>
      <c r="X84" s="284">
        <v>15</v>
      </c>
      <c r="Y84" s="284">
        <v>10</v>
      </c>
      <c r="Z84" s="284">
        <v>0</v>
      </c>
      <c r="AA84" s="284">
        <v>0</v>
      </c>
      <c r="AB84" s="284">
        <v>0</v>
      </c>
      <c r="AC84" s="284">
        <v>0</v>
      </c>
      <c r="AD84" s="284">
        <v>0</v>
      </c>
      <c r="AE84" s="284">
        <v>0</v>
      </c>
      <c r="AF84" s="284">
        <v>0</v>
      </c>
      <c r="AG84" s="284">
        <v>0</v>
      </c>
      <c r="AH84" s="120"/>
    </row>
    <row r="85" spans="2:35" ht="28.5" customHeight="1" x14ac:dyDescent="0.35">
      <c r="B85" s="335" t="s">
        <v>382</v>
      </c>
      <c r="C85" s="349"/>
      <c r="D85" s="318"/>
      <c r="E85" s="49"/>
      <c r="F85" s="49"/>
      <c r="G85" s="49"/>
      <c r="H85" s="276"/>
      <c r="I85" s="276"/>
      <c r="J85" s="276"/>
      <c r="K85" s="276"/>
      <c r="L85" s="276"/>
      <c r="M85" s="276"/>
      <c r="N85" s="276">
        <f>'ARP Quarterly'!D47</f>
        <v>0</v>
      </c>
      <c r="O85" s="276">
        <f>'ARP Quarterly'!E47</f>
        <v>0</v>
      </c>
      <c r="P85" s="276">
        <f>'ARP Quarterly'!F47</f>
        <v>34.620851999999999</v>
      </c>
      <c r="Q85" s="276">
        <f>'ARP Quarterly'!G47</f>
        <v>50.996274799999995</v>
      </c>
      <c r="R85" s="276">
        <f>'ARP Quarterly'!H47</f>
        <v>69.350031999999999</v>
      </c>
      <c r="S85" s="276">
        <f>'ARP Quarterly'!I47</f>
        <v>79.295867999999999</v>
      </c>
      <c r="T85" s="276">
        <f>'ARP Quarterly'!J47</f>
        <v>80.538927999999999</v>
      </c>
      <c r="U85" s="276">
        <f>'ARP Quarterly'!K47</f>
        <v>80.122543199999996</v>
      </c>
      <c r="V85" s="276">
        <f>'ARP Quarterly'!L47</f>
        <v>88.916719999999998</v>
      </c>
      <c r="W85" s="277">
        <f>'ARP Quarterly'!M47</f>
        <v>92.213943999999998</v>
      </c>
      <c r="X85" s="375">
        <f>'ARP Quarterly'!N47</f>
        <v>92.213943999999998</v>
      </c>
      <c r="Y85" s="375">
        <f>'ARP Quarterly'!O47</f>
        <v>94.213943999999998</v>
      </c>
      <c r="Z85" s="375">
        <f>'ARP Quarterly'!P47</f>
        <v>98.916719999999998</v>
      </c>
      <c r="AA85" s="375">
        <f>'ARP Quarterly'!Q47</f>
        <v>98.916719999999998</v>
      </c>
      <c r="AB85" s="375">
        <f>'ARP Quarterly'!R47</f>
        <v>99.081581199999988</v>
      </c>
      <c r="AC85" s="284">
        <f>'ARP Quarterly'!S47</f>
        <v>93.146578000000005</v>
      </c>
      <c r="AD85" s="284">
        <f>'ARP Quarterly'!T47</f>
        <v>86.552129999999991</v>
      </c>
      <c r="AE85" s="284">
        <f>'ARP Quarterly'!U47</f>
        <v>86.552129999999991</v>
      </c>
      <c r="AF85" s="284">
        <f>'ARP Quarterly'!V47</f>
        <v>82.265738799999994</v>
      </c>
      <c r="AG85" s="281"/>
      <c r="AH85" s="362"/>
    </row>
    <row r="86" spans="2:35" ht="55.4" customHeight="1" x14ac:dyDescent="0.35">
      <c r="B86" s="342" t="s">
        <v>832</v>
      </c>
      <c r="C86" s="343"/>
      <c r="D86" s="316"/>
      <c r="E86" s="317"/>
      <c r="F86" s="317"/>
      <c r="G86" s="317"/>
      <c r="H86" s="317"/>
      <c r="I86" s="343"/>
      <c r="J86" s="343"/>
      <c r="K86" s="343"/>
      <c r="L86" s="343"/>
      <c r="M86" s="343"/>
      <c r="N86" s="343"/>
      <c r="O86" s="343"/>
      <c r="P86" s="343">
        <v>-50</v>
      </c>
      <c r="Q86" s="343">
        <v>-25</v>
      </c>
      <c r="R86" s="343"/>
      <c r="S86" s="343"/>
      <c r="T86" s="343"/>
      <c r="U86" s="392"/>
      <c r="V86" s="317"/>
      <c r="W86" s="343"/>
      <c r="X86" s="343"/>
      <c r="Y86" s="343">
        <v>12.5</v>
      </c>
      <c r="Z86" s="343">
        <v>12.5</v>
      </c>
      <c r="AA86" s="343">
        <v>12.5</v>
      </c>
      <c r="AB86" s="343">
        <v>12.5</v>
      </c>
      <c r="AC86" s="392"/>
      <c r="AD86" s="202"/>
      <c r="AE86" s="202"/>
      <c r="AF86" s="202"/>
      <c r="AG86" s="202"/>
    </row>
    <row r="87" spans="2:35" x14ac:dyDescent="0.35">
      <c r="B87" s="245"/>
      <c r="C87" s="202"/>
      <c r="D87" s="202"/>
      <c r="E87" s="202"/>
      <c r="F87" s="202"/>
      <c r="G87" s="202"/>
      <c r="H87" s="202"/>
      <c r="I87" s="202"/>
      <c r="J87" s="202"/>
      <c r="K87" s="202"/>
      <c r="L87" s="202"/>
      <c r="M87" s="202"/>
      <c r="N87" s="202"/>
      <c r="O87" s="202"/>
      <c r="P87" s="202"/>
      <c r="Q87" s="202"/>
      <c r="R87" s="202"/>
      <c r="S87" s="202"/>
      <c r="T87" s="202"/>
      <c r="U87" s="202"/>
      <c r="V87" s="202"/>
      <c r="W87" s="202"/>
      <c r="X87" s="202"/>
      <c r="Y87" s="202"/>
      <c r="Z87" s="202"/>
      <c r="AA87" s="202"/>
      <c r="AB87" s="202"/>
      <c r="AC87" s="202"/>
      <c r="AD87" s="202"/>
      <c r="AE87" s="202"/>
      <c r="AF87" s="202"/>
      <c r="AG87" s="202"/>
    </row>
    <row r="88" spans="2:35" x14ac:dyDescent="0.35">
      <c r="B88" s="245"/>
      <c r="C88" s="202"/>
      <c r="D88" s="202"/>
      <c r="E88" s="202"/>
      <c r="F88" s="202"/>
      <c r="G88" s="202"/>
      <c r="H88" s="202"/>
      <c r="I88" s="202"/>
      <c r="J88" s="202"/>
      <c r="K88" s="202"/>
      <c r="L88" s="202"/>
      <c r="M88" s="202"/>
      <c r="N88" s="202"/>
      <c r="O88" s="202"/>
      <c r="P88" s="202"/>
      <c r="Q88" s="202"/>
      <c r="R88" s="202"/>
      <c r="S88" s="202"/>
      <c r="T88" s="202"/>
      <c r="U88" s="202"/>
      <c r="V88" s="202"/>
      <c r="W88" s="202"/>
      <c r="X88" s="202"/>
      <c r="Y88" s="202"/>
      <c r="Z88" s="202"/>
      <c r="AA88" s="202"/>
      <c r="AB88" s="202"/>
      <c r="AC88" s="202"/>
      <c r="AD88" s="202"/>
      <c r="AE88" s="202"/>
      <c r="AF88" s="202"/>
      <c r="AG88" s="202"/>
    </row>
    <row r="89" spans="2:35" x14ac:dyDescent="0.35">
      <c r="B89" s="245"/>
      <c r="C89" s="202"/>
      <c r="D89" s="202"/>
      <c r="E89" s="202"/>
      <c r="F89" s="202"/>
      <c r="G89" s="202"/>
      <c r="H89" s="202"/>
      <c r="I89" s="202"/>
      <c r="J89" s="202"/>
      <c r="K89" s="202"/>
      <c r="L89" s="202"/>
      <c r="M89" s="202"/>
      <c r="N89" s="202"/>
      <c r="O89" s="202"/>
      <c r="P89" s="202"/>
      <c r="Q89" s="202"/>
      <c r="R89" s="202"/>
      <c r="S89" s="202"/>
      <c r="T89" s="202"/>
      <c r="U89" s="202"/>
      <c r="V89" s="202"/>
      <c r="W89" s="202"/>
      <c r="X89" s="202"/>
      <c r="Y89" s="202"/>
      <c r="Z89" s="202"/>
      <c r="AA89" s="202"/>
      <c r="AB89" s="202"/>
      <c r="AC89" s="202"/>
      <c r="AD89" s="202"/>
      <c r="AE89" s="202"/>
      <c r="AF89" s="202"/>
      <c r="AG89" s="202"/>
    </row>
    <row r="90" spans="2:35" x14ac:dyDescent="0.35">
      <c r="B90" s="245"/>
      <c r="C90" s="202"/>
      <c r="D90" s="202"/>
      <c r="E90" s="202"/>
      <c r="F90" s="202"/>
      <c r="G90" s="202"/>
      <c r="H90" s="202"/>
      <c r="I90" s="202"/>
      <c r="J90" s="202"/>
      <c r="K90" s="202"/>
      <c r="L90" s="202"/>
      <c r="M90" s="202"/>
      <c r="N90" s="202"/>
      <c r="O90" s="202"/>
      <c r="P90" s="202"/>
      <c r="Q90" s="202"/>
      <c r="R90" s="202"/>
      <c r="S90" s="202"/>
      <c r="T90" s="202"/>
      <c r="U90" s="202"/>
      <c r="V90" s="202"/>
      <c r="W90" s="202"/>
      <c r="X90" s="202"/>
      <c r="Y90" s="202"/>
      <c r="Z90" s="202"/>
      <c r="AA90" s="202"/>
      <c r="AB90" s="202"/>
      <c r="AC90" s="202"/>
      <c r="AD90" s="202"/>
      <c r="AE90" s="202"/>
      <c r="AF90" s="202"/>
      <c r="AG90" s="202"/>
    </row>
    <row r="91" spans="2:35" x14ac:dyDescent="0.35">
      <c r="B91" s="245"/>
      <c r="C91" s="202"/>
      <c r="D91" s="202"/>
      <c r="E91" s="202"/>
      <c r="F91" s="202"/>
      <c r="G91" s="202"/>
      <c r="H91" s="202"/>
      <c r="I91" s="202"/>
      <c r="J91" s="202"/>
      <c r="K91" s="202"/>
      <c r="L91" s="202"/>
      <c r="M91" s="202"/>
      <c r="N91" s="202"/>
      <c r="O91" s="202"/>
      <c r="P91" s="202"/>
      <c r="Q91" s="202"/>
      <c r="R91" s="202"/>
      <c r="S91" s="202"/>
      <c r="T91" s="202"/>
      <c r="U91" s="202"/>
      <c r="V91" s="202"/>
      <c r="W91" s="202"/>
      <c r="X91" s="202"/>
      <c r="Y91" s="202"/>
      <c r="Z91" s="202"/>
      <c r="AA91" s="202"/>
      <c r="AB91" s="202"/>
      <c r="AC91" s="202"/>
      <c r="AD91" s="202"/>
      <c r="AE91" s="202"/>
      <c r="AF91" s="202"/>
      <c r="AG91" s="202"/>
    </row>
    <row r="92" spans="2:35" x14ac:dyDescent="0.35">
      <c r="B92" s="245"/>
      <c r="C92" s="202"/>
      <c r="D92" s="202"/>
      <c r="E92" s="202"/>
      <c r="F92" s="202"/>
      <c r="G92" s="202"/>
      <c r="H92" s="202"/>
      <c r="I92" s="202"/>
      <c r="J92" s="202"/>
      <c r="K92" s="202"/>
      <c r="L92" s="202"/>
      <c r="M92" s="202"/>
      <c r="N92" s="202"/>
      <c r="O92" s="202"/>
      <c r="P92" s="202"/>
      <c r="Q92" s="202"/>
      <c r="R92" s="202"/>
      <c r="S92" s="202"/>
      <c r="T92" s="202"/>
      <c r="U92" s="202"/>
      <c r="V92" s="202"/>
      <c r="W92" s="202"/>
      <c r="X92" s="202"/>
      <c r="Y92" s="202"/>
      <c r="Z92" s="202"/>
      <c r="AA92" s="202"/>
      <c r="AB92" s="202"/>
      <c r="AC92" s="202"/>
      <c r="AD92" s="202"/>
      <c r="AE92" s="202"/>
      <c r="AF92" s="202"/>
      <c r="AG92" s="202"/>
    </row>
    <row r="93" spans="2:35" x14ac:dyDescent="0.35">
      <c r="B93" s="245"/>
      <c r="C93" s="202"/>
      <c r="D93" s="202"/>
      <c r="E93" s="202"/>
      <c r="F93" s="202"/>
      <c r="G93" s="202"/>
      <c r="H93" s="202"/>
      <c r="I93" s="202"/>
      <c r="J93" s="202"/>
      <c r="K93" s="202"/>
      <c r="L93" s="202"/>
      <c r="M93" s="202"/>
      <c r="N93" s="202"/>
      <c r="O93" s="202"/>
      <c r="P93" s="202"/>
      <c r="Q93" s="202"/>
      <c r="R93" s="202"/>
      <c r="S93" s="202"/>
      <c r="T93" s="202"/>
      <c r="U93" s="202"/>
      <c r="V93" s="202"/>
      <c r="W93" s="202"/>
      <c r="X93" s="202"/>
      <c r="Y93" s="202"/>
      <c r="Z93" s="202"/>
      <c r="AA93" s="202"/>
      <c r="AB93" s="202"/>
      <c r="AC93" s="202"/>
      <c r="AD93" s="202"/>
      <c r="AE93" s="202"/>
      <c r="AF93" s="202"/>
      <c r="AG93" s="202"/>
    </row>
    <row r="94" spans="2:35" x14ac:dyDescent="0.35">
      <c r="B94" s="245"/>
      <c r="C94" s="202"/>
      <c r="D94" s="202"/>
      <c r="E94" s="202"/>
      <c r="F94" s="202"/>
      <c r="G94" s="202"/>
      <c r="H94" s="202"/>
      <c r="I94" s="202"/>
      <c r="J94" s="202"/>
      <c r="K94" s="202"/>
      <c r="L94" s="202"/>
      <c r="M94" s="202"/>
      <c r="N94" s="202"/>
      <c r="O94" s="202"/>
      <c r="P94" s="202"/>
      <c r="Q94" s="202"/>
      <c r="R94" s="202"/>
      <c r="S94" s="202"/>
      <c r="T94" s="202"/>
      <c r="U94" s="202"/>
      <c r="V94" s="202"/>
      <c r="W94" s="202"/>
      <c r="X94" s="202"/>
      <c r="Y94" s="202"/>
      <c r="Z94" s="202"/>
      <c r="AA94" s="202"/>
      <c r="AB94" s="202"/>
      <c r="AC94" s="202"/>
      <c r="AD94" s="202"/>
      <c r="AE94" s="202"/>
      <c r="AF94" s="202"/>
      <c r="AG94" s="202"/>
    </row>
    <row r="95" spans="2:35" x14ac:dyDescent="0.35">
      <c r="B95" s="245"/>
      <c r="C95" s="202"/>
      <c r="D95" s="202"/>
      <c r="E95" s="202"/>
      <c r="F95" s="202"/>
      <c r="G95" s="202"/>
      <c r="H95" s="202"/>
      <c r="I95" s="202"/>
      <c r="J95" s="202"/>
      <c r="K95" s="202"/>
      <c r="L95" s="202"/>
      <c r="M95" s="202"/>
      <c r="N95" s="202"/>
      <c r="O95" s="202"/>
      <c r="P95" s="202"/>
      <c r="Q95" s="202"/>
      <c r="R95" s="202"/>
      <c r="S95" s="202"/>
      <c r="T95" s="202"/>
      <c r="U95" s="202"/>
      <c r="V95" s="202"/>
      <c r="W95" s="202"/>
      <c r="X95" s="202"/>
      <c r="Y95" s="202"/>
      <c r="Z95" s="202"/>
      <c r="AA95" s="202"/>
      <c r="AB95" s="202"/>
      <c r="AC95" s="202"/>
      <c r="AD95" s="202"/>
      <c r="AE95" s="202"/>
      <c r="AF95" s="202"/>
      <c r="AG95" s="202"/>
    </row>
    <row r="96" spans="2:35" x14ac:dyDescent="0.35">
      <c r="B96" s="245"/>
      <c r="C96" s="202"/>
      <c r="D96" s="202"/>
      <c r="E96" s="202"/>
      <c r="F96" s="202"/>
      <c r="G96" s="202"/>
      <c r="H96" s="202"/>
      <c r="I96" s="202"/>
      <c r="J96" s="202"/>
      <c r="K96" s="202"/>
      <c r="L96" s="202"/>
      <c r="M96" s="202"/>
      <c r="N96" s="202"/>
      <c r="O96" s="202"/>
      <c r="P96" s="202"/>
      <c r="Q96" s="202"/>
      <c r="R96" s="202"/>
      <c r="S96" s="202"/>
      <c r="T96" s="202"/>
      <c r="U96" s="202"/>
      <c r="V96" s="202"/>
      <c r="W96" s="202"/>
      <c r="X96" s="202"/>
      <c r="Y96" s="202"/>
      <c r="Z96" s="202"/>
      <c r="AA96" s="202"/>
      <c r="AB96" s="202"/>
      <c r="AC96" s="202"/>
      <c r="AD96" s="202"/>
      <c r="AE96" s="202"/>
      <c r="AF96" s="202"/>
      <c r="AG96" s="202"/>
    </row>
    <row r="97" spans="2:35" x14ac:dyDescent="0.35">
      <c r="B97" s="245"/>
      <c r="C97" s="202"/>
      <c r="D97" s="202"/>
      <c r="E97" s="202"/>
      <c r="F97" s="202"/>
      <c r="G97" s="202"/>
      <c r="H97" s="202"/>
      <c r="I97" s="202"/>
      <c r="J97" s="202"/>
      <c r="K97" s="202"/>
      <c r="L97" s="202"/>
      <c r="M97" s="202"/>
      <c r="N97" s="202"/>
      <c r="O97" s="202"/>
      <c r="P97" s="202"/>
      <c r="Q97" s="202"/>
      <c r="R97" s="202"/>
      <c r="S97" s="202"/>
      <c r="T97" s="202"/>
      <c r="U97" s="202"/>
      <c r="V97" s="202"/>
      <c r="W97" s="202"/>
      <c r="X97" s="202"/>
      <c r="Y97" s="202"/>
      <c r="Z97" s="202"/>
      <c r="AA97" s="202"/>
      <c r="AB97" s="202"/>
      <c r="AC97" s="202"/>
      <c r="AD97" s="202"/>
      <c r="AE97" s="202"/>
      <c r="AF97" s="202"/>
      <c r="AG97" s="202"/>
    </row>
    <row r="98" spans="2:35" x14ac:dyDescent="0.35">
      <c r="B98" s="245"/>
      <c r="C98" s="202"/>
      <c r="D98" s="202"/>
      <c r="E98" s="202"/>
      <c r="F98" s="202"/>
      <c r="G98" s="202"/>
      <c r="H98" s="202"/>
      <c r="I98" s="202"/>
      <c r="J98" s="202"/>
      <c r="K98" s="202"/>
      <c r="L98" s="202"/>
      <c r="M98" s="202"/>
      <c r="N98" s="202"/>
      <c r="O98" s="202"/>
      <c r="P98" s="202"/>
      <c r="Q98" s="202"/>
      <c r="R98" s="202"/>
      <c r="S98" s="202"/>
      <c r="T98" s="202"/>
      <c r="U98" s="202"/>
      <c r="V98" s="202"/>
      <c r="W98" s="202"/>
      <c r="X98" s="202"/>
      <c r="Y98" s="202"/>
      <c r="Z98" s="202"/>
      <c r="AA98" s="202"/>
      <c r="AB98" s="202"/>
      <c r="AC98" s="202"/>
      <c r="AD98" s="202"/>
      <c r="AE98" s="202"/>
      <c r="AF98" s="202"/>
      <c r="AG98" s="202"/>
    </row>
    <row r="99" spans="2:35" ht="14.5" customHeight="1" x14ac:dyDescent="0.35">
      <c r="B99" s="245"/>
      <c r="C99" s="202"/>
      <c r="D99" s="202"/>
      <c r="E99" s="202"/>
      <c r="F99" s="202"/>
      <c r="G99" s="202"/>
      <c r="H99" s="202"/>
      <c r="I99" s="202"/>
      <c r="J99" s="202"/>
      <c r="K99" s="202"/>
      <c r="L99" s="202"/>
      <c r="M99" s="202"/>
      <c r="N99" s="202"/>
      <c r="O99" s="202"/>
      <c r="P99" s="202"/>
      <c r="Q99" s="202"/>
      <c r="R99" s="202"/>
      <c r="S99" s="202"/>
      <c r="T99" s="202"/>
      <c r="U99" s="202"/>
      <c r="V99" s="202"/>
      <c r="W99" s="202"/>
      <c r="X99" s="202"/>
      <c r="Y99" s="202"/>
      <c r="Z99" s="202"/>
      <c r="AA99" s="202"/>
      <c r="AB99" s="202"/>
      <c r="AC99" s="202"/>
      <c r="AD99" s="202"/>
      <c r="AE99" s="202"/>
      <c r="AF99" s="202"/>
      <c r="AG99" s="202"/>
    </row>
    <row r="100" spans="2:35" x14ac:dyDescent="0.35">
      <c r="B100" s="1292" t="s">
        <v>134</v>
      </c>
      <c r="C100" s="1292"/>
      <c r="D100" s="1292"/>
      <c r="E100" s="1292"/>
      <c r="F100" s="1292"/>
      <c r="G100" s="1292"/>
      <c r="H100" s="1292"/>
      <c r="I100" s="1292"/>
      <c r="J100" s="1292"/>
      <c r="K100" s="1292"/>
      <c r="L100" s="1292"/>
      <c r="M100" s="1292"/>
      <c r="N100" s="1292"/>
      <c r="O100" s="1292"/>
      <c r="P100" s="1292"/>
      <c r="Q100" s="1292"/>
      <c r="R100" s="1292"/>
      <c r="S100" s="1292"/>
      <c r="T100" s="1292"/>
      <c r="U100" s="1292"/>
      <c r="V100" s="1292"/>
      <c r="W100" s="1292"/>
      <c r="X100" s="1292"/>
      <c r="Y100" s="1292"/>
      <c r="Z100" s="179"/>
      <c r="AA100" s="179"/>
      <c r="AB100" s="179"/>
      <c r="AC100" s="179"/>
      <c r="AD100" s="179"/>
      <c r="AE100" s="179"/>
      <c r="AF100" s="179"/>
      <c r="AG100" s="179"/>
      <c r="AH100" s="168"/>
      <c r="AI100" s="168"/>
    </row>
    <row r="101" spans="2:35" ht="19.399999999999999" customHeight="1" x14ac:dyDescent="0.35">
      <c r="B101" s="1293" t="s">
        <v>1895</v>
      </c>
      <c r="C101" s="1293"/>
      <c r="D101" s="1293"/>
      <c r="E101" s="1293"/>
      <c r="F101" s="1293"/>
      <c r="G101" s="1293"/>
      <c r="H101" s="1293"/>
      <c r="I101" s="1293"/>
      <c r="J101" s="1293"/>
      <c r="K101" s="1293"/>
      <c r="L101" s="1293"/>
      <c r="M101" s="1293"/>
      <c r="N101" s="1293"/>
      <c r="O101" s="1293"/>
      <c r="P101" s="1293"/>
      <c r="Q101" s="1293"/>
      <c r="R101" s="1293"/>
      <c r="S101" s="1293"/>
      <c r="T101" s="1293"/>
      <c r="U101" s="1293"/>
      <c r="V101" s="1293"/>
      <c r="W101" s="1293"/>
      <c r="X101" s="1293"/>
      <c r="Y101" s="1293"/>
      <c r="Z101" s="1293"/>
      <c r="AA101" s="1293"/>
      <c r="AB101" s="1293"/>
      <c r="AC101" s="1293"/>
      <c r="AD101" s="180"/>
      <c r="AE101" s="180"/>
      <c r="AF101" s="180"/>
      <c r="AG101" s="180"/>
      <c r="AH101" s="180"/>
      <c r="AI101" s="180"/>
    </row>
    <row r="102" spans="2:35" ht="11.9" customHeight="1" x14ac:dyDescent="0.35">
      <c r="B102" s="209"/>
      <c r="C102" s="209"/>
      <c r="D102" s="209"/>
      <c r="E102" s="209"/>
      <c r="F102" s="209"/>
      <c r="G102" s="209"/>
      <c r="H102" s="209"/>
      <c r="I102" s="209"/>
      <c r="J102" s="209"/>
      <c r="K102" s="209"/>
      <c r="L102" s="209"/>
      <c r="M102" s="209"/>
      <c r="V102" s="195"/>
      <c r="W102" s="195"/>
      <c r="X102" s="195"/>
      <c r="Y102" s="195"/>
      <c r="Z102" s="195"/>
      <c r="AA102" s="195"/>
      <c r="AB102" s="195"/>
      <c r="AC102" s="195"/>
      <c r="AD102" s="195"/>
      <c r="AE102" s="195"/>
      <c r="AF102" s="195"/>
      <c r="AG102" s="195"/>
      <c r="AH102" s="195"/>
      <c r="AI102" s="195"/>
    </row>
    <row r="103" spans="2:35" ht="14.9" customHeight="1" x14ac:dyDescent="0.35">
      <c r="B103" s="1297" t="s">
        <v>279</v>
      </c>
      <c r="C103" s="1298"/>
      <c r="D103" s="1301" t="s">
        <v>280</v>
      </c>
      <c r="E103" s="1313"/>
      <c r="F103" s="1313"/>
      <c r="G103" s="1313"/>
      <c r="H103" s="1313"/>
      <c r="I103" s="1313"/>
      <c r="J103" s="1313"/>
      <c r="K103" s="1313"/>
      <c r="L103" s="1313"/>
      <c r="M103" s="1313"/>
      <c r="N103" s="1313"/>
      <c r="O103" s="1313"/>
      <c r="P103" s="1313"/>
      <c r="Q103" s="1313"/>
      <c r="R103" s="1313"/>
      <c r="S103" s="1313"/>
      <c r="T103" s="1313"/>
      <c r="U103" s="1314"/>
      <c r="V103" s="1300"/>
      <c r="W103" s="1326" t="s">
        <v>281</v>
      </c>
      <c r="X103" s="1327"/>
      <c r="Y103" s="1325"/>
      <c r="Z103" s="1325"/>
      <c r="AA103" s="1325"/>
      <c r="AB103" s="1325"/>
      <c r="AC103" s="1325"/>
      <c r="AD103" s="1325"/>
      <c r="AE103" s="1325"/>
      <c r="AF103" s="1325"/>
      <c r="AG103" s="1325"/>
      <c r="AH103" s="168"/>
      <c r="AI103" s="168"/>
    </row>
    <row r="104" spans="2:35" x14ac:dyDescent="0.35">
      <c r="B104" s="1299"/>
      <c r="C104" s="1300"/>
      <c r="D104" s="183">
        <v>2018</v>
      </c>
      <c r="E104" s="1278">
        <v>2019</v>
      </c>
      <c r="F104" s="1306"/>
      <c r="G104" s="1306"/>
      <c r="H104" s="1307"/>
      <c r="I104" s="1278">
        <v>2020</v>
      </c>
      <c r="J104" s="1306"/>
      <c r="K104" s="1306"/>
      <c r="L104" s="1306"/>
      <c r="M104" s="1278">
        <v>2021</v>
      </c>
      <c r="N104" s="1306"/>
      <c r="O104" s="1306"/>
      <c r="P104" s="1306"/>
      <c r="Q104" s="1278">
        <v>2022</v>
      </c>
      <c r="R104" s="1279"/>
      <c r="S104" s="1279"/>
      <c r="T104" s="1279"/>
      <c r="U104" s="201"/>
      <c r="V104" s="251">
        <v>2023</v>
      </c>
      <c r="W104" s="253"/>
      <c r="X104" s="222"/>
      <c r="Y104" s="1304">
        <v>2024</v>
      </c>
      <c r="Z104" s="1315"/>
      <c r="AA104" s="1315"/>
      <c r="AB104" s="1304"/>
      <c r="AC104" s="1303">
        <v>2025</v>
      </c>
      <c r="AD104" s="1304"/>
      <c r="AE104" s="1304"/>
      <c r="AF104" s="1305"/>
      <c r="AG104" s="297">
        <v>2026</v>
      </c>
      <c r="AH104" s="195"/>
      <c r="AI104" s="195"/>
    </row>
    <row r="105" spans="2:35" x14ac:dyDescent="0.35">
      <c r="B105" s="1299"/>
      <c r="C105" s="1300"/>
      <c r="D105" s="144" t="s">
        <v>282</v>
      </c>
      <c r="E105" s="148" t="s">
        <v>283</v>
      </c>
      <c r="F105" s="144" t="s">
        <v>284</v>
      </c>
      <c r="G105" s="144" t="s">
        <v>238</v>
      </c>
      <c r="H105" s="145" t="s">
        <v>282</v>
      </c>
      <c r="I105" s="144" t="s">
        <v>283</v>
      </c>
      <c r="J105" s="144" t="s">
        <v>284</v>
      </c>
      <c r="K105" s="144" t="s">
        <v>238</v>
      </c>
      <c r="L105" s="144" t="s">
        <v>282</v>
      </c>
      <c r="M105" s="148" t="s">
        <v>283</v>
      </c>
      <c r="N105" s="144" t="s">
        <v>284</v>
      </c>
      <c r="O105" s="144" t="s">
        <v>238</v>
      </c>
      <c r="P105" s="144" t="s">
        <v>282</v>
      </c>
      <c r="Q105" s="148" t="s">
        <v>283</v>
      </c>
      <c r="R105" s="144" t="s">
        <v>284</v>
      </c>
      <c r="S105" s="144" t="s">
        <v>238</v>
      </c>
      <c r="T105" s="144" t="s">
        <v>282</v>
      </c>
      <c r="U105" s="148" t="s">
        <v>283</v>
      </c>
      <c r="V105" s="144" t="s">
        <v>284</v>
      </c>
      <c r="W105" s="282" t="s">
        <v>238</v>
      </c>
      <c r="X105" s="393" t="s">
        <v>282</v>
      </c>
      <c r="Y105" s="282" t="s">
        <v>283</v>
      </c>
      <c r="Z105" s="290" t="s">
        <v>284</v>
      </c>
      <c r="AA105" s="282" t="s">
        <v>238</v>
      </c>
      <c r="AB105" s="282" t="s">
        <v>282</v>
      </c>
      <c r="AC105" s="394" t="s">
        <v>283</v>
      </c>
      <c r="AD105" s="290" t="s">
        <v>284</v>
      </c>
      <c r="AE105" s="282" t="s">
        <v>238</v>
      </c>
      <c r="AF105" s="393" t="s">
        <v>282</v>
      </c>
      <c r="AG105" s="300" t="s">
        <v>283</v>
      </c>
      <c r="AH105" s="195"/>
      <c r="AI105" s="195"/>
    </row>
    <row r="106" spans="2:35" ht="14.9" customHeight="1" x14ac:dyDescent="0.35">
      <c r="B106" s="390" t="s">
        <v>383</v>
      </c>
      <c r="C106" s="328" t="s">
        <v>384</v>
      </c>
      <c r="D106" s="329"/>
      <c r="E106" s="330"/>
      <c r="F106" s="330"/>
      <c r="G106" s="330"/>
      <c r="H106" s="279">
        <f>'Haver Pivoted'!GS41</f>
        <v>72.156000000000006</v>
      </c>
      <c r="I106" s="279">
        <f>'Haver Pivoted'!GT41</f>
        <v>75.245999999999995</v>
      </c>
      <c r="J106" s="279">
        <f>'Haver Pivoted'!GU41</f>
        <v>75.986000000000004</v>
      </c>
      <c r="K106" s="279">
        <f>'Haver Pivoted'!GV41</f>
        <v>79.650999999999996</v>
      </c>
      <c r="L106" s="279">
        <f>'Haver Pivoted'!GW41</f>
        <v>75.400999999999996</v>
      </c>
      <c r="M106" s="279">
        <f>'Haver Pivoted'!GX41</f>
        <v>73.034999999999997</v>
      </c>
      <c r="N106" s="279">
        <f>'Haver Pivoted'!GY41</f>
        <v>75.13</v>
      </c>
      <c r="O106" s="279">
        <f>'Haver Pivoted'!GZ41</f>
        <v>70.191999999999993</v>
      </c>
      <c r="P106" s="279">
        <f>'Haver Pivoted'!HA41</f>
        <v>72.266999999999996</v>
      </c>
      <c r="Q106" s="279">
        <f>'Haver Pivoted'!HB41</f>
        <v>74.974000000000004</v>
      </c>
      <c r="R106" s="279">
        <f t="shared" ref="R106:S106" si="37">AVERAGE($H$106:$N$106)</f>
        <v>75.229285714285723</v>
      </c>
      <c r="S106" s="279">
        <f t="shared" si="37"/>
        <v>75.229285714285723</v>
      </c>
      <c r="T106" s="279">
        <f t="shared" ref="T106:AC106" si="38">AVERAGE($H$106:$N$106)+T107</f>
        <v>76.048285714285726</v>
      </c>
      <c r="U106" s="279">
        <f t="shared" si="38"/>
        <v>76.048285714285726</v>
      </c>
      <c r="V106" s="279">
        <f t="shared" si="38"/>
        <v>76.048285714285726</v>
      </c>
      <c r="W106" s="279">
        <f t="shared" si="38"/>
        <v>76.048285714285726</v>
      </c>
      <c r="X106" s="320">
        <f t="shared" si="38"/>
        <v>77.707285714285717</v>
      </c>
      <c r="Y106" s="320">
        <f t="shared" si="38"/>
        <v>77.707285714285717</v>
      </c>
      <c r="Z106" s="320">
        <f t="shared" si="38"/>
        <v>77.707285714285717</v>
      </c>
      <c r="AA106" s="320">
        <f t="shared" si="38"/>
        <v>77.707285714285717</v>
      </c>
      <c r="AB106" s="320">
        <f t="shared" si="38"/>
        <v>79.301285714285726</v>
      </c>
      <c r="AC106" s="320">
        <f t="shared" si="38"/>
        <v>79.301285714285726</v>
      </c>
      <c r="AD106" s="320">
        <f>AVERAGE($H$106:$N$106)+AD107</f>
        <v>75.229285714285723</v>
      </c>
      <c r="AE106" s="320">
        <f t="shared" ref="AE106:AG106" si="39">AVERAGE($H$106:$N$106)+AE107</f>
        <v>75.229285714285723</v>
      </c>
      <c r="AF106" s="320">
        <f t="shared" si="39"/>
        <v>75.229285714285723</v>
      </c>
      <c r="AG106" s="320">
        <f t="shared" si="39"/>
        <v>75.229285714285723</v>
      </c>
      <c r="AH106" s="188"/>
      <c r="AI106" s="188"/>
    </row>
    <row r="107" spans="2:35" x14ac:dyDescent="0.35">
      <c r="B107" s="153" t="s">
        <v>1189</v>
      </c>
      <c r="C107" s="36"/>
      <c r="D107" s="153"/>
      <c r="E107" s="36"/>
      <c r="F107" s="36"/>
      <c r="G107" s="36"/>
      <c r="H107" s="36"/>
      <c r="I107" s="36"/>
      <c r="J107" s="36"/>
      <c r="K107" s="36"/>
      <c r="L107" s="36"/>
      <c r="M107" s="36"/>
      <c r="N107" s="36"/>
      <c r="O107" s="36"/>
      <c r="P107" s="36"/>
      <c r="Q107" s="36"/>
      <c r="R107" s="36"/>
      <c r="S107" s="280">
        <f>'IRA and CHIPS'!E185</f>
        <v>0</v>
      </c>
      <c r="T107" s="280">
        <f>'IRA and CHIPS'!F185</f>
        <v>0.81899999999999995</v>
      </c>
      <c r="U107" s="280">
        <f>'IRA and CHIPS'!G185</f>
        <v>0.81899999999999995</v>
      </c>
      <c r="V107" s="280">
        <f>'IRA and CHIPS'!H185</f>
        <v>0.81899999999999995</v>
      </c>
      <c r="W107" s="280">
        <f>'IRA and CHIPS'!I185</f>
        <v>0.81899999999999995</v>
      </c>
      <c r="X107" s="319">
        <f>'IRA and CHIPS'!J185</f>
        <v>2.4780000000000002</v>
      </c>
      <c r="Y107" s="319">
        <f>'IRA and CHIPS'!K185</f>
        <v>2.4780000000000002</v>
      </c>
      <c r="Z107" s="319">
        <f>'IRA and CHIPS'!L185</f>
        <v>2.4780000000000002</v>
      </c>
      <c r="AA107" s="319">
        <f>'IRA and CHIPS'!M185</f>
        <v>2.4780000000000002</v>
      </c>
      <c r="AB107" s="319">
        <f>'IRA and CHIPS'!N185</f>
        <v>4.0720000000000001</v>
      </c>
      <c r="AC107" s="319">
        <f>'IRA and CHIPS'!O185</f>
        <v>4.0720000000000001</v>
      </c>
      <c r="AD107" s="319">
        <f>'IRA and CHIPS'!T185</f>
        <v>0</v>
      </c>
      <c r="AE107" s="319">
        <v>0</v>
      </c>
      <c r="AF107" s="319">
        <v>0</v>
      </c>
      <c r="AG107" s="321">
        <v>0</v>
      </c>
    </row>
    <row r="108" spans="2:35" ht="18.75" customHeight="1" x14ac:dyDescent="0.35"/>
    <row r="109" spans="2:35" ht="21.75" customHeight="1" x14ac:dyDescent="0.35"/>
  </sheetData>
  <mergeCells count="42">
    <mergeCell ref="AH6:AH8"/>
    <mergeCell ref="AI6:AI8"/>
    <mergeCell ref="E7:H7"/>
    <mergeCell ref="Y7:AB7"/>
    <mergeCell ref="B2:AC4"/>
    <mergeCell ref="M7:P7"/>
    <mergeCell ref="Q7:T7"/>
    <mergeCell ref="D6:V6"/>
    <mergeCell ref="W6:AG6"/>
    <mergeCell ref="AC7:AF7"/>
    <mergeCell ref="B103:C105"/>
    <mergeCell ref="I104:L104"/>
    <mergeCell ref="E104:H104"/>
    <mergeCell ref="Y104:AB104"/>
    <mergeCell ref="B1:Y1"/>
    <mergeCell ref="B6:C8"/>
    <mergeCell ref="I7:L7"/>
    <mergeCell ref="M104:P104"/>
    <mergeCell ref="Q104:T104"/>
    <mergeCell ref="AI25:AJ25"/>
    <mergeCell ref="AI29:AJ30"/>
    <mergeCell ref="AI35:AJ35"/>
    <mergeCell ref="B24:AC24"/>
    <mergeCell ref="Q73:R73"/>
    <mergeCell ref="Q48:AL48"/>
    <mergeCell ref="Q49:S49"/>
    <mergeCell ref="T49:Y49"/>
    <mergeCell ref="AH49:AK49"/>
    <mergeCell ref="A66:A67"/>
    <mergeCell ref="B101:AC101"/>
    <mergeCell ref="Y73:AB73"/>
    <mergeCell ref="B72:C74"/>
    <mergeCell ref="I73:L73"/>
    <mergeCell ref="B100:Y100"/>
    <mergeCell ref="E73:H73"/>
    <mergeCell ref="M73:P73"/>
    <mergeCell ref="AC73:AF73"/>
    <mergeCell ref="AC104:AF104"/>
    <mergeCell ref="D72:V72"/>
    <mergeCell ref="W72:AG72"/>
    <mergeCell ref="W103:AG103"/>
    <mergeCell ref="D103:V103"/>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BJ60"/>
  <sheetViews>
    <sheetView zoomScale="110" zoomScaleNormal="110" workbookViewId="0">
      <pane xSplit="2" ySplit="8" topLeftCell="O42" activePane="bottomRight" state="frozen"/>
      <selection pane="topRight" activeCell="C1" sqref="C1"/>
      <selection pane="bottomLeft" activeCell="A9" sqref="A9"/>
      <selection pane="bottomRight" activeCell="V49" sqref="V49"/>
    </sheetView>
  </sheetViews>
  <sheetFormatPr defaultColWidth="10.9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7" max="37" width="14.1796875" customWidth="1"/>
    <col min="43" max="43" width="31.81640625" customWidth="1"/>
    <col min="45" max="45" width="10.1796875" customWidth="1"/>
  </cols>
  <sheetData>
    <row r="1" spans="2:43" ht="20.25" customHeight="1" x14ac:dyDescent="0.35">
      <c r="B1" s="1292" t="s">
        <v>385</v>
      </c>
      <c r="C1" s="1292"/>
      <c r="D1" s="1292"/>
      <c r="E1" s="1292"/>
      <c r="F1" s="1292"/>
      <c r="G1" s="1292"/>
      <c r="H1" s="1292"/>
      <c r="I1" s="1292"/>
      <c r="J1" s="1292"/>
      <c r="K1" s="1292"/>
      <c r="L1" s="1292"/>
      <c r="M1" s="1292"/>
      <c r="N1" s="1292"/>
      <c r="O1" s="1292"/>
      <c r="P1" s="1292"/>
      <c r="Q1" s="1292"/>
      <c r="R1" s="1292"/>
      <c r="S1" s="1292"/>
      <c r="T1" s="1292"/>
      <c r="U1" s="1292"/>
      <c r="V1" s="1292"/>
      <c r="W1" s="1292"/>
      <c r="X1" s="1292"/>
      <c r="Y1" s="1292"/>
      <c r="Z1" s="1292"/>
      <c r="AA1" s="1292"/>
      <c r="AB1" s="1292"/>
      <c r="AC1" s="1292"/>
      <c r="AD1" s="179"/>
      <c r="AE1" s="179"/>
      <c r="AF1" s="179"/>
      <c r="AG1" s="179"/>
    </row>
    <row r="2" spans="2:43" ht="14.25" customHeight="1" x14ac:dyDescent="0.35">
      <c r="B2" s="1330" t="s">
        <v>386</v>
      </c>
      <c r="C2" s="1330"/>
      <c r="D2" s="1330"/>
      <c r="E2" s="1330"/>
      <c r="F2" s="1330"/>
      <c r="G2" s="1330"/>
      <c r="H2" s="1330"/>
      <c r="I2" s="1330"/>
      <c r="J2" s="1330"/>
      <c r="K2" s="1330"/>
      <c r="L2" s="1330"/>
      <c r="M2" s="1330"/>
      <c r="N2" s="1330"/>
      <c r="O2" s="1330"/>
      <c r="P2" s="1330"/>
      <c r="Q2" s="1330"/>
      <c r="R2" s="1330"/>
      <c r="S2" s="1330"/>
      <c r="T2" s="1330"/>
      <c r="U2" s="1330"/>
      <c r="V2" s="1330"/>
      <c r="W2" s="1330"/>
      <c r="X2" s="1330"/>
      <c r="Y2" s="1330"/>
      <c r="Z2" s="1330"/>
      <c r="AA2" s="1330"/>
      <c r="AB2" s="1330"/>
      <c r="AC2" s="1330"/>
      <c r="AD2" s="209"/>
      <c r="AE2" s="209"/>
      <c r="AF2" s="209"/>
      <c r="AG2" s="209"/>
    </row>
    <row r="3" spans="2:43" ht="9" customHeight="1" x14ac:dyDescent="0.35">
      <c r="B3" s="1330"/>
      <c r="C3" s="1330"/>
      <c r="D3" s="1330"/>
      <c r="E3" s="1330"/>
      <c r="F3" s="1330"/>
      <c r="G3" s="1330"/>
      <c r="H3" s="1330"/>
      <c r="I3" s="1330"/>
      <c r="J3" s="1330"/>
      <c r="K3" s="1330"/>
      <c r="L3" s="1330"/>
      <c r="M3" s="1330"/>
      <c r="N3" s="1330"/>
      <c r="O3" s="1330"/>
      <c r="P3" s="1330"/>
      <c r="Q3" s="1330"/>
      <c r="R3" s="1330"/>
      <c r="S3" s="1330"/>
      <c r="T3" s="1330"/>
      <c r="U3" s="1330"/>
      <c r="V3" s="1330"/>
      <c r="W3" s="1330"/>
      <c r="X3" s="1330"/>
      <c r="Y3" s="1330"/>
      <c r="Z3" s="1330"/>
      <c r="AA3" s="1330"/>
      <c r="AB3" s="1330"/>
      <c r="AC3" s="1330"/>
      <c r="AD3" s="209"/>
      <c r="AE3" s="209"/>
      <c r="AF3" s="209"/>
      <c r="AG3" s="209"/>
    </row>
    <row r="4" spans="2:43" ht="27" customHeight="1" x14ac:dyDescent="0.35">
      <c r="B4" s="1330"/>
      <c r="C4" s="1330"/>
      <c r="D4" s="1330"/>
      <c r="E4" s="1330"/>
      <c r="F4" s="1330"/>
      <c r="G4" s="1330"/>
      <c r="H4" s="1330"/>
      <c r="I4" s="1330"/>
      <c r="J4" s="1330"/>
      <c r="K4" s="1330"/>
      <c r="L4" s="1330"/>
      <c r="M4" s="1330"/>
      <c r="N4" s="1330"/>
      <c r="O4" s="1330"/>
      <c r="P4" s="1330"/>
      <c r="Q4" s="1330"/>
      <c r="R4" s="1330"/>
      <c r="S4" s="1330"/>
      <c r="T4" s="1330"/>
      <c r="U4" s="1330"/>
      <c r="V4" s="1330"/>
      <c r="W4" s="1330"/>
      <c r="X4" s="1330"/>
      <c r="Y4" s="1330"/>
      <c r="Z4" s="1330"/>
      <c r="AA4" s="1330"/>
      <c r="AB4" s="1330"/>
      <c r="AC4" s="1330"/>
      <c r="AD4" s="209"/>
      <c r="AE4" s="209"/>
      <c r="AF4" s="209"/>
      <c r="AG4" s="209"/>
      <c r="AI4" s="451"/>
      <c r="AJ4" s="451"/>
      <c r="AK4" s="451"/>
      <c r="AL4" s="451"/>
      <c r="AM4" s="451"/>
      <c r="AN4" s="451"/>
      <c r="AO4" s="451"/>
      <c r="AP4" s="451"/>
      <c r="AQ4" s="451"/>
    </row>
    <row r="5" spans="2:43" x14ac:dyDescent="0.35">
      <c r="B5" s="245"/>
      <c r="AC5" s="186"/>
      <c r="AD5" s="186"/>
      <c r="AE5" s="186"/>
      <c r="AF5" s="186"/>
      <c r="AG5" s="186"/>
      <c r="AH5" s="186"/>
      <c r="AI5" s="186"/>
      <c r="AJ5" s="186"/>
    </row>
    <row r="6" spans="2:43" ht="14.9" customHeight="1" x14ac:dyDescent="0.35">
      <c r="B6" s="1345" t="s">
        <v>279</v>
      </c>
      <c r="C6" s="1346"/>
      <c r="D6" s="1353" t="s">
        <v>280</v>
      </c>
      <c r="E6" s="1354"/>
      <c r="F6" s="1354"/>
      <c r="G6" s="1354"/>
      <c r="H6" s="1354"/>
      <c r="I6" s="1354"/>
      <c r="J6" s="1354"/>
      <c r="K6" s="1354"/>
      <c r="L6" s="1354"/>
      <c r="M6" s="1354"/>
      <c r="N6" s="1354"/>
      <c r="O6" s="1354"/>
      <c r="P6" s="1354"/>
      <c r="Q6" s="1354"/>
      <c r="R6" s="1354"/>
      <c r="S6" s="1354"/>
      <c r="T6" s="1354"/>
      <c r="U6" s="1355"/>
      <c r="V6" s="1348"/>
      <c r="W6" s="1326" t="s">
        <v>281</v>
      </c>
      <c r="X6" s="1327"/>
      <c r="Y6" s="1325"/>
      <c r="Z6" s="1325"/>
      <c r="AA6" s="1325"/>
      <c r="AB6" s="1325"/>
      <c r="AC6" s="1325"/>
      <c r="AD6" s="1325"/>
      <c r="AE6" s="1325"/>
      <c r="AF6" s="1325"/>
      <c r="AG6" s="1325"/>
    </row>
    <row r="7" spans="2:43" ht="14.9" customHeight="1" x14ac:dyDescent="0.35">
      <c r="B7" s="1347"/>
      <c r="C7" s="1348"/>
      <c r="D7" s="395">
        <v>2018</v>
      </c>
      <c r="E7" s="1349">
        <v>2019</v>
      </c>
      <c r="F7" s="1350"/>
      <c r="G7" s="1350"/>
      <c r="H7" s="1351"/>
      <c r="I7" s="1349">
        <v>2020</v>
      </c>
      <c r="J7" s="1350"/>
      <c r="K7" s="1350"/>
      <c r="L7" s="1350"/>
      <c r="M7" s="1349">
        <v>2021</v>
      </c>
      <c r="N7" s="1350"/>
      <c r="O7" s="1350"/>
      <c r="P7" s="1350"/>
      <c r="Q7" s="1349">
        <v>2022</v>
      </c>
      <c r="R7" s="1352"/>
      <c r="S7" s="1352"/>
      <c r="T7" s="1352"/>
      <c r="U7" s="201"/>
      <c r="V7" s="251">
        <v>2023</v>
      </c>
      <c r="W7" s="253"/>
      <c r="X7" s="222"/>
      <c r="Y7" s="1304">
        <v>2024</v>
      </c>
      <c r="Z7" s="1315"/>
      <c r="AA7" s="1315"/>
      <c r="AB7" s="1305"/>
      <c r="AC7" s="1303">
        <v>2025</v>
      </c>
      <c r="AD7" s="1304"/>
      <c r="AE7" s="1304"/>
      <c r="AF7" s="1304"/>
      <c r="AG7" s="213">
        <v>2026</v>
      </c>
    </row>
    <row r="8" spans="2:43" x14ac:dyDescent="0.35">
      <c r="B8" s="1347"/>
      <c r="C8" s="1348"/>
      <c r="D8" s="437" t="s">
        <v>282</v>
      </c>
      <c r="E8" s="437" t="s">
        <v>283</v>
      </c>
      <c r="F8" s="421" t="s">
        <v>284</v>
      </c>
      <c r="G8" s="421" t="s">
        <v>238</v>
      </c>
      <c r="H8" s="438" t="s">
        <v>282</v>
      </c>
      <c r="I8" s="421" t="s">
        <v>283</v>
      </c>
      <c r="J8" s="421" t="s">
        <v>284</v>
      </c>
      <c r="K8" s="421" t="s">
        <v>238</v>
      </c>
      <c r="L8" s="421" t="s">
        <v>282</v>
      </c>
      <c r="M8" s="437" t="s">
        <v>283</v>
      </c>
      <c r="N8" s="421" t="s">
        <v>284</v>
      </c>
      <c r="O8" s="421" t="s">
        <v>238</v>
      </c>
      <c r="P8" s="421" t="s">
        <v>282</v>
      </c>
      <c r="Q8" s="437" t="s">
        <v>283</v>
      </c>
      <c r="R8" s="421" t="s">
        <v>284</v>
      </c>
      <c r="S8" s="421" t="s">
        <v>238</v>
      </c>
      <c r="T8" s="421" t="s">
        <v>282</v>
      </c>
      <c r="U8" s="148" t="s">
        <v>283</v>
      </c>
      <c r="V8" s="144" t="s">
        <v>284</v>
      </c>
      <c r="W8" s="282" t="s">
        <v>238</v>
      </c>
      <c r="X8" s="393" t="s">
        <v>282</v>
      </c>
      <c r="Y8" s="232" t="s">
        <v>283</v>
      </c>
      <c r="Z8" s="229" t="s">
        <v>284</v>
      </c>
      <c r="AA8" s="232" t="s">
        <v>238</v>
      </c>
      <c r="AB8" s="232" t="s">
        <v>282</v>
      </c>
      <c r="AC8" s="394" t="s">
        <v>283</v>
      </c>
      <c r="AD8" s="290" t="s">
        <v>284</v>
      </c>
      <c r="AE8" s="232" t="s">
        <v>238</v>
      </c>
      <c r="AF8" s="232" t="s">
        <v>282</v>
      </c>
      <c r="AG8" s="234" t="s">
        <v>283</v>
      </c>
    </row>
    <row r="9" spans="2:43" ht="18" customHeight="1" x14ac:dyDescent="0.35">
      <c r="B9" s="430" t="s">
        <v>1906</v>
      </c>
      <c r="C9" s="431"/>
      <c r="D9" s="432"/>
      <c r="E9" s="432"/>
      <c r="F9" s="432"/>
      <c r="G9" s="432"/>
      <c r="H9" s="432"/>
      <c r="I9" s="432"/>
      <c r="J9" s="432"/>
      <c r="K9" s="432"/>
      <c r="L9" s="432"/>
      <c r="M9" s="432"/>
      <c r="N9" s="432"/>
      <c r="O9" s="432"/>
      <c r="P9" s="432"/>
      <c r="Q9" s="411">
        <v>1613.1</v>
      </c>
      <c r="R9" s="411">
        <v>1622.7</v>
      </c>
      <c r="S9" s="411">
        <v>1657.1</v>
      </c>
      <c r="T9" s="411">
        <v>1693.8</v>
      </c>
      <c r="U9" s="411">
        <v>1739.9</v>
      </c>
      <c r="V9" s="411">
        <v>1748.3</v>
      </c>
      <c r="W9" s="411">
        <v>1760.1</v>
      </c>
      <c r="X9" s="413">
        <v>1773.6</v>
      </c>
      <c r="Y9" s="413">
        <v>1785.5</v>
      </c>
      <c r="Z9" s="413">
        <v>1803.2</v>
      </c>
      <c r="AA9" s="413">
        <v>1817.2</v>
      </c>
      <c r="AB9" s="413">
        <v>1829.8</v>
      </c>
      <c r="AC9" s="413">
        <v>1841.3</v>
      </c>
      <c r="AD9" s="413">
        <v>1853.9</v>
      </c>
      <c r="AE9" s="413">
        <v>1867.1</v>
      </c>
      <c r="AF9" s="413">
        <v>1881.5</v>
      </c>
      <c r="AG9" s="416"/>
    </row>
    <row r="10" spans="2:43" ht="17.25" customHeight="1" x14ac:dyDescent="0.35">
      <c r="B10" s="436" t="s">
        <v>1907</v>
      </c>
      <c r="C10" s="427"/>
      <c r="D10" s="427"/>
      <c r="E10" s="427"/>
      <c r="F10" s="427"/>
      <c r="G10" s="427"/>
      <c r="H10" s="428"/>
      <c r="I10" s="428"/>
      <c r="J10" s="428"/>
      <c r="K10" s="428"/>
      <c r="L10" s="428"/>
      <c r="M10" s="428"/>
      <c r="N10" s="428"/>
      <c r="O10" s="428"/>
      <c r="P10" s="428"/>
      <c r="Q10" s="186">
        <v>8.6999999999999994E-2</v>
      </c>
      <c r="R10" s="186">
        <v>2.3969999999999998</v>
      </c>
      <c r="S10" s="186">
        <v>8.7430000000000003</v>
      </c>
      <c r="T10" s="186">
        <v>9.1549999999999994</v>
      </c>
      <c r="U10" s="186">
        <v>11.35</v>
      </c>
      <c r="V10" s="186">
        <v>1.9379999999999999</v>
      </c>
      <c r="W10" s="186">
        <v>2.72</v>
      </c>
      <c r="X10" s="199">
        <v>3.1190000000000002</v>
      </c>
      <c r="Y10" s="199">
        <v>2.7029999999999998</v>
      </c>
      <c r="Z10" s="199">
        <v>4.0229999999999997</v>
      </c>
      <c r="AA10" s="199">
        <v>3.1320000000000001</v>
      </c>
      <c r="AB10" s="199">
        <v>2.8050000000000002</v>
      </c>
      <c r="AC10" s="199">
        <v>2.5409999999999999</v>
      </c>
      <c r="AD10" s="199">
        <v>2.8</v>
      </c>
      <c r="AE10" s="199">
        <v>2.8650000000000002</v>
      </c>
      <c r="AF10" s="199">
        <v>3.1269999999999998</v>
      </c>
      <c r="AG10" s="417"/>
    </row>
    <row r="11" spans="2:43" ht="17.25" customHeight="1" x14ac:dyDescent="0.35">
      <c r="B11" s="442" t="s">
        <v>195</v>
      </c>
      <c r="C11" s="427" t="s">
        <v>913</v>
      </c>
      <c r="D11" s="427"/>
      <c r="E11" s="427"/>
      <c r="F11" s="427"/>
      <c r="G11" s="427"/>
      <c r="H11" s="412">
        <f>'Haver Pivoted'!GS23</f>
        <v>1442</v>
      </c>
      <c r="I11" s="412">
        <f>'Haver Pivoted'!GT23</f>
        <v>1464.7</v>
      </c>
      <c r="J11" s="412">
        <f>'Haver Pivoted'!GU23</f>
        <v>1569.8</v>
      </c>
      <c r="K11" s="412">
        <f>'Haver Pivoted'!GV23</f>
        <v>1527.7</v>
      </c>
      <c r="L11" s="412">
        <f>'Haver Pivoted'!GW23</f>
        <v>1531.4</v>
      </c>
      <c r="M11" s="412">
        <f>'Haver Pivoted'!GX23</f>
        <v>1609.9</v>
      </c>
      <c r="N11" s="412">
        <f>'Haver Pivoted'!GY23</f>
        <v>1588.5</v>
      </c>
      <c r="O11" s="412">
        <f>'Haver Pivoted'!GZ23</f>
        <v>1576.4</v>
      </c>
      <c r="P11" s="412">
        <f>'Haver Pivoted'!HA23</f>
        <v>1602.5</v>
      </c>
      <c r="Q11" s="412">
        <f>'Haver Pivoted'!HB23</f>
        <v>1601.7</v>
      </c>
      <c r="R11" s="412">
        <f>'Haver Pivoted'!HC23</f>
        <v>1612.3</v>
      </c>
      <c r="S11" s="429">
        <f>'Haver Pivoted'!HD23</f>
        <v>1636.3</v>
      </c>
      <c r="T11" s="429">
        <f>'Haver Pivoted'!HE23</f>
        <v>1691.8</v>
      </c>
      <c r="U11" s="429">
        <f>'Haver Pivoted'!HF23</f>
        <v>1730.6</v>
      </c>
      <c r="V11" s="429">
        <f>'Haver Pivoted'!HG23</f>
        <v>1744.3</v>
      </c>
      <c r="W11" s="429">
        <f>'Haver Pivoted'!HH23</f>
        <v>1791.9</v>
      </c>
      <c r="X11" s="429">
        <f>'Haver Pivoted'!HI23</f>
        <v>1819.8</v>
      </c>
      <c r="Y11" s="419">
        <f t="shared" ref="Y11:AG11" si="0">(1+(Y10/100))^(1/4)*X11</f>
        <v>1831.974579604909</v>
      </c>
      <c r="Z11" s="419">
        <f t="shared" si="0"/>
        <v>1850.1280465220755</v>
      </c>
      <c r="AA11" s="419">
        <f t="shared" si="0"/>
        <v>1864.4474482834958</v>
      </c>
      <c r="AB11" s="419">
        <f t="shared" si="0"/>
        <v>1877.3865670518567</v>
      </c>
      <c r="AC11" s="419">
        <f t="shared" si="0"/>
        <v>1889.2006799756271</v>
      </c>
      <c r="AD11" s="419">
        <f t="shared" si="0"/>
        <v>1902.2884537091418</v>
      </c>
      <c r="AE11" s="419">
        <f t="shared" si="0"/>
        <v>1915.7696089356652</v>
      </c>
      <c r="AF11" s="419">
        <f t="shared" si="0"/>
        <v>1930.5736554679283</v>
      </c>
      <c r="AG11" s="419">
        <f t="shared" si="0"/>
        <v>1930.5736554679283</v>
      </c>
    </row>
    <row r="12" spans="2:43" x14ac:dyDescent="0.35">
      <c r="B12" s="439" t="s">
        <v>387</v>
      </c>
      <c r="C12" s="440"/>
      <c r="D12" s="440"/>
      <c r="E12" s="440"/>
      <c r="F12" s="440"/>
      <c r="G12" s="440"/>
      <c r="H12" s="409">
        <f t="shared" ref="H12:AB12" si="1">H11+H50</f>
        <v>1720.9849999999999</v>
      </c>
      <c r="I12" s="409">
        <f t="shared" si="1"/>
        <v>1754.057</v>
      </c>
      <c r="J12" s="409">
        <f t="shared" si="1"/>
        <v>1966.0359999999998</v>
      </c>
      <c r="K12" s="409">
        <f t="shared" si="1"/>
        <v>1905.4850000000001</v>
      </c>
      <c r="L12" s="409">
        <f t="shared" si="1"/>
        <v>1896.345</v>
      </c>
      <c r="M12" s="409">
        <f t="shared" si="1"/>
        <v>2003.2760000000001</v>
      </c>
      <c r="N12" s="409">
        <f t="shared" si="1"/>
        <v>2017.9880000000003</v>
      </c>
      <c r="O12" s="409">
        <f t="shared" si="1"/>
        <v>2022.1680000000001</v>
      </c>
      <c r="P12" s="409">
        <f t="shared" si="1"/>
        <v>2070.8738520000002</v>
      </c>
      <c r="Q12" s="409">
        <f t="shared" si="1"/>
        <v>2110.3372748000002</v>
      </c>
      <c r="R12" s="409">
        <f t="shared" si="1"/>
        <v>2188.4153177142857</v>
      </c>
      <c r="S12" s="409">
        <f t="shared" si="1"/>
        <v>2198.4051537142859</v>
      </c>
      <c r="T12" s="409">
        <f t="shared" si="1"/>
        <v>2213.3022137142857</v>
      </c>
      <c r="U12" s="410">
        <f t="shared" si="1"/>
        <v>2246.2598289142857</v>
      </c>
      <c r="V12" s="410">
        <f t="shared" si="1"/>
        <v>2249.5060057142855</v>
      </c>
      <c r="W12" s="410">
        <f t="shared" si="1"/>
        <v>2283.567229714286</v>
      </c>
      <c r="X12" s="418">
        <f t="shared" si="1"/>
        <v>2294.4442297142859</v>
      </c>
      <c r="Y12" s="441">
        <f t="shared" si="1"/>
        <v>2303.8193236871166</v>
      </c>
      <c r="Z12" s="441">
        <f t="shared" si="1"/>
        <v>2301.6997605650158</v>
      </c>
      <c r="AA12" s="441">
        <f t="shared" si="1"/>
        <v>2320.0641861221848</v>
      </c>
      <c r="AB12" s="441">
        <f t="shared" si="1"/>
        <v>2338.9291384661424</v>
      </c>
      <c r="AC12" s="418">
        <f>AC11+AC50</f>
        <v>2333.4890029125513</v>
      </c>
      <c r="AD12" s="418"/>
      <c r="AE12" s="418"/>
      <c r="AF12" s="418"/>
      <c r="AG12" s="418"/>
      <c r="AH12" s="202" t="s">
        <v>388</v>
      </c>
    </row>
    <row r="13" spans="2:43" ht="15.75" customHeight="1" x14ac:dyDescent="0.35">
      <c r="B13" s="211"/>
      <c r="C13" s="211"/>
      <c r="D13" s="211"/>
      <c r="E13" s="211"/>
      <c r="F13" s="211"/>
      <c r="G13" s="211"/>
      <c r="H13" s="191"/>
      <c r="I13" s="191"/>
      <c r="J13" s="191"/>
      <c r="K13" s="191"/>
      <c r="L13" s="191"/>
      <c r="M13" s="191"/>
      <c r="N13" s="191"/>
      <c r="O13" s="191"/>
      <c r="AC13" s="35"/>
      <c r="AD13" s="35"/>
      <c r="AH13" s="202"/>
    </row>
    <row r="14" spans="2:43" x14ac:dyDescent="0.35">
      <c r="B14" s="211"/>
      <c r="C14" s="211"/>
      <c r="D14" s="211"/>
      <c r="E14" s="211"/>
      <c r="F14" s="211"/>
      <c r="G14" s="211"/>
      <c r="H14" s="191"/>
      <c r="I14" s="191"/>
      <c r="J14" s="191"/>
      <c r="K14" s="191"/>
      <c r="L14" s="191"/>
      <c r="M14" s="191"/>
      <c r="N14" s="191"/>
      <c r="O14" s="191"/>
      <c r="P14" s="448"/>
      <c r="Q14" s="448"/>
      <c r="R14" s="448"/>
      <c r="S14" s="448"/>
      <c r="T14" s="448"/>
      <c r="U14" s="448"/>
      <c r="V14" s="448"/>
      <c r="W14" s="448"/>
      <c r="X14" s="448"/>
      <c r="Y14" s="448"/>
      <c r="Z14" s="448"/>
      <c r="AA14" s="448"/>
      <c r="AB14" s="448"/>
      <c r="AC14" s="448"/>
      <c r="AD14" s="448"/>
      <c r="AE14" s="448"/>
      <c r="AF14" s="448"/>
      <c r="AG14" s="448"/>
    </row>
    <row r="15" spans="2:43" ht="21.75" customHeight="1" x14ac:dyDescent="0.35">
      <c r="B15" s="1292" t="s">
        <v>165</v>
      </c>
      <c r="C15" s="1292"/>
      <c r="D15" s="1292"/>
      <c r="E15" s="1292"/>
      <c r="F15" s="1292"/>
      <c r="G15" s="1292"/>
      <c r="H15" s="1292"/>
      <c r="I15" s="1292"/>
      <c r="J15" s="1292"/>
      <c r="K15" s="1292"/>
      <c r="L15" s="1292"/>
      <c r="M15" s="1292"/>
      <c r="N15" s="1292"/>
      <c r="O15" s="1292"/>
      <c r="P15" s="1292"/>
      <c r="Q15" s="1292"/>
      <c r="R15" s="1292"/>
      <c r="S15" s="1292"/>
      <c r="T15" s="1292"/>
      <c r="U15" s="1292"/>
      <c r="V15" s="1292"/>
      <c r="W15" s="1292"/>
      <c r="X15" s="1292"/>
      <c r="Y15" s="1292"/>
      <c r="Z15" s="1292"/>
      <c r="AA15" s="1292"/>
      <c r="AB15" s="1292"/>
      <c r="AC15" s="1292"/>
      <c r="AD15" s="179"/>
      <c r="AE15" s="179"/>
      <c r="AF15" s="179"/>
      <c r="AG15" s="179"/>
      <c r="AI15" s="73"/>
    </row>
    <row r="16" spans="2:43" ht="14.25" customHeight="1" x14ac:dyDescent="0.35">
      <c r="B16" s="1293" t="s">
        <v>389</v>
      </c>
      <c r="C16" s="1293"/>
      <c r="D16" s="1293"/>
      <c r="E16" s="1293"/>
      <c r="F16" s="1293"/>
      <c r="G16" s="1293"/>
      <c r="H16" s="1293"/>
      <c r="I16" s="1293"/>
      <c r="J16" s="1293"/>
      <c r="K16" s="1293"/>
      <c r="L16" s="1293"/>
      <c r="M16" s="1293"/>
      <c r="N16" s="1293"/>
      <c r="O16" s="1293"/>
      <c r="P16" s="1293"/>
      <c r="Q16" s="1293"/>
      <c r="R16" s="1293"/>
      <c r="S16" s="1293"/>
      <c r="T16" s="1293"/>
      <c r="U16" s="1293"/>
      <c r="V16" s="1293"/>
      <c r="W16" s="1293"/>
      <c r="X16" s="1293"/>
      <c r="Y16" s="1293"/>
      <c r="Z16" s="1293"/>
      <c r="AA16" s="1293"/>
      <c r="AB16" s="1293"/>
      <c r="AC16" s="1293"/>
      <c r="AD16" s="180"/>
      <c r="AE16" s="180"/>
      <c r="AF16" s="180"/>
      <c r="AG16" s="180"/>
      <c r="AI16" s="73"/>
    </row>
    <row r="17" spans="2:40" x14ac:dyDescent="0.35">
      <c r="B17" s="1293"/>
      <c r="C17" s="1293"/>
      <c r="D17" s="1293"/>
      <c r="E17" s="1293"/>
      <c r="F17" s="1293"/>
      <c r="G17" s="1293"/>
      <c r="H17" s="1293"/>
      <c r="I17" s="1293"/>
      <c r="J17" s="1293"/>
      <c r="K17" s="1293"/>
      <c r="L17" s="1293"/>
      <c r="M17" s="1293"/>
      <c r="N17" s="1293"/>
      <c r="O17" s="1293"/>
      <c r="P17" s="1293"/>
      <c r="Q17" s="1293"/>
      <c r="R17" s="1293"/>
      <c r="S17" s="1293"/>
      <c r="T17" s="1293"/>
      <c r="U17" s="1293"/>
      <c r="V17" s="1293"/>
      <c r="W17" s="1293"/>
      <c r="X17" s="1293"/>
      <c r="Y17" s="1293"/>
      <c r="Z17" s="1293"/>
      <c r="AA17" s="1293"/>
      <c r="AB17" s="1293"/>
      <c r="AC17" s="1293"/>
      <c r="AD17" s="180"/>
      <c r="AE17" s="180"/>
      <c r="AF17" s="180"/>
      <c r="AG17" s="180"/>
    </row>
    <row r="18" spans="2:40" x14ac:dyDescent="0.35">
      <c r="B18" s="1293"/>
      <c r="C18" s="1293"/>
      <c r="D18" s="1293"/>
      <c r="E18" s="1293"/>
      <c r="F18" s="1293"/>
      <c r="G18" s="1293"/>
      <c r="H18" s="1293"/>
      <c r="I18" s="1293"/>
      <c r="J18" s="1293"/>
      <c r="K18" s="1293"/>
      <c r="L18" s="1293"/>
      <c r="M18" s="1293"/>
      <c r="N18" s="1293"/>
      <c r="O18" s="1293"/>
      <c r="P18" s="1293"/>
      <c r="Q18" s="1293"/>
      <c r="R18" s="1293"/>
      <c r="S18" s="1293"/>
      <c r="T18" s="1293"/>
      <c r="U18" s="1293"/>
      <c r="V18" s="1293"/>
      <c r="W18" s="1293"/>
      <c r="X18" s="1293"/>
      <c r="Y18" s="1293"/>
      <c r="Z18" s="1293"/>
      <c r="AA18" s="1293"/>
      <c r="AB18" s="1293"/>
      <c r="AC18" s="1293"/>
      <c r="AD18" s="180"/>
      <c r="AE18" s="180"/>
      <c r="AF18" s="180"/>
      <c r="AG18" s="180"/>
    </row>
    <row r="20" spans="2:40" x14ac:dyDescent="0.35">
      <c r="B20" s="1297" t="s">
        <v>279</v>
      </c>
      <c r="C20" s="1298"/>
      <c r="D20" s="1299" t="s">
        <v>280</v>
      </c>
      <c r="E20" s="1314"/>
      <c r="F20" s="1314"/>
      <c r="G20" s="1314"/>
      <c r="H20" s="1314"/>
      <c r="I20" s="1314"/>
      <c r="J20" s="1314"/>
      <c r="K20" s="1314"/>
      <c r="L20" s="1314"/>
      <c r="M20" s="1314"/>
      <c r="N20" s="1314"/>
      <c r="O20" s="1314"/>
      <c r="P20" s="1314"/>
      <c r="Q20" s="1314"/>
      <c r="R20" s="1314"/>
      <c r="S20" s="1314"/>
      <c r="T20" s="1314"/>
      <c r="U20" s="1314"/>
      <c r="V20" s="1314"/>
      <c r="W20" s="1327" t="s">
        <v>281</v>
      </c>
      <c r="X20" s="1327"/>
      <c r="Y20" s="1327"/>
      <c r="Z20" s="1327"/>
      <c r="AA20" s="1327"/>
      <c r="AB20" s="1327"/>
      <c r="AC20" s="1327"/>
      <c r="AD20" s="1327"/>
      <c r="AE20" s="1327"/>
      <c r="AF20" s="1327"/>
      <c r="AG20" s="1327"/>
    </row>
    <row r="21" spans="2:40" x14ac:dyDescent="0.35">
      <c r="B21" s="1299"/>
      <c r="C21" s="1300"/>
      <c r="D21" s="142">
        <v>2018</v>
      </c>
      <c r="E21" s="1278">
        <v>2019</v>
      </c>
      <c r="F21" s="1279"/>
      <c r="G21" s="1279"/>
      <c r="H21" s="1307"/>
      <c r="I21" s="1278">
        <v>2020</v>
      </c>
      <c r="J21" s="1279"/>
      <c r="K21" s="1279"/>
      <c r="L21" s="1279"/>
      <c r="M21" s="1278">
        <v>2021</v>
      </c>
      <c r="N21" s="1279"/>
      <c r="O21" s="1279"/>
      <c r="P21" s="1279"/>
      <c r="Q21" s="1278">
        <v>2022</v>
      </c>
      <c r="R21" s="1279"/>
      <c r="S21" s="1279"/>
      <c r="T21" s="1307"/>
      <c r="U21" s="201"/>
      <c r="V21" s="251">
        <v>2023</v>
      </c>
      <c r="W21" s="253"/>
      <c r="X21" s="222"/>
      <c r="Y21" s="1303">
        <v>2024</v>
      </c>
      <c r="Z21" s="1304"/>
      <c r="AA21" s="1304"/>
      <c r="AB21" s="1305"/>
      <c r="AC21" s="1303">
        <v>2025</v>
      </c>
      <c r="AD21" s="1304"/>
      <c r="AE21" s="1304"/>
      <c r="AF21" s="1305"/>
      <c r="AG21" s="213">
        <v>2026</v>
      </c>
    </row>
    <row r="22" spans="2:40" x14ac:dyDescent="0.35">
      <c r="B22" s="1299"/>
      <c r="C22" s="1300"/>
      <c r="D22" s="148" t="s">
        <v>282</v>
      </c>
      <c r="E22" s="148" t="s">
        <v>283</v>
      </c>
      <c r="F22" s="144" t="s">
        <v>284</v>
      </c>
      <c r="G22" s="144" t="s">
        <v>238</v>
      </c>
      <c r="H22" s="145" t="s">
        <v>282</v>
      </c>
      <c r="I22" s="144" t="s">
        <v>283</v>
      </c>
      <c r="J22" s="144" t="s">
        <v>284</v>
      </c>
      <c r="K22" s="144" t="s">
        <v>238</v>
      </c>
      <c r="L22" s="144" t="s">
        <v>282</v>
      </c>
      <c r="M22" s="148" t="s">
        <v>283</v>
      </c>
      <c r="N22" s="144" t="s">
        <v>284</v>
      </c>
      <c r="O22" s="144" t="s">
        <v>238</v>
      </c>
      <c r="P22" s="144" t="s">
        <v>282</v>
      </c>
      <c r="Q22" s="148" t="s">
        <v>283</v>
      </c>
      <c r="R22" s="144" t="s">
        <v>284</v>
      </c>
      <c r="S22" s="144" t="s">
        <v>238</v>
      </c>
      <c r="T22" s="145" t="s">
        <v>282</v>
      </c>
      <c r="U22" s="248" t="s">
        <v>283</v>
      </c>
      <c r="V22" s="249" t="s">
        <v>284</v>
      </c>
      <c r="W22" s="232" t="s">
        <v>238</v>
      </c>
      <c r="X22" s="233" t="s">
        <v>282</v>
      </c>
      <c r="Y22" s="231" t="s">
        <v>283</v>
      </c>
      <c r="Z22" s="229" t="s">
        <v>284</v>
      </c>
      <c r="AA22" s="232" t="s">
        <v>238</v>
      </c>
      <c r="AB22" s="233" t="s">
        <v>282</v>
      </c>
      <c r="AC22" s="231" t="s">
        <v>283</v>
      </c>
      <c r="AD22" s="229" t="s">
        <v>284</v>
      </c>
      <c r="AE22" s="232" t="s">
        <v>238</v>
      </c>
      <c r="AF22" s="233" t="s">
        <v>282</v>
      </c>
      <c r="AG22" s="234" t="s">
        <v>283</v>
      </c>
    </row>
    <row r="23" spans="2:40" x14ac:dyDescent="0.35">
      <c r="B23" s="452" t="s">
        <v>111</v>
      </c>
      <c r="C23" s="446" t="s">
        <v>390</v>
      </c>
      <c r="D23" s="446"/>
      <c r="E23" s="446"/>
      <c r="F23" s="446"/>
      <c r="G23" s="446"/>
      <c r="H23" s="424">
        <f>'Haver Pivoted'!GS24</f>
        <v>2423.4</v>
      </c>
      <c r="I23" s="424">
        <f>'Haver Pivoted'!GT24</f>
        <v>2478.9</v>
      </c>
      <c r="J23" s="424">
        <f>'Haver Pivoted'!GU24</f>
        <v>2451.3000000000002</v>
      </c>
      <c r="K23" s="424">
        <f>'Haver Pivoted'!GV24</f>
        <v>2468.3000000000002</v>
      </c>
      <c r="L23" s="424">
        <f>'Haver Pivoted'!GW24</f>
        <v>2486.9</v>
      </c>
      <c r="M23" s="424">
        <f>'Haver Pivoted'!GX24</f>
        <v>2533.9</v>
      </c>
      <c r="N23" s="424">
        <f>'Haver Pivoted'!GY24</f>
        <v>2571.6999999999998</v>
      </c>
      <c r="O23" s="424">
        <f>'Haver Pivoted'!GZ24</f>
        <v>2625.1</v>
      </c>
      <c r="P23" s="424">
        <f>'Haver Pivoted'!HA24</f>
        <v>2664.2</v>
      </c>
      <c r="Q23" s="424">
        <f>'Haver Pivoted'!HB24</f>
        <v>2719.7</v>
      </c>
      <c r="R23" s="424">
        <f>'Haver Pivoted'!HC24</f>
        <v>2803.4</v>
      </c>
      <c r="S23" s="435">
        <f>'Haver Pivoted'!HD24</f>
        <v>2841.5</v>
      </c>
      <c r="T23" s="435">
        <f>'Haver Pivoted'!HE24</f>
        <v>2880.6</v>
      </c>
      <c r="U23" s="255">
        <f>'Haver Pivoted'!HF24</f>
        <v>2913.2</v>
      </c>
      <c r="V23" s="255">
        <f>'Haver Pivoted'!HG24</f>
        <v>2925.5</v>
      </c>
      <c r="W23" s="255">
        <f>'Haver Pivoted'!HH24</f>
        <v>3002.9</v>
      </c>
      <c r="X23" s="255">
        <f>'Haver Pivoted'!HI24</f>
        <v>3036.9</v>
      </c>
      <c r="Y23" s="197"/>
      <c r="Z23" s="197"/>
      <c r="AA23" s="197"/>
      <c r="AB23" s="197"/>
      <c r="AC23" s="197"/>
      <c r="AD23" s="197"/>
      <c r="AE23" s="197"/>
      <c r="AF23" s="197"/>
      <c r="AG23" s="197"/>
    </row>
    <row r="24" spans="2:40" ht="29.25" customHeight="1" x14ac:dyDescent="0.35">
      <c r="B24" s="455" t="s">
        <v>1909</v>
      </c>
      <c r="C24" s="434"/>
      <c r="D24" s="434"/>
      <c r="E24" s="434"/>
      <c r="F24" s="434"/>
      <c r="G24" s="434"/>
      <c r="H24" s="191"/>
      <c r="I24" s="191"/>
      <c r="J24" s="191"/>
      <c r="K24" s="191"/>
      <c r="L24" s="191"/>
      <c r="M24" s="191"/>
      <c r="N24" s="191"/>
      <c r="O24" s="191"/>
      <c r="P24" s="191"/>
      <c r="Q24" s="411">
        <v>2698.2</v>
      </c>
      <c r="R24" s="411">
        <v>2790</v>
      </c>
      <c r="S24" s="411">
        <v>2836</v>
      </c>
      <c r="T24" s="411">
        <v>2881.6</v>
      </c>
      <c r="U24" s="411">
        <v>2914.9</v>
      </c>
      <c r="V24" s="411">
        <v>2937.5</v>
      </c>
      <c r="W24" s="411">
        <v>2965.6</v>
      </c>
      <c r="X24" s="413">
        <v>2999.3</v>
      </c>
      <c r="Y24" s="413">
        <v>3033.6</v>
      </c>
      <c r="Z24" s="413">
        <v>3065</v>
      </c>
      <c r="AA24" s="413">
        <v>3094.6</v>
      </c>
      <c r="AB24" s="413">
        <v>3122.8</v>
      </c>
      <c r="AC24" s="413">
        <v>3151.7</v>
      </c>
      <c r="AD24" s="413">
        <v>3180.3</v>
      </c>
      <c r="AE24" s="413">
        <v>3208.1</v>
      </c>
      <c r="AF24" s="413">
        <v>3236.5</v>
      </c>
      <c r="AG24" s="414"/>
    </row>
    <row r="25" spans="2:40" ht="29.25" customHeight="1" x14ac:dyDescent="0.35">
      <c r="B25" s="455" t="s">
        <v>2003</v>
      </c>
      <c r="C25" s="434"/>
      <c r="D25" s="434"/>
      <c r="E25" s="434"/>
      <c r="F25" s="434"/>
      <c r="G25" s="434"/>
      <c r="H25" s="191"/>
      <c r="I25" s="186">
        <v>7.46</v>
      </c>
      <c r="J25" s="186">
        <v>-5.74</v>
      </c>
      <c r="K25" s="186">
        <v>0.96099999999999997</v>
      </c>
      <c r="L25" s="186">
        <v>3.1920000000000002</v>
      </c>
      <c r="M25" s="186">
        <v>8.8759999999999994</v>
      </c>
      <c r="N25" s="186">
        <v>8.0020000000000007</v>
      </c>
      <c r="O25" s="186">
        <v>11.813000000000001</v>
      </c>
      <c r="P25" s="186">
        <v>7.3490000000000002</v>
      </c>
      <c r="Q25" s="186">
        <v>10.132999999999999</v>
      </c>
      <c r="R25" s="186">
        <v>14.323</v>
      </c>
      <c r="S25" s="186">
        <v>6.7450000000000001</v>
      </c>
      <c r="T25" s="186">
        <v>6.5910000000000002</v>
      </c>
      <c r="U25" s="186">
        <v>4.7119999999999997</v>
      </c>
      <c r="V25" s="186">
        <v>3.13</v>
      </c>
      <c r="W25" s="186">
        <v>3.8820000000000001</v>
      </c>
      <c r="X25" s="408">
        <v>4.6219999999999999</v>
      </c>
      <c r="Y25" s="408">
        <v>4.6580000000000004</v>
      </c>
      <c r="Z25" s="408">
        <v>4.194</v>
      </c>
      <c r="AA25" s="408">
        <v>3.927</v>
      </c>
      <c r="AB25" s="408">
        <v>3.6920000000000002</v>
      </c>
      <c r="AC25" s="408">
        <v>3.7570000000000001</v>
      </c>
      <c r="AD25" s="408">
        <v>3.6739999999999999</v>
      </c>
      <c r="AE25" s="408">
        <v>3.5470000000000002</v>
      </c>
      <c r="AF25" s="408">
        <v>3.581</v>
      </c>
      <c r="AG25" s="414"/>
    </row>
    <row r="26" spans="2:40" ht="21" customHeight="1" x14ac:dyDescent="0.35">
      <c r="B26" s="443" t="s">
        <v>2004</v>
      </c>
      <c r="C26" s="211"/>
      <c r="D26" s="211"/>
      <c r="E26" s="211"/>
      <c r="F26" s="211"/>
      <c r="G26" s="211"/>
      <c r="H26" s="185"/>
      <c r="I26" s="185"/>
      <c r="J26" s="185"/>
      <c r="K26" s="185"/>
      <c r="L26" s="185"/>
      <c r="M26" s="185">
        <f t="shared" ref="M26:V26" si="2">((M23/L23)^4-1)*100</f>
        <v>7.7766292401933779</v>
      </c>
      <c r="N26" s="185">
        <f t="shared" si="2"/>
        <v>6.101942113226988</v>
      </c>
      <c r="O26" s="185">
        <f t="shared" si="2"/>
        <v>8.5680877371025801</v>
      </c>
      <c r="P26" s="185">
        <f t="shared" si="2"/>
        <v>6.0923056825790356</v>
      </c>
      <c r="Q26" s="185">
        <f t="shared" si="2"/>
        <v>8.5967202401499456</v>
      </c>
      <c r="R26" s="185">
        <f t="shared" si="2"/>
        <v>12.890207409855471</v>
      </c>
      <c r="S26" s="185">
        <f t="shared" si="2"/>
        <v>5.5480867891862351</v>
      </c>
      <c r="T26" s="185">
        <f t="shared" si="2"/>
        <v>5.618789054672324</v>
      </c>
      <c r="U26" s="185">
        <f t="shared" si="2"/>
        <v>4.6042619795704454</v>
      </c>
      <c r="V26" s="185">
        <f t="shared" si="2"/>
        <v>1.6995906045958797</v>
      </c>
      <c r="W26" s="396">
        <f>((W23/V23)^4-1)*100</f>
        <v>11.010247254253724</v>
      </c>
      <c r="X26" s="396">
        <f>((X23/W23)^4-1)*100</f>
        <v>4.6064554696031657</v>
      </c>
      <c r="Y26" s="197">
        <f t="shared" ref="Y26:AC26" si="3">((Y24/X24)^4-1)*100</f>
        <v>4.6534699351762798</v>
      </c>
      <c r="Z26" s="197">
        <f t="shared" si="3"/>
        <v>4.2050227597890233</v>
      </c>
      <c r="AA26" s="197">
        <f t="shared" si="3"/>
        <v>3.9192896434245394</v>
      </c>
      <c r="AB26" s="197">
        <f t="shared" si="3"/>
        <v>3.6951867222000168</v>
      </c>
      <c r="AC26" s="197">
        <f t="shared" si="3"/>
        <v>3.7535114807866421</v>
      </c>
      <c r="AD26" s="197">
        <f t="shared" ref="AD26:AF26" si="4">((AD24/AC24)^4-1)*100</f>
        <v>3.6794942543737719</v>
      </c>
      <c r="AE26" s="197">
        <f t="shared" si="4"/>
        <v>3.5426395796165355</v>
      </c>
      <c r="AF26" s="197">
        <f t="shared" si="4"/>
        <v>3.5883358999715842</v>
      </c>
      <c r="AG26" s="192"/>
      <c r="AH26" s="451" t="s">
        <v>391</v>
      </c>
    </row>
    <row r="27" spans="2:40" ht="17.899999999999999" customHeight="1" x14ac:dyDescent="0.35">
      <c r="B27" s="454" t="s">
        <v>392</v>
      </c>
      <c r="C27" s="217"/>
      <c r="D27" s="217"/>
      <c r="E27" s="217"/>
      <c r="F27" s="217"/>
      <c r="G27" s="217"/>
      <c r="H27" s="189">
        <f t="shared" ref="H27:T27" si="5">H23</f>
        <v>2423.4</v>
      </c>
      <c r="I27" s="189">
        <f t="shared" si="5"/>
        <v>2478.9</v>
      </c>
      <c r="J27" s="189">
        <f t="shared" si="5"/>
        <v>2451.3000000000002</v>
      </c>
      <c r="K27" s="189">
        <f t="shared" si="5"/>
        <v>2468.3000000000002</v>
      </c>
      <c r="L27" s="189">
        <f t="shared" si="5"/>
        <v>2486.9</v>
      </c>
      <c r="M27" s="189">
        <f t="shared" si="5"/>
        <v>2533.9</v>
      </c>
      <c r="N27" s="189">
        <f t="shared" si="5"/>
        <v>2571.6999999999998</v>
      </c>
      <c r="O27" s="189">
        <f t="shared" si="5"/>
        <v>2625.1</v>
      </c>
      <c r="P27" s="189">
        <f t="shared" si="5"/>
        <v>2664.2</v>
      </c>
      <c r="Q27" s="189">
        <f t="shared" si="5"/>
        <v>2719.7</v>
      </c>
      <c r="R27" s="189">
        <f t="shared" si="5"/>
        <v>2803.4</v>
      </c>
      <c r="S27" s="256">
        <f t="shared" si="5"/>
        <v>2841.5</v>
      </c>
      <c r="T27" s="256">
        <f t="shared" si="5"/>
        <v>2880.6</v>
      </c>
      <c r="U27" s="256">
        <f>U23</f>
        <v>2913.2</v>
      </c>
      <c r="V27" s="256">
        <f>V23</f>
        <v>2925.5</v>
      </c>
      <c r="W27" s="256">
        <f>W23</f>
        <v>3002.9</v>
      </c>
      <c r="X27" s="256">
        <f>X23</f>
        <v>3036.9</v>
      </c>
      <c r="Y27" s="422">
        <f t="shared" ref="Y27:AA27" si="6">X27*((1+Y26/100)^0.25)</f>
        <v>3071.6299936651885</v>
      </c>
      <c r="Z27" s="422">
        <f t="shared" si="6"/>
        <v>3103.4236321808426</v>
      </c>
      <c r="AA27" s="422">
        <f t="shared" si="6"/>
        <v>3133.3947054312671</v>
      </c>
      <c r="AB27" s="422">
        <f>AA27*((1+AB26/100)^0.25)</f>
        <v>3161.9482279198478</v>
      </c>
      <c r="AC27" s="422">
        <f>AB27*((1+AC26/100)^0.25)</f>
        <v>3191.21052578935</v>
      </c>
      <c r="AD27" s="422">
        <f>AC27*((1+AD26/100)^0.25)</f>
        <v>3220.169062781315</v>
      </c>
      <c r="AE27" s="422">
        <f t="shared" ref="AE27:AF27" si="7">AD27*((1+AE26/100)^0.25)</f>
        <v>3248.3175707665114</v>
      </c>
      <c r="AF27" s="422">
        <f t="shared" si="7"/>
        <v>3277.0736005067843</v>
      </c>
      <c r="AG27" s="415"/>
    </row>
    <row r="28" spans="2:40" x14ac:dyDescent="0.35">
      <c r="B28" s="444" t="s">
        <v>393</v>
      </c>
      <c r="C28" s="445"/>
      <c r="D28" s="445"/>
      <c r="E28" s="445"/>
      <c r="F28" s="445"/>
      <c r="G28" s="445"/>
      <c r="H28" s="450">
        <f t="shared" ref="H28:P28" si="8">H23-H50</f>
        <v>2144.415</v>
      </c>
      <c r="I28" s="450">
        <f t="shared" si="8"/>
        <v>2189.5430000000001</v>
      </c>
      <c r="J28" s="450">
        <f t="shared" si="8"/>
        <v>2055.0640000000003</v>
      </c>
      <c r="K28" s="450">
        <f t="shared" si="8"/>
        <v>2090.5150000000003</v>
      </c>
      <c r="L28" s="450">
        <f t="shared" si="8"/>
        <v>2121.9549999999999</v>
      </c>
      <c r="M28" s="450">
        <f t="shared" si="8"/>
        <v>2140.5240000000003</v>
      </c>
      <c r="N28" s="450">
        <f t="shared" si="8"/>
        <v>2142.2119999999995</v>
      </c>
      <c r="O28" s="450">
        <f t="shared" si="8"/>
        <v>2179.3319999999999</v>
      </c>
      <c r="P28" s="450">
        <f t="shared" si="8"/>
        <v>2195.8261479999996</v>
      </c>
      <c r="Q28" s="450">
        <f t="shared" ref="Q28:AC28" si="9">Q27-Q50</f>
        <v>2211.0627251999999</v>
      </c>
      <c r="R28" s="450">
        <f t="shared" si="9"/>
        <v>2227.2846822857146</v>
      </c>
      <c r="S28" s="450">
        <f t="shared" si="9"/>
        <v>2279.3948462857143</v>
      </c>
      <c r="T28" s="450">
        <f t="shared" si="9"/>
        <v>2359.0977862857144</v>
      </c>
      <c r="U28" s="450">
        <f t="shared" si="9"/>
        <v>2397.5401710857141</v>
      </c>
      <c r="V28" s="191">
        <f t="shared" si="9"/>
        <v>2420.2939942857142</v>
      </c>
      <c r="W28" s="191">
        <f t="shared" si="9"/>
        <v>2511.2327702857142</v>
      </c>
      <c r="X28" s="290">
        <f t="shared" si="9"/>
        <v>2562.2557702857143</v>
      </c>
      <c r="Y28" s="290">
        <f t="shared" si="9"/>
        <v>2599.7852495829811</v>
      </c>
      <c r="Z28" s="290">
        <f t="shared" si="9"/>
        <v>2651.851918137902</v>
      </c>
      <c r="AA28" s="290">
        <f t="shared" si="9"/>
        <v>2677.7779675925781</v>
      </c>
      <c r="AB28" s="290">
        <f t="shared" si="9"/>
        <v>2700.4056565055621</v>
      </c>
      <c r="AC28" s="290">
        <f t="shared" si="9"/>
        <v>2746.9222028524255</v>
      </c>
      <c r="AD28" s="290"/>
      <c r="AE28" s="290"/>
      <c r="AF28" s="290"/>
      <c r="AG28" s="290"/>
      <c r="AH28" s="202" t="s">
        <v>394</v>
      </c>
    </row>
    <row r="29" spans="2:40" x14ac:dyDescent="0.35">
      <c r="B29" s="35"/>
      <c r="C29" s="35"/>
      <c r="D29" s="35"/>
      <c r="E29" s="35"/>
      <c r="F29" s="35"/>
      <c r="G29" s="35"/>
      <c r="H29" s="35"/>
      <c r="I29" s="35"/>
      <c r="J29" s="35"/>
      <c r="K29" s="35"/>
      <c r="L29" s="35"/>
      <c r="M29" s="73"/>
      <c r="N29" s="73"/>
      <c r="O29" s="73"/>
      <c r="P29" s="73"/>
      <c r="Q29" s="73"/>
      <c r="R29" s="73"/>
      <c r="S29" s="134"/>
      <c r="T29" s="134"/>
      <c r="U29" s="134"/>
      <c r="V29" s="134"/>
      <c r="W29" s="134"/>
      <c r="X29" s="134"/>
      <c r="Y29" s="134"/>
      <c r="Z29" s="134"/>
      <c r="AA29" s="134"/>
      <c r="AB29" s="134"/>
      <c r="AC29" s="134"/>
      <c r="AD29" s="134"/>
      <c r="AE29" s="134"/>
      <c r="AF29" s="134"/>
      <c r="AG29" s="134"/>
    </row>
    <row r="30" spans="2:40" x14ac:dyDescent="0.35">
      <c r="B30" s="35"/>
      <c r="C30" s="35"/>
      <c r="D30" s="35"/>
      <c r="E30" s="35"/>
      <c r="F30" s="35"/>
      <c r="G30" s="35"/>
      <c r="H30" s="35"/>
      <c r="I30" s="35"/>
      <c r="J30" s="35"/>
      <c r="K30" s="35"/>
      <c r="L30" s="35"/>
      <c r="M30" s="73"/>
      <c r="N30" s="73"/>
      <c r="O30" s="73"/>
      <c r="P30" s="73"/>
      <c r="Q30" s="73"/>
      <c r="R30" s="73"/>
      <c r="S30" s="134"/>
      <c r="T30" s="134"/>
      <c r="U30" s="134"/>
      <c r="V30" s="134"/>
      <c r="W30" s="242">
        <f>W27/V27</f>
        <v>1.0264570158947188</v>
      </c>
      <c r="X30" s="242">
        <f>X27/W27</f>
        <v>1.0113223883579208</v>
      </c>
      <c r="Y30" s="134"/>
      <c r="Z30" s="134"/>
      <c r="AA30" s="134"/>
      <c r="AB30" s="134"/>
      <c r="AC30" s="134"/>
      <c r="AD30" s="134"/>
      <c r="AE30" s="134"/>
      <c r="AF30" s="134"/>
      <c r="AG30" s="134"/>
    </row>
    <row r="31" spans="2:40" x14ac:dyDescent="0.35">
      <c r="B31" s="211"/>
      <c r="C31" s="211"/>
      <c r="D31" s="211"/>
      <c r="E31" s="211"/>
      <c r="F31" s="211"/>
      <c r="G31" s="211"/>
      <c r="H31" s="191"/>
      <c r="I31" s="191"/>
      <c r="J31" s="191"/>
      <c r="K31" s="191"/>
      <c r="L31" s="191"/>
      <c r="M31" s="191"/>
      <c r="N31" s="191"/>
      <c r="O31" s="191"/>
      <c r="P31" s="191"/>
      <c r="Q31" s="449"/>
      <c r="R31" s="191"/>
      <c r="S31" s="191"/>
      <c r="T31" s="191"/>
      <c r="U31" s="191"/>
      <c r="V31" s="191"/>
      <c r="W31" s="191"/>
      <c r="X31" s="191"/>
      <c r="Y31" s="191"/>
      <c r="Z31" s="191"/>
    </row>
    <row r="32" spans="2:40" ht="85.4" customHeight="1" x14ac:dyDescent="0.35">
      <c r="B32" s="400" t="s">
        <v>885</v>
      </c>
      <c r="C32" s="403" t="s">
        <v>884</v>
      </c>
      <c r="D32" s="401">
        <v>44197</v>
      </c>
      <c r="E32" s="402">
        <v>44228</v>
      </c>
      <c r="F32" s="402">
        <v>44256</v>
      </c>
      <c r="G32" s="402">
        <v>44287</v>
      </c>
      <c r="H32" s="402">
        <v>44317</v>
      </c>
      <c r="I32" s="402">
        <v>44348</v>
      </c>
      <c r="J32" s="402">
        <v>44378</v>
      </c>
      <c r="K32" s="402">
        <v>44409</v>
      </c>
      <c r="L32" s="402">
        <v>44440</v>
      </c>
      <c r="M32" s="402">
        <v>44470</v>
      </c>
      <c r="N32" s="402">
        <v>44501</v>
      </c>
      <c r="O32" s="402">
        <v>44531</v>
      </c>
      <c r="P32" s="399">
        <v>44562</v>
      </c>
      <c r="Q32" s="398">
        <v>44593</v>
      </c>
      <c r="R32" s="399">
        <v>44621</v>
      </c>
      <c r="S32" s="399">
        <v>44652</v>
      </c>
      <c r="T32" s="399">
        <v>44682</v>
      </c>
      <c r="U32" s="399">
        <v>44713</v>
      </c>
      <c r="V32" s="399">
        <v>44743</v>
      </c>
      <c r="W32" s="399">
        <v>44774</v>
      </c>
      <c r="X32" s="399">
        <v>44805</v>
      </c>
      <c r="Y32" s="399">
        <v>44835</v>
      </c>
      <c r="Z32" s="399">
        <v>44866</v>
      </c>
      <c r="AA32" s="399">
        <v>44896</v>
      </c>
      <c r="AB32" s="399">
        <v>44927</v>
      </c>
      <c r="AC32" s="399">
        <v>44958</v>
      </c>
      <c r="AD32" s="399">
        <v>44986</v>
      </c>
      <c r="AE32" s="399">
        <v>45017</v>
      </c>
      <c r="AF32" s="399">
        <v>45047</v>
      </c>
      <c r="AG32" s="399">
        <v>45078</v>
      </c>
      <c r="AH32" s="399">
        <v>45108</v>
      </c>
      <c r="AI32" s="399">
        <v>45139</v>
      </c>
      <c r="AJ32" s="399">
        <v>45170</v>
      </c>
      <c r="AK32" s="399">
        <v>45200</v>
      </c>
      <c r="AL32" s="399">
        <v>45231</v>
      </c>
      <c r="AM32" s="399"/>
      <c r="AN32" s="399"/>
    </row>
    <row r="33" spans="2:38" ht="19.5" customHeight="1" x14ac:dyDescent="0.35">
      <c r="B33" s="308" t="s">
        <v>395</v>
      </c>
      <c r="C33" s="397" t="s">
        <v>396</v>
      </c>
      <c r="D33" s="35">
        <v>5162</v>
      </c>
      <c r="E33" s="35">
        <v>5167</v>
      </c>
      <c r="F33" s="35">
        <v>5195</v>
      </c>
      <c r="G33" s="35">
        <v>5191</v>
      </c>
      <c r="H33" s="35">
        <v>5179</v>
      </c>
      <c r="I33" s="35">
        <v>5190</v>
      </c>
      <c r="J33" s="35">
        <v>5241</v>
      </c>
      <c r="K33" s="35">
        <v>5226</v>
      </c>
      <c r="L33" s="35">
        <v>5224</v>
      </c>
      <c r="M33" s="35">
        <v>5224</v>
      </c>
      <c r="N33" s="35">
        <v>5220</v>
      </c>
      <c r="O33" s="35">
        <v>5237</v>
      </c>
      <c r="P33" s="35">
        <v>5101</v>
      </c>
      <c r="Q33" s="35">
        <v>5088</v>
      </c>
      <c r="R33" s="35">
        <v>5063</v>
      </c>
      <c r="S33" s="35">
        <v>5077</v>
      </c>
      <c r="T33" s="35">
        <v>5092</v>
      </c>
      <c r="U33" s="35">
        <v>5090</v>
      </c>
      <c r="V33" s="35">
        <v>5103</v>
      </c>
      <c r="W33" s="35">
        <v>5109</v>
      </c>
      <c r="X33" s="35">
        <v>5115</v>
      </c>
      <c r="Y33" s="405">
        <v>5104</v>
      </c>
      <c r="Z33" s="406">
        <v>5116</v>
      </c>
      <c r="AA33" s="405">
        <v>5087</v>
      </c>
      <c r="AB33" s="405">
        <v>5156</v>
      </c>
      <c r="AC33" s="405">
        <v>5175</v>
      </c>
      <c r="AD33" s="405">
        <v>5195</v>
      </c>
      <c r="AE33" s="405">
        <v>5202</v>
      </c>
      <c r="AF33" s="405">
        <v>5216</v>
      </c>
      <c r="AG33" s="405">
        <v>5231</v>
      </c>
      <c r="AH33" s="404">
        <v>5243</v>
      </c>
      <c r="AI33">
        <v>5261</v>
      </c>
      <c r="AJ33">
        <v>5288</v>
      </c>
      <c r="AK33">
        <v>5317</v>
      </c>
      <c r="AL33">
        <v>5334</v>
      </c>
    </row>
    <row r="34" spans="2:38" ht="18" customHeight="1" x14ac:dyDescent="0.35">
      <c r="B34" s="210" t="s">
        <v>397</v>
      </c>
      <c r="C34" s="202" t="s">
        <v>398</v>
      </c>
      <c r="D34" s="35">
        <v>13748</v>
      </c>
      <c r="E34" s="35">
        <v>13760</v>
      </c>
      <c r="F34" s="35">
        <v>13801</v>
      </c>
      <c r="G34" s="35">
        <v>13842</v>
      </c>
      <c r="H34" s="35">
        <v>13856</v>
      </c>
      <c r="I34" s="35">
        <v>13889</v>
      </c>
      <c r="J34" s="35">
        <v>13948</v>
      </c>
      <c r="K34" s="35">
        <v>13984</v>
      </c>
      <c r="L34" s="35">
        <v>14002</v>
      </c>
      <c r="M34" s="35">
        <v>13990</v>
      </c>
      <c r="N34" s="35">
        <v>14010</v>
      </c>
      <c r="O34" s="35">
        <v>14028</v>
      </c>
      <c r="P34" s="35">
        <v>14100</v>
      </c>
      <c r="Q34" s="35">
        <v>14120</v>
      </c>
      <c r="R34" s="407">
        <v>14137</v>
      </c>
      <c r="S34" s="407">
        <v>14153</v>
      </c>
      <c r="T34" s="407">
        <v>14162</v>
      </c>
      <c r="U34" s="407">
        <v>14169</v>
      </c>
      <c r="V34" s="407">
        <v>14215</v>
      </c>
      <c r="W34" s="407">
        <v>14257</v>
      </c>
      <c r="X34" s="407">
        <v>14255</v>
      </c>
      <c r="Y34" s="407">
        <v>14287</v>
      </c>
      <c r="Z34" s="407">
        <v>14335</v>
      </c>
      <c r="AA34" s="407">
        <v>14370</v>
      </c>
      <c r="AB34" s="407">
        <v>14408</v>
      </c>
      <c r="AC34" s="407">
        <v>14435</v>
      </c>
      <c r="AD34" s="407">
        <v>14464</v>
      </c>
      <c r="AE34" s="407">
        <v>14491</v>
      </c>
      <c r="AF34" s="407">
        <v>14494</v>
      </c>
      <c r="AG34" s="407">
        <v>14492</v>
      </c>
      <c r="AH34" s="407">
        <v>14561</v>
      </c>
      <c r="AI34" s="407">
        <v>14585</v>
      </c>
      <c r="AJ34" s="407">
        <v>14616</v>
      </c>
      <c r="AK34" s="407">
        <v>14648</v>
      </c>
      <c r="AL34" s="407">
        <v>14680</v>
      </c>
    </row>
    <row r="35" spans="2:38" ht="18" customHeight="1" x14ac:dyDescent="0.35">
      <c r="B35" s="210" t="s">
        <v>2012</v>
      </c>
      <c r="C35" s="202"/>
      <c r="D35" s="35"/>
      <c r="E35" s="35"/>
      <c r="F35" s="35"/>
      <c r="G35" s="35"/>
      <c r="H35" s="35"/>
      <c r="I35" s="35"/>
      <c r="J35" s="35"/>
      <c r="K35" s="35"/>
      <c r="L35" s="35"/>
      <c r="M35" s="35"/>
      <c r="N35" s="35"/>
      <c r="O35" s="35"/>
      <c r="P35" s="35"/>
      <c r="Q35" s="35"/>
      <c r="R35" s="407"/>
      <c r="S35" s="407"/>
      <c r="T35" s="407"/>
      <c r="U35" s="407"/>
      <c r="V35" s="407">
        <f>V33+V34</f>
        <v>19318</v>
      </c>
      <c r="W35" s="407">
        <f t="shared" ref="W35:AL35" si="10">W33+W34</f>
        <v>19366</v>
      </c>
      <c r="X35" s="407">
        <f t="shared" si="10"/>
        <v>19370</v>
      </c>
      <c r="Y35" s="407">
        <f t="shared" si="10"/>
        <v>19391</v>
      </c>
      <c r="Z35" s="407">
        <f t="shared" si="10"/>
        <v>19451</v>
      </c>
      <c r="AA35" s="407">
        <f t="shared" si="10"/>
        <v>19457</v>
      </c>
      <c r="AB35" s="407">
        <f t="shared" si="10"/>
        <v>19564</v>
      </c>
      <c r="AC35" s="407">
        <f t="shared" si="10"/>
        <v>19610</v>
      </c>
      <c r="AD35" s="407">
        <f t="shared" si="10"/>
        <v>19659</v>
      </c>
      <c r="AE35" s="407">
        <f t="shared" si="10"/>
        <v>19693</v>
      </c>
      <c r="AF35" s="407">
        <f t="shared" si="10"/>
        <v>19710</v>
      </c>
      <c r="AG35" s="407">
        <f t="shared" si="10"/>
        <v>19723</v>
      </c>
      <c r="AH35" s="407">
        <f t="shared" si="10"/>
        <v>19804</v>
      </c>
      <c r="AI35" s="407">
        <f t="shared" si="10"/>
        <v>19846</v>
      </c>
      <c r="AJ35" s="407">
        <f t="shared" si="10"/>
        <v>19904</v>
      </c>
      <c r="AK35" s="407">
        <f t="shared" si="10"/>
        <v>19965</v>
      </c>
      <c r="AL35" s="407">
        <f t="shared" si="10"/>
        <v>20014</v>
      </c>
    </row>
    <row r="36" spans="2:38" ht="19.5" customHeight="1" x14ac:dyDescent="0.35">
      <c r="B36" s="444" t="s">
        <v>399</v>
      </c>
      <c r="C36" s="317" t="s">
        <v>400</v>
      </c>
      <c r="D36" s="35">
        <v>345102</v>
      </c>
      <c r="E36" s="407">
        <v>335151</v>
      </c>
      <c r="F36" s="407">
        <v>336955</v>
      </c>
      <c r="G36" s="407">
        <v>335574</v>
      </c>
      <c r="H36" s="407">
        <v>338521</v>
      </c>
      <c r="I36" s="407">
        <v>329746</v>
      </c>
      <c r="J36" s="407">
        <v>328919</v>
      </c>
      <c r="K36" s="407">
        <v>333989</v>
      </c>
      <c r="L36" s="407">
        <v>326840</v>
      </c>
      <c r="M36" s="407">
        <v>327373</v>
      </c>
      <c r="N36" s="407">
        <v>331380</v>
      </c>
      <c r="O36" s="407">
        <v>331492</v>
      </c>
      <c r="P36" s="407">
        <v>334244</v>
      </c>
      <c r="Q36" s="407">
        <v>338416</v>
      </c>
      <c r="R36" s="407">
        <v>339417</v>
      </c>
      <c r="S36" s="407">
        <v>345062</v>
      </c>
      <c r="T36" s="407">
        <v>339178</v>
      </c>
      <c r="U36" s="407">
        <v>342484</v>
      </c>
      <c r="V36" s="407">
        <v>350972</v>
      </c>
      <c r="W36" s="407">
        <v>350286</v>
      </c>
      <c r="X36" s="407">
        <v>355116</v>
      </c>
      <c r="Y36" s="407">
        <v>354474</v>
      </c>
      <c r="Z36" s="407">
        <v>359543</v>
      </c>
      <c r="AA36" s="407">
        <v>361033</v>
      </c>
      <c r="AB36" s="407">
        <v>364867</v>
      </c>
      <c r="AC36" s="407">
        <v>371673</v>
      </c>
      <c r="AD36" s="407">
        <v>374555</v>
      </c>
      <c r="AE36" s="407">
        <v>382073</v>
      </c>
      <c r="AF36" s="407">
        <v>388978</v>
      </c>
      <c r="AG36" s="407">
        <v>396538</v>
      </c>
      <c r="AH36" s="407">
        <v>404059</v>
      </c>
      <c r="AI36" s="407">
        <v>407847</v>
      </c>
      <c r="AJ36" s="407">
        <v>413393</v>
      </c>
      <c r="AK36" s="202">
        <v>413602</v>
      </c>
    </row>
    <row r="37" spans="2:38" ht="15.65" customHeight="1" x14ac:dyDescent="0.35">
      <c r="B37" s="217"/>
      <c r="C37" s="211"/>
      <c r="D37" t="e">
        <f>(D36/C36)^3</f>
        <v>#VALUE!</v>
      </c>
      <c r="E37">
        <f>(E36/D36)^3-1</f>
        <v>-8.4034470816570894E-2</v>
      </c>
      <c r="F37">
        <f t="shared" ref="F37:AJ37" si="11">(F36/E36)^3-1</f>
        <v>1.6235019917463678E-2</v>
      </c>
      <c r="G37">
        <f t="shared" si="11"/>
        <v>-1.2245086838220676E-2</v>
      </c>
      <c r="H37">
        <f t="shared" si="11"/>
        <v>2.657794899790078E-2</v>
      </c>
      <c r="I37">
        <f t="shared" si="11"/>
        <v>-7.576637938265407E-2</v>
      </c>
      <c r="J37">
        <f t="shared" si="11"/>
        <v>-7.5051187161534472E-3</v>
      </c>
      <c r="K37">
        <f t="shared" si="11"/>
        <v>4.6958836417060335E-2</v>
      </c>
      <c r="L37">
        <f t="shared" si="11"/>
        <v>-6.2849987986868472E-2</v>
      </c>
      <c r="M37">
        <f t="shared" si="11"/>
        <v>4.9002845871091161E-3</v>
      </c>
      <c r="N37">
        <f t="shared" si="11"/>
        <v>3.7170859154568525E-2</v>
      </c>
      <c r="O37">
        <f t="shared" si="11"/>
        <v>1.014284429549317E-3</v>
      </c>
      <c r="P37">
        <f t="shared" si="11"/>
        <v>2.5112913198612752E-2</v>
      </c>
      <c r="Q37">
        <f t="shared" si="11"/>
        <v>3.791503644644223E-2</v>
      </c>
      <c r="R37">
        <f t="shared" si="11"/>
        <v>8.899967275538323E-3</v>
      </c>
      <c r="S37">
        <f t="shared" si="11"/>
        <v>5.0728794373513075E-2</v>
      </c>
      <c r="T37">
        <f t="shared" si="11"/>
        <v>-5.02886694287622E-2</v>
      </c>
      <c r="U37">
        <f t="shared" si="11"/>
        <v>2.9527226919363381E-2</v>
      </c>
      <c r="V37">
        <f t="shared" si="11"/>
        <v>7.6208827772647814E-2</v>
      </c>
      <c r="W37">
        <f t="shared" si="11"/>
        <v>-5.8522620375497381E-3</v>
      </c>
      <c r="X37">
        <f t="shared" si="11"/>
        <v>4.1939206989926925E-2</v>
      </c>
      <c r="Y37">
        <f t="shared" si="11"/>
        <v>-5.4137807364055268E-3</v>
      </c>
      <c r="Z37">
        <f t="shared" si="11"/>
        <v>4.3516584020125482E-2</v>
      </c>
      <c r="AA37">
        <f t="shared" si="11"/>
        <v>1.248404207060072E-2</v>
      </c>
      <c r="AB37">
        <f t="shared" si="11"/>
        <v>3.2198104290543039E-2</v>
      </c>
      <c r="AC37">
        <f t="shared" si="11"/>
        <v>5.7010452280555901E-2</v>
      </c>
      <c r="AD37">
        <f t="shared" si="11"/>
        <v>2.3443229599369841E-2</v>
      </c>
      <c r="AE37">
        <f t="shared" si="11"/>
        <v>6.1432175866859451E-2</v>
      </c>
      <c r="AF37">
        <f t="shared" si="11"/>
        <v>5.5203132206688155E-2</v>
      </c>
      <c r="AG37">
        <f t="shared" si="11"/>
        <v>5.9447202443772218E-2</v>
      </c>
      <c r="AH37">
        <f t="shared" si="11"/>
        <v>5.7985994352212078E-2</v>
      </c>
      <c r="AI37">
        <f t="shared" si="11"/>
        <v>2.8389093984368063E-2</v>
      </c>
      <c r="AJ37">
        <f t="shared" si="11"/>
        <v>4.1351960373889884E-2</v>
      </c>
      <c r="AK37" s="202">
        <f>(AK35/AJ35)^3</f>
        <v>1.0092223379713285</v>
      </c>
    </row>
    <row r="38" spans="2:38" ht="12.75" customHeight="1" x14ac:dyDescent="0.35">
      <c r="AE38">
        <f>AVERAGE(AE35:AG35)</f>
        <v>19708.666666666668</v>
      </c>
      <c r="AH38">
        <f>AVERAGE(AH35:AJ35)</f>
        <v>19851.333333333332</v>
      </c>
      <c r="AK38" s="202">
        <f>(AK34/AJ34)^3</f>
        <v>1.0065825351677953</v>
      </c>
    </row>
    <row r="39" spans="2:38" x14ac:dyDescent="0.35">
      <c r="B39" s="1292" t="s">
        <v>401</v>
      </c>
      <c r="C39" s="1292"/>
      <c r="D39" s="1292"/>
      <c r="E39" s="1292"/>
      <c r="F39" s="1292"/>
      <c r="G39" s="1292"/>
      <c r="H39" s="1292"/>
      <c r="I39" s="1292"/>
      <c r="J39" s="1292"/>
      <c r="K39" s="1292"/>
      <c r="L39" s="1292"/>
      <c r="M39" s="1292"/>
      <c r="N39" s="1292"/>
      <c r="O39" s="1292"/>
      <c r="P39" s="1292"/>
      <c r="Q39" s="1292"/>
      <c r="R39" s="1292"/>
      <c r="S39" s="1292"/>
      <c r="T39" s="1292"/>
      <c r="U39" s="1292"/>
      <c r="V39" s="1292"/>
      <c r="W39" s="1292"/>
      <c r="X39" s="1292"/>
      <c r="Y39" s="1292"/>
      <c r="Z39" s="1292"/>
      <c r="AA39" s="1292"/>
      <c r="AB39" s="1292"/>
      <c r="AC39" s="1292"/>
      <c r="AD39" s="179"/>
      <c r="AE39">
        <f>AVERAGE(AE36:AG36)</f>
        <v>389196.33333333331</v>
      </c>
      <c r="AF39" s="179"/>
      <c r="AG39" s="179"/>
      <c r="AH39">
        <f>AVERAGE(AH36:AJ36)</f>
        <v>408433</v>
      </c>
      <c r="AK39" s="202"/>
    </row>
    <row r="40" spans="2:38" ht="20.25" customHeight="1" x14ac:dyDescent="0.35">
      <c r="B40" s="1292"/>
      <c r="C40" s="1292"/>
      <c r="D40" s="1292"/>
      <c r="E40" s="1292"/>
      <c r="F40" s="1292"/>
      <c r="G40" s="1292"/>
      <c r="H40" s="1292"/>
      <c r="I40" s="1292"/>
      <c r="J40" s="1292"/>
      <c r="K40" s="1292"/>
      <c r="L40" s="1292"/>
      <c r="M40" s="1292"/>
      <c r="N40" s="1292"/>
      <c r="O40" s="1292"/>
      <c r="P40" s="1292"/>
      <c r="Q40" s="1292"/>
      <c r="R40" s="1292"/>
      <c r="S40" s="1292"/>
      <c r="T40" s="1292"/>
      <c r="U40" s="1292"/>
      <c r="V40" s="1292"/>
      <c r="W40" s="1292"/>
      <c r="X40" s="1292"/>
      <c r="Y40" s="1292"/>
      <c r="Z40" s="1292"/>
      <c r="AA40" s="1292"/>
      <c r="AB40" s="1292"/>
      <c r="AC40" s="1292"/>
      <c r="AD40" s="179"/>
      <c r="AE40" s="179"/>
      <c r="AF40" s="179"/>
      <c r="AG40" s="179"/>
      <c r="AH40">
        <f>AH38/AE38</f>
        <v>1.0072387782024828</v>
      </c>
      <c r="AK40" s="202"/>
    </row>
    <row r="41" spans="2:38" ht="14.25" customHeight="1" x14ac:dyDescent="0.35">
      <c r="B41" s="1343" t="s">
        <v>402</v>
      </c>
      <c r="C41" s="1343"/>
      <c r="D41" s="1343"/>
      <c r="E41" s="1343"/>
      <c r="F41" s="1343"/>
      <c r="G41" s="1343"/>
      <c r="H41" s="1343"/>
      <c r="I41" s="1343"/>
      <c r="J41" s="1343"/>
      <c r="K41" s="1343"/>
      <c r="L41" s="1343"/>
      <c r="M41" s="1343"/>
      <c r="N41" s="1343"/>
      <c r="O41" s="1343"/>
      <c r="P41" s="1343"/>
      <c r="Q41" s="1343"/>
      <c r="R41" s="1343"/>
      <c r="S41" s="1343"/>
      <c r="T41" s="1343"/>
      <c r="U41" s="1343"/>
      <c r="V41" s="1343"/>
      <c r="W41" s="1343"/>
      <c r="X41" s="1343"/>
      <c r="Y41" s="1343"/>
      <c r="Z41" s="1343"/>
      <c r="AA41" s="1343"/>
      <c r="AB41" s="1343"/>
      <c r="AC41" s="1343"/>
      <c r="AD41" s="338"/>
      <c r="AE41" s="338"/>
      <c r="AF41" s="338"/>
      <c r="AG41" s="338"/>
      <c r="AH41">
        <f>AH39/AE39</f>
        <v>1.049426638997113</v>
      </c>
      <c r="AK41" s="202"/>
    </row>
    <row r="42" spans="2:38" x14ac:dyDescent="0.35">
      <c r="B42" s="1343"/>
      <c r="C42" s="1343"/>
      <c r="D42" s="1343"/>
      <c r="E42" s="1343"/>
      <c r="F42" s="1343"/>
      <c r="G42" s="1343"/>
      <c r="H42" s="1343"/>
      <c r="I42" s="1343"/>
      <c r="J42" s="1343"/>
      <c r="K42" s="1343"/>
      <c r="L42" s="1343"/>
      <c r="M42" s="1343"/>
      <c r="N42" s="1343"/>
      <c r="O42" s="1343"/>
      <c r="P42" s="1343"/>
      <c r="Q42" s="1343"/>
      <c r="R42" s="1343"/>
      <c r="S42" s="1343"/>
      <c r="T42" s="1343"/>
      <c r="U42" s="1343"/>
      <c r="V42" s="1343"/>
      <c r="W42" s="1343"/>
      <c r="X42" s="1343"/>
      <c r="Y42" s="1343"/>
      <c r="Z42" s="1343"/>
      <c r="AA42" s="1343"/>
      <c r="AB42" s="1343"/>
      <c r="AC42" s="1343"/>
      <c r="AD42" s="338"/>
      <c r="AE42" s="338"/>
      <c r="AF42" s="338"/>
      <c r="AG42" s="338"/>
      <c r="AK42" s="202"/>
    </row>
    <row r="43" spans="2:38" ht="8.9" customHeight="1" x14ac:dyDescent="0.35">
      <c r="B43" s="1343"/>
      <c r="C43" s="1343"/>
      <c r="D43" s="1343"/>
      <c r="E43" s="1343"/>
      <c r="F43" s="1343"/>
      <c r="G43" s="1343"/>
      <c r="H43" s="1343"/>
      <c r="I43" s="1343"/>
      <c r="J43" s="1343"/>
      <c r="K43" s="1343"/>
      <c r="L43" s="1343"/>
      <c r="M43" s="1343"/>
      <c r="N43" s="1343"/>
      <c r="O43" s="1343"/>
      <c r="P43" s="1343"/>
      <c r="Q43" s="1343"/>
      <c r="R43" s="1343"/>
      <c r="S43" s="1343"/>
      <c r="T43" s="1343"/>
      <c r="U43" s="1343"/>
      <c r="V43" s="1343"/>
      <c r="W43" s="1343"/>
      <c r="X43" s="1343"/>
      <c r="Y43" s="1343"/>
      <c r="Z43" s="1343"/>
      <c r="AA43" s="1343"/>
      <c r="AB43" s="1343"/>
      <c r="AC43" s="1343"/>
      <c r="AD43" s="338"/>
      <c r="AE43" s="338"/>
      <c r="AF43" s="338"/>
      <c r="AG43" s="338"/>
      <c r="AK43" s="202"/>
    </row>
    <row r="44" spans="2:38" ht="12.75" customHeight="1" x14ac:dyDescent="0.35">
      <c r="AK44" s="202"/>
    </row>
    <row r="45" spans="2:38" ht="30.75" customHeight="1" x14ac:dyDescent="0.35">
      <c r="B45" s="1297" t="s">
        <v>279</v>
      </c>
      <c r="C45" s="1344"/>
      <c r="D45" s="1301" t="s">
        <v>280</v>
      </c>
      <c r="E45" s="1313"/>
      <c r="F45" s="1313"/>
      <c r="G45" s="1313"/>
      <c r="H45" s="1313"/>
      <c r="I45" s="1313"/>
      <c r="J45" s="1313"/>
      <c r="K45" s="1313"/>
      <c r="L45" s="1313"/>
      <c r="M45" s="1313"/>
      <c r="N45" s="1313"/>
      <c r="O45" s="1313"/>
      <c r="P45" s="1313"/>
      <c r="Q45" s="1313"/>
      <c r="R45" s="1313"/>
      <c r="S45" s="1313"/>
      <c r="T45" s="1313"/>
      <c r="U45" s="1314"/>
      <c r="V45" s="1300"/>
      <c r="W45" s="1326" t="s">
        <v>281</v>
      </c>
      <c r="X45" s="1327"/>
      <c r="Y45" s="1327"/>
      <c r="Z45" s="1327"/>
      <c r="AA45" s="1327"/>
      <c r="AB45" s="1327"/>
      <c r="AC45" s="1327"/>
      <c r="AD45" s="1327"/>
      <c r="AE45" s="1327"/>
      <c r="AF45" s="1327"/>
      <c r="AG45" s="1327"/>
      <c r="AK45" s="202"/>
    </row>
    <row r="46" spans="2:38" x14ac:dyDescent="0.35">
      <c r="B46" s="1299"/>
      <c r="C46" s="1314"/>
      <c r="D46" s="142">
        <v>2018</v>
      </c>
      <c r="E46" s="1278">
        <v>2019</v>
      </c>
      <c r="F46" s="1306"/>
      <c r="G46" s="1306"/>
      <c r="H46" s="1307"/>
      <c r="I46" s="1278">
        <v>2020</v>
      </c>
      <c r="J46" s="1306"/>
      <c r="K46" s="1306"/>
      <c r="L46" s="1306"/>
      <c r="M46" s="1278">
        <v>2021</v>
      </c>
      <c r="N46" s="1306"/>
      <c r="O46" s="1306"/>
      <c r="P46" s="1306"/>
      <c r="Q46" s="1278">
        <v>2022</v>
      </c>
      <c r="R46" s="1279"/>
      <c r="S46" s="1279"/>
      <c r="T46" s="1279"/>
      <c r="U46" s="201"/>
      <c r="V46" s="251">
        <v>2023</v>
      </c>
      <c r="W46" s="253"/>
      <c r="X46" s="222"/>
      <c r="Y46" s="1303">
        <v>2024</v>
      </c>
      <c r="Z46" s="1304"/>
      <c r="AA46" s="1304"/>
      <c r="AB46" s="1305"/>
      <c r="AC46" s="1303">
        <v>2025</v>
      </c>
      <c r="AD46" s="1304"/>
      <c r="AE46" s="1304"/>
      <c r="AF46" s="1305"/>
      <c r="AG46" s="213">
        <v>2026</v>
      </c>
      <c r="AK46" s="202"/>
    </row>
    <row r="47" spans="2:38" x14ac:dyDescent="0.35">
      <c r="B47" s="1301"/>
      <c r="C47" s="1313"/>
      <c r="D47" s="148" t="s">
        <v>282</v>
      </c>
      <c r="E47" s="148" t="s">
        <v>283</v>
      </c>
      <c r="F47" s="144" t="s">
        <v>284</v>
      </c>
      <c r="G47" s="144" t="s">
        <v>238</v>
      </c>
      <c r="H47" s="145" t="s">
        <v>282</v>
      </c>
      <c r="I47" s="144" t="s">
        <v>283</v>
      </c>
      <c r="J47" s="144" t="s">
        <v>284</v>
      </c>
      <c r="K47" s="144" t="s">
        <v>238</v>
      </c>
      <c r="L47" s="144" t="s">
        <v>282</v>
      </c>
      <c r="M47" s="148" t="s">
        <v>283</v>
      </c>
      <c r="N47" s="144" t="s">
        <v>284</v>
      </c>
      <c r="O47" s="144" t="s">
        <v>238</v>
      </c>
      <c r="P47" s="144" t="s">
        <v>282</v>
      </c>
      <c r="Q47" s="148" t="s">
        <v>283</v>
      </c>
      <c r="R47" s="144" t="s">
        <v>284</v>
      </c>
      <c r="S47" s="144" t="s">
        <v>238</v>
      </c>
      <c r="T47" s="144" t="s">
        <v>282</v>
      </c>
      <c r="U47" s="248" t="s">
        <v>283</v>
      </c>
      <c r="V47" s="249" t="s">
        <v>284</v>
      </c>
      <c r="W47" s="232" t="s">
        <v>238</v>
      </c>
      <c r="X47" s="233" t="s">
        <v>282</v>
      </c>
      <c r="Y47" s="231" t="s">
        <v>283</v>
      </c>
      <c r="Z47" s="229" t="s">
        <v>284</v>
      </c>
      <c r="AA47" s="232" t="s">
        <v>238</v>
      </c>
      <c r="AB47" s="233" t="s">
        <v>282</v>
      </c>
      <c r="AC47" s="231" t="s">
        <v>283</v>
      </c>
      <c r="AD47" s="229" t="s">
        <v>284</v>
      </c>
      <c r="AE47" s="232" t="s">
        <v>238</v>
      </c>
      <c r="AF47" s="233" t="s">
        <v>282</v>
      </c>
      <c r="AG47" s="234" t="s">
        <v>283</v>
      </c>
      <c r="AK47" s="202"/>
    </row>
    <row r="48" spans="2:38" x14ac:dyDescent="0.35">
      <c r="B48" s="452" t="s">
        <v>134</v>
      </c>
      <c r="C48" s="235"/>
      <c r="D48" s="212"/>
      <c r="E48" s="446"/>
      <c r="F48" s="446"/>
      <c r="G48" s="446"/>
      <c r="H48" s="433">
        <f>Grants!H106</f>
        <v>72.156000000000006</v>
      </c>
      <c r="I48" s="433">
        <f>Grants!I106</f>
        <v>75.245999999999995</v>
      </c>
      <c r="J48" s="433">
        <f>Grants!J106</f>
        <v>75.986000000000004</v>
      </c>
      <c r="K48" s="433">
        <f>Grants!K106</f>
        <v>79.650999999999996</v>
      </c>
      <c r="L48" s="433">
        <f>Grants!L106</f>
        <v>75.400999999999996</v>
      </c>
      <c r="M48" s="433">
        <f>Grants!M106</f>
        <v>73.034999999999997</v>
      </c>
      <c r="N48" s="433">
        <f>Grants!N106</f>
        <v>75.13</v>
      </c>
      <c r="O48" s="433">
        <f>Grants!O106</f>
        <v>70.191999999999993</v>
      </c>
      <c r="P48" s="433">
        <f>Grants!P106</f>
        <v>72.266999999999996</v>
      </c>
      <c r="Q48" s="433">
        <f>Grants!Q106</f>
        <v>74.974000000000004</v>
      </c>
      <c r="R48" s="433">
        <f>Grants!R106</f>
        <v>75.229285714285723</v>
      </c>
      <c r="S48" s="447">
        <f>Grants!S106</f>
        <v>75.229285714285723</v>
      </c>
      <c r="T48" s="425">
        <f>Grants!T106</f>
        <v>76.048285714285726</v>
      </c>
      <c r="U48" s="185">
        <f>Grants!U106</f>
        <v>76.048285714285726</v>
      </c>
      <c r="V48" s="185">
        <f>Grants!V106</f>
        <v>76.048285714285726</v>
      </c>
      <c r="W48" s="185">
        <f>Grants!W106</f>
        <v>76.048285714285726</v>
      </c>
      <c r="X48" s="197">
        <f>Grants!X106</f>
        <v>77.707285714285717</v>
      </c>
      <c r="Y48" s="197">
        <f>Grants!Y106</f>
        <v>77.707285714285717</v>
      </c>
      <c r="Z48" s="197">
        <f>Grants!Z106</f>
        <v>77.707285714285717</v>
      </c>
      <c r="AA48" s="197">
        <f>Grants!AA106</f>
        <v>77.707285714285717</v>
      </c>
      <c r="AB48" s="197">
        <f>Grants!AB106</f>
        <v>79.301285714285726</v>
      </c>
      <c r="AC48" s="197">
        <f>Grants!AC106</f>
        <v>79.301285714285726</v>
      </c>
      <c r="AD48" s="197">
        <f>Grants!AD106</f>
        <v>75.229285714285723</v>
      </c>
      <c r="AE48" s="197">
        <f>Grants!AE106</f>
        <v>75.229285714285723</v>
      </c>
      <c r="AF48" s="197">
        <f>Grants!AF106</f>
        <v>75.229285714285723</v>
      </c>
      <c r="AG48" s="197">
        <f>Grants!AG106</f>
        <v>75.229285714285723</v>
      </c>
    </row>
    <row r="49" spans="2:62" x14ac:dyDescent="0.35">
      <c r="B49" s="443" t="s">
        <v>192</v>
      </c>
      <c r="C49" s="434"/>
      <c r="D49" s="423"/>
      <c r="E49" s="434"/>
      <c r="F49" s="434"/>
      <c r="G49" s="434"/>
      <c r="H49" s="185">
        <f>Grants!H75</f>
        <v>206.82899999999995</v>
      </c>
      <c r="I49" s="185">
        <f>Grants!I75</f>
        <v>214.11100000000005</v>
      </c>
      <c r="J49" s="185">
        <f>Grants!J75</f>
        <v>320.24999999999989</v>
      </c>
      <c r="K49" s="185">
        <f>Grants!K75</f>
        <v>298.13400000000001</v>
      </c>
      <c r="L49" s="185">
        <f>Grants!L75</f>
        <v>289.54399999999998</v>
      </c>
      <c r="M49" s="185">
        <f>Grants!M75</f>
        <v>320.34099999999995</v>
      </c>
      <c r="N49" s="185">
        <f>Grants!N75</f>
        <v>354.35800000000017</v>
      </c>
      <c r="O49" s="185">
        <f>Grants!O75</f>
        <v>375.57600000000008</v>
      </c>
      <c r="P49" s="185">
        <f>Grants!P75</f>
        <v>396.106852</v>
      </c>
      <c r="Q49" s="185">
        <f>Grants!Q75</f>
        <v>433.66327480000001</v>
      </c>
      <c r="R49" s="185">
        <f>Grants!R75</f>
        <v>500.88603199999994</v>
      </c>
      <c r="S49" s="185">
        <f>Grants!S75</f>
        <v>486.87586800000008</v>
      </c>
      <c r="T49" s="185">
        <f>Grants!T75</f>
        <v>445.45392800000008</v>
      </c>
      <c r="U49" s="420">
        <f>Grants!U75</f>
        <v>439.61154320000009</v>
      </c>
      <c r="V49" s="420">
        <f>Grants!V75</f>
        <v>429.15772000000004</v>
      </c>
      <c r="W49" s="420">
        <f>Grants!W75</f>
        <v>415.61894400000006</v>
      </c>
      <c r="X49" s="420">
        <f>Grants!X75</f>
        <v>396.93694400000004</v>
      </c>
      <c r="Y49" s="420">
        <f>Grants!Y75</f>
        <v>394.13745836792191</v>
      </c>
      <c r="Z49" s="420">
        <f>Grants!Z75</f>
        <v>373.86442832865475</v>
      </c>
      <c r="AA49" s="420">
        <f>Grants!AA75</f>
        <v>377.90945212440317</v>
      </c>
      <c r="AB49" s="420">
        <f>Grants!AB75</f>
        <v>382.24128570000005</v>
      </c>
      <c r="AC49" s="420">
        <f>Grants!AC75</f>
        <v>364.98703722263872</v>
      </c>
      <c r="AD49" s="420">
        <f>Grants!AD75</f>
        <v>359.88619160180087</v>
      </c>
      <c r="AE49" s="420">
        <f>Grants!AE75</f>
        <v>361.98269500937926</v>
      </c>
      <c r="AF49" s="420">
        <f>Grants!AF75</f>
        <v>360.21415719999999</v>
      </c>
      <c r="AG49" s="420">
        <f>Grants!AG75</f>
        <v>234.85200183154427</v>
      </c>
    </row>
    <row r="50" spans="2:62" x14ac:dyDescent="0.35">
      <c r="B50" s="453" t="s">
        <v>403</v>
      </c>
      <c r="C50" s="445"/>
      <c r="D50" s="444"/>
      <c r="E50" s="445"/>
      <c r="F50" s="445"/>
      <c r="G50" s="445"/>
      <c r="H50" s="426">
        <f>H48+H49</f>
        <v>278.98499999999996</v>
      </c>
      <c r="I50" s="426">
        <f t="shared" ref="I50:AG50" si="12">I48+I49</f>
        <v>289.35700000000003</v>
      </c>
      <c r="J50" s="426">
        <f t="shared" si="12"/>
        <v>396.23599999999988</v>
      </c>
      <c r="K50" s="426">
        <f t="shared" si="12"/>
        <v>377.78500000000003</v>
      </c>
      <c r="L50" s="426">
        <f t="shared" si="12"/>
        <v>364.94499999999999</v>
      </c>
      <c r="M50" s="426">
        <f t="shared" si="12"/>
        <v>393.37599999999998</v>
      </c>
      <c r="N50" s="426">
        <f t="shared" si="12"/>
        <v>429.48800000000017</v>
      </c>
      <c r="O50" s="426">
        <f t="shared" si="12"/>
        <v>445.76800000000009</v>
      </c>
      <c r="P50" s="426">
        <f t="shared" si="12"/>
        <v>468.373852</v>
      </c>
      <c r="Q50" s="426">
        <f t="shared" si="12"/>
        <v>508.6372748</v>
      </c>
      <c r="R50" s="426">
        <f t="shared" si="12"/>
        <v>576.11531771428565</v>
      </c>
      <c r="S50" s="426">
        <f t="shared" si="12"/>
        <v>562.10515371428585</v>
      </c>
      <c r="T50" s="426">
        <f t="shared" si="12"/>
        <v>521.50221371428574</v>
      </c>
      <c r="U50" s="426">
        <f t="shared" si="12"/>
        <v>515.65982891428575</v>
      </c>
      <c r="V50" s="185">
        <f t="shared" si="12"/>
        <v>505.20600571428577</v>
      </c>
      <c r="W50" s="185">
        <f t="shared" si="12"/>
        <v>491.66722971428578</v>
      </c>
      <c r="X50" s="197">
        <f t="shared" si="12"/>
        <v>474.64422971428576</v>
      </c>
      <c r="Y50" s="197">
        <f t="shared" si="12"/>
        <v>471.84474408220763</v>
      </c>
      <c r="Z50" s="197">
        <f t="shared" si="12"/>
        <v>451.57171404294047</v>
      </c>
      <c r="AA50" s="197">
        <f t="shared" si="12"/>
        <v>455.61673783868889</v>
      </c>
      <c r="AB50" s="197">
        <f t="shared" si="12"/>
        <v>461.54257141428576</v>
      </c>
      <c r="AC50" s="197">
        <f t="shared" si="12"/>
        <v>444.28832293692443</v>
      </c>
      <c r="AD50" s="197">
        <f t="shared" si="12"/>
        <v>435.11547731608658</v>
      </c>
      <c r="AE50" s="197">
        <f t="shared" si="12"/>
        <v>437.21198072366496</v>
      </c>
      <c r="AF50" s="197">
        <f t="shared" si="12"/>
        <v>435.4434429142857</v>
      </c>
      <c r="AG50" s="197">
        <f t="shared" si="12"/>
        <v>310.08128754582998</v>
      </c>
    </row>
    <row r="52" spans="2:62" x14ac:dyDescent="0.35">
      <c r="S52" s="120"/>
      <c r="T52" s="120"/>
      <c r="U52" s="120"/>
      <c r="V52" s="120"/>
      <c r="W52" s="120"/>
      <c r="X52" s="120"/>
      <c r="Y52" s="120"/>
      <c r="Z52" s="120"/>
      <c r="AA52" s="120"/>
      <c r="AB52" s="120"/>
      <c r="AC52" s="120"/>
      <c r="AD52" s="120"/>
      <c r="AE52" s="120"/>
      <c r="AF52" s="120"/>
      <c r="AG52" s="120"/>
    </row>
    <row r="53" spans="2:62" x14ac:dyDescent="0.35">
      <c r="S53" s="120"/>
      <c r="T53" s="120"/>
      <c r="U53" s="120"/>
      <c r="V53" s="120"/>
      <c r="W53" s="120"/>
      <c r="X53" s="120"/>
      <c r="Y53" s="120"/>
      <c r="Z53" s="120"/>
      <c r="AA53" s="120"/>
      <c r="AB53" s="120"/>
      <c r="AC53" s="120"/>
      <c r="AD53" s="120"/>
      <c r="AE53" s="120"/>
      <c r="AF53" s="120"/>
      <c r="AG53" s="120"/>
    </row>
    <row r="54" spans="2:62" ht="27.65" customHeight="1" x14ac:dyDescent="0.35">
      <c r="S54" s="120"/>
      <c r="T54" s="120"/>
      <c r="U54" s="120"/>
      <c r="V54" s="120"/>
      <c r="W54" s="120"/>
      <c r="X54" s="120"/>
      <c r="Y54" s="120"/>
      <c r="Z54" s="120"/>
      <c r="AA54" s="120"/>
      <c r="AB54" s="120"/>
      <c r="AC54" s="120"/>
      <c r="AD54" s="120"/>
      <c r="AE54" s="120"/>
      <c r="AF54" s="120"/>
      <c r="AG54" s="120"/>
    </row>
    <row r="55" spans="2:62" ht="27.65" customHeight="1" x14ac:dyDescent="0.35"/>
    <row r="56" spans="2:62" ht="27.65" customHeight="1" x14ac:dyDescent="0.35">
      <c r="BH56" s="411"/>
      <c r="BI56" s="411"/>
      <c r="BJ56" s="411"/>
    </row>
    <row r="58" spans="2:62" ht="27.65" customHeight="1" x14ac:dyDescent="0.35"/>
    <row r="59" spans="2:62" ht="27.65" customHeight="1" x14ac:dyDescent="0.35"/>
    <row r="60" spans="2:62" ht="27.65" customHeight="1" x14ac:dyDescent="0.35"/>
  </sheetData>
  <mergeCells count="33">
    <mergeCell ref="B1:AC1"/>
    <mergeCell ref="B6:C8"/>
    <mergeCell ref="E7:H7"/>
    <mergeCell ref="I7:L7"/>
    <mergeCell ref="Y7:AB7"/>
    <mergeCell ref="B2:AC4"/>
    <mergeCell ref="Q7:T7"/>
    <mergeCell ref="AC7:AF7"/>
    <mergeCell ref="W6:AG6"/>
    <mergeCell ref="D6:V6"/>
    <mergeCell ref="M7:P7"/>
    <mergeCell ref="W20:AG20"/>
    <mergeCell ref="AC21:AF21"/>
    <mergeCell ref="D20:V20"/>
    <mergeCell ref="I21:L21"/>
    <mergeCell ref="B15:AC15"/>
    <mergeCell ref="B16:AC18"/>
    <mergeCell ref="W45:AG45"/>
    <mergeCell ref="D45:V45"/>
    <mergeCell ref="AC46:AF46"/>
    <mergeCell ref="M46:P46"/>
    <mergeCell ref="Q21:T21"/>
    <mergeCell ref="Q46:T46"/>
    <mergeCell ref="Y21:AB21"/>
    <mergeCell ref="Y46:AB46"/>
    <mergeCell ref="B41:AC43"/>
    <mergeCell ref="B39:AC40"/>
    <mergeCell ref="B45:C47"/>
    <mergeCell ref="I46:L46"/>
    <mergeCell ref="E21:H21"/>
    <mergeCell ref="E46:H46"/>
    <mergeCell ref="B20:C22"/>
    <mergeCell ref="M21:P21"/>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Z84"/>
  <sheetViews>
    <sheetView zoomScaleNormal="100" workbookViewId="0">
      <pane xSplit="3" ySplit="10" topLeftCell="I47" activePane="bottomRight" state="frozen"/>
      <selection pane="topRight" activeCell="D1" sqref="D1"/>
      <selection pane="bottomLeft" activeCell="A11" sqref="A11"/>
      <selection pane="bottomRight" activeCell="AD53" sqref="AD53"/>
    </sheetView>
  </sheetViews>
  <sheetFormatPr defaultColWidth="10.90625" defaultRowHeight="14.5" x14ac:dyDescent="0.35"/>
  <cols>
    <col min="2" max="2" width="49.453125" customWidth="1"/>
    <col min="6" max="25" width="6.453125" customWidth="1"/>
    <col min="27" max="27" width="10.1796875" customWidth="1"/>
  </cols>
  <sheetData>
    <row r="1" spans="2:36" x14ac:dyDescent="0.35">
      <c r="B1" s="1292" t="s">
        <v>52</v>
      </c>
      <c r="C1" s="1292"/>
      <c r="D1" s="1292"/>
      <c r="E1" s="1292"/>
      <c r="F1" s="1292"/>
      <c r="G1" s="1292"/>
      <c r="H1" s="1292"/>
      <c r="I1" s="1292"/>
      <c r="J1" s="1292"/>
      <c r="K1" s="1292"/>
      <c r="L1" s="1292"/>
      <c r="M1" s="1292"/>
      <c r="N1" s="1292"/>
      <c r="O1" s="1292"/>
      <c r="P1" s="1292"/>
      <c r="Q1" s="1292"/>
      <c r="R1" s="1292"/>
      <c r="S1" s="1292"/>
      <c r="T1" s="1292"/>
      <c r="U1" s="1292"/>
      <c r="V1" s="1292"/>
      <c r="W1" s="1292"/>
      <c r="X1" s="1292"/>
      <c r="Y1" s="1292"/>
      <c r="Z1" s="1292"/>
      <c r="AA1" s="1292"/>
      <c r="AB1" s="1292"/>
      <c r="AC1" s="1292"/>
    </row>
    <row r="2" spans="2:36" ht="14.9" customHeight="1" x14ac:dyDescent="0.35">
      <c r="B2" s="1293" t="s">
        <v>861</v>
      </c>
      <c r="C2" s="1293"/>
      <c r="D2" s="1293"/>
      <c r="E2" s="1293"/>
      <c r="F2" s="1293"/>
      <c r="G2" s="1293"/>
      <c r="H2" s="1293"/>
      <c r="I2" s="1293"/>
      <c r="J2" s="1293"/>
      <c r="K2" s="1293"/>
      <c r="L2" s="1293"/>
      <c r="M2" s="1293"/>
      <c r="N2" s="1293"/>
      <c r="O2" s="1293"/>
      <c r="P2" s="1293"/>
      <c r="Q2" s="1293"/>
      <c r="R2" s="1293"/>
      <c r="S2" s="1293"/>
      <c r="T2" s="1293"/>
      <c r="U2" s="1293"/>
      <c r="V2" s="1293"/>
      <c r="W2" s="1293"/>
      <c r="X2" s="1293"/>
      <c r="Y2" s="1293"/>
      <c r="Z2" s="1293"/>
      <c r="AA2" s="1293"/>
      <c r="AB2" s="1293"/>
      <c r="AC2" s="1293"/>
    </row>
    <row r="3" spans="2:36" ht="14.9" customHeight="1" x14ac:dyDescent="0.35">
      <c r="B3" s="1293"/>
      <c r="C3" s="1293"/>
      <c r="D3" s="1293"/>
      <c r="E3" s="1293"/>
      <c r="F3" s="1293"/>
      <c r="G3" s="1293"/>
      <c r="H3" s="1293"/>
      <c r="I3" s="1293"/>
      <c r="J3" s="1293"/>
      <c r="K3" s="1293"/>
      <c r="L3" s="1293"/>
      <c r="M3" s="1293"/>
      <c r="N3" s="1293"/>
      <c r="O3" s="1293"/>
      <c r="P3" s="1293"/>
      <c r="Q3" s="1293"/>
      <c r="R3" s="1293"/>
      <c r="S3" s="1293"/>
      <c r="T3" s="1293"/>
      <c r="U3" s="1293"/>
      <c r="V3" s="1293"/>
      <c r="W3" s="1293"/>
      <c r="X3" s="1293"/>
      <c r="Y3" s="1293"/>
      <c r="Z3" s="1293"/>
      <c r="AA3" s="1293"/>
      <c r="AB3" s="1293"/>
      <c r="AC3" s="1293"/>
    </row>
    <row r="4" spans="2:36" ht="5.9" customHeight="1" x14ac:dyDescent="0.35">
      <c r="B4" s="1293"/>
      <c r="C4" s="1293"/>
      <c r="D4" s="1293"/>
      <c r="E4" s="1293"/>
      <c r="F4" s="1293"/>
      <c r="G4" s="1293"/>
      <c r="H4" s="1293"/>
      <c r="I4" s="1293"/>
      <c r="J4" s="1293"/>
      <c r="K4" s="1293"/>
      <c r="L4" s="1293"/>
      <c r="M4" s="1293"/>
      <c r="N4" s="1293"/>
      <c r="O4" s="1293"/>
      <c r="P4" s="1293"/>
      <c r="Q4" s="1293"/>
      <c r="R4" s="1293"/>
      <c r="S4" s="1293"/>
      <c r="T4" s="1293"/>
      <c r="U4" s="1293"/>
      <c r="V4" s="1293"/>
      <c r="W4" s="1293"/>
      <c r="X4" s="1293"/>
      <c r="Y4" s="1293"/>
      <c r="Z4" s="1293"/>
      <c r="AA4" s="1293"/>
      <c r="AB4" s="1293"/>
      <c r="AC4" s="1293"/>
    </row>
    <row r="5" spans="2:36" ht="1.5" customHeight="1" x14ac:dyDescent="0.35">
      <c r="B5" s="1293"/>
      <c r="C5" s="1293"/>
      <c r="D5" s="1293"/>
      <c r="E5" s="1293"/>
      <c r="F5" s="1293"/>
      <c r="G5" s="1293"/>
      <c r="H5" s="1293"/>
      <c r="I5" s="1293"/>
      <c r="J5" s="1293"/>
      <c r="K5" s="1293"/>
      <c r="L5" s="1293"/>
      <c r="M5" s="1293"/>
      <c r="N5" s="1293"/>
      <c r="O5" s="1293"/>
      <c r="P5" s="1293"/>
      <c r="Q5" s="1293"/>
      <c r="R5" s="1293"/>
      <c r="S5" s="1293"/>
      <c r="T5" s="1293"/>
      <c r="U5" s="1293"/>
      <c r="V5" s="1293"/>
      <c r="W5" s="1293"/>
      <c r="X5" s="1293"/>
      <c r="Y5" s="1293"/>
      <c r="Z5" s="1293"/>
      <c r="AA5" s="1293"/>
      <c r="AB5" s="1293"/>
      <c r="AC5" s="1293"/>
    </row>
    <row r="6" spans="2:36" ht="14.9" customHeight="1" x14ac:dyDescent="0.35">
      <c r="B6" s="1293"/>
      <c r="C6" s="1293"/>
      <c r="D6" s="1293"/>
      <c r="E6" s="1293"/>
      <c r="F6" s="1293"/>
      <c r="G6" s="1293"/>
      <c r="H6" s="1293"/>
      <c r="I6" s="1293"/>
      <c r="J6" s="1293"/>
      <c r="K6" s="1293"/>
      <c r="L6" s="1293"/>
      <c r="M6" s="1293"/>
      <c r="N6" s="1293"/>
      <c r="O6" s="1293"/>
      <c r="P6" s="1293"/>
      <c r="Q6" s="1293"/>
      <c r="R6" s="1293"/>
      <c r="S6" s="1293"/>
      <c r="T6" s="1293"/>
      <c r="U6" s="1293"/>
      <c r="V6" s="1293"/>
      <c r="W6" s="1293"/>
      <c r="X6" s="1293"/>
      <c r="Y6" s="1293"/>
      <c r="Z6" s="1293"/>
      <c r="AA6" s="1293"/>
      <c r="AB6" s="1293"/>
      <c r="AC6" s="1293"/>
    </row>
    <row r="7" spans="2:36"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6" ht="14.9" customHeight="1" x14ac:dyDescent="0.35">
      <c r="B8" s="1297" t="s">
        <v>404</v>
      </c>
      <c r="C8" s="1298"/>
      <c r="D8" s="1360" t="s">
        <v>280</v>
      </c>
      <c r="E8" s="1361"/>
      <c r="F8" s="1361"/>
      <c r="G8" s="1361"/>
      <c r="H8" s="1361"/>
      <c r="I8" s="1361"/>
      <c r="J8" s="1361"/>
      <c r="K8" s="1361"/>
      <c r="L8" s="1361"/>
      <c r="M8" s="1361"/>
      <c r="N8" s="1361"/>
      <c r="O8" s="1361"/>
      <c r="P8" s="1361"/>
      <c r="Q8" s="1361"/>
      <c r="R8" s="1361"/>
      <c r="S8" s="1361"/>
      <c r="T8" s="1361"/>
      <c r="U8" s="1362"/>
      <c r="V8" s="1298"/>
      <c r="W8" s="1324" t="s">
        <v>281</v>
      </c>
      <c r="X8" s="1325"/>
      <c r="Y8" s="1325"/>
      <c r="Z8" s="1325"/>
      <c r="AA8" s="1325"/>
      <c r="AB8" s="1325"/>
      <c r="AC8" s="1325"/>
      <c r="AD8" s="1325"/>
      <c r="AE8" s="1325"/>
      <c r="AF8" s="1325"/>
      <c r="AG8" s="1325"/>
    </row>
    <row r="9" spans="2:36" x14ac:dyDescent="0.35">
      <c r="B9" s="1299"/>
      <c r="C9" s="1300"/>
      <c r="D9" s="148">
        <v>2018</v>
      </c>
      <c r="E9" s="1294">
        <v>2019</v>
      </c>
      <c r="F9" s="1295"/>
      <c r="G9" s="1295"/>
      <c r="H9" s="1296"/>
      <c r="I9" s="1294">
        <v>2020</v>
      </c>
      <c r="J9" s="1295"/>
      <c r="K9" s="1295"/>
      <c r="L9" s="1295"/>
      <c r="M9" s="1294">
        <v>2021</v>
      </c>
      <c r="N9" s="1295"/>
      <c r="O9" s="1295"/>
      <c r="P9" s="1295"/>
      <c r="Q9" s="1278">
        <v>2022</v>
      </c>
      <c r="R9" s="1279"/>
      <c r="S9" s="1279"/>
      <c r="T9" s="1279"/>
      <c r="U9" s="201"/>
      <c r="V9" s="251">
        <v>2023</v>
      </c>
      <c r="W9" s="253"/>
      <c r="X9" s="222"/>
      <c r="Y9" s="1303">
        <v>2024</v>
      </c>
      <c r="Z9" s="1315"/>
      <c r="AA9" s="1315"/>
      <c r="AB9" s="1305"/>
      <c r="AC9" s="1303">
        <v>2025</v>
      </c>
      <c r="AD9" s="1315"/>
      <c r="AE9" s="1315"/>
      <c r="AF9" s="1305"/>
      <c r="AG9" s="467">
        <v>2026</v>
      </c>
      <c r="AH9" s="202"/>
      <c r="AI9" s="202"/>
      <c r="AJ9" s="202"/>
    </row>
    <row r="10" spans="2:36" x14ac:dyDescent="0.35">
      <c r="B10" s="1301"/>
      <c r="C10" s="1302"/>
      <c r="D10" s="148" t="s">
        <v>282</v>
      </c>
      <c r="E10" s="148" t="s">
        <v>283</v>
      </c>
      <c r="F10" s="144" t="s">
        <v>284</v>
      </c>
      <c r="G10" s="144" t="s">
        <v>238</v>
      </c>
      <c r="H10" s="145" t="s">
        <v>282</v>
      </c>
      <c r="I10" s="144" t="s">
        <v>283</v>
      </c>
      <c r="J10" s="144" t="s">
        <v>284</v>
      </c>
      <c r="K10" s="144" t="s">
        <v>238</v>
      </c>
      <c r="L10" s="144" t="s">
        <v>282</v>
      </c>
      <c r="M10" s="148" t="s">
        <v>283</v>
      </c>
      <c r="N10" s="144" t="s">
        <v>284</v>
      </c>
      <c r="O10" s="144" t="s">
        <v>238</v>
      </c>
      <c r="P10" s="144" t="s">
        <v>282</v>
      </c>
      <c r="Q10" s="148" t="s">
        <v>283</v>
      </c>
      <c r="R10" s="144" t="s">
        <v>284</v>
      </c>
      <c r="S10" s="144" t="s">
        <v>238</v>
      </c>
      <c r="T10" s="144" t="s">
        <v>282</v>
      </c>
      <c r="U10" s="248" t="s">
        <v>283</v>
      </c>
      <c r="V10" s="249" t="s">
        <v>284</v>
      </c>
      <c r="W10" s="232" t="s">
        <v>238</v>
      </c>
      <c r="X10" s="233" t="s">
        <v>282</v>
      </c>
      <c r="Y10" s="231" t="s">
        <v>283</v>
      </c>
      <c r="Z10" s="229" t="s">
        <v>284</v>
      </c>
      <c r="AA10" s="232" t="s">
        <v>238</v>
      </c>
      <c r="AB10" s="232" t="s">
        <v>282</v>
      </c>
      <c r="AC10" s="231" t="s">
        <v>283</v>
      </c>
      <c r="AD10" s="229" t="s">
        <v>284</v>
      </c>
      <c r="AE10" s="232" t="s">
        <v>238</v>
      </c>
      <c r="AF10" s="232" t="s">
        <v>282</v>
      </c>
      <c r="AG10" s="231" t="s">
        <v>283</v>
      </c>
    </row>
    <row r="11" spans="2:36" x14ac:dyDescent="0.35">
      <c r="B11" s="489" t="s">
        <v>867</v>
      </c>
      <c r="C11" s="69" t="s">
        <v>522</v>
      </c>
      <c r="D11" s="456"/>
      <c r="E11" s="495"/>
      <c r="F11" s="500">
        <v>60.5</v>
      </c>
      <c r="G11" s="500">
        <v>81.400000000000006</v>
      </c>
      <c r="H11" s="500">
        <f>'Haver Pivoted'!GS42</f>
        <v>82.1</v>
      </c>
      <c r="I11" s="500">
        <f>'Haver Pivoted'!GT42</f>
        <v>80</v>
      </c>
      <c r="J11" s="500">
        <f>'Haver Pivoted'!GU42</f>
        <v>975.8</v>
      </c>
      <c r="K11" s="500">
        <f>'Haver Pivoted'!GV42</f>
        <v>1108.4000000000001</v>
      </c>
      <c r="L11" s="500">
        <f>'Haver Pivoted'!GW42</f>
        <v>460.7</v>
      </c>
      <c r="M11" s="500">
        <f>'Haver Pivoted'!GX42</f>
        <v>385.5</v>
      </c>
      <c r="N11" s="500">
        <f>'Haver Pivoted'!GY42</f>
        <v>692.7</v>
      </c>
      <c r="O11" s="500">
        <f>'Haver Pivoted'!GZ42</f>
        <v>547.1</v>
      </c>
      <c r="P11" s="500">
        <f>'Haver Pivoted'!HA42</f>
        <v>293.2</v>
      </c>
      <c r="Q11" s="500">
        <f>'Haver Pivoted'!HB42</f>
        <v>151.4</v>
      </c>
      <c r="R11" s="500">
        <f>'Haver Pivoted'!HC42</f>
        <v>129.5</v>
      </c>
      <c r="S11" s="501">
        <f>'Haver Pivoted'!HD42</f>
        <v>117.7</v>
      </c>
      <c r="T11" s="501">
        <f>'Haver Pivoted'!HE42</f>
        <v>108.6</v>
      </c>
      <c r="U11" s="286">
        <f>'Haver Pivoted'!HF42</f>
        <v>100.7</v>
      </c>
      <c r="V11" s="286">
        <f>'Haver Pivoted'!HG42</f>
        <v>99.2</v>
      </c>
      <c r="W11" s="286">
        <f>'Haver Pivoted'!HH42</f>
        <v>102.4</v>
      </c>
      <c r="X11" s="286">
        <f>'Haver Pivoted'!HI42</f>
        <v>99.7</v>
      </c>
      <c r="Y11" s="509">
        <f t="shared" ref="Y11:AC11" si="0">Y12+Y13</f>
        <v>85.631</v>
      </c>
      <c r="Z11" s="509">
        <f t="shared" si="0"/>
        <v>85.631</v>
      </c>
      <c r="AA11" s="509">
        <f t="shared" si="0"/>
        <v>85.631</v>
      </c>
      <c r="AB11" s="509">
        <f t="shared" si="0"/>
        <v>90.463999999999999</v>
      </c>
      <c r="AC11" s="474">
        <f t="shared" si="0"/>
        <v>90.463999999999999</v>
      </c>
      <c r="AD11" s="474">
        <f t="shared" ref="AD11:AE11" si="1">AD12+AD13</f>
        <v>83.442000000000007</v>
      </c>
      <c r="AE11" s="474">
        <f t="shared" si="1"/>
        <v>84.442000000000007</v>
      </c>
      <c r="AF11" s="474">
        <f t="shared" ref="AF11:AG11" si="2">AF12+AF13</f>
        <v>88.531999999999996</v>
      </c>
      <c r="AG11" s="474">
        <f t="shared" si="2"/>
        <v>89.531999999999996</v>
      </c>
    </row>
    <row r="12" spans="2:36" ht="16.5" customHeight="1" x14ac:dyDescent="0.35">
      <c r="B12" s="385" t="s">
        <v>405</v>
      </c>
      <c r="C12" s="69"/>
      <c r="D12" s="489"/>
      <c r="E12" s="69"/>
      <c r="F12" s="68">
        <f>F11</f>
        <v>60.5</v>
      </c>
      <c r="G12" s="68">
        <f>G11</f>
        <v>81.400000000000006</v>
      </c>
      <c r="H12" s="68">
        <f t="shared" ref="H12:M12" si="3">H11-H13</f>
        <v>82.1</v>
      </c>
      <c r="I12" s="68">
        <f t="shared" si="3"/>
        <v>80</v>
      </c>
      <c r="J12" s="68">
        <f>J11-J13</f>
        <v>-13.700000000000045</v>
      </c>
      <c r="K12" s="68">
        <f t="shared" si="3"/>
        <v>-18.199999999999818</v>
      </c>
      <c r="L12" s="68">
        <f>L11-L13</f>
        <v>-77.700000000000102</v>
      </c>
      <c r="M12" s="68">
        <f t="shared" si="3"/>
        <v>77.699999999999989</v>
      </c>
      <c r="N12" s="68">
        <f t="shared" ref="N12:T12" si="4">N11-N13</f>
        <v>89.100000000000023</v>
      </c>
      <c r="O12" s="68">
        <f t="shared" si="4"/>
        <v>91.083520000000021</v>
      </c>
      <c r="P12" s="68">
        <f t="shared" si="4"/>
        <v>88.299999999999983</v>
      </c>
      <c r="Q12" s="68">
        <f t="shared" si="4"/>
        <v>90.7</v>
      </c>
      <c r="R12" s="68">
        <f t="shared" si="4"/>
        <v>76</v>
      </c>
      <c r="S12" s="286">
        <f t="shared" si="4"/>
        <v>75</v>
      </c>
      <c r="T12" s="286">
        <f t="shared" si="4"/>
        <v>76.777999999999992</v>
      </c>
      <c r="U12" s="286">
        <f t="shared" ref="U12:V12" si="5">U11-U13</f>
        <v>88.192000000000007</v>
      </c>
      <c r="V12" s="286">
        <f t="shared" si="5"/>
        <v>86.692000000000007</v>
      </c>
      <c r="W12" s="286">
        <f>W11-W13</f>
        <v>89.891999999999996</v>
      </c>
      <c r="X12" s="286">
        <f>X11-X13</f>
        <v>90.069000000000003</v>
      </c>
      <c r="Y12" s="291">
        <f t="shared" ref="Y12:AG12" si="6">AVERAGE($F$11:$I$11)</f>
        <v>76</v>
      </c>
      <c r="Z12" s="291">
        <f t="shared" si="6"/>
        <v>76</v>
      </c>
      <c r="AA12" s="291">
        <f t="shared" si="6"/>
        <v>76</v>
      </c>
      <c r="AB12" s="291">
        <f t="shared" si="6"/>
        <v>76</v>
      </c>
      <c r="AC12" s="291">
        <f t="shared" si="6"/>
        <v>76</v>
      </c>
      <c r="AD12" s="291">
        <f t="shared" si="6"/>
        <v>76</v>
      </c>
      <c r="AE12" s="291">
        <f t="shared" si="6"/>
        <v>76</v>
      </c>
      <c r="AF12" s="291">
        <f t="shared" si="6"/>
        <v>76</v>
      </c>
      <c r="AG12" s="291">
        <f t="shared" si="6"/>
        <v>76</v>
      </c>
    </row>
    <row r="13" spans="2:36" x14ac:dyDescent="0.35">
      <c r="B13" s="384" t="s">
        <v>406</v>
      </c>
      <c r="C13" s="69"/>
      <c r="D13" s="489"/>
      <c r="E13" s="69"/>
      <c r="F13" s="498"/>
      <c r="G13" s="498"/>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50">
        <f>SUM(W16:W27)+W14</f>
        <v>12.508000000000003</v>
      </c>
      <c r="X13" s="291">
        <f t="shared" si="8"/>
        <v>9.6310000000000002</v>
      </c>
      <c r="Y13" s="291">
        <f t="shared" si="8"/>
        <v>9.6310000000000002</v>
      </c>
      <c r="Z13" s="291">
        <f t="shared" si="8"/>
        <v>9.6310000000000002</v>
      </c>
      <c r="AA13" s="291">
        <f t="shared" si="8"/>
        <v>9.6310000000000002</v>
      </c>
      <c r="AB13" s="291">
        <f t="shared" si="8"/>
        <v>14.464</v>
      </c>
      <c r="AC13" s="291">
        <f t="shared" si="8"/>
        <v>14.464</v>
      </c>
      <c r="AD13" s="291">
        <f t="shared" ref="AD13:AE13" si="9">SUM(AD16:AD27)+AD14</f>
        <v>7.4420000000000002</v>
      </c>
      <c r="AE13" s="291">
        <f t="shared" si="9"/>
        <v>8.4420000000000002</v>
      </c>
      <c r="AF13" s="291">
        <f t="shared" ref="AF13:AG13" si="10">SUM(AF16:AF27)+AF14</f>
        <v>12.532</v>
      </c>
      <c r="AG13" s="291">
        <f t="shared" si="10"/>
        <v>13.532</v>
      </c>
    </row>
    <row r="14" spans="2:36" x14ac:dyDescent="0.35">
      <c r="B14" s="322" t="s">
        <v>50</v>
      </c>
      <c r="C14" s="49" t="s">
        <v>329</v>
      </c>
      <c r="D14" s="318"/>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86">
        <f>'Haver Pivoted'!HD49</f>
        <v>0</v>
      </c>
      <c r="T14" s="286">
        <f>'Haver Pivoted'!HE49</f>
        <v>0</v>
      </c>
      <c r="U14" s="286">
        <f>'Haver Pivoted'!HF49</f>
        <v>0</v>
      </c>
      <c r="V14" s="286">
        <f>'Haver Pivoted'!HG49</f>
        <v>0</v>
      </c>
      <c r="W14" s="510">
        <f>'Haver Pivoted'!HH49</f>
        <v>0</v>
      </c>
      <c r="X14" s="510">
        <f>'Haver Pivoted'!HI49</f>
        <v>0</v>
      </c>
      <c r="Y14" s="291"/>
      <c r="Z14" s="469"/>
      <c r="AA14" s="469"/>
      <c r="AB14" s="469"/>
      <c r="AC14" s="469"/>
      <c r="AD14" s="469"/>
      <c r="AE14" s="469"/>
      <c r="AF14" s="469"/>
      <c r="AG14" s="469"/>
    </row>
    <row r="15" spans="2:36" x14ac:dyDescent="0.35">
      <c r="B15" s="384" t="s">
        <v>407</v>
      </c>
      <c r="C15" s="69"/>
      <c r="D15" s="489"/>
      <c r="E15" s="69"/>
      <c r="F15" s="498"/>
      <c r="G15" s="498"/>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361">
        <f t="shared" si="11"/>
        <v>8.886000000000001</v>
      </c>
      <c r="X15" s="475">
        <f t="shared" si="11"/>
        <v>0.2</v>
      </c>
      <c r="Y15" s="475">
        <f t="shared" si="11"/>
        <v>0.2</v>
      </c>
      <c r="Z15" s="475">
        <f t="shared" si="11"/>
        <v>0.2</v>
      </c>
      <c r="AA15" s="475">
        <f t="shared" si="11"/>
        <v>0.2</v>
      </c>
      <c r="AB15" s="475">
        <f t="shared" si="11"/>
        <v>0</v>
      </c>
      <c r="AC15" s="475">
        <f t="shared" si="11"/>
        <v>0</v>
      </c>
      <c r="AD15" s="475">
        <f t="shared" ref="AD15:AE15" si="12">SUM(AD16:AD25)</f>
        <v>1</v>
      </c>
      <c r="AE15" s="475">
        <f t="shared" si="12"/>
        <v>2</v>
      </c>
      <c r="AF15" s="475">
        <f t="shared" ref="AF15:AG15" si="13">SUM(AF16:AF25)</f>
        <v>3</v>
      </c>
      <c r="AG15" s="475">
        <f t="shared" si="13"/>
        <v>4</v>
      </c>
    </row>
    <row r="16" spans="2:36" x14ac:dyDescent="0.35">
      <c r="B16" s="485" t="s">
        <v>145</v>
      </c>
      <c r="C16" s="52" t="s">
        <v>408</v>
      </c>
      <c r="D16" s="391"/>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86">
        <f>'Haver Pivoted'!HD53</f>
        <v>0</v>
      </c>
      <c r="T16" s="286">
        <f>'Haver Pivoted'!HE53</f>
        <v>0</v>
      </c>
      <c r="U16" s="286">
        <f>'Haver Pivoted'!HF53</f>
        <v>0</v>
      </c>
      <c r="V16" s="286">
        <f>'Haver Pivoted'!HG53</f>
        <v>0</v>
      </c>
      <c r="W16" s="510">
        <f>'Haver Pivoted'!HH53</f>
        <v>0</v>
      </c>
      <c r="X16" s="510">
        <f>'Haver Pivoted'!HI53</f>
        <v>0</v>
      </c>
      <c r="Y16" s="504"/>
      <c r="Z16" s="469"/>
      <c r="AA16" s="469"/>
      <c r="AB16" s="469"/>
      <c r="AC16" s="469"/>
      <c r="AD16" s="469"/>
      <c r="AE16" s="469"/>
      <c r="AF16" s="469"/>
      <c r="AG16" s="469"/>
    </row>
    <row r="17" spans="2:34" x14ac:dyDescent="0.35">
      <c r="B17" s="485" t="s">
        <v>143</v>
      </c>
      <c r="C17" s="52" t="s">
        <v>409</v>
      </c>
      <c r="D17" s="391"/>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86">
        <f>'Haver Pivoted'!HD51</f>
        <v>0</v>
      </c>
      <c r="T17" s="286">
        <f>'Haver Pivoted'!HE51</f>
        <v>0</v>
      </c>
      <c r="U17" s="286">
        <f>'Haver Pivoted'!HF51</f>
        <v>0</v>
      </c>
      <c r="V17" s="286">
        <f>'Haver Pivoted'!HG51</f>
        <v>0</v>
      </c>
      <c r="W17" s="510">
        <f>'Haver Pivoted'!HH51</f>
        <v>0</v>
      </c>
      <c r="X17" s="510">
        <f>'Haver Pivoted'!HI51</f>
        <v>0</v>
      </c>
      <c r="Y17" s="291">
        <f t="shared" ref="Y17:AD17" si="14">X17</f>
        <v>0</v>
      </c>
      <c r="Z17" s="291">
        <f t="shared" si="14"/>
        <v>0</v>
      </c>
      <c r="AA17" s="291">
        <f t="shared" si="14"/>
        <v>0</v>
      </c>
      <c r="AB17" s="291">
        <f t="shared" si="14"/>
        <v>0</v>
      </c>
      <c r="AC17" s="291">
        <f t="shared" si="14"/>
        <v>0</v>
      </c>
      <c r="AD17" s="291">
        <f t="shared" si="14"/>
        <v>0</v>
      </c>
      <c r="AE17" s="291">
        <f t="shared" ref="AE17" si="15">AD17</f>
        <v>0</v>
      </c>
      <c r="AF17" s="291">
        <f t="shared" ref="AF17" si="16">AE17</f>
        <v>0</v>
      </c>
      <c r="AG17" s="291">
        <f t="shared" ref="AG17" si="17">AF17</f>
        <v>0</v>
      </c>
    </row>
    <row r="18" spans="2:34" x14ac:dyDescent="0.35">
      <c r="B18" s="485" t="s">
        <v>142</v>
      </c>
      <c r="C18" s="49" t="s">
        <v>410</v>
      </c>
      <c r="D18" s="318"/>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86">
        <f>'Haver Pivoted'!HD50</f>
        <v>0.3</v>
      </c>
      <c r="T18" s="286">
        <f>'Haver Pivoted'!HE50</f>
        <v>0.4</v>
      </c>
      <c r="U18" s="286">
        <f>'Haver Pivoted'!HF50</f>
        <v>0</v>
      </c>
      <c r="V18" s="286">
        <f>'Haver Pivoted'!HG50</f>
        <v>0</v>
      </c>
      <c r="W18" s="510">
        <f>'Haver Pivoted'!HH50</f>
        <v>0</v>
      </c>
      <c r="X18" s="510">
        <f>'Haver Pivoted'!HI50</f>
        <v>0</v>
      </c>
      <c r="Y18" s="291">
        <f t="shared" ref="Y18:AC18" si="18">Y30</f>
        <v>0</v>
      </c>
      <c r="Z18" s="291">
        <f t="shared" si="18"/>
        <v>0</v>
      </c>
      <c r="AA18" s="291">
        <f t="shared" si="18"/>
        <v>0</v>
      </c>
      <c r="AB18" s="291">
        <f t="shared" si="18"/>
        <v>0</v>
      </c>
      <c r="AC18" s="291">
        <f t="shared" si="18"/>
        <v>0</v>
      </c>
      <c r="AD18" s="291">
        <f t="shared" ref="AD18:AE18" si="19">AD30</f>
        <v>0</v>
      </c>
      <c r="AE18" s="291">
        <f t="shared" si="19"/>
        <v>0</v>
      </c>
      <c r="AF18" s="291">
        <f t="shared" ref="AF18:AG18" si="20">AF30</f>
        <v>0</v>
      </c>
      <c r="AG18" s="291">
        <f t="shared" si="20"/>
        <v>0</v>
      </c>
    </row>
    <row r="19" spans="2:34" x14ac:dyDescent="0.35">
      <c r="B19" s="485" t="s">
        <v>411</v>
      </c>
      <c r="C19" s="49" t="s">
        <v>309</v>
      </c>
      <c r="D19" s="318"/>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86">
        <f>'Haver Pivoted'!HD54</f>
        <v>5.9</v>
      </c>
      <c r="T19" s="286">
        <f>'Haver Pivoted'!HE54</f>
        <v>3.6</v>
      </c>
      <c r="U19" s="286">
        <f>'Haver Pivoted'!HF54</f>
        <v>0</v>
      </c>
      <c r="V19" s="286">
        <f>'Haver Pivoted'!HG54</f>
        <v>0</v>
      </c>
      <c r="W19" s="510">
        <f>'Haver Pivoted'!HH54</f>
        <v>0</v>
      </c>
      <c r="X19" s="510">
        <f>'Haver Pivoted'!HI54</f>
        <v>0</v>
      </c>
      <c r="Y19" s="291"/>
      <c r="Z19" s="469"/>
      <c r="AA19" s="469"/>
      <c r="AB19" s="469"/>
      <c r="AC19" s="469"/>
      <c r="AD19" s="469"/>
      <c r="AE19" s="469"/>
      <c r="AF19" s="469"/>
      <c r="AG19" s="469"/>
    </row>
    <row r="20" spans="2:34" x14ac:dyDescent="0.35">
      <c r="B20" s="485" t="s">
        <v>144</v>
      </c>
      <c r="C20" s="49" t="s">
        <v>412</v>
      </c>
      <c r="D20" s="318"/>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86">
        <f>'Haver Pivoted'!HD52</f>
        <v>20.2</v>
      </c>
      <c r="T20" s="286">
        <f>'Haver Pivoted'!HE52</f>
        <v>15.8</v>
      </c>
      <c r="U20" s="50">
        <f t="shared" ref="U20:AC20" si="21">U37</f>
        <v>0.48599999999999993</v>
      </c>
      <c r="V20" s="50">
        <f t="shared" si="21"/>
        <v>0.48599999999999993</v>
      </c>
      <c r="W20" s="361">
        <f t="shared" si="21"/>
        <v>0.48599999999999993</v>
      </c>
      <c r="X20" s="291">
        <f t="shared" si="21"/>
        <v>0</v>
      </c>
      <c r="Y20" s="291">
        <f t="shared" si="21"/>
        <v>0</v>
      </c>
      <c r="Z20" s="291">
        <f t="shared" si="21"/>
        <v>0</v>
      </c>
      <c r="AA20" s="291">
        <f t="shared" si="21"/>
        <v>0</v>
      </c>
      <c r="AB20" s="291">
        <f t="shared" si="21"/>
        <v>0</v>
      </c>
      <c r="AC20" s="291">
        <f t="shared" si="21"/>
        <v>0</v>
      </c>
      <c r="AD20" s="291">
        <f t="shared" ref="AD20:AE20" si="22">AD37</f>
        <v>0</v>
      </c>
      <c r="AE20" s="291">
        <f t="shared" si="22"/>
        <v>0</v>
      </c>
      <c r="AF20" s="291">
        <f t="shared" ref="AF20:AG20" si="23">AF37</f>
        <v>0</v>
      </c>
      <c r="AG20" s="291">
        <f t="shared" si="23"/>
        <v>0</v>
      </c>
      <c r="AH20" s="167"/>
    </row>
    <row r="21" spans="2:34" x14ac:dyDescent="0.35">
      <c r="B21" s="485" t="s">
        <v>148</v>
      </c>
      <c r="C21" s="49" t="s">
        <v>413</v>
      </c>
      <c r="D21" s="318"/>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86">
        <f>'Haver Pivoted'!HD55</f>
        <v>0</v>
      </c>
      <c r="T21" s="286">
        <f>'Haver Pivoted'!HE55</f>
        <v>0</v>
      </c>
      <c r="U21" s="286">
        <f>'Haver Pivoted'!HF55</f>
        <v>0</v>
      </c>
      <c r="V21" s="286">
        <f>'Haver Pivoted'!HG55</f>
        <v>0</v>
      </c>
      <c r="W21" s="510">
        <f>'Haver Pivoted'!HH55</f>
        <v>0</v>
      </c>
      <c r="X21" s="510">
        <f>'Haver Pivoted'!HI55</f>
        <v>0</v>
      </c>
      <c r="Y21" s="291">
        <f t="shared" ref="Y21:AD21" si="24">X21</f>
        <v>0</v>
      </c>
      <c r="Z21" s="291">
        <f t="shared" si="24"/>
        <v>0</v>
      </c>
      <c r="AA21" s="291">
        <f t="shared" si="24"/>
        <v>0</v>
      </c>
      <c r="AB21" s="291">
        <f t="shared" si="24"/>
        <v>0</v>
      </c>
      <c r="AC21" s="291">
        <f t="shared" si="24"/>
        <v>0</v>
      </c>
      <c r="AD21" s="291">
        <f t="shared" si="24"/>
        <v>0</v>
      </c>
      <c r="AE21" s="291">
        <f t="shared" ref="AE21" si="25">AD21</f>
        <v>0</v>
      </c>
      <c r="AF21" s="291">
        <f t="shared" ref="AF21" si="26">AE21</f>
        <v>0</v>
      </c>
      <c r="AG21" s="291">
        <f t="shared" ref="AG21" si="27">AF21</f>
        <v>0</v>
      </c>
    </row>
    <row r="22" spans="2:34" x14ac:dyDescent="0.35">
      <c r="B22" s="485" t="s">
        <v>414</v>
      </c>
      <c r="C22" s="49" t="s">
        <v>790</v>
      </c>
      <c r="D22" s="331"/>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86">
        <f>'Haver Pivoted'!HD87</f>
        <v>0</v>
      </c>
      <c r="T22" s="286">
        <f>'Haver Pivoted'!HE87</f>
        <v>0</v>
      </c>
      <c r="U22" s="286">
        <f>'Haver Pivoted'!HF87</f>
        <v>0</v>
      </c>
      <c r="V22" s="286">
        <f>'Haver Pivoted'!HG87</f>
        <v>0</v>
      </c>
      <c r="W22" s="510">
        <f>'Haver Pivoted'!HH87</f>
        <v>0</v>
      </c>
      <c r="X22" s="510">
        <f>'Haver Pivoted'!HI87</f>
        <v>0</v>
      </c>
      <c r="Y22" s="291">
        <v>0</v>
      </c>
      <c r="Z22" s="291">
        <v>0</v>
      </c>
      <c r="AA22" s="291">
        <v>0</v>
      </c>
      <c r="AB22" s="291">
        <v>0</v>
      </c>
      <c r="AC22" s="291">
        <v>0</v>
      </c>
      <c r="AD22" s="291">
        <v>1</v>
      </c>
      <c r="AE22" s="291">
        <v>2</v>
      </c>
      <c r="AF22" s="291">
        <v>3</v>
      </c>
      <c r="AG22" s="291">
        <v>4</v>
      </c>
    </row>
    <row r="23" spans="2:34" x14ac:dyDescent="0.35">
      <c r="B23" s="485" t="s">
        <v>415</v>
      </c>
      <c r="C23" s="49" t="s">
        <v>789</v>
      </c>
      <c r="D23" s="318"/>
      <c r="E23" s="49"/>
      <c r="F23" s="68"/>
      <c r="G23" s="499"/>
      <c r="H23" s="68"/>
      <c r="I23" s="68"/>
      <c r="J23" s="68"/>
      <c r="K23" s="68"/>
      <c r="L23" s="68"/>
      <c r="M23" s="68"/>
      <c r="N23" s="68">
        <f>'Haver Pivoted'!GY86</f>
        <v>21.4</v>
      </c>
      <c r="O23" s="68">
        <f>'Haver Pivoted'!GZ86</f>
        <v>57</v>
      </c>
      <c r="P23" s="68">
        <f>'Haver Pivoted'!HA86</f>
        <v>35.5</v>
      </c>
      <c r="Q23" s="68">
        <f>'Haver Pivoted'!HB86</f>
        <v>0</v>
      </c>
      <c r="R23" s="68">
        <f>'Haver Pivoted'!HC86</f>
        <v>0</v>
      </c>
      <c r="S23" s="286">
        <f>'Haver Pivoted'!HD86</f>
        <v>0</v>
      </c>
      <c r="T23" s="286">
        <f>'Haver Pivoted'!HE86</f>
        <v>0</v>
      </c>
      <c r="U23" s="286">
        <f>'Haver Pivoted'!HF86</f>
        <v>0</v>
      </c>
      <c r="V23" s="286">
        <f>'Haver Pivoted'!HG86</f>
        <v>0</v>
      </c>
      <c r="W23" s="510">
        <f>'Haver Pivoted'!HH86</f>
        <v>0</v>
      </c>
      <c r="X23" s="510">
        <f>'Haver Pivoted'!HI86</f>
        <v>0</v>
      </c>
      <c r="Y23" s="291">
        <f t="shared" ref="Y23:AD23" si="28">X23</f>
        <v>0</v>
      </c>
      <c r="Z23" s="291">
        <f t="shared" si="28"/>
        <v>0</v>
      </c>
      <c r="AA23" s="291">
        <f t="shared" si="28"/>
        <v>0</v>
      </c>
      <c r="AB23" s="291">
        <f t="shared" si="28"/>
        <v>0</v>
      </c>
      <c r="AC23" s="291">
        <f t="shared" si="28"/>
        <v>0</v>
      </c>
      <c r="AD23" s="291">
        <f t="shared" si="28"/>
        <v>0</v>
      </c>
      <c r="AE23" s="291">
        <f t="shared" ref="AE23" si="29">AD23</f>
        <v>0</v>
      </c>
      <c r="AF23" s="291">
        <f t="shared" ref="AF23" si="30">AE23</f>
        <v>0</v>
      </c>
      <c r="AG23" s="291">
        <f t="shared" ref="AG23" si="31">AF23</f>
        <v>0</v>
      </c>
    </row>
    <row r="24" spans="2:34" x14ac:dyDescent="0.35">
      <c r="B24" s="485" t="s">
        <v>416</v>
      </c>
      <c r="C24" s="49"/>
      <c r="D24" s="318"/>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361">
        <f t="shared" si="32"/>
        <v>8.4</v>
      </c>
      <c r="X24" s="291">
        <f t="shared" si="32"/>
        <v>0.2</v>
      </c>
      <c r="Y24" s="291">
        <f t="shared" si="32"/>
        <v>0.2</v>
      </c>
      <c r="Z24" s="291">
        <f t="shared" si="32"/>
        <v>0.2</v>
      </c>
      <c r="AA24" s="291">
        <f t="shared" si="32"/>
        <v>0.2</v>
      </c>
      <c r="AB24" s="291">
        <f t="shared" si="32"/>
        <v>0</v>
      </c>
      <c r="AC24" s="291">
        <f t="shared" si="32"/>
        <v>0</v>
      </c>
      <c r="AD24" s="291">
        <f t="shared" ref="AD24:AE24" si="33">AD41+AD42</f>
        <v>0</v>
      </c>
      <c r="AE24" s="291">
        <f t="shared" si="33"/>
        <v>0</v>
      </c>
      <c r="AF24" s="291">
        <f t="shared" ref="AF24:AG24" si="34">AF41+AF42</f>
        <v>0</v>
      </c>
      <c r="AG24" s="291">
        <f t="shared" si="34"/>
        <v>0</v>
      </c>
    </row>
    <row r="25" spans="2:34" x14ac:dyDescent="0.35">
      <c r="B25" s="485" t="s">
        <v>417</v>
      </c>
      <c r="C25" s="49"/>
      <c r="D25" s="318"/>
      <c r="E25" s="49"/>
      <c r="F25" s="50"/>
      <c r="G25" s="50"/>
      <c r="H25" s="190"/>
      <c r="I25" s="190"/>
      <c r="J25" s="190"/>
      <c r="K25" s="190"/>
      <c r="L25" s="190"/>
      <c r="M25" s="190"/>
      <c r="N25" s="50"/>
      <c r="O25" s="50">
        <f>O34</f>
        <v>12</v>
      </c>
      <c r="P25" s="50">
        <v>25</v>
      </c>
      <c r="Q25" s="50">
        <v>5</v>
      </c>
      <c r="R25" s="50">
        <v>5</v>
      </c>
      <c r="S25" s="50">
        <v>5</v>
      </c>
      <c r="T25" s="50">
        <f t="shared" ref="T25:AC25" si="35">T34</f>
        <v>0</v>
      </c>
      <c r="U25" s="50">
        <f t="shared" si="35"/>
        <v>0</v>
      </c>
      <c r="V25" s="50">
        <f t="shared" si="35"/>
        <v>0</v>
      </c>
      <c r="W25" s="361">
        <f t="shared" si="35"/>
        <v>0</v>
      </c>
      <c r="X25" s="291">
        <f t="shared" si="35"/>
        <v>0</v>
      </c>
      <c r="Y25" s="291">
        <f t="shared" si="35"/>
        <v>0</v>
      </c>
      <c r="Z25" s="291">
        <f t="shared" si="35"/>
        <v>0</v>
      </c>
      <c r="AA25" s="291">
        <f t="shared" si="35"/>
        <v>0</v>
      </c>
      <c r="AB25" s="291">
        <f t="shared" si="35"/>
        <v>0</v>
      </c>
      <c r="AC25" s="291">
        <f t="shared" si="35"/>
        <v>0</v>
      </c>
      <c r="AD25" s="291">
        <f t="shared" ref="AD25:AE25" si="36">AD34</f>
        <v>0</v>
      </c>
      <c r="AE25" s="291">
        <f t="shared" si="36"/>
        <v>0</v>
      </c>
      <c r="AF25" s="291">
        <f t="shared" ref="AF25:AG25" si="37">AF34</f>
        <v>0</v>
      </c>
      <c r="AG25" s="291">
        <f t="shared" si="37"/>
        <v>0</v>
      </c>
    </row>
    <row r="26" spans="2:34" x14ac:dyDescent="0.35">
      <c r="B26" s="485" t="s">
        <v>1382</v>
      </c>
      <c r="C26" s="49"/>
      <c r="D26" s="318"/>
      <c r="E26" s="49"/>
      <c r="F26" s="50"/>
      <c r="G26" s="50"/>
      <c r="H26" s="190"/>
      <c r="I26" s="190"/>
      <c r="J26" s="190"/>
      <c r="K26" s="190"/>
      <c r="L26" s="190"/>
      <c r="M26" s="190"/>
      <c r="N26" s="50"/>
      <c r="O26" s="50"/>
      <c r="P26" s="50"/>
      <c r="Q26" s="50"/>
      <c r="R26" s="50"/>
      <c r="S26" s="463">
        <f>'IRA and CHIPS'!E198</f>
        <v>0</v>
      </c>
      <c r="T26" s="463">
        <f>'IRA and CHIPS'!F198</f>
        <v>2.3250000000000002</v>
      </c>
      <c r="U26" s="463">
        <f>'IRA and CHIPS'!G198</f>
        <v>2.3250000000000002</v>
      </c>
      <c r="V26" s="463">
        <f>'IRA and CHIPS'!H198</f>
        <v>2.3250000000000002</v>
      </c>
      <c r="W26" s="461">
        <f>'IRA and CHIPS'!I198</f>
        <v>2.3250000000000002</v>
      </c>
      <c r="X26" s="476">
        <f>'IRA and CHIPS'!J198</f>
        <v>5.5830000000000002</v>
      </c>
      <c r="Y26" s="476">
        <f>'IRA and CHIPS'!K198</f>
        <v>5.5830000000000002</v>
      </c>
      <c r="Z26" s="476">
        <f>'IRA and CHIPS'!L198</f>
        <v>5.5830000000000002</v>
      </c>
      <c r="AA26" s="476">
        <f>'IRA and CHIPS'!M198</f>
        <v>5.5830000000000002</v>
      </c>
      <c r="AB26" s="476">
        <f>'IRA and CHIPS'!N198</f>
        <v>8.0220000000000002</v>
      </c>
      <c r="AC26" s="476">
        <f>'IRA and CHIPS'!O198</f>
        <v>8.0220000000000002</v>
      </c>
      <c r="AD26" s="476">
        <f>'IRA and CHIPS'!P198</f>
        <v>0</v>
      </c>
      <c r="AE26" s="476">
        <f>'IRA and CHIPS'!Q198</f>
        <v>0</v>
      </c>
      <c r="AF26" s="476">
        <f>'IRA and CHIPS'!R198</f>
        <v>0</v>
      </c>
      <c r="AG26" s="476">
        <f>'IRA and CHIPS'!S198</f>
        <v>0</v>
      </c>
    </row>
    <row r="27" spans="2:34" x14ac:dyDescent="0.35">
      <c r="B27" s="485" t="s">
        <v>1190</v>
      </c>
      <c r="C27" s="349"/>
      <c r="D27" s="347"/>
      <c r="E27" s="349"/>
      <c r="F27" s="354"/>
      <c r="G27" s="354"/>
      <c r="H27" s="486"/>
      <c r="I27" s="486"/>
      <c r="J27" s="486"/>
      <c r="K27" s="486"/>
      <c r="L27" s="486"/>
      <c r="M27" s="486"/>
      <c r="N27" s="354"/>
      <c r="O27" s="354"/>
      <c r="P27" s="354"/>
      <c r="Q27" s="354"/>
      <c r="R27" s="354"/>
      <c r="S27" s="464">
        <f>'IRA and CHIPS'!E187</f>
        <v>0</v>
      </c>
      <c r="T27" s="464">
        <f>'IRA and CHIPS'!F187</f>
        <v>1.2969999999999999</v>
      </c>
      <c r="U27" s="463">
        <f>'IRA and CHIPS'!G187</f>
        <v>1.2969999999999999</v>
      </c>
      <c r="V27" s="464">
        <f>'IRA and CHIPS'!H187</f>
        <v>1.2969999999999999</v>
      </c>
      <c r="W27" s="462">
        <f>'IRA and CHIPS'!I187</f>
        <v>1.2969999999999999</v>
      </c>
      <c r="X27" s="487">
        <f>'IRA and CHIPS'!J187</f>
        <v>3.8479999999999999</v>
      </c>
      <c r="Y27" s="487">
        <f>'IRA and CHIPS'!K187</f>
        <v>3.8479999999999999</v>
      </c>
      <c r="Z27" s="487">
        <f>'IRA and CHIPS'!L187</f>
        <v>3.8479999999999999</v>
      </c>
      <c r="AA27" s="487">
        <f>'IRA and CHIPS'!M187</f>
        <v>3.8479999999999999</v>
      </c>
      <c r="AB27" s="487">
        <f>'IRA and CHIPS'!N187</f>
        <v>6.4420000000000002</v>
      </c>
      <c r="AC27" s="487">
        <f>'IRA and CHIPS'!O187</f>
        <v>6.4420000000000002</v>
      </c>
      <c r="AD27" s="487">
        <f>'IRA and CHIPS'!P187</f>
        <v>6.4420000000000002</v>
      </c>
      <c r="AE27" s="487">
        <f>'IRA and CHIPS'!Q187</f>
        <v>6.4420000000000002</v>
      </c>
      <c r="AF27" s="487">
        <f>'IRA and CHIPS'!R187</f>
        <v>9.532</v>
      </c>
      <c r="AG27" s="487">
        <f>'IRA and CHIPS'!S187</f>
        <v>9.532</v>
      </c>
    </row>
    <row r="28" spans="2:34" ht="15" customHeight="1" x14ac:dyDescent="0.35">
      <c r="B28" s="1358" t="s">
        <v>418</v>
      </c>
      <c r="C28" s="1359"/>
      <c r="D28" s="488"/>
      <c r="E28" s="457"/>
      <c r="F28" s="457"/>
      <c r="G28" s="457"/>
      <c r="H28" s="50"/>
      <c r="I28" s="50"/>
      <c r="J28" s="50"/>
      <c r="K28" s="50"/>
      <c r="L28" s="50"/>
      <c r="M28" s="50"/>
      <c r="N28" s="50"/>
      <c r="O28" s="50"/>
      <c r="P28" s="497"/>
      <c r="Q28" s="50"/>
      <c r="R28" s="50"/>
      <c r="S28" s="50"/>
      <c r="T28" s="50"/>
      <c r="U28" s="50"/>
      <c r="V28" s="460"/>
      <c r="W28" s="468"/>
      <c r="X28" s="468"/>
      <c r="Y28" s="468"/>
      <c r="Z28" s="468"/>
      <c r="AA28" s="468"/>
      <c r="AB28" s="468"/>
      <c r="AC28" s="468"/>
      <c r="AD28" s="469"/>
      <c r="AE28" s="477"/>
      <c r="AF28" s="477"/>
      <c r="AG28" s="469"/>
    </row>
    <row r="29" spans="2:34" x14ac:dyDescent="0.35">
      <c r="B29" s="384" t="s">
        <v>419</v>
      </c>
      <c r="C29" s="245"/>
      <c r="D29" s="443"/>
      <c r="E29" s="245"/>
      <c r="F29" s="190"/>
      <c r="G29" s="190"/>
      <c r="H29" s="50"/>
      <c r="I29" s="50"/>
      <c r="J29" s="50"/>
      <c r="K29" s="50"/>
      <c r="L29" s="50"/>
      <c r="M29" s="50"/>
      <c r="N29" s="50">
        <f>SUM(N30:N34)</f>
        <v>23</v>
      </c>
      <c r="O29" s="50">
        <f>SUM(O30:O34)</f>
        <v>162</v>
      </c>
      <c r="P29" s="50"/>
      <c r="Q29" s="50"/>
      <c r="R29" s="50"/>
      <c r="S29" s="50"/>
      <c r="T29" s="50"/>
      <c r="U29" s="50"/>
      <c r="V29" s="35"/>
      <c r="W29" s="469"/>
      <c r="X29" s="469"/>
      <c r="Y29" s="469"/>
      <c r="Z29" s="469"/>
      <c r="AA29" s="469"/>
      <c r="AB29" s="469"/>
      <c r="AC29" s="469"/>
      <c r="AD29" s="469"/>
      <c r="AE29" s="477"/>
      <c r="AF29" s="477"/>
      <c r="AG29" s="469"/>
    </row>
    <row r="30" spans="2:34" x14ac:dyDescent="0.35">
      <c r="B30" s="322" t="s">
        <v>420</v>
      </c>
      <c r="C30" s="245"/>
      <c r="D30" s="443"/>
      <c r="E30" s="245"/>
      <c r="F30" s="190"/>
      <c r="G30" s="190"/>
      <c r="H30" s="50"/>
      <c r="I30" s="50"/>
      <c r="J30" s="50"/>
      <c r="K30" s="50"/>
      <c r="L30" s="492"/>
      <c r="M30" s="50"/>
      <c r="N30" s="50">
        <f>(4*'Response and Relief Act Score'!$F$15-$M$18)/2</f>
        <v>11</v>
      </c>
      <c r="O30" s="50">
        <f>(4*'Response and Relief Act Score'!$F$15-$M$18)/2</f>
        <v>11</v>
      </c>
      <c r="P30" s="50"/>
      <c r="Q30" s="50"/>
      <c r="R30" s="50"/>
      <c r="S30" s="50"/>
      <c r="T30" s="50"/>
      <c r="U30" s="50"/>
      <c r="V30" s="35"/>
      <c r="W30" s="469"/>
      <c r="X30" s="469"/>
      <c r="Y30" s="469"/>
      <c r="Z30" s="469"/>
      <c r="AA30" s="469"/>
      <c r="AB30" s="469"/>
      <c r="AC30" s="469"/>
      <c r="AD30" s="469"/>
      <c r="AE30" s="477"/>
      <c r="AF30" s="477"/>
      <c r="AG30" s="469"/>
    </row>
    <row r="31" spans="2:34" x14ac:dyDescent="0.35">
      <c r="B31" s="322" t="s">
        <v>417</v>
      </c>
      <c r="C31" s="245"/>
      <c r="D31" s="443"/>
      <c r="E31" s="245"/>
      <c r="F31" s="190"/>
      <c r="G31" s="190"/>
      <c r="H31" s="50"/>
      <c r="I31" s="50"/>
      <c r="J31" s="50"/>
      <c r="K31" s="50"/>
      <c r="L31" s="492"/>
      <c r="M31" s="50"/>
      <c r="N31" s="50"/>
      <c r="O31" s="50"/>
      <c r="P31" s="50"/>
      <c r="Q31" s="50"/>
      <c r="R31" s="50"/>
      <c r="S31" s="50"/>
      <c r="T31" s="50"/>
      <c r="U31" s="50"/>
      <c r="V31" s="35"/>
      <c r="W31" s="469"/>
      <c r="X31" s="469"/>
      <c r="Y31" s="469"/>
      <c r="Z31" s="469"/>
      <c r="AA31" s="469"/>
      <c r="AB31" s="469"/>
      <c r="AC31" s="469"/>
      <c r="AD31" s="469"/>
      <c r="AE31" s="477"/>
      <c r="AF31" s="477"/>
      <c r="AG31" s="469"/>
    </row>
    <row r="32" spans="2:34" x14ac:dyDescent="0.35">
      <c r="B32" s="507" t="s">
        <v>414</v>
      </c>
      <c r="C32" s="245"/>
      <c r="D32" s="443"/>
      <c r="E32" s="245"/>
      <c r="F32" s="190"/>
      <c r="G32" s="190"/>
      <c r="H32" s="50"/>
      <c r="I32" s="50"/>
      <c r="J32" s="50"/>
      <c r="K32" s="50"/>
      <c r="L32" s="50"/>
      <c r="M32" s="50"/>
      <c r="N32" s="50"/>
      <c r="O32" s="50">
        <v>79</v>
      </c>
      <c r="P32" s="50"/>
      <c r="Q32" s="361"/>
      <c r="R32" s="361"/>
      <c r="S32" s="361"/>
      <c r="T32" s="361"/>
      <c r="U32" s="361"/>
      <c r="V32" s="35"/>
      <c r="W32" s="469"/>
      <c r="X32" s="469"/>
      <c r="Y32" s="469"/>
      <c r="Z32" s="469"/>
      <c r="AA32" s="469"/>
      <c r="AB32" s="469"/>
      <c r="AC32" s="469"/>
      <c r="AD32" s="469"/>
      <c r="AE32" s="477"/>
      <c r="AF32" s="477"/>
      <c r="AG32" s="469"/>
    </row>
    <row r="33" spans="1:78" x14ac:dyDescent="0.35">
      <c r="B33" s="508" t="s">
        <v>421</v>
      </c>
      <c r="C33" s="245"/>
      <c r="D33" s="443"/>
      <c r="E33" s="245"/>
      <c r="F33" s="190"/>
      <c r="G33" s="190"/>
      <c r="H33" s="50"/>
      <c r="I33" s="50"/>
      <c r="J33" s="50"/>
      <c r="K33" s="50"/>
      <c r="L33" s="50"/>
      <c r="M33" s="50"/>
      <c r="N33" s="50"/>
      <c r="O33" s="50">
        <f>'Response and Relief Act Score'!F13*4</f>
        <v>60</v>
      </c>
      <c r="P33" s="50"/>
      <c r="Q33" s="361"/>
      <c r="R33" s="361"/>
      <c r="S33" s="361"/>
      <c r="T33" s="361"/>
      <c r="U33" s="361"/>
      <c r="V33" s="35"/>
      <c r="W33" s="469"/>
      <c r="X33" s="469"/>
      <c r="Y33" s="469"/>
      <c r="Z33" s="469"/>
      <c r="AA33" s="469"/>
      <c r="AB33" s="469"/>
      <c r="AC33" s="469"/>
      <c r="AD33" s="469"/>
      <c r="AE33" s="477"/>
      <c r="AF33" s="477"/>
      <c r="AG33" s="469"/>
    </row>
    <row r="34" spans="1:78" ht="27.65" customHeight="1" x14ac:dyDescent="0.35">
      <c r="B34" s="508" t="s">
        <v>422</v>
      </c>
      <c r="C34" s="245"/>
      <c r="D34" s="490"/>
      <c r="E34" s="491"/>
      <c r="F34" s="486"/>
      <c r="G34" s="486"/>
      <c r="H34" s="354"/>
      <c r="I34" s="354"/>
      <c r="J34" s="354"/>
      <c r="K34" s="354"/>
      <c r="L34" s="496"/>
      <c r="M34" s="354"/>
      <c r="N34" s="354">
        <f>'Response and Relief Act Score'!F14*4/2</f>
        <v>12</v>
      </c>
      <c r="O34" s="354">
        <f>'Response and Relief Act Score'!F14*4/2</f>
        <v>12</v>
      </c>
      <c r="P34" s="354"/>
      <c r="Q34" s="354"/>
      <c r="R34" s="354"/>
      <c r="S34" s="354"/>
      <c r="T34" s="354"/>
      <c r="U34" s="50"/>
      <c r="V34" s="35"/>
      <c r="W34" s="469"/>
      <c r="X34" s="469"/>
      <c r="Y34" s="469"/>
      <c r="Z34" s="469"/>
      <c r="AA34" s="469"/>
      <c r="AB34" s="469"/>
      <c r="AC34" s="469"/>
      <c r="AD34" s="469"/>
      <c r="AE34" s="477"/>
      <c r="AF34" s="477"/>
      <c r="AG34" s="469"/>
    </row>
    <row r="35" spans="1:78" ht="15" customHeight="1" x14ac:dyDescent="0.35">
      <c r="B35" s="1356" t="s">
        <v>423</v>
      </c>
      <c r="C35" s="1357"/>
      <c r="D35" s="443"/>
      <c r="E35" s="245"/>
      <c r="F35" s="190"/>
      <c r="G35" s="190"/>
      <c r="H35" s="50"/>
      <c r="I35" s="50"/>
      <c r="J35" s="50"/>
      <c r="K35" s="50"/>
      <c r="L35" s="492"/>
      <c r="M35" s="50"/>
      <c r="N35" s="50"/>
      <c r="O35" s="50"/>
      <c r="P35" s="50"/>
      <c r="Q35" s="50"/>
      <c r="R35" s="50"/>
      <c r="S35" s="50"/>
      <c r="T35" s="374"/>
      <c r="U35" s="471"/>
      <c r="V35" s="460"/>
      <c r="W35" s="468"/>
      <c r="X35" s="468"/>
      <c r="Y35" s="468"/>
      <c r="Z35" s="468"/>
      <c r="AA35" s="468"/>
      <c r="AB35" s="468"/>
      <c r="AC35" s="468"/>
      <c r="AD35" s="469"/>
      <c r="AE35" s="477"/>
      <c r="AF35" s="477"/>
      <c r="AG35" s="469"/>
    </row>
    <row r="36" spans="1:78" ht="13.5" customHeight="1" x14ac:dyDescent="0.35">
      <c r="B36" s="508" t="s">
        <v>143</v>
      </c>
      <c r="C36" s="245"/>
      <c r="D36" s="443"/>
      <c r="E36" s="245"/>
      <c r="F36" s="190"/>
      <c r="G36" s="190"/>
      <c r="H36" s="50"/>
      <c r="I36" s="50"/>
      <c r="J36" s="50"/>
      <c r="K36" s="50"/>
      <c r="L36" s="492"/>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291">
        <f>'ARP Quarterly'!M18</f>
        <v>0</v>
      </c>
      <c r="X36" s="291">
        <f>'ARP Quarterly'!N18</f>
        <v>0</v>
      </c>
      <c r="Y36" s="291">
        <f>'ARP Quarterly'!O18</f>
        <v>0</v>
      </c>
      <c r="Z36" s="291">
        <f>'ARP Quarterly'!P18</f>
        <v>0</v>
      </c>
      <c r="AA36" s="291">
        <f>'ARP Quarterly'!Q18</f>
        <v>0</v>
      </c>
      <c r="AB36" s="291">
        <f>'ARP Quarterly'!R18</f>
        <v>0</v>
      </c>
      <c r="AC36" s="291">
        <f>'ARP Quarterly'!S18</f>
        <v>0</v>
      </c>
      <c r="AD36" s="469"/>
      <c r="AE36" s="477"/>
      <c r="AF36" s="477"/>
      <c r="AG36" s="469"/>
    </row>
    <row r="37" spans="1:78" x14ac:dyDescent="0.35">
      <c r="B37" s="508" t="s">
        <v>424</v>
      </c>
      <c r="C37" s="245"/>
      <c r="D37" s="443"/>
      <c r="E37" s="245"/>
      <c r="F37" s="190"/>
      <c r="G37" s="190"/>
      <c r="H37" s="50"/>
      <c r="I37" s="50"/>
      <c r="J37" s="50"/>
      <c r="K37" s="50"/>
      <c r="L37" s="492"/>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291">
        <f>'ARP Quarterly'!M19</f>
        <v>0.48599999999999993</v>
      </c>
      <c r="X37" s="291">
        <f>'ARP Quarterly'!N19</f>
        <v>0</v>
      </c>
      <c r="Y37" s="291">
        <f>'ARP Quarterly'!O19</f>
        <v>0</v>
      </c>
      <c r="Z37" s="291">
        <f>'ARP Quarterly'!P19</f>
        <v>0</v>
      </c>
      <c r="AA37" s="291">
        <f>'ARP Quarterly'!Q19</f>
        <v>0</v>
      </c>
      <c r="AB37" s="291">
        <f>'ARP Quarterly'!R19</f>
        <v>0</v>
      </c>
      <c r="AC37" s="291">
        <f>'ARP Quarterly'!S19</f>
        <v>0</v>
      </c>
      <c r="AD37" s="469"/>
      <c r="AE37" s="477"/>
      <c r="AF37" s="477"/>
      <c r="AG37" s="469"/>
    </row>
    <row r="38" spans="1:78" x14ac:dyDescent="0.35">
      <c r="B38" s="508" t="s">
        <v>148</v>
      </c>
      <c r="C38" s="245"/>
      <c r="D38" s="443"/>
      <c r="E38" s="245"/>
      <c r="F38" s="190"/>
      <c r="G38" s="190"/>
      <c r="H38" s="50"/>
      <c r="I38" s="50"/>
      <c r="J38" s="50"/>
      <c r="K38" s="50"/>
      <c r="L38" s="492"/>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291">
        <f>'ARP Quarterly'!M20</f>
        <v>0</v>
      </c>
      <c r="X38" s="291">
        <f>'ARP Quarterly'!N20</f>
        <v>0</v>
      </c>
      <c r="Y38" s="291">
        <f>'ARP Quarterly'!O20</f>
        <v>0</v>
      </c>
      <c r="Z38" s="291">
        <f>'ARP Quarterly'!P20</f>
        <v>0</v>
      </c>
      <c r="AA38" s="291">
        <f>'ARP Quarterly'!Q20</f>
        <v>0</v>
      </c>
      <c r="AB38" s="291">
        <f>'ARP Quarterly'!R20</f>
        <v>0</v>
      </c>
      <c r="AC38" s="291">
        <f>'ARP Quarterly'!S20</f>
        <v>0</v>
      </c>
      <c r="AD38" s="469"/>
      <c r="AE38" s="477"/>
      <c r="AF38" s="477"/>
      <c r="AG38" s="469"/>
    </row>
    <row r="39" spans="1:78" x14ac:dyDescent="0.35">
      <c r="B39" s="508" t="s">
        <v>414</v>
      </c>
      <c r="C39" s="245"/>
      <c r="D39" s="443"/>
      <c r="E39" s="245"/>
      <c r="F39" s="190"/>
      <c r="G39" s="190"/>
      <c r="H39" s="50"/>
      <c r="I39" s="50"/>
      <c r="J39" s="50"/>
      <c r="K39" s="50"/>
      <c r="L39" s="492"/>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291">
        <f>'ARP Quarterly'!M21</f>
        <v>0.78750000000000009</v>
      </c>
      <c r="X39" s="291">
        <f>'ARP Quarterly'!N21</f>
        <v>0</v>
      </c>
      <c r="Y39" s="291">
        <f>'ARP Quarterly'!O21</f>
        <v>0</v>
      </c>
      <c r="Z39" s="291">
        <f>'ARP Quarterly'!P21</f>
        <v>0</v>
      </c>
      <c r="AA39" s="291">
        <f>'ARP Quarterly'!Q21</f>
        <v>0</v>
      </c>
      <c r="AB39" s="291">
        <f>'ARP Quarterly'!R21</f>
        <v>0</v>
      </c>
      <c r="AC39" s="291">
        <f>'ARP Quarterly'!S21</f>
        <v>0</v>
      </c>
      <c r="AD39" s="469"/>
      <c r="AE39" s="477"/>
      <c r="AF39" s="477"/>
      <c r="AG39" s="469"/>
    </row>
    <row r="40" spans="1:78" ht="30" customHeight="1" x14ac:dyDescent="0.35">
      <c r="B40" s="508" t="s">
        <v>425</v>
      </c>
      <c r="C40" s="245"/>
      <c r="D40" s="443"/>
      <c r="E40" s="245"/>
      <c r="F40" s="190"/>
      <c r="G40" s="190"/>
      <c r="H40" s="50"/>
      <c r="I40" s="50"/>
      <c r="J40" s="50"/>
      <c r="K40" s="50"/>
      <c r="L40" s="492"/>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291">
        <f>'ARP Quarterly'!M22</f>
        <v>1.3125000000000002</v>
      </c>
      <c r="X40" s="291">
        <f>'ARP Quarterly'!N22</f>
        <v>0</v>
      </c>
      <c r="Y40" s="291">
        <f>'ARP Quarterly'!O22</f>
        <v>0</v>
      </c>
      <c r="Z40" s="291">
        <f>'ARP Quarterly'!P22</f>
        <v>0</v>
      </c>
      <c r="AA40" s="291">
        <f>'ARP Quarterly'!Q22</f>
        <v>0</v>
      </c>
      <c r="AB40" s="291">
        <f>'ARP Quarterly'!R22</f>
        <v>0</v>
      </c>
      <c r="AC40" s="291">
        <f>'ARP Quarterly'!S22</f>
        <v>0</v>
      </c>
      <c r="AD40" s="469"/>
      <c r="AE40" s="477"/>
      <c r="AF40" s="477"/>
      <c r="AG40" s="469"/>
    </row>
    <row r="41" spans="1:78" x14ac:dyDescent="0.35">
      <c r="B41" s="508" t="s">
        <v>426</v>
      </c>
      <c r="C41" s="245"/>
      <c r="D41" s="443"/>
      <c r="E41" s="245"/>
      <c r="F41" s="190"/>
      <c r="G41" s="190"/>
      <c r="H41" s="50"/>
      <c r="I41" s="50"/>
      <c r="J41" s="50"/>
      <c r="K41" s="50"/>
      <c r="L41" s="492"/>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291">
        <f>'ARP Quarterly'!M23</f>
        <v>8.4</v>
      </c>
      <c r="X41" s="291">
        <f>'ARP Quarterly'!N23</f>
        <v>0.2</v>
      </c>
      <c r="Y41" s="291">
        <f>'ARP Quarterly'!O23</f>
        <v>0.2</v>
      </c>
      <c r="Z41" s="291">
        <f>'ARP Quarterly'!P23</f>
        <v>0.2</v>
      </c>
      <c r="AA41" s="291">
        <f>'ARP Quarterly'!Q23</f>
        <v>0.2</v>
      </c>
      <c r="AB41" s="291">
        <f>'ARP Quarterly'!R23</f>
        <v>0</v>
      </c>
      <c r="AC41" s="291">
        <f>'ARP Quarterly'!S23</f>
        <v>0</v>
      </c>
      <c r="AD41" s="469"/>
      <c r="AE41" s="477"/>
      <c r="AF41" s="477"/>
      <c r="AG41" s="469"/>
    </row>
    <row r="42" spans="1:78" x14ac:dyDescent="0.35">
      <c r="B42" s="508" t="s">
        <v>427</v>
      </c>
      <c r="C42" s="245"/>
      <c r="D42" s="443"/>
      <c r="E42" s="245"/>
      <c r="F42" s="190"/>
      <c r="G42" s="190"/>
      <c r="H42" s="50"/>
      <c r="I42" s="50"/>
      <c r="J42" s="50"/>
      <c r="K42" s="50"/>
      <c r="L42" s="492"/>
      <c r="M42" s="50">
        <f>'ARP Quarterly'!C24</f>
        <v>0</v>
      </c>
      <c r="N42" s="50">
        <f>'ARP Quarterly'!D24</f>
        <v>-0.20447999999999997</v>
      </c>
      <c r="O42" s="50">
        <f>'ARP Quarterly'!E24</f>
        <v>-0.93152000000000001</v>
      </c>
      <c r="P42" s="50">
        <v>0</v>
      </c>
      <c r="Q42" s="50">
        <v>0</v>
      </c>
      <c r="R42" s="50">
        <v>0</v>
      </c>
      <c r="S42" s="50">
        <v>0</v>
      </c>
      <c r="T42" s="50">
        <v>0</v>
      </c>
      <c r="U42" s="50">
        <v>0</v>
      </c>
      <c r="V42" s="50">
        <v>0</v>
      </c>
      <c r="W42" s="291">
        <v>0</v>
      </c>
      <c r="X42" s="291">
        <v>0</v>
      </c>
      <c r="Y42" s="291">
        <v>0</v>
      </c>
      <c r="Z42" s="291">
        <v>0</v>
      </c>
      <c r="AA42" s="291">
        <v>0</v>
      </c>
      <c r="AB42" s="291">
        <v>0</v>
      </c>
      <c r="AC42" s="291">
        <v>0</v>
      </c>
      <c r="AD42" s="469"/>
      <c r="AE42" s="477"/>
      <c r="AF42" s="477"/>
      <c r="AG42" s="469"/>
    </row>
    <row r="43" spans="1:78" x14ac:dyDescent="0.35">
      <c r="B43" s="508" t="s">
        <v>312</v>
      </c>
      <c r="C43" s="245"/>
      <c r="D43" s="490"/>
      <c r="E43" s="491"/>
      <c r="F43" s="486"/>
      <c r="G43" s="486"/>
      <c r="H43" s="354"/>
      <c r="I43" s="354"/>
      <c r="J43" s="354"/>
      <c r="K43" s="354"/>
      <c r="L43" s="496"/>
      <c r="M43" s="354">
        <f>'ARP Quarterly'!C25</f>
        <v>0</v>
      </c>
      <c r="N43" s="354">
        <f>'ARP Quarterly'!D25</f>
        <v>58.782959999999996</v>
      </c>
      <c r="O43" s="354">
        <f>'ARP Quarterly'!E25</f>
        <v>267.78904000000006</v>
      </c>
      <c r="P43" s="354">
        <f>'ARP Quarterly'!F25</f>
        <v>110.24799999999999</v>
      </c>
      <c r="Q43" s="354">
        <f>'ARP Quarterly'!G25</f>
        <v>110.24799999999999</v>
      </c>
      <c r="R43" s="354">
        <f>'ARP Quarterly'!H25</f>
        <v>110.24799999999999</v>
      </c>
      <c r="S43" s="354">
        <f>'ARP Quarterly'!I25</f>
        <v>110.24799999999999</v>
      </c>
      <c r="T43" s="354">
        <f>'ARP Quarterly'!J25</f>
        <v>12.362</v>
      </c>
      <c r="U43" s="50">
        <f>'ARP Quarterly'!K25</f>
        <v>12.362</v>
      </c>
      <c r="V43" s="50">
        <f>'ARP Quarterly'!L25</f>
        <v>12.362</v>
      </c>
      <c r="W43" s="291">
        <f>'ARP Quarterly'!M25</f>
        <v>12.362</v>
      </c>
      <c r="X43" s="291">
        <f>'ARP Quarterly'!N25</f>
        <v>-0.67500000000000004</v>
      </c>
      <c r="Y43" s="291">
        <f>'ARP Quarterly'!O25</f>
        <v>-0.67500000000000004</v>
      </c>
      <c r="Z43" s="291">
        <f>'ARP Quarterly'!P25</f>
        <v>-0.67500000000000004</v>
      </c>
      <c r="AA43" s="291">
        <f>'ARP Quarterly'!Q25</f>
        <v>-0.67500000000000004</v>
      </c>
      <c r="AB43" s="291">
        <f>'ARP Quarterly'!R25</f>
        <v>0</v>
      </c>
      <c r="AC43" s="291">
        <f>'ARP Quarterly'!S25</f>
        <v>0</v>
      </c>
      <c r="AD43" s="469"/>
      <c r="AE43" s="477"/>
      <c r="AF43" s="477"/>
      <c r="AG43" s="469"/>
    </row>
    <row r="44" spans="1:78" ht="15" customHeight="1" x14ac:dyDescent="0.35">
      <c r="B44" s="1356" t="s">
        <v>428</v>
      </c>
      <c r="C44" s="1357"/>
      <c r="D44" s="489"/>
      <c r="E44" s="69"/>
      <c r="F44" s="190"/>
      <c r="G44" s="190"/>
      <c r="H44" s="50"/>
      <c r="I44" s="50"/>
      <c r="J44" s="50"/>
      <c r="K44" s="50"/>
      <c r="L44" s="492"/>
      <c r="M44" s="50"/>
      <c r="N44" s="50"/>
      <c r="O44" s="50"/>
      <c r="P44" s="50"/>
      <c r="Q44" s="50"/>
      <c r="R44" s="50"/>
      <c r="S44" s="50"/>
      <c r="T44" s="50"/>
      <c r="U44" s="471"/>
      <c r="V44" s="460"/>
      <c r="W44" s="468"/>
      <c r="X44" s="468"/>
      <c r="Y44" s="468"/>
      <c r="Z44" s="468"/>
      <c r="AA44" s="468"/>
      <c r="AB44" s="468"/>
      <c r="AC44" s="468"/>
      <c r="AD44" s="469"/>
      <c r="AE44" s="477"/>
      <c r="AF44" s="477"/>
      <c r="AG44" s="469"/>
    </row>
    <row r="45" spans="1:78" ht="21" customHeight="1" x14ac:dyDescent="0.35">
      <c r="B45" s="390" t="s">
        <v>429</v>
      </c>
      <c r="C45" s="493"/>
      <c r="D45" s="390"/>
      <c r="E45" s="493"/>
      <c r="F45" s="484"/>
      <c r="G45" s="484"/>
      <c r="H45" s="472"/>
      <c r="I45" s="472"/>
      <c r="J45" s="472"/>
      <c r="K45" s="472"/>
      <c r="L45" s="494"/>
      <c r="M45" s="472">
        <f>'ARP Quarterly'!C6</f>
        <v>0</v>
      </c>
      <c r="N45" s="472">
        <f>'ARP Quarterly'!D6</f>
        <v>58.782959999999989</v>
      </c>
      <c r="O45" s="472">
        <f>'ARP Quarterly'!E6</f>
        <v>267.78904</v>
      </c>
      <c r="P45" s="472">
        <f>'ARP Quarterly'!F6</f>
        <v>110.24799999999999</v>
      </c>
      <c r="Q45" s="472">
        <f>'ARP Quarterly'!G6</f>
        <v>110.24799999999999</v>
      </c>
      <c r="R45" s="472">
        <f>'ARP Quarterly'!H6</f>
        <v>110.24799999999999</v>
      </c>
      <c r="S45" s="472">
        <f>'ARP Quarterly'!I6</f>
        <v>110.24799999999999</v>
      </c>
      <c r="T45" s="472">
        <f>'ARP Quarterly'!J6</f>
        <v>12.726000000000001</v>
      </c>
      <c r="U45" s="472">
        <f>'ARP Quarterly'!K6</f>
        <v>12.726000000000001</v>
      </c>
      <c r="V45" s="472">
        <f>'ARP Quarterly'!L6</f>
        <v>12.726000000000001</v>
      </c>
      <c r="W45" s="470">
        <f>'ARP Quarterly'!M6</f>
        <v>12.726000000000001</v>
      </c>
      <c r="X45" s="470">
        <f>'ARP Quarterly'!N6</f>
        <v>1.365</v>
      </c>
      <c r="Y45" s="470">
        <f>'ARP Quarterly'!O6</f>
        <v>1.365</v>
      </c>
      <c r="Z45" s="470">
        <f>'ARP Quarterly'!P6</f>
        <v>1.365</v>
      </c>
      <c r="AA45" s="470">
        <f>'ARP Quarterly'!Q6</f>
        <v>1.365</v>
      </c>
      <c r="AB45" s="470">
        <f>'ARP Quarterly'!R6</f>
        <v>-0.90100000000000025</v>
      </c>
      <c r="AC45" s="470">
        <f>'ARP Quarterly'!S6</f>
        <v>-0.90100000000000025</v>
      </c>
      <c r="AD45" s="470">
        <f>'ARP Quarterly'!T6</f>
        <v>-0.90100000000000025</v>
      </c>
      <c r="AE45" s="470">
        <f>'ARP Quarterly'!U6</f>
        <v>-0.90100000000000025</v>
      </c>
      <c r="AF45" s="470">
        <f>'ARP Quarterly'!V6</f>
        <v>-2.1500000000000004</v>
      </c>
      <c r="AG45" s="465"/>
    </row>
    <row r="46" spans="1:78" ht="19.5" customHeight="1" x14ac:dyDescent="0.35">
      <c r="A46" s="150"/>
      <c r="B46" s="502" t="s">
        <v>199</v>
      </c>
      <c r="C46" s="503"/>
      <c r="D46" s="502"/>
      <c r="E46" s="503"/>
      <c r="F46" s="473">
        <f>F11-F45</f>
        <v>60.5</v>
      </c>
      <c r="G46" s="473">
        <f>G11-G45</f>
        <v>81.400000000000006</v>
      </c>
      <c r="H46" s="473">
        <f t="shared" ref="H46:AF46" si="38">H11-H45</f>
        <v>82.1</v>
      </c>
      <c r="I46" s="473">
        <f>I11-I45</f>
        <v>80</v>
      </c>
      <c r="J46" s="473">
        <f t="shared" si="38"/>
        <v>975.8</v>
      </c>
      <c r="K46" s="473">
        <f t="shared" si="38"/>
        <v>1108.4000000000001</v>
      </c>
      <c r="L46" s="473">
        <f>L11-L45</f>
        <v>460.7</v>
      </c>
      <c r="M46" s="473">
        <f>M11-M45</f>
        <v>385.5</v>
      </c>
      <c r="N46" s="473">
        <f t="shared" si="38"/>
        <v>633.91704000000004</v>
      </c>
      <c r="O46" s="473">
        <f>O11-O45</f>
        <v>279.31096000000002</v>
      </c>
      <c r="P46" s="473">
        <f>P11-P45</f>
        <v>182.952</v>
      </c>
      <c r="Q46" s="473">
        <f t="shared" si="38"/>
        <v>41.152000000000015</v>
      </c>
      <c r="R46" s="473">
        <f t="shared" si="38"/>
        <v>19.25200000000001</v>
      </c>
      <c r="S46" s="473">
        <f t="shared" si="38"/>
        <v>7.4520000000000124</v>
      </c>
      <c r="T46" s="473">
        <f t="shared" si="38"/>
        <v>95.873999999999995</v>
      </c>
      <c r="U46" s="473">
        <f t="shared" si="38"/>
        <v>87.974000000000004</v>
      </c>
      <c r="V46" s="473">
        <f>V11-V45</f>
        <v>86.474000000000004</v>
      </c>
      <c r="W46" s="506">
        <f t="shared" si="38"/>
        <v>89.674000000000007</v>
      </c>
      <c r="X46" s="506">
        <f t="shared" si="38"/>
        <v>98.335000000000008</v>
      </c>
      <c r="Y46" s="506">
        <f t="shared" si="38"/>
        <v>84.266000000000005</v>
      </c>
      <c r="Z46" s="506">
        <f t="shared" si="38"/>
        <v>84.266000000000005</v>
      </c>
      <c r="AA46" s="506">
        <f t="shared" si="38"/>
        <v>84.266000000000005</v>
      </c>
      <c r="AB46" s="506">
        <f t="shared" si="38"/>
        <v>91.364999999999995</v>
      </c>
      <c r="AC46" s="506">
        <f>AC11-AC45</f>
        <v>91.364999999999995</v>
      </c>
      <c r="AD46" s="506">
        <f t="shared" si="38"/>
        <v>84.343000000000004</v>
      </c>
      <c r="AE46" s="506">
        <f t="shared" si="38"/>
        <v>85.343000000000004</v>
      </c>
      <c r="AF46" s="506">
        <f t="shared" si="38"/>
        <v>90.682000000000002</v>
      </c>
      <c r="AG46" s="466"/>
      <c r="AH46" s="150"/>
      <c r="AI46" s="150"/>
      <c r="AJ46" s="150"/>
      <c r="AK46" s="150"/>
      <c r="AL46" s="150"/>
      <c r="AM46" s="150"/>
      <c r="AN46" s="150"/>
      <c r="AO46" s="150"/>
      <c r="AP46" s="150"/>
      <c r="AQ46" s="150"/>
      <c r="AR46" s="150"/>
      <c r="AS46" s="150"/>
      <c r="AT46" s="150"/>
      <c r="AU46" s="150"/>
      <c r="AV46" s="150"/>
      <c r="AW46" s="150"/>
      <c r="AX46" s="150"/>
      <c r="AY46" s="150"/>
      <c r="AZ46" s="150"/>
      <c r="BA46" s="150"/>
      <c r="BB46" s="150"/>
      <c r="BC46" s="150"/>
      <c r="BD46" s="150"/>
      <c r="BE46" s="150"/>
      <c r="BF46" s="150"/>
      <c r="BG46" s="150"/>
      <c r="BH46" s="150"/>
      <c r="BI46" s="150"/>
      <c r="BJ46" s="150"/>
      <c r="BK46" s="150"/>
      <c r="BL46" s="150"/>
      <c r="BM46" s="150"/>
      <c r="BN46" s="150"/>
      <c r="BO46" s="150"/>
      <c r="BP46" s="150"/>
      <c r="BQ46" s="150"/>
      <c r="BR46" s="150"/>
      <c r="BS46" s="150"/>
      <c r="BT46" s="150"/>
      <c r="BU46" s="150"/>
      <c r="BV46" s="150"/>
      <c r="BW46" s="150"/>
      <c r="BX46" s="150"/>
      <c r="BY46" s="150"/>
      <c r="BZ46" s="150"/>
    </row>
    <row r="47" spans="1:78" ht="19.5" customHeight="1" x14ac:dyDescent="0.35">
      <c r="A47" s="150"/>
      <c r="B47" s="225"/>
      <c r="C47" s="225"/>
      <c r="D47" s="225"/>
      <c r="E47" s="225"/>
      <c r="F47" s="505"/>
      <c r="G47" s="505"/>
      <c r="H47" s="505"/>
      <c r="I47" s="505"/>
      <c r="J47" s="505"/>
      <c r="K47" s="505"/>
      <c r="L47" s="505"/>
      <c r="M47" s="505"/>
      <c r="N47" s="505"/>
      <c r="O47" s="505"/>
      <c r="P47" s="505"/>
      <c r="Q47" s="505"/>
      <c r="R47" s="505"/>
      <c r="S47" s="505"/>
      <c r="T47" s="505"/>
      <c r="U47" s="505"/>
      <c r="V47" s="505"/>
      <c r="W47" s="505"/>
      <c r="X47" s="505"/>
      <c r="Y47" s="505"/>
      <c r="Z47" s="505"/>
      <c r="AA47" s="505"/>
      <c r="AB47" s="505"/>
      <c r="AC47" s="505"/>
      <c r="AG47" s="150"/>
      <c r="AH47" s="150"/>
      <c r="AI47" s="150"/>
      <c r="AJ47" s="150"/>
      <c r="AK47" s="150"/>
      <c r="AL47" s="150"/>
      <c r="AM47" s="150"/>
      <c r="AN47" s="150"/>
      <c r="AO47" s="150"/>
      <c r="AP47" s="150"/>
      <c r="AQ47" s="150"/>
      <c r="AR47" s="150"/>
      <c r="AS47" s="150"/>
      <c r="AT47" s="150"/>
      <c r="AU47" s="150"/>
      <c r="AV47" s="150"/>
      <c r="AW47" s="150"/>
      <c r="AX47" s="150"/>
      <c r="AY47" s="150"/>
      <c r="AZ47" s="150"/>
      <c r="BA47" s="150"/>
      <c r="BB47" s="150"/>
      <c r="BC47" s="150"/>
      <c r="BD47" s="150"/>
      <c r="BE47" s="150"/>
      <c r="BF47" s="150"/>
      <c r="BG47" s="150"/>
      <c r="BH47" s="150"/>
      <c r="BI47" s="150"/>
      <c r="BJ47" s="150"/>
      <c r="BK47" s="150"/>
      <c r="BL47" s="150"/>
      <c r="BM47" s="150"/>
      <c r="BN47" s="150"/>
      <c r="BO47" s="150"/>
      <c r="BP47" s="150"/>
      <c r="BQ47" s="150"/>
      <c r="BR47" s="150"/>
      <c r="BS47" s="150"/>
      <c r="BT47" s="150"/>
      <c r="BU47" s="150"/>
      <c r="BV47" s="150"/>
      <c r="BW47" s="150"/>
      <c r="BX47" s="150"/>
      <c r="BY47" s="150"/>
      <c r="BZ47" s="150"/>
    </row>
    <row r="48" spans="1:78" ht="19.5" customHeight="1" x14ac:dyDescent="0.35">
      <c r="A48" s="150"/>
      <c r="B48" s="225" t="s">
        <v>867</v>
      </c>
      <c r="C48" s="225"/>
      <c r="D48" s="225"/>
      <c r="E48" s="225"/>
      <c r="F48" s="505"/>
      <c r="G48" s="505"/>
      <c r="H48" s="505"/>
      <c r="I48" s="505"/>
      <c r="J48" s="505"/>
      <c r="K48" s="505"/>
      <c r="L48" s="505"/>
      <c r="M48" s="505"/>
      <c r="N48" s="505"/>
      <c r="O48" s="505"/>
      <c r="P48" s="505"/>
      <c r="Q48" s="505"/>
      <c r="R48" s="505"/>
      <c r="S48" s="505"/>
      <c r="T48" s="505">
        <v>110.8</v>
      </c>
      <c r="U48" s="483">
        <v>96.021999999999991</v>
      </c>
      <c r="V48" s="189">
        <v>88.50800000000001</v>
      </c>
      <c r="W48" s="189">
        <v>88.50800000000001</v>
      </c>
      <c r="X48" s="189">
        <v>85.631</v>
      </c>
      <c r="Y48" s="189">
        <v>85.631</v>
      </c>
      <c r="Z48" s="189">
        <v>85.631</v>
      </c>
      <c r="AA48" s="189">
        <v>85.631</v>
      </c>
      <c r="AB48" s="189">
        <v>90.463999999999999</v>
      </c>
      <c r="AC48" s="189">
        <v>90.463999999999999</v>
      </c>
      <c r="AD48" s="482">
        <f>U11-U48</f>
        <v>4.6780000000000115</v>
      </c>
      <c r="AG48" s="150"/>
      <c r="AH48" s="150"/>
      <c r="AI48" s="150"/>
      <c r="AJ48" s="150"/>
      <c r="AK48" s="150"/>
      <c r="AL48" s="150"/>
      <c r="AM48" s="150"/>
      <c r="AN48" s="150"/>
      <c r="AO48" s="150"/>
      <c r="AP48" s="150"/>
      <c r="AQ48" s="150"/>
      <c r="AR48" s="150"/>
      <c r="AS48" s="150"/>
      <c r="AT48" s="150"/>
      <c r="AU48" s="150"/>
      <c r="AV48" s="150"/>
      <c r="AW48" s="150"/>
      <c r="AX48" s="150"/>
      <c r="AY48" s="150"/>
      <c r="AZ48" s="150"/>
      <c r="BA48" s="150"/>
      <c r="BB48" s="150"/>
      <c r="BC48" s="150"/>
      <c r="BD48" s="150"/>
      <c r="BE48" s="150"/>
      <c r="BF48" s="150"/>
      <c r="BG48" s="150"/>
      <c r="BH48" s="150"/>
      <c r="BI48" s="150"/>
      <c r="BJ48" s="150"/>
      <c r="BK48" s="150"/>
      <c r="BL48" s="150"/>
      <c r="BM48" s="150"/>
      <c r="BN48" s="150"/>
      <c r="BO48" s="150"/>
      <c r="BP48" s="150"/>
      <c r="BQ48" s="150"/>
      <c r="BR48" s="150"/>
      <c r="BS48" s="150"/>
      <c r="BT48" s="150"/>
      <c r="BU48" s="150"/>
      <c r="BV48" s="150"/>
      <c r="BW48" s="150"/>
      <c r="BX48" s="150"/>
      <c r="BY48" s="150"/>
      <c r="BZ48" s="150"/>
    </row>
    <row r="49" spans="2:30" x14ac:dyDescent="0.35">
      <c r="B49" s="478" t="s">
        <v>405</v>
      </c>
      <c r="C49" s="202"/>
      <c r="D49" s="202"/>
      <c r="E49" s="202"/>
      <c r="F49" s="202"/>
      <c r="G49" s="202"/>
      <c r="H49" s="202"/>
      <c r="I49" s="202"/>
      <c r="J49" s="202"/>
      <c r="K49" s="202"/>
      <c r="L49" s="202"/>
      <c r="M49" s="202"/>
      <c r="N49" s="202"/>
      <c r="O49" s="202"/>
      <c r="P49" s="448"/>
      <c r="Q49" s="448"/>
      <c r="R49" s="448"/>
      <c r="S49" s="448"/>
      <c r="T49" s="479">
        <v>78.977999999999994</v>
      </c>
      <c r="U49" s="480">
        <v>76</v>
      </c>
      <c r="V49" s="480">
        <v>76</v>
      </c>
      <c r="W49" s="480">
        <v>76</v>
      </c>
      <c r="X49" s="480">
        <v>76</v>
      </c>
      <c r="Y49" s="480">
        <v>76</v>
      </c>
      <c r="Z49" s="480">
        <v>76</v>
      </c>
      <c r="AA49" s="480">
        <v>76</v>
      </c>
      <c r="AB49" s="480">
        <v>76</v>
      </c>
      <c r="AC49" s="480">
        <v>76</v>
      </c>
      <c r="AD49" s="482">
        <f t="shared" ref="AD49:AD83" si="39">U12-U49</f>
        <v>12.192000000000007</v>
      </c>
    </row>
    <row r="50" spans="2:30" x14ac:dyDescent="0.35">
      <c r="B50" t="s">
        <v>406</v>
      </c>
      <c r="T50" s="169">
        <v>31.822000000000003</v>
      </c>
      <c r="U50" s="169">
        <v>20.021999999999998</v>
      </c>
      <c r="V50" s="169">
        <v>12.508000000000003</v>
      </c>
      <c r="W50" s="169">
        <v>12.508000000000003</v>
      </c>
      <c r="X50" s="169">
        <v>9.6310000000000002</v>
      </c>
      <c r="Y50" s="169">
        <v>9.6310000000000002</v>
      </c>
      <c r="Z50" s="169">
        <v>9.6310000000000002</v>
      </c>
      <c r="AA50" s="169">
        <v>9.6310000000000002</v>
      </c>
      <c r="AB50" s="169">
        <v>14.464</v>
      </c>
      <c r="AC50" s="169">
        <v>14.464</v>
      </c>
      <c r="AD50" s="482">
        <f t="shared" si="39"/>
        <v>-7.5139999999999958</v>
      </c>
    </row>
    <row r="51" spans="2:30" x14ac:dyDescent="0.35">
      <c r="B51" t="s">
        <v>50</v>
      </c>
      <c r="S51" s="35"/>
      <c r="T51" s="167">
        <v>0</v>
      </c>
      <c r="U51" s="169"/>
      <c r="V51" s="169"/>
      <c r="W51" s="169"/>
      <c r="X51" s="169"/>
      <c r="Y51" s="169"/>
      <c r="AD51" s="482">
        <f t="shared" si="39"/>
        <v>0</v>
      </c>
    </row>
    <row r="52" spans="2:30" x14ac:dyDescent="0.35">
      <c r="B52" t="s">
        <v>407</v>
      </c>
      <c r="T52" s="167">
        <v>28.200000000000003</v>
      </c>
      <c r="U52" s="167">
        <v>16.399999999999999</v>
      </c>
      <c r="V52" s="167">
        <v>8.886000000000001</v>
      </c>
      <c r="W52" s="167">
        <v>8.886000000000001</v>
      </c>
      <c r="X52" s="167">
        <v>0.2</v>
      </c>
      <c r="Y52" s="167">
        <v>0.2</v>
      </c>
      <c r="Z52" s="167">
        <v>0.2</v>
      </c>
      <c r="AA52" s="167">
        <v>0.2</v>
      </c>
      <c r="AB52" s="167">
        <v>0</v>
      </c>
      <c r="AC52" s="167">
        <v>0</v>
      </c>
      <c r="AD52" s="482">
        <f t="shared" si="39"/>
        <v>-7.5139999999999976</v>
      </c>
    </row>
    <row r="53" spans="2:30" x14ac:dyDescent="0.35">
      <c r="B53" t="s">
        <v>145</v>
      </c>
      <c r="T53" s="167">
        <v>0</v>
      </c>
      <c r="U53" s="169"/>
      <c r="V53" s="169"/>
      <c r="W53" s="169"/>
      <c r="X53" s="169"/>
      <c r="Y53" s="169"/>
      <c r="AD53" s="482">
        <f t="shared" si="39"/>
        <v>0</v>
      </c>
    </row>
    <row r="54" spans="2:30" x14ac:dyDescent="0.35">
      <c r="B54" t="s">
        <v>143</v>
      </c>
      <c r="T54" s="167">
        <v>0</v>
      </c>
      <c r="U54" s="169">
        <v>0</v>
      </c>
      <c r="V54" s="169">
        <v>0</v>
      </c>
      <c r="W54" s="169">
        <v>0</v>
      </c>
      <c r="X54" s="169">
        <v>0</v>
      </c>
      <c r="Y54" s="169">
        <v>0</v>
      </c>
      <c r="Z54" s="169">
        <v>0</v>
      </c>
      <c r="AA54" s="169">
        <v>0</v>
      </c>
      <c r="AB54" s="169">
        <v>0</v>
      </c>
      <c r="AC54" s="169">
        <v>0</v>
      </c>
      <c r="AD54" s="482">
        <f t="shared" si="39"/>
        <v>0</v>
      </c>
    </row>
    <row r="55" spans="2:30" x14ac:dyDescent="0.35">
      <c r="B55" t="s">
        <v>142</v>
      </c>
      <c r="T55" s="167">
        <v>0.4</v>
      </c>
      <c r="U55" s="169">
        <v>0</v>
      </c>
      <c r="V55" s="169">
        <v>0</v>
      </c>
      <c r="W55" s="169">
        <v>0</v>
      </c>
      <c r="X55" s="169">
        <v>0</v>
      </c>
      <c r="Y55" s="169">
        <v>0</v>
      </c>
      <c r="Z55" s="169">
        <v>0</v>
      </c>
      <c r="AA55" s="169">
        <v>0</v>
      </c>
      <c r="AB55" s="169">
        <v>0</v>
      </c>
      <c r="AC55" s="169">
        <v>0</v>
      </c>
      <c r="AD55" s="482">
        <f t="shared" si="39"/>
        <v>0</v>
      </c>
    </row>
    <row r="56" spans="2:30" x14ac:dyDescent="0.35">
      <c r="B56" t="s">
        <v>411</v>
      </c>
      <c r="T56" s="167">
        <v>3.6</v>
      </c>
      <c r="U56" s="169"/>
      <c r="V56" s="169"/>
      <c r="W56" s="169"/>
      <c r="X56" s="169"/>
      <c r="Y56" s="169"/>
      <c r="AD56" s="482">
        <f t="shared" si="39"/>
        <v>0</v>
      </c>
    </row>
    <row r="57" spans="2:30" x14ac:dyDescent="0.35">
      <c r="B57" t="s">
        <v>144</v>
      </c>
      <c r="T57" s="167">
        <v>15.8</v>
      </c>
      <c r="U57" s="169">
        <v>8</v>
      </c>
      <c r="V57" s="169">
        <v>0.48599999999999993</v>
      </c>
      <c r="W57" s="169">
        <v>0.48599999999999993</v>
      </c>
      <c r="X57" s="169">
        <v>0</v>
      </c>
      <c r="Y57" s="169">
        <v>0</v>
      </c>
      <c r="Z57" s="169">
        <v>0</v>
      </c>
      <c r="AA57" s="169">
        <v>0</v>
      </c>
      <c r="AB57" s="169">
        <v>0</v>
      </c>
      <c r="AC57" s="169">
        <v>0</v>
      </c>
      <c r="AD57" s="482">
        <f t="shared" si="39"/>
        <v>-7.5140000000000002</v>
      </c>
    </row>
    <row r="58" spans="2:30" x14ac:dyDescent="0.35">
      <c r="B58" t="s">
        <v>148</v>
      </c>
      <c r="T58" s="167">
        <v>0</v>
      </c>
      <c r="U58" s="169">
        <v>0</v>
      </c>
      <c r="V58" s="169">
        <v>0</v>
      </c>
      <c r="W58" s="169">
        <v>0</v>
      </c>
      <c r="X58" s="169">
        <v>0</v>
      </c>
      <c r="Y58" s="169">
        <v>0</v>
      </c>
      <c r="Z58" s="169">
        <v>0</v>
      </c>
      <c r="AA58" s="169">
        <v>0</v>
      </c>
      <c r="AB58" s="169">
        <v>0</v>
      </c>
      <c r="AC58" s="169">
        <v>0</v>
      </c>
      <c r="AD58" s="482">
        <f t="shared" si="39"/>
        <v>0</v>
      </c>
    </row>
    <row r="59" spans="2:30" x14ac:dyDescent="0.35">
      <c r="B59" t="s">
        <v>414</v>
      </c>
      <c r="T59" s="167">
        <v>0</v>
      </c>
      <c r="U59" s="169">
        <v>0</v>
      </c>
      <c r="V59" s="169">
        <v>0</v>
      </c>
      <c r="W59" s="169">
        <v>0</v>
      </c>
      <c r="X59" s="169">
        <v>0</v>
      </c>
      <c r="Y59" s="169">
        <v>0</v>
      </c>
      <c r="Z59" s="169">
        <v>0</v>
      </c>
      <c r="AA59" s="169">
        <v>0</v>
      </c>
      <c r="AB59" s="169">
        <v>0</v>
      </c>
      <c r="AC59" s="169">
        <v>0</v>
      </c>
      <c r="AD59" s="482">
        <f t="shared" si="39"/>
        <v>0</v>
      </c>
    </row>
    <row r="60" spans="2:30" x14ac:dyDescent="0.35">
      <c r="B60" t="s">
        <v>415</v>
      </c>
      <c r="T60" s="167">
        <v>0</v>
      </c>
      <c r="U60" s="169">
        <v>0</v>
      </c>
      <c r="V60" s="169">
        <v>0</v>
      </c>
      <c r="W60" s="169">
        <v>0</v>
      </c>
      <c r="X60" s="169">
        <v>0</v>
      </c>
      <c r="Y60" s="169">
        <v>0</v>
      </c>
      <c r="Z60" s="169">
        <v>0</v>
      </c>
      <c r="AA60" s="169">
        <v>0</v>
      </c>
      <c r="AB60" s="169">
        <v>0</v>
      </c>
      <c r="AC60" s="169">
        <v>0</v>
      </c>
      <c r="AD60" s="482">
        <f t="shared" si="39"/>
        <v>0</v>
      </c>
    </row>
    <row r="61" spans="2:30" x14ac:dyDescent="0.35">
      <c r="B61" t="s">
        <v>416</v>
      </c>
      <c r="T61" s="169">
        <v>8.4</v>
      </c>
      <c r="U61" s="169">
        <v>8.4</v>
      </c>
      <c r="V61" s="169">
        <v>8.4</v>
      </c>
      <c r="W61" s="169">
        <v>8.4</v>
      </c>
      <c r="X61" s="169">
        <v>0.2</v>
      </c>
      <c r="Y61" s="169">
        <v>0.2</v>
      </c>
      <c r="Z61" s="169">
        <v>0.2</v>
      </c>
      <c r="AA61" s="169">
        <v>0.2</v>
      </c>
      <c r="AB61" s="169">
        <v>0</v>
      </c>
      <c r="AC61" s="169">
        <v>0</v>
      </c>
      <c r="AD61" s="482">
        <f t="shared" si="39"/>
        <v>0</v>
      </c>
    </row>
    <row r="62" spans="2:30" x14ac:dyDescent="0.35">
      <c r="B62" t="s">
        <v>417</v>
      </c>
      <c r="T62" s="169">
        <v>0</v>
      </c>
      <c r="U62" s="169">
        <v>0</v>
      </c>
      <c r="V62" s="169">
        <v>0</v>
      </c>
      <c r="W62" s="169">
        <v>0</v>
      </c>
      <c r="X62" s="169">
        <v>0</v>
      </c>
      <c r="Y62" s="169">
        <v>0</v>
      </c>
      <c r="Z62" s="169">
        <v>0</v>
      </c>
      <c r="AA62" s="169">
        <v>0</v>
      </c>
      <c r="AB62" s="169">
        <v>0</v>
      </c>
      <c r="AC62" s="169">
        <v>0</v>
      </c>
      <c r="AD62" s="482">
        <f t="shared" si="39"/>
        <v>0</v>
      </c>
    </row>
    <row r="63" spans="2:30" x14ac:dyDescent="0.35">
      <c r="B63" t="s">
        <v>1382</v>
      </c>
      <c r="T63" s="169">
        <v>2.3250000000000002</v>
      </c>
      <c r="U63" s="169">
        <v>2.3250000000000002</v>
      </c>
      <c r="V63" s="169">
        <v>2.3250000000000002</v>
      </c>
      <c r="W63" s="169">
        <v>2.3250000000000002</v>
      </c>
      <c r="X63" s="169">
        <v>5.5830000000000002</v>
      </c>
      <c r="Y63" s="169">
        <v>5.5830000000000002</v>
      </c>
      <c r="Z63" s="169">
        <v>5.5830000000000002</v>
      </c>
      <c r="AA63" s="169">
        <v>5.5830000000000002</v>
      </c>
      <c r="AB63" s="169">
        <v>8.0220000000000002</v>
      </c>
      <c r="AC63" s="169">
        <v>8.0220000000000002</v>
      </c>
      <c r="AD63" s="482">
        <f t="shared" si="39"/>
        <v>0</v>
      </c>
    </row>
    <row r="64" spans="2:30" x14ac:dyDescent="0.35">
      <c r="B64" t="s">
        <v>1190</v>
      </c>
      <c r="T64" s="169">
        <v>1.2969999999999999</v>
      </c>
      <c r="U64" s="169">
        <v>1.2969999999999999</v>
      </c>
      <c r="V64" s="169">
        <v>1.2969999999999999</v>
      </c>
      <c r="W64" s="169">
        <v>1.2969999999999999</v>
      </c>
      <c r="X64" s="169">
        <v>3.8479999999999999</v>
      </c>
      <c r="Y64" s="169">
        <v>3.8479999999999999</v>
      </c>
      <c r="Z64" s="169">
        <v>3.8479999999999999</v>
      </c>
      <c r="AA64" s="169">
        <v>3.8479999999999999</v>
      </c>
      <c r="AB64" s="169">
        <v>6.4420000000000002</v>
      </c>
      <c r="AC64" s="169">
        <v>6.4420000000000002</v>
      </c>
      <c r="AD64" s="482">
        <f t="shared" si="39"/>
        <v>0</v>
      </c>
    </row>
    <row r="65" spans="2:30" x14ac:dyDescent="0.35">
      <c r="B65" t="s">
        <v>418</v>
      </c>
      <c r="T65" s="169"/>
      <c r="U65" s="169"/>
      <c r="AD65" s="482">
        <f t="shared" si="39"/>
        <v>0</v>
      </c>
    </row>
    <row r="66" spans="2:30" x14ac:dyDescent="0.35">
      <c r="B66" t="s">
        <v>419</v>
      </c>
      <c r="T66" s="169"/>
      <c r="U66" s="169"/>
      <c r="AD66" s="482">
        <f t="shared" si="39"/>
        <v>0</v>
      </c>
    </row>
    <row r="67" spans="2:30" x14ac:dyDescent="0.35">
      <c r="B67" t="s">
        <v>420</v>
      </c>
      <c r="T67" s="169"/>
      <c r="U67" s="169"/>
      <c r="AD67" s="482">
        <f t="shared" si="39"/>
        <v>0</v>
      </c>
    </row>
    <row r="68" spans="2:30" x14ac:dyDescent="0.35">
      <c r="B68" t="s">
        <v>417</v>
      </c>
      <c r="T68" s="169"/>
      <c r="U68" s="169"/>
      <c r="AD68" s="482">
        <f t="shared" si="39"/>
        <v>0</v>
      </c>
    </row>
    <row r="69" spans="2:30" x14ac:dyDescent="0.35">
      <c r="B69" t="s">
        <v>414</v>
      </c>
      <c r="T69" s="481"/>
      <c r="U69" s="481"/>
      <c r="AD69" s="482">
        <f t="shared" si="39"/>
        <v>0</v>
      </c>
    </row>
    <row r="70" spans="2:30" x14ac:dyDescent="0.35">
      <c r="B70" t="s">
        <v>421</v>
      </c>
      <c r="T70" s="481"/>
      <c r="U70" s="481"/>
      <c r="AD70" s="482">
        <f t="shared" si="39"/>
        <v>0</v>
      </c>
    </row>
    <row r="71" spans="2:30" x14ac:dyDescent="0.35">
      <c r="B71" t="s">
        <v>422</v>
      </c>
      <c r="T71" s="169"/>
      <c r="U71" s="169"/>
      <c r="AD71" s="482">
        <f t="shared" si="39"/>
        <v>0</v>
      </c>
    </row>
    <row r="72" spans="2:30" x14ac:dyDescent="0.35">
      <c r="B72" t="s">
        <v>423</v>
      </c>
      <c r="T72" s="169"/>
      <c r="U72" s="169"/>
      <c r="AD72" s="482">
        <f t="shared" si="39"/>
        <v>0</v>
      </c>
    </row>
    <row r="73" spans="2:30" x14ac:dyDescent="0.35">
      <c r="B73" t="s">
        <v>143</v>
      </c>
      <c r="T73" s="169">
        <v>0</v>
      </c>
      <c r="U73" s="169">
        <v>0</v>
      </c>
      <c r="V73" s="169">
        <v>0</v>
      </c>
      <c r="W73" s="169">
        <v>0</v>
      </c>
      <c r="X73" s="169">
        <v>0</v>
      </c>
      <c r="Y73" s="169">
        <v>0</v>
      </c>
      <c r="Z73" s="169">
        <v>0</v>
      </c>
      <c r="AA73" s="169">
        <v>0</v>
      </c>
      <c r="AB73" s="169">
        <v>0</v>
      </c>
      <c r="AC73" s="169">
        <v>0</v>
      </c>
      <c r="AD73" s="482">
        <f t="shared" si="39"/>
        <v>0</v>
      </c>
    </row>
    <row r="74" spans="2:30" x14ac:dyDescent="0.35">
      <c r="B74" t="s">
        <v>424</v>
      </c>
      <c r="T74" s="169">
        <v>0.48599999999999993</v>
      </c>
      <c r="U74" s="169">
        <v>0.48599999999999993</v>
      </c>
      <c r="V74" s="169">
        <v>0.48599999999999993</v>
      </c>
      <c r="W74" s="169">
        <v>0.48599999999999993</v>
      </c>
      <c r="X74" s="169">
        <v>0</v>
      </c>
      <c r="Y74" s="169">
        <v>0</v>
      </c>
      <c r="Z74" s="169">
        <v>0</v>
      </c>
      <c r="AA74" s="169">
        <v>0</v>
      </c>
      <c r="AB74" s="169">
        <v>0</v>
      </c>
      <c r="AC74" s="169">
        <v>0</v>
      </c>
      <c r="AD74" s="482">
        <f t="shared" si="39"/>
        <v>0</v>
      </c>
    </row>
    <row r="75" spans="2:30" x14ac:dyDescent="0.35">
      <c r="B75" t="s">
        <v>148</v>
      </c>
      <c r="T75" s="169">
        <v>0</v>
      </c>
      <c r="U75" s="169">
        <v>0</v>
      </c>
      <c r="V75" s="169">
        <v>0</v>
      </c>
      <c r="W75" s="169">
        <v>0</v>
      </c>
      <c r="X75" s="169">
        <v>0</v>
      </c>
      <c r="Y75" s="169">
        <v>0</v>
      </c>
      <c r="Z75" s="169">
        <v>0</v>
      </c>
      <c r="AA75" s="169">
        <v>0</v>
      </c>
      <c r="AB75" s="169">
        <v>0</v>
      </c>
      <c r="AC75" s="169">
        <v>0</v>
      </c>
      <c r="AD75" s="482">
        <f t="shared" si="39"/>
        <v>0</v>
      </c>
    </row>
    <row r="76" spans="2:30" x14ac:dyDescent="0.35">
      <c r="B76" t="s">
        <v>414</v>
      </c>
      <c r="T76" s="169">
        <v>0.78750000000000009</v>
      </c>
      <c r="U76" s="169">
        <v>0.78750000000000009</v>
      </c>
      <c r="V76" s="169">
        <v>0.78750000000000009</v>
      </c>
      <c r="W76" s="169">
        <v>0.78750000000000009</v>
      </c>
      <c r="X76" s="169">
        <v>0</v>
      </c>
      <c r="Y76" s="169">
        <v>0</v>
      </c>
      <c r="Z76" s="169">
        <v>0</v>
      </c>
      <c r="AA76" s="169">
        <v>0</v>
      </c>
      <c r="AB76" s="169">
        <v>0</v>
      </c>
      <c r="AC76" s="169">
        <v>0</v>
      </c>
      <c r="AD76" s="482">
        <f t="shared" si="39"/>
        <v>0</v>
      </c>
    </row>
    <row r="77" spans="2:30" x14ac:dyDescent="0.35">
      <c r="B77" t="s">
        <v>425</v>
      </c>
      <c r="T77" s="169">
        <v>1.3125000000000002</v>
      </c>
      <c r="U77" s="169">
        <v>1.3125000000000002</v>
      </c>
      <c r="V77" s="169">
        <v>1.3125000000000002</v>
      </c>
      <c r="W77" s="169">
        <v>1.3125000000000002</v>
      </c>
      <c r="X77" s="169">
        <v>0</v>
      </c>
      <c r="Y77" s="169">
        <v>0</v>
      </c>
      <c r="Z77" s="169">
        <v>0</v>
      </c>
      <c r="AA77" s="169">
        <v>0</v>
      </c>
      <c r="AB77" s="169">
        <v>0</v>
      </c>
      <c r="AC77" s="169">
        <v>0</v>
      </c>
      <c r="AD77" s="482">
        <f t="shared" si="39"/>
        <v>0</v>
      </c>
    </row>
    <row r="78" spans="2:30" x14ac:dyDescent="0.35">
      <c r="B78" t="s">
        <v>426</v>
      </c>
      <c r="T78" s="169">
        <v>8.4</v>
      </c>
      <c r="U78" s="169">
        <v>8.4</v>
      </c>
      <c r="V78" s="169">
        <v>8.4</v>
      </c>
      <c r="W78" s="169">
        <v>8.4</v>
      </c>
      <c r="X78" s="169">
        <v>0.2</v>
      </c>
      <c r="Y78" s="169">
        <v>0.2</v>
      </c>
      <c r="Z78" s="169">
        <v>0.2</v>
      </c>
      <c r="AA78" s="169">
        <v>0.2</v>
      </c>
      <c r="AB78" s="169">
        <v>0</v>
      </c>
      <c r="AC78" s="169">
        <v>0</v>
      </c>
      <c r="AD78" s="482">
        <f t="shared" si="39"/>
        <v>0</v>
      </c>
    </row>
    <row r="79" spans="2:30" x14ac:dyDescent="0.35">
      <c r="B79" t="s">
        <v>427</v>
      </c>
      <c r="T79" s="169">
        <v>0</v>
      </c>
      <c r="U79" s="169">
        <v>0</v>
      </c>
      <c r="V79" s="169">
        <v>0</v>
      </c>
      <c r="W79" s="169">
        <v>0</v>
      </c>
      <c r="X79" s="169">
        <v>0</v>
      </c>
      <c r="Y79" s="169">
        <v>0</v>
      </c>
      <c r="Z79" s="169">
        <v>0</v>
      </c>
      <c r="AA79" s="169">
        <v>0</v>
      </c>
      <c r="AB79" s="169">
        <v>0</v>
      </c>
      <c r="AC79" s="169">
        <v>0</v>
      </c>
      <c r="AD79" s="482">
        <f t="shared" si="39"/>
        <v>0</v>
      </c>
    </row>
    <row r="80" spans="2:30" x14ac:dyDescent="0.35">
      <c r="B80" t="s">
        <v>312</v>
      </c>
      <c r="T80" s="169">
        <v>12.362</v>
      </c>
      <c r="U80" s="169">
        <v>12.362</v>
      </c>
      <c r="V80" s="169">
        <v>12.362</v>
      </c>
      <c r="W80" s="169">
        <v>12.362</v>
      </c>
      <c r="X80" s="169">
        <v>-0.67500000000000004</v>
      </c>
      <c r="Y80" s="169">
        <v>-0.67500000000000004</v>
      </c>
      <c r="Z80" s="169">
        <v>-0.67500000000000004</v>
      </c>
      <c r="AA80" s="169">
        <v>-0.67500000000000004</v>
      </c>
      <c r="AB80" s="169">
        <v>0</v>
      </c>
      <c r="AC80" s="169">
        <v>0</v>
      </c>
      <c r="AD80" s="482">
        <f t="shared" si="39"/>
        <v>0</v>
      </c>
    </row>
    <row r="81" spans="2:30" x14ac:dyDescent="0.35">
      <c r="B81" t="s">
        <v>428</v>
      </c>
      <c r="T81" s="169"/>
      <c r="U81" s="169"/>
      <c r="AD81" s="482">
        <f t="shared" si="39"/>
        <v>0</v>
      </c>
    </row>
    <row r="82" spans="2:30" x14ac:dyDescent="0.35">
      <c r="B82" t="s">
        <v>429</v>
      </c>
      <c r="T82" s="169">
        <v>12.726000000000001</v>
      </c>
      <c r="U82" s="169">
        <v>12.726000000000001</v>
      </c>
      <c r="V82" s="169">
        <v>12.726000000000001</v>
      </c>
      <c r="W82" s="169">
        <v>12.726000000000001</v>
      </c>
      <c r="X82" s="169">
        <v>1.365</v>
      </c>
      <c r="Y82" s="169">
        <v>1.365</v>
      </c>
      <c r="Z82" s="169">
        <v>1.365</v>
      </c>
      <c r="AA82" s="169">
        <v>1.365</v>
      </c>
      <c r="AB82" s="169">
        <v>-0.90100000000000025</v>
      </c>
      <c r="AC82" s="169">
        <v>-0.90100000000000025</v>
      </c>
      <c r="AD82" s="482">
        <f t="shared" si="39"/>
        <v>0</v>
      </c>
    </row>
    <row r="83" spans="2:30" x14ac:dyDescent="0.35">
      <c r="B83" t="s">
        <v>199</v>
      </c>
      <c r="T83" s="167">
        <v>98.073999999999998</v>
      </c>
      <c r="U83" s="482">
        <v>83.295999999999992</v>
      </c>
      <c r="V83" s="167">
        <v>75.782000000000011</v>
      </c>
      <c r="W83" s="167">
        <v>75.782000000000011</v>
      </c>
      <c r="X83" s="167">
        <v>84.266000000000005</v>
      </c>
      <c r="Y83" s="167">
        <v>84.266000000000005</v>
      </c>
      <c r="Z83" s="167">
        <v>84.266000000000005</v>
      </c>
      <c r="AA83" s="167">
        <v>84.266000000000005</v>
      </c>
      <c r="AB83" s="167">
        <v>91.364999999999995</v>
      </c>
      <c r="AC83" s="167">
        <v>91.364999999999995</v>
      </c>
      <c r="AD83" s="482">
        <f t="shared" si="39"/>
        <v>4.6780000000000115</v>
      </c>
    </row>
    <row r="84" spans="2:30" x14ac:dyDescent="0.35">
      <c r="AD84" s="482"/>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A7" zoomScaleNormal="100" workbookViewId="0">
      <selection activeCell="C9" sqref="C9"/>
    </sheetView>
  </sheetViews>
  <sheetFormatPr defaultColWidth="10.9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240" t="s">
        <v>37</v>
      </c>
      <c r="B2" s="1241"/>
      <c r="C2" s="1241"/>
      <c r="D2" s="1242"/>
      <c r="E2" s="16"/>
      <c r="F2" s="16"/>
    </row>
    <row r="3" spans="1:7" ht="148.4" customHeight="1" x14ac:dyDescent="0.35">
      <c r="A3" s="19" t="s">
        <v>855</v>
      </c>
      <c r="B3" s="14" t="s">
        <v>1801</v>
      </c>
      <c r="C3" s="14" t="s">
        <v>853</v>
      </c>
      <c r="D3" s="23" t="s">
        <v>927</v>
      </c>
    </row>
    <row r="4" spans="1:7" ht="85.5" customHeight="1" x14ac:dyDescent="0.35">
      <c r="A4" s="19" t="s">
        <v>1884</v>
      </c>
      <c r="B4" s="14" t="s">
        <v>1885</v>
      </c>
      <c r="C4" s="14" t="s">
        <v>926</v>
      </c>
      <c r="D4" s="23" t="s">
        <v>927</v>
      </c>
      <c r="E4" s="14"/>
      <c r="F4" s="14"/>
    </row>
    <row r="5" spans="1:7" ht="168" customHeight="1" x14ac:dyDescent="0.35">
      <c r="A5" s="19" t="s">
        <v>843</v>
      </c>
      <c r="B5" s="14" t="s">
        <v>844</v>
      </c>
      <c r="C5" s="14" t="s">
        <v>866</v>
      </c>
      <c r="D5" s="23" t="s">
        <v>927</v>
      </c>
      <c r="E5" s="14"/>
      <c r="F5" s="14"/>
    </row>
    <row r="6" spans="1:7" ht="105" customHeight="1" x14ac:dyDescent="0.35">
      <c r="A6" s="19" t="s">
        <v>845</v>
      </c>
      <c r="B6" s="14" t="s">
        <v>38</v>
      </c>
      <c r="C6" s="14" t="s">
        <v>39</v>
      </c>
      <c r="D6" s="23" t="s">
        <v>927</v>
      </c>
      <c r="E6" s="14"/>
      <c r="F6" s="14"/>
    </row>
    <row r="7" spans="1:7" ht="61.5" customHeight="1" x14ac:dyDescent="0.35">
      <c r="A7" s="19" t="s">
        <v>1887</v>
      </c>
      <c r="B7" s="14" t="s">
        <v>1888</v>
      </c>
      <c r="C7" s="14" t="s">
        <v>1894</v>
      </c>
      <c r="D7" s="23" t="s">
        <v>927</v>
      </c>
      <c r="E7" s="14"/>
      <c r="F7" s="14"/>
    </row>
    <row r="8" spans="1:7" ht="100.4" customHeight="1" x14ac:dyDescent="0.35">
      <c r="A8" s="19" t="s">
        <v>42</v>
      </c>
      <c r="B8" s="14" t="s">
        <v>43</v>
      </c>
      <c r="C8" s="28" t="s">
        <v>44</v>
      </c>
      <c r="D8" s="23" t="s">
        <v>927</v>
      </c>
      <c r="E8" s="17"/>
      <c r="F8" s="14"/>
      <c r="G8" s="29"/>
    </row>
    <row r="9" spans="1:7" ht="78" customHeight="1" x14ac:dyDescent="0.35">
      <c r="A9" s="19" t="s">
        <v>45</v>
      </c>
      <c r="B9" s="14" t="s">
        <v>46</v>
      </c>
      <c r="C9" s="14" t="s">
        <v>872</v>
      </c>
      <c r="D9" s="23" t="s">
        <v>927</v>
      </c>
      <c r="E9" s="14"/>
      <c r="F9" s="14"/>
    </row>
    <row r="10" spans="1:7" ht="67.5" customHeight="1" x14ac:dyDescent="0.35">
      <c r="A10" s="19" t="s">
        <v>819</v>
      </c>
      <c r="B10" s="14" t="s">
        <v>829</v>
      </c>
      <c r="C10" s="14" t="s">
        <v>886</v>
      </c>
      <c r="D10" s="23" t="s">
        <v>927</v>
      </c>
      <c r="E10" s="14"/>
      <c r="F10" s="14"/>
    </row>
    <row r="11" spans="1:7" ht="63.65" customHeight="1" x14ac:dyDescent="0.35">
      <c r="A11" s="19" t="s">
        <v>47</v>
      </c>
      <c r="B11" s="14" t="s">
        <v>48</v>
      </c>
      <c r="C11" s="14" t="s">
        <v>846</v>
      </c>
      <c r="D11" s="15"/>
      <c r="E11" s="14"/>
      <c r="F11" s="14"/>
    </row>
    <row r="12" spans="1:7" ht="15" customHeight="1" x14ac:dyDescent="0.35">
      <c r="A12" s="1240" t="s">
        <v>847</v>
      </c>
      <c r="B12" s="1241"/>
      <c r="C12" s="1241"/>
      <c r="D12" s="1242"/>
      <c r="E12" s="16"/>
      <c r="F12" s="14"/>
    </row>
    <row r="13" spans="1:7" ht="29.9" customHeight="1" x14ac:dyDescent="0.35">
      <c r="A13" s="20" t="s">
        <v>9</v>
      </c>
      <c r="B13" s="1246" t="s">
        <v>849</v>
      </c>
      <c r="C13" s="1246"/>
      <c r="D13" s="24"/>
      <c r="E13" s="16"/>
      <c r="F13" s="14"/>
    </row>
    <row r="14" spans="1:7" ht="48.65" customHeight="1" x14ac:dyDescent="0.35">
      <c r="A14" s="18" t="s">
        <v>848</v>
      </c>
      <c r="B14" s="1246" t="s">
        <v>859</v>
      </c>
      <c r="C14" s="1246"/>
      <c r="D14" s="23"/>
      <c r="E14" s="16"/>
      <c r="F14" s="14"/>
    </row>
    <row r="15" spans="1:7" ht="48.65" customHeight="1" x14ac:dyDescent="0.35">
      <c r="A15" s="18" t="s">
        <v>850</v>
      </c>
      <c r="B15" s="1246" t="s">
        <v>851</v>
      </c>
      <c r="C15" s="1246"/>
      <c r="D15" s="15"/>
      <c r="E15" s="16"/>
      <c r="F15" s="14"/>
    </row>
    <row r="16" spans="1:7" x14ac:dyDescent="0.35">
      <c r="A16" s="1243" t="s">
        <v>59</v>
      </c>
      <c r="B16" s="1244"/>
      <c r="C16" s="1244"/>
      <c r="D16" s="1245"/>
      <c r="E16" s="14"/>
      <c r="F16" s="14"/>
    </row>
    <row r="17" spans="1:6" ht="36.65" customHeight="1" x14ac:dyDescent="0.35">
      <c r="A17" s="1238" t="s">
        <v>852</v>
      </c>
      <c r="B17" s="1239"/>
      <c r="C17" s="1239"/>
      <c r="D17" s="24"/>
      <c r="E17" s="14"/>
      <c r="F17" s="14"/>
    </row>
    <row r="18" spans="1:6" ht="145.5" customHeight="1" x14ac:dyDescent="0.35">
      <c r="A18" s="19" t="s">
        <v>60</v>
      </c>
      <c r="B18" s="14" t="s">
        <v>873</v>
      </c>
      <c r="C18" s="14" t="s">
        <v>880</v>
      </c>
      <c r="D18" s="23"/>
      <c r="E18" s="14"/>
      <c r="F18" s="14"/>
    </row>
    <row r="19" spans="1:6" ht="63.65" customHeight="1" x14ac:dyDescent="0.35">
      <c r="A19" s="19" t="s">
        <v>61</v>
      </c>
      <c r="B19" s="14" t="s">
        <v>874</v>
      </c>
      <c r="C19" s="14" t="s">
        <v>875</v>
      </c>
      <c r="D19" s="23"/>
      <c r="E19" s="14"/>
      <c r="F19" s="14"/>
    </row>
    <row r="20" spans="1:6" ht="63.65" customHeight="1" x14ac:dyDescent="0.35">
      <c r="A20" s="19" t="s">
        <v>876</v>
      </c>
      <c r="B20" s="14" t="s">
        <v>877</v>
      </c>
      <c r="C20" s="14" t="s">
        <v>878</v>
      </c>
      <c r="D20" s="23"/>
      <c r="E20" s="14"/>
      <c r="F20" s="14"/>
    </row>
    <row r="21" spans="1:6" ht="34.4" customHeight="1" x14ac:dyDescent="0.35">
      <c r="A21" s="1238" t="s">
        <v>826</v>
      </c>
      <c r="B21" s="1239"/>
      <c r="C21" s="1239"/>
      <c r="D21" s="15"/>
      <c r="E21" s="14"/>
      <c r="F21" s="14"/>
    </row>
    <row r="22" spans="1:6" x14ac:dyDescent="0.35">
      <c r="A22" s="1243" t="s">
        <v>62</v>
      </c>
      <c r="B22" s="1244"/>
      <c r="C22" s="1244"/>
      <c r="D22" s="1245"/>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865</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3">
    <cfRule type="containsText" dxfId="80" priority="1" operator="containsText" text="Yes">
      <formula>NOT(ISERROR(SEARCH("Yes",D3)))</formula>
    </cfRule>
  </conditionalFormatting>
  <conditionalFormatting sqref="D4:D11 D13:D15">
    <cfRule type="containsText" dxfId="79" priority="6" operator="containsText" text="Yes">
      <formula>NOT(ISERROR(SEARCH("Yes",D4)))</formula>
    </cfRule>
  </conditionalFormatting>
  <conditionalFormatting sqref="D10">
    <cfRule type="containsText" dxfId="78" priority="2" operator="containsText" text="Yes">
      <formula>NOT(ISERROR(SEARCH("Yes",D10)))</formula>
    </cfRule>
  </conditionalFormatting>
  <conditionalFormatting sqref="D17:D21">
    <cfRule type="containsText" dxfId="77" priority="3" operator="containsText" text="Yes">
      <formula>NOT(ISERROR(SEARCH("Yes",D17)))</formula>
    </cfRule>
  </conditionalFormatting>
  <conditionalFormatting sqref="D23:D26">
    <cfRule type="containsText" dxfId="76" priority="4" operator="containsText" text="Yes">
      <formula>NOT(ISERROR(SEARCH("Yes",D23)))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J48"/>
  <sheetViews>
    <sheetView topLeftCell="E20" zoomScale="90" zoomScaleNormal="90" workbookViewId="0">
      <selection activeCell="V39" sqref="V39"/>
    </sheetView>
  </sheetViews>
  <sheetFormatPr defaultColWidth="10.9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6" x14ac:dyDescent="0.35">
      <c r="B1" s="1292" t="s">
        <v>54</v>
      </c>
      <c r="C1" s="1292"/>
      <c r="D1" s="1292"/>
      <c r="E1" s="1292"/>
      <c r="F1" s="1292"/>
      <c r="G1" s="1292"/>
      <c r="H1" s="1292"/>
      <c r="I1" s="1292"/>
      <c r="J1" s="1292"/>
      <c r="K1" s="1292"/>
      <c r="L1" s="1292"/>
      <c r="M1" s="1292"/>
      <c r="N1" s="1292"/>
      <c r="O1" s="1292"/>
      <c r="P1" s="1292"/>
      <c r="Q1" s="1292"/>
      <c r="R1" s="1292"/>
      <c r="S1" s="1292"/>
      <c r="T1" s="1292"/>
      <c r="U1" s="1292"/>
      <c r="V1" s="1292"/>
      <c r="W1" s="1292"/>
      <c r="X1" s="1292"/>
      <c r="Y1" s="1292"/>
      <c r="Z1" s="1292"/>
      <c r="AA1" s="1292"/>
      <c r="AB1" s="1292"/>
      <c r="AC1" s="1292"/>
      <c r="AD1" s="179"/>
      <c r="AE1" s="179"/>
      <c r="AF1" s="179"/>
      <c r="AG1" s="179"/>
    </row>
    <row r="2" spans="2:36" ht="14.25" customHeight="1" x14ac:dyDescent="0.35">
      <c r="B2" s="1382" t="s">
        <v>862</v>
      </c>
      <c r="C2" s="1382"/>
      <c r="D2" s="1382"/>
      <c r="E2" s="1382"/>
      <c r="F2" s="1382"/>
      <c r="G2" s="1382"/>
      <c r="H2" s="1382"/>
      <c r="I2" s="1382"/>
      <c r="J2" s="1382"/>
      <c r="K2" s="1382"/>
      <c r="L2" s="1382"/>
      <c r="M2" s="1382"/>
      <c r="N2" s="1382"/>
      <c r="O2" s="1382"/>
      <c r="P2" s="1382"/>
      <c r="Q2" s="1382"/>
      <c r="R2" s="1382"/>
      <c r="S2" s="1382"/>
      <c r="T2" s="1382"/>
      <c r="U2" s="1382"/>
      <c r="V2" s="1381" t="s">
        <v>915</v>
      </c>
      <c r="W2" s="1381"/>
      <c r="X2" s="1381"/>
      <c r="Y2" s="1381"/>
      <c r="Z2" s="1381"/>
      <c r="AA2" s="1381"/>
      <c r="AB2" s="1381"/>
      <c r="AC2" s="561"/>
      <c r="AD2" s="561"/>
      <c r="AE2" s="561"/>
      <c r="AF2" s="561"/>
      <c r="AG2" s="561"/>
    </row>
    <row r="3" spans="2:36" ht="59.9" customHeight="1" x14ac:dyDescent="0.35">
      <c r="B3" s="1382"/>
      <c r="C3" s="1382"/>
      <c r="D3" s="1382"/>
      <c r="E3" s="1382"/>
      <c r="F3" s="1382"/>
      <c r="G3" s="1382"/>
      <c r="H3" s="1382"/>
      <c r="I3" s="1382"/>
      <c r="J3" s="1382"/>
      <c r="K3" s="1382"/>
      <c r="L3" s="1382"/>
      <c r="M3" s="1382"/>
      <c r="N3" s="1382"/>
      <c r="O3" s="1382"/>
      <c r="P3" s="1382"/>
      <c r="Q3" s="1382"/>
      <c r="R3" s="1382"/>
      <c r="S3" s="1382"/>
      <c r="T3" s="1382"/>
      <c r="U3" s="1382"/>
      <c r="V3" s="1381"/>
      <c r="W3" s="1381"/>
      <c r="X3" s="1381"/>
      <c r="Y3" s="1381"/>
      <c r="Z3" s="1381"/>
      <c r="AA3" s="1381"/>
      <c r="AB3" s="1381"/>
      <c r="AC3" s="561"/>
      <c r="AD3" s="561"/>
      <c r="AE3" s="561"/>
      <c r="AF3" s="561"/>
      <c r="AG3" s="561"/>
    </row>
    <row r="4" spans="2:36" ht="88.5" customHeight="1" x14ac:dyDescent="0.35">
      <c r="B4" s="1382"/>
      <c r="C4" s="1382"/>
      <c r="D4" s="1382"/>
      <c r="E4" s="1382"/>
      <c r="F4" s="1382"/>
      <c r="G4" s="1382"/>
      <c r="H4" s="1382"/>
      <c r="I4" s="1382"/>
      <c r="J4" s="1382"/>
      <c r="K4" s="1382"/>
      <c r="L4" s="1382"/>
      <c r="M4" s="1382"/>
      <c r="N4" s="1382"/>
      <c r="O4" s="1382"/>
      <c r="P4" s="1382"/>
      <c r="Q4" s="1382"/>
      <c r="R4" s="1382"/>
      <c r="S4" s="1382"/>
      <c r="T4" s="1382"/>
      <c r="U4" s="1382"/>
      <c r="V4" s="1381"/>
      <c r="W4" s="1381"/>
      <c r="X4" s="1381"/>
      <c r="Y4" s="1381"/>
      <c r="Z4" s="1381"/>
      <c r="AA4" s="1381"/>
      <c r="AB4" s="1381"/>
      <c r="AC4" s="561"/>
      <c r="AD4" s="561"/>
      <c r="AE4" s="561"/>
      <c r="AF4" s="561"/>
      <c r="AG4" s="561"/>
    </row>
    <row r="5" spans="2:36" ht="33" customHeight="1" x14ac:dyDescent="0.35">
      <c r="B5" s="561"/>
      <c r="C5" s="561"/>
      <c r="D5" s="561"/>
      <c r="E5" s="561"/>
      <c r="F5" s="561"/>
      <c r="G5" s="561"/>
      <c r="H5" s="561"/>
      <c r="I5" s="561"/>
      <c r="J5" s="561"/>
      <c r="K5" s="561"/>
      <c r="L5" s="561"/>
      <c r="M5" s="561"/>
      <c r="N5" s="561"/>
      <c r="O5" s="561"/>
      <c r="P5" s="561"/>
      <c r="Q5" s="561"/>
      <c r="R5" s="561"/>
      <c r="S5" s="561"/>
      <c r="T5" s="561"/>
      <c r="U5" s="561"/>
      <c r="V5" s="561"/>
      <c r="W5" s="561"/>
      <c r="X5" s="561"/>
      <c r="Y5" s="561"/>
      <c r="Z5" s="561"/>
      <c r="AA5" s="561"/>
      <c r="AB5" s="561"/>
      <c r="AC5" s="561"/>
      <c r="AD5" s="561"/>
      <c r="AE5" s="561"/>
      <c r="AF5" s="561"/>
      <c r="AG5" s="561"/>
    </row>
    <row r="6" spans="2:36" x14ac:dyDescent="0.35">
      <c r="B6" s="561"/>
      <c r="C6" s="561"/>
      <c r="D6" s="561"/>
      <c r="E6" s="561"/>
      <c r="F6" s="561"/>
      <c r="G6" s="561"/>
      <c r="H6" s="561"/>
      <c r="I6" s="561"/>
      <c r="J6" s="561"/>
      <c r="K6" s="561"/>
      <c r="L6" s="561"/>
      <c r="M6" s="561"/>
      <c r="N6" s="561"/>
      <c r="O6" s="561"/>
      <c r="P6" s="561"/>
      <c r="Q6" s="561"/>
      <c r="R6" s="561"/>
      <c r="S6" s="561"/>
      <c r="T6" s="561"/>
      <c r="U6" s="561"/>
      <c r="V6" s="561"/>
      <c r="W6" s="561"/>
      <c r="X6" s="561"/>
      <c r="Y6" s="561"/>
      <c r="Z6" s="561"/>
      <c r="AA6" s="561"/>
      <c r="AB6" s="561"/>
      <c r="AC6" s="561"/>
      <c r="AD6" s="561"/>
      <c r="AE6" s="561"/>
      <c r="AF6" s="561"/>
      <c r="AG6" s="561"/>
    </row>
    <row r="7" spans="2:36" ht="14.9" customHeight="1" x14ac:dyDescent="0.35">
      <c r="B7" s="1297" t="s">
        <v>404</v>
      </c>
      <c r="C7" s="1298"/>
      <c r="D7" s="1301" t="s">
        <v>280</v>
      </c>
      <c r="E7" s="1313"/>
      <c r="F7" s="1313"/>
      <c r="G7" s="1313"/>
      <c r="H7" s="1313"/>
      <c r="I7" s="1313"/>
      <c r="J7" s="1313"/>
      <c r="K7" s="1313"/>
      <c r="L7" s="1313"/>
      <c r="M7" s="1313"/>
      <c r="N7" s="1313"/>
      <c r="O7" s="1313"/>
      <c r="P7" s="1313"/>
      <c r="Q7" s="1313"/>
      <c r="R7" s="1313"/>
      <c r="S7" s="1313"/>
      <c r="T7" s="1313"/>
      <c r="U7" s="1313"/>
      <c r="V7" s="1302"/>
      <c r="W7" s="1324" t="s">
        <v>281</v>
      </c>
      <c r="X7" s="1325"/>
      <c r="Y7" s="1325"/>
      <c r="Z7" s="1325"/>
      <c r="AA7" s="1325"/>
      <c r="AB7" s="1325"/>
      <c r="AC7" s="1325"/>
      <c r="AD7" s="1325"/>
      <c r="AE7" s="1325"/>
      <c r="AF7" s="1325"/>
      <c r="AG7" s="1325"/>
    </row>
    <row r="8" spans="2:36" x14ac:dyDescent="0.35">
      <c r="B8" s="1299"/>
      <c r="C8" s="1314"/>
      <c r="D8" s="142">
        <v>2018</v>
      </c>
      <c r="E8" s="1278">
        <v>2019</v>
      </c>
      <c r="F8" s="1306"/>
      <c r="G8" s="1306"/>
      <c r="H8" s="1307"/>
      <c r="I8" s="1278">
        <v>2020</v>
      </c>
      <c r="J8" s="1306"/>
      <c r="K8" s="1306"/>
      <c r="L8" s="1306"/>
      <c r="M8" s="1278">
        <v>2021</v>
      </c>
      <c r="N8" s="1306"/>
      <c r="O8" s="1306"/>
      <c r="P8" s="1306"/>
      <c r="Q8" s="1278">
        <v>2022</v>
      </c>
      <c r="R8" s="1279"/>
      <c r="S8" s="1279"/>
      <c r="T8" s="1307"/>
      <c r="U8" s="251"/>
      <c r="V8" s="251">
        <v>2023</v>
      </c>
      <c r="W8" s="518"/>
      <c r="X8" s="222"/>
      <c r="Y8" s="1303">
        <v>2024</v>
      </c>
      <c r="Z8" s="1315"/>
      <c r="AA8" s="1315"/>
      <c r="AB8" s="1305"/>
      <c r="AC8" s="1303">
        <v>2025</v>
      </c>
      <c r="AD8" s="1315"/>
      <c r="AE8" s="1315"/>
      <c r="AF8" s="1305"/>
      <c r="AG8" s="467">
        <v>2026</v>
      </c>
      <c r="AH8" s="202"/>
      <c r="AI8" s="202"/>
      <c r="AJ8" s="202"/>
    </row>
    <row r="9" spans="2:36" x14ac:dyDescent="0.35">
      <c r="B9" s="1299"/>
      <c r="C9" s="1314"/>
      <c r="D9" s="148" t="s">
        <v>282</v>
      </c>
      <c r="E9" s="148" t="s">
        <v>283</v>
      </c>
      <c r="F9" s="144" t="s">
        <v>284</v>
      </c>
      <c r="G9" s="144" t="s">
        <v>238</v>
      </c>
      <c r="H9" s="145" t="s">
        <v>282</v>
      </c>
      <c r="I9" s="144" t="s">
        <v>283</v>
      </c>
      <c r="J9" s="144" t="s">
        <v>284</v>
      </c>
      <c r="K9" s="144" t="s">
        <v>238</v>
      </c>
      <c r="L9" s="144" t="s">
        <v>282</v>
      </c>
      <c r="M9" s="148" t="s">
        <v>283</v>
      </c>
      <c r="N9" s="144" t="s">
        <v>284</v>
      </c>
      <c r="O9" s="144" t="s">
        <v>238</v>
      </c>
      <c r="P9" s="144" t="s">
        <v>282</v>
      </c>
      <c r="Q9" s="148" t="s">
        <v>283</v>
      </c>
      <c r="R9" s="144" t="s">
        <v>284</v>
      </c>
      <c r="S9" s="144" t="s">
        <v>238</v>
      </c>
      <c r="T9" s="145" t="s">
        <v>282</v>
      </c>
      <c r="U9" s="144" t="s">
        <v>283</v>
      </c>
      <c r="V9" s="249" t="s">
        <v>284</v>
      </c>
      <c r="W9" s="232" t="s">
        <v>238</v>
      </c>
      <c r="X9" s="233" t="s">
        <v>282</v>
      </c>
      <c r="Y9" s="231" t="s">
        <v>283</v>
      </c>
      <c r="Z9" s="229" t="s">
        <v>284</v>
      </c>
      <c r="AA9" s="232" t="s">
        <v>238</v>
      </c>
      <c r="AB9" s="232" t="s">
        <v>282</v>
      </c>
      <c r="AC9" s="231" t="s">
        <v>283</v>
      </c>
      <c r="AD9" s="229" t="s">
        <v>284</v>
      </c>
      <c r="AE9" s="232" t="s">
        <v>238</v>
      </c>
      <c r="AF9" s="232" t="s">
        <v>282</v>
      </c>
      <c r="AG9" s="231" t="s">
        <v>283</v>
      </c>
      <c r="AH9" s="191"/>
      <c r="AI9" s="195"/>
      <c r="AJ9" s="195"/>
    </row>
    <row r="10" spans="2:36" x14ac:dyDescent="0.35">
      <c r="B10" s="527" t="s">
        <v>101</v>
      </c>
      <c r="C10" s="397" t="s">
        <v>430</v>
      </c>
      <c r="D10" s="536">
        <f>'Haver Pivoted'!GO13</f>
        <v>589.5</v>
      </c>
      <c r="E10" s="537">
        <f>'Haver Pivoted'!GP13</f>
        <v>598.70000000000005</v>
      </c>
      <c r="F10" s="537">
        <f>'Haver Pivoted'!GQ13</f>
        <v>614.4</v>
      </c>
      <c r="G10" s="537">
        <f>'Haver Pivoted'!GR13</f>
        <v>622.4</v>
      </c>
      <c r="H10" s="537">
        <f>'Haver Pivoted'!GS13</f>
        <v>620.6</v>
      </c>
      <c r="I10" s="537">
        <f>'Haver Pivoted'!GT13</f>
        <v>606.4</v>
      </c>
      <c r="J10" s="537">
        <f>'Haver Pivoted'!GU13</f>
        <v>654.6</v>
      </c>
      <c r="K10" s="537">
        <f>'Haver Pivoted'!GV13</f>
        <v>690.8</v>
      </c>
      <c r="L10" s="537">
        <f>'Haver Pivoted'!GW13</f>
        <v>678.6</v>
      </c>
      <c r="M10" s="537">
        <f>'Haver Pivoted'!GX13</f>
        <v>705</v>
      </c>
      <c r="N10" s="537">
        <f>'Haver Pivoted'!GY13</f>
        <v>745.7</v>
      </c>
      <c r="O10" s="537">
        <f>'Haver Pivoted'!GZ13</f>
        <v>749.2</v>
      </c>
      <c r="P10" s="537">
        <f>'Haver Pivoted'!HA13</f>
        <v>746.1</v>
      </c>
      <c r="Q10" s="537">
        <f>'Haver Pivoted'!HB13</f>
        <v>791.4</v>
      </c>
      <c r="R10" s="537">
        <f>'Haver Pivoted'!HC13</f>
        <v>818.7</v>
      </c>
      <c r="S10" s="538">
        <f>'Haver Pivoted'!HD13</f>
        <v>819</v>
      </c>
      <c r="T10" s="525">
        <f>'Haver Pivoted'!HE13</f>
        <v>828.4</v>
      </c>
      <c r="U10" s="538">
        <f>'Haver Pivoted'!HF13</f>
        <v>871.5</v>
      </c>
      <c r="V10" s="538">
        <f>'Haver Pivoted'!HG13</f>
        <v>911.4</v>
      </c>
      <c r="W10" s="538">
        <f>'Haver Pivoted'!HH13</f>
        <v>880.6</v>
      </c>
      <c r="X10" s="538">
        <f>'Haver Pivoted'!HI13</f>
        <v>863.3</v>
      </c>
      <c r="Y10" s="254"/>
      <c r="Z10" s="254"/>
      <c r="AA10" s="254"/>
      <c r="AB10" s="254"/>
      <c r="AC10" s="181"/>
      <c r="AD10" s="282"/>
      <c r="AE10" s="282"/>
      <c r="AF10" s="282"/>
      <c r="AG10" s="282"/>
      <c r="AH10" t="s">
        <v>1883</v>
      </c>
    </row>
    <row r="11" spans="2:36" x14ac:dyDescent="0.35">
      <c r="B11" s="246" t="s">
        <v>431</v>
      </c>
      <c r="C11" s="202" t="s">
        <v>339</v>
      </c>
      <c r="D11" s="557">
        <f>'Haver Pivoted'!GO40</f>
        <v>391.92099999999999</v>
      </c>
      <c r="E11" s="517">
        <f>'Haver Pivoted'!GP40</f>
        <v>406.23</v>
      </c>
      <c r="F11" s="517">
        <f>'Haver Pivoted'!GQ40</f>
        <v>414.87200000000001</v>
      </c>
      <c r="G11" s="517">
        <f>'Haver Pivoted'!GR40</f>
        <v>418.36200000000002</v>
      </c>
      <c r="H11" s="517">
        <f>'Haver Pivoted'!GS40</f>
        <v>414.971</v>
      </c>
      <c r="I11" s="517">
        <f>'Haver Pivoted'!GT40</f>
        <v>424.089</v>
      </c>
      <c r="J11" s="517">
        <f>'Haver Pivoted'!GU40</f>
        <v>505.45</v>
      </c>
      <c r="K11" s="517">
        <f>'Haver Pivoted'!GV40</f>
        <v>483.86599999999999</v>
      </c>
      <c r="L11" s="517">
        <f>'Haver Pivoted'!GW40</f>
        <v>506.75599999999997</v>
      </c>
      <c r="M11" s="517">
        <f>'Haver Pivoted'!GX40</f>
        <v>501.459</v>
      </c>
      <c r="N11" s="517">
        <f>'Haver Pivoted'!GY40</f>
        <v>526.38599999999997</v>
      </c>
      <c r="O11" s="517">
        <f>'Haver Pivoted'!GZ40</f>
        <v>541.66800000000001</v>
      </c>
      <c r="P11" s="517">
        <f>'Haver Pivoted'!HA40</f>
        <v>563.64300000000003</v>
      </c>
      <c r="Q11" s="517">
        <f>'Haver Pivoted'!HB40</f>
        <v>594.56200000000001</v>
      </c>
      <c r="R11" s="517">
        <f>'Haver Pivoted'!HC40</f>
        <v>595.59299999999996</v>
      </c>
      <c r="S11" s="520">
        <f>'Haver Pivoted'!HD40</f>
        <v>607.94899999999996</v>
      </c>
      <c r="T11" s="520">
        <f>'Haver Pivoted'!HE40</f>
        <v>607.13699999999994</v>
      </c>
      <c r="U11" s="520">
        <f>'Haver Pivoted'!HF40</f>
        <v>630.96299999999997</v>
      </c>
      <c r="V11" s="520">
        <f>'Haver Pivoted'!HG40</f>
        <v>639.71100000000001</v>
      </c>
      <c r="W11" s="520">
        <f>'Haver Pivoted'!HH40</f>
        <v>590.947</v>
      </c>
      <c r="X11" s="520">
        <f>'Haver Pivoted'!HI40</f>
        <v>616.99699999999996</v>
      </c>
      <c r="Y11" s="282"/>
      <c r="Z11" s="282"/>
      <c r="AA11" s="282"/>
      <c r="AB11" s="282"/>
      <c r="AC11" s="282"/>
      <c r="AD11" s="282"/>
      <c r="AE11" s="282"/>
      <c r="AF11" s="282"/>
      <c r="AG11" s="282"/>
    </row>
    <row r="12" spans="2:36" ht="27.65" customHeight="1" x14ac:dyDescent="0.35">
      <c r="B12" s="490" t="s">
        <v>896</v>
      </c>
      <c r="C12" s="36"/>
      <c r="D12" s="560">
        <f t="shared" ref="D12:N12" si="0">D11/D10</f>
        <v>0.66483630195080579</v>
      </c>
      <c r="E12" s="544">
        <f t="shared" si="0"/>
        <v>0.67852012694170705</v>
      </c>
      <c r="F12" s="544">
        <f t="shared" si="0"/>
        <v>0.67524739583333337</v>
      </c>
      <c r="G12" s="544">
        <f t="shared" si="0"/>
        <v>0.67217544987146538</v>
      </c>
      <c r="H12" s="544">
        <f t="shared" si="0"/>
        <v>0.66866097325169194</v>
      </c>
      <c r="I12" s="544">
        <f t="shared" si="0"/>
        <v>0.69935521108179421</v>
      </c>
      <c r="J12" s="544">
        <f t="shared" si="0"/>
        <v>0.77215093186678885</v>
      </c>
      <c r="K12" s="544">
        <f t="shared" si="0"/>
        <v>0.70044296467863354</v>
      </c>
      <c r="L12" s="544">
        <f t="shared" si="0"/>
        <v>0.74676687297376942</v>
      </c>
      <c r="M12" s="544">
        <f t="shared" si="0"/>
        <v>0.71128936170212764</v>
      </c>
      <c r="N12" s="544">
        <f t="shared" si="0"/>
        <v>0.70589513209065302</v>
      </c>
      <c r="O12" s="544">
        <f t="shared" ref="O12:T12" si="1">O11/O10</f>
        <v>0.72299519487453279</v>
      </c>
      <c r="P12" s="544">
        <f t="shared" si="1"/>
        <v>0.75545235223160434</v>
      </c>
      <c r="Q12" s="544">
        <f t="shared" si="1"/>
        <v>0.75127874652514537</v>
      </c>
      <c r="R12" s="544">
        <f t="shared" si="1"/>
        <v>0.72748625870282146</v>
      </c>
      <c r="S12" s="539">
        <f t="shared" si="1"/>
        <v>0.74230647130647121</v>
      </c>
      <c r="T12" s="539">
        <f t="shared" si="1"/>
        <v>0.73290318686624811</v>
      </c>
      <c r="U12" s="539">
        <f t="shared" ref="U12:W12" si="2">U11/U10</f>
        <v>0.72399655765920823</v>
      </c>
      <c r="V12" s="539">
        <f t="shared" si="2"/>
        <v>0.70189927583936806</v>
      </c>
      <c r="W12" s="539">
        <f t="shared" si="2"/>
        <v>0.6710731319554849</v>
      </c>
      <c r="X12" s="539">
        <f t="shared" ref="X12" si="3">X11/X10</f>
        <v>0.7146959342059539</v>
      </c>
      <c r="Y12" s="563">
        <v>0.69</v>
      </c>
      <c r="Z12" s="563">
        <f t="shared" ref="Z12" si="4">Y12</f>
        <v>0.69</v>
      </c>
      <c r="AA12" s="563">
        <f t="shared" ref="AA12" si="5">Z12</f>
        <v>0.69</v>
      </c>
      <c r="AB12" s="563">
        <f>AA12</f>
        <v>0.69</v>
      </c>
      <c r="AC12" s="563">
        <f t="shared" ref="AC12" si="6">AB12</f>
        <v>0.69</v>
      </c>
      <c r="AD12" s="563">
        <f t="shared" ref="AD12" si="7">AC12</f>
        <v>0.69</v>
      </c>
      <c r="AE12" s="563">
        <f t="shared" ref="AE12" si="8">AD12</f>
        <v>0.69</v>
      </c>
      <c r="AF12" s="563">
        <f t="shared" ref="AF12" si="9">AE12</f>
        <v>0.69</v>
      </c>
      <c r="AG12" s="563">
        <f t="shared" ref="AG12" si="10">AF12</f>
        <v>0.69</v>
      </c>
    </row>
    <row r="13" spans="2:36" ht="27.65" customHeight="1" x14ac:dyDescent="0.35">
      <c r="O13" s="35"/>
      <c r="P13" s="35"/>
      <c r="Q13" s="35"/>
      <c r="R13" s="35"/>
      <c r="S13" s="35"/>
      <c r="T13" s="35"/>
      <c r="U13" s="521"/>
      <c r="V13" s="521"/>
      <c r="W13" s="521"/>
      <c r="X13" s="521"/>
      <c r="Y13" s="521"/>
      <c r="Z13" s="521"/>
      <c r="AA13" s="521"/>
      <c r="AB13" s="521"/>
      <c r="AC13" s="521"/>
      <c r="AD13" s="521"/>
      <c r="AE13" s="521"/>
      <c r="AF13" s="521"/>
      <c r="AG13" s="521"/>
      <c r="AH13" s="35"/>
    </row>
    <row r="14" spans="2:36" x14ac:dyDescent="0.35">
      <c r="O14" s="35"/>
      <c r="P14" s="202"/>
      <c r="Q14" s="35"/>
      <c r="R14" s="35"/>
      <c r="S14" s="35"/>
      <c r="T14" s="517"/>
      <c r="U14" s="195"/>
      <c r="V14" s="195"/>
      <c r="W14" s="195"/>
      <c r="X14" s="195"/>
      <c r="Y14" s="195"/>
      <c r="Z14" s="195"/>
      <c r="AA14" s="195"/>
      <c r="AB14" s="195"/>
      <c r="AC14" s="195"/>
      <c r="AD14" s="195"/>
      <c r="AE14" s="195"/>
      <c r="AF14" s="195"/>
      <c r="AG14" s="195"/>
      <c r="AH14" s="35"/>
    </row>
    <row r="15" spans="2:36" x14ac:dyDescent="0.35">
      <c r="B15" s="478" t="s">
        <v>352</v>
      </c>
      <c r="O15" s="35"/>
      <c r="P15" s="202"/>
      <c r="Q15" s="35"/>
      <c r="R15" s="35"/>
      <c r="S15" s="35"/>
      <c r="T15" s="517"/>
      <c r="U15" s="195"/>
      <c r="V15" s="195"/>
      <c r="W15" s="195"/>
      <c r="X15" s="195"/>
      <c r="Y15" s="195"/>
      <c r="Z15" s="195"/>
      <c r="AA15" s="195"/>
      <c r="AB15" s="195"/>
      <c r="AC15" s="195"/>
      <c r="AD15" s="195"/>
      <c r="AE15" s="195"/>
      <c r="AF15" s="195"/>
      <c r="AG15" s="195"/>
      <c r="AH15" s="35"/>
    </row>
    <row r="16" spans="2:36" ht="25.4" customHeight="1" x14ac:dyDescent="0.35">
      <c r="B16" s="531" t="s">
        <v>432</v>
      </c>
      <c r="C16" s="529">
        <v>2020</v>
      </c>
      <c r="D16" s="529">
        <v>2021</v>
      </c>
      <c r="E16" s="529">
        <v>2022</v>
      </c>
      <c r="F16" s="529">
        <v>2023</v>
      </c>
      <c r="G16" s="529">
        <v>2024</v>
      </c>
      <c r="H16" s="529">
        <v>2025</v>
      </c>
      <c r="I16" s="529">
        <v>2026</v>
      </c>
      <c r="J16" s="530">
        <v>2027</v>
      </c>
      <c r="O16" s="35"/>
      <c r="P16" s="202"/>
      <c r="Q16" s="35"/>
      <c r="R16" s="35"/>
      <c r="S16" s="35"/>
      <c r="T16" s="521"/>
      <c r="U16" s="521"/>
      <c r="V16" s="521"/>
      <c r="W16" s="521"/>
      <c r="X16" s="521"/>
      <c r="Y16" s="521"/>
      <c r="Z16" s="521"/>
      <c r="AA16" s="521"/>
      <c r="AB16" s="521"/>
      <c r="AC16" s="521"/>
      <c r="AD16" s="521"/>
      <c r="AE16" s="521"/>
      <c r="AF16" s="521"/>
      <c r="AG16" s="521"/>
      <c r="AH16" s="35"/>
    </row>
    <row r="17" spans="2:34" ht="31.5" customHeight="1" x14ac:dyDescent="0.35">
      <c r="B17" s="559" t="s">
        <v>1900</v>
      </c>
      <c r="C17" s="214">
        <v>458.46800000000002</v>
      </c>
      <c r="D17" s="228">
        <v>520.58799999999997</v>
      </c>
      <c r="E17" s="228">
        <v>591.94899999999996</v>
      </c>
      <c r="F17" s="228">
        <v>594.28700000000003</v>
      </c>
      <c r="G17" s="228">
        <v>538.49199999999996</v>
      </c>
      <c r="H17" s="228">
        <v>536.51199999999994</v>
      </c>
      <c r="I17" s="228">
        <v>574.03399999999999</v>
      </c>
      <c r="J17" s="228">
        <v>613.12400000000002</v>
      </c>
      <c r="K17" s="228"/>
      <c r="L17">
        <f>G17/F17</f>
        <v>0.90611438581022286</v>
      </c>
      <c r="O17" s="35"/>
      <c r="P17" s="35"/>
      <c r="Q17" s="35"/>
      <c r="R17" s="35"/>
      <c r="S17" s="35"/>
      <c r="T17" s="35"/>
      <c r="U17" s="35"/>
      <c r="V17" s="35"/>
      <c r="W17" s="35"/>
      <c r="X17" s="35"/>
      <c r="Y17" s="35"/>
      <c r="Z17" s="35"/>
      <c r="AA17" s="35"/>
      <c r="AB17" s="35"/>
      <c r="AC17" s="35"/>
      <c r="AD17" s="35"/>
      <c r="AE17" s="35"/>
      <c r="AF17" s="35"/>
      <c r="AG17" s="35"/>
      <c r="AH17" s="35"/>
    </row>
    <row r="18" spans="2:34" x14ac:dyDescent="0.35">
      <c r="B18" s="246" t="s">
        <v>433</v>
      </c>
      <c r="C18" s="521">
        <f>AVERAGE(H12:K12)</f>
        <v>0.71015252021972719</v>
      </c>
      <c r="D18" s="521">
        <f>AVERAGE(L12:O12)</f>
        <v>0.72173664041027075</v>
      </c>
      <c r="E18" s="521">
        <f>AVERAGE(P12:S12)</f>
        <v>0.74413095719151068</v>
      </c>
      <c r="F18" s="521">
        <f>AVERAGE(T12:W12)</f>
        <v>0.70746803808007741</v>
      </c>
      <c r="G18" s="521">
        <f>AVERAGE(X12:AA12)</f>
        <v>0.69617398355148841</v>
      </c>
      <c r="H18" s="521">
        <f>AVERAGE(Y12:AB12)</f>
        <v>0.69</v>
      </c>
      <c r="I18" s="521">
        <f>AVERAGE(Z12:AC12)</f>
        <v>0.69</v>
      </c>
      <c r="J18" s="543">
        <f>AVERAGE(AA12:AH12)</f>
        <v>0.69000000000000006</v>
      </c>
    </row>
    <row r="19" spans="2:34" x14ac:dyDescent="0.35">
      <c r="B19" s="246" t="s">
        <v>434</v>
      </c>
      <c r="C19" s="195">
        <f>C17/C18</f>
        <v>645.59089342969048</v>
      </c>
      <c r="D19" s="195">
        <f>D17/D18</f>
        <v>721.29911501246772</v>
      </c>
      <c r="E19" s="195">
        <f>E17/E18</f>
        <v>795.49035593697931</v>
      </c>
      <c r="F19" s="195">
        <f>F17/F18</f>
        <v>840.01957404715074</v>
      </c>
      <c r="G19" s="195">
        <f>G17/G18</f>
        <v>773.50204506769478</v>
      </c>
      <c r="H19" s="195">
        <f t="shared" ref="H19:J19" si="11">H17/H18</f>
        <v>777.55362318840582</v>
      </c>
      <c r="I19" s="195">
        <f t="shared" si="11"/>
        <v>831.93333333333339</v>
      </c>
      <c r="J19" s="534">
        <f t="shared" si="11"/>
        <v>888.58550724637678</v>
      </c>
    </row>
    <row r="20" spans="2:34" ht="32.25" customHeight="1" x14ac:dyDescent="0.35">
      <c r="B20" s="490" t="s">
        <v>435</v>
      </c>
      <c r="C20" s="528"/>
      <c r="D20" s="544">
        <f>D19/C19-1</f>
        <v>0.11726965537041356</v>
      </c>
      <c r="E20" s="544">
        <f t="shared" ref="E20" si="12">E19/D19-1</f>
        <v>0.1028578011262764</v>
      </c>
      <c r="F20" s="544">
        <f>F19/E19-1</f>
        <v>5.5977068455747681E-2</v>
      </c>
      <c r="G20" s="544">
        <f>G19/F19-1</f>
        <v>-7.9185689279809957E-2</v>
      </c>
      <c r="H20" s="544">
        <f>H19/G19-1+0.024</f>
        <v>2.9237966914950488E-2</v>
      </c>
      <c r="I20" s="544">
        <f t="shared" ref="I20" si="13">I19/H19-1</f>
        <v>6.9936925921507909E-2</v>
      </c>
      <c r="J20" s="562">
        <f t="shared" ref="J20" si="14">J19/I19-1</f>
        <v>6.8097011675266605E-2</v>
      </c>
      <c r="K20" s="546"/>
      <c r="L20" s="546"/>
      <c r="R20" s="35"/>
      <c r="S20" s="481"/>
      <c r="T20" s="481"/>
      <c r="U20" s="481"/>
    </row>
    <row r="22" spans="2:34" x14ac:dyDescent="0.35">
      <c r="B22" s="478" t="s">
        <v>365</v>
      </c>
    </row>
    <row r="23" spans="2:34" x14ac:dyDescent="0.35">
      <c r="B23" s="1297" t="s">
        <v>436</v>
      </c>
      <c r="C23" s="1344"/>
      <c r="D23" s="1301" t="s">
        <v>280</v>
      </c>
      <c r="E23" s="1313"/>
      <c r="F23" s="1313"/>
      <c r="G23" s="1313"/>
      <c r="H23" s="1313"/>
      <c r="I23" s="1313"/>
      <c r="J23" s="1313"/>
      <c r="K23" s="1313"/>
      <c r="L23" s="1313"/>
      <c r="M23" s="1313"/>
      <c r="N23" s="1313"/>
      <c r="O23" s="1313"/>
      <c r="P23" s="1313"/>
      <c r="Q23" s="1313"/>
      <c r="R23" s="1313"/>
      <c r="S23" s="1313"/>
      <c r="T23" s="1313"/>
      <c r="U23" s="1313"/>
      <c r="V23" s="1302"/>
      <c r="W23" s="1326" t="s">
        <v>281</v>
      </c>
      <c r="X23" s="1327"/>
      <c r="Y23" s="1327"/>
      <c r="Z23" s="1327"/>
      <c r="AA23" s="1327"/>
      <c r="AB23" s="1327"/>
      <c r="AC23" s="1327"/>
      <c r="AD23" s="1327"/>
      <c r="AE23" s="1327"/>
      <c r="AF23" s="1327"/>
      <c r="AG23" s="1327"/>
    </row>
    <row r="24" spans="2:34" x14ac:dyDescent="0.35">
      <c r="B24" s="1299"/>
      <c r="C24" s="1314"/>
      <c r="D24" s="142">
        <v>2018</v>
      </c>
      <c r="E24" s="1278">
        <v>2019</v>
      </c>
      <c r="F24" s="1306"/>
      <c r="G24" s="1306"/>
      <c r="H24" s="1307"/>
      <c r="I24" s="1278">
        <v>2020</v>
      </c>
      <c r="J24" s="1306"/>
      <c r="K24" s="1306"/>
      <c r="L24" s="1306"/>
      <c r="M24" s="1278">
        <v>2021</v>
      </c>
      <c r="N24" s="1306"/>
      <c r="O24" s="1306"/>
      <c r="P24" s="1306"/>
      <c r="Q24" s="1278">
        <v>2022</v>
      </c>
      <c r="R24" s="1279"/>
      <c r="S24" s="1279"/>
      <c r="T24" s="1307"/>
      <c r="U24" s="201"/>
      <c r="V24" s="522">
        <v>2023</v>
      </c>
      <c r="W24" s="518"/>
      <c r="X24" s="222"/>
      <c r="Y24" s="1303">
        <v>2024</v>
      </c>
      <c r="Z24" s="1315"/>
      <c r="AA24" s="1315"/>
      <c r="AB24" s="1305"/>
      <c r="AC24" s="1303">
        <v>2025</v>
      </c>
      <c r="AD24" s="1315"/>
      <c r="AE24" s="1315"/>
      <c r="AF24" s="1305"/>
      <c r="AG24" s="467">
        <v>2026</v>
      </c>
    </row>
    <row r="25" spans="2:34" x14ac:dyDescent="0.35">
      <c r="B25" s="1301"/>
      <c r="C25" s="1313"/>
      <c r="D25" s="148" t="s">
        <v>282</v>
      </c>
      <c r="E25" s="148" t="s">
        <v>283</v>
      </c>
      <c r="F25" s="144" t="s">
        <v>284</v>
      </c>
      <c r="G25" s="144" t="s">
        <v>238</v>
      </c>
      <c r="H25" s="145" t="s">
        <v>282</v>
      </c>
      <c r="I25" s="144" t="s">
        <v>283</v>
      </c>
      <c r="J25" s="144" t="s">
        <v>284</v>
      </c>
      <c r="K25" s="144" t="s">
        <v>238</v>
      </c>
      <c r="L25" s="144" t="s">
        <v>282</v>
      </c>
      <c r="M25" s="148" t="s">
        <v>283</v>
      </c>
      <c r="N25" s="144" t="s">
        <v>284</v>
      </c>
      <c r="O25" s="144" t="s">
        <v>238</v>
      </c>
      <c r="P25" s="144" t="s">
        <v>282</v>
      </c>
      <c r="Q25" s="148" t="s">
        <v>283</v>
      </c>
      <c r="R25" s="144" t="s">
        <v>284</v>
      </c>
      <c r="S25" s="144" t="s">
        <v>238</v>
      </c>
      <c r="T25" s="145" t="s">
        <v>282</v>
      </c>
      <c r="U25" s="248" t="s">
        <v>283</v>
      </c>
      <c r="V25" s="523" t="s">
        <v>284</v>
      </c>
      <c r="W25" s="232" t="s">
        <v>238</v>
      </c>
      <c r="X25" s="232" t="s">
        <v>282</v>
      </c>
      <c r="Y25" s="231" t="s">
        <v>283</v>
      </c>
      <c r="Z25" s="229" t="s">
        <v>284</v>
      </c>
      <c r="AA25" s="232" t="s">
        <v>238</v>
      </c>
      <c r="AB25" s="232" t="s">
        <v>282</v>
      </c>
      <c r="AC25" s="231" t="s">
        <v>283</v>
      </c>
      <c r="AD25" s="229" t="s">
        <v>284</v>
      </c>
      <c r="AE25" s="232" t="s">
        <v>238</v>
      </c>
      <c r="AF25" s="232" t="s">
        <v>282</v>
      </c>
      <c r="AG25" s="231" t="s">
        <v>283</v>
      </c>
    </row>
    <row r="26" spans="2:34" ht="19.5" customHeight="1" x14ac:dyDescent="0.35">
      <c r="B26" s="554" t="s">
        <v>437</v>
      </c>
      <c r="C26" s="555"/>
      <c r="D26" s="540">
        <f t="shared" ref="D26:X26" si="15">D10</f>
        <v>589.5</v>
      </c>
      <c r="E26" s="541">
        <f t="shared" si="15"/>
        <v>598.70000000000005</v>
      </c>
      <c r="F26" s="541">
        <f t="shared" si="15"/>
        <v>614.4</v>
      </c>
      <c r="G26" s="541">
        <f t="shared" si="15"/>
        <v>622.4</v>
      </c>
      <c r="H26" s="541">
        <f t="shared" si="15"/>
        <v>620.6</v>
      </c>
      <c r="I26" s="541">
        <f t="shared" si="15"/>
        <v>606.4</v>
      </c>
      <c r="J26" s="541">
        <f t="shared" si="15"/>
        <v>654.6</v>
      </c>
      <c r="K26" s="541">
        <f t="shared" si="15"/>
        <v>690.8</v>
      </c>
      <c r="L26" s="541">
        <f t="shared" si="15"/>
        <v>678.6</v>
      </c>
      <c r="M26" s="541">
        <f t="shared" si="15"/>
        <v>705</v>
      </c>
      <c r="N26" s="541">
        <f t="shared" si="15"/>
        <v>745.7</v>
      </c>
      <c r="O26" s="541">
        <f t="shared" si="15"/>
        <v>749.2</v>
      </c>
      <c r="P26" s="541">
        <f t="shared" si="15"/>
        <v>746.1</v>
      </c>
      <c r="Q26" s="541">
        <f t="shared" si="15"/>
        <v>791.4</v>
      </c>
      <c r="R26" s="541">
        <f t="shared" si="15"/>
        <v>818.7</v>
      </c>
      <c r="S26" s="542">
        <f t="shared" si="15"/>
        <v>819</v>
      </c>
      <c r="T26" s="526">
        <f t="shared" si="15"/>
        <v>828.4</v>
      </c>
      <c r="U26" s="542">
        <f t="shared" si="15"/>
        <v>871.5</v>
      </c>
      <c r="V26" s="542">
        <f t="shared" si="15"/>
        <v>911.4</v>
      </c>
      <c r="W26" s="542">
        <f t="shared" si="15"/>
        <v>880.6</v>
      </c>
      <c r="X26" s="542">
        <f t="shared" si="15"/>
        <v>863.3</v>
      </c>
      <c r="Y26" s="553">
        <f t="shared" ref="Y26:AA26" si="16">X26*(1+$G$20)^0.25</f>
        <v>845.67746107059509</v>
      </c>
      <c r="Z26" s="553">
        <f t="shared" si="16"/>
        <v>828.41465094730438</v>
      </c>
      <c r="AA26" s="553">
        <f t="shared" si="16"/>
        <v>811.50422648766312</v>
      </c>
      <c r="AB26" s="532">
        <f>AA26*(1+$H$20)^0.25</f>
        <v>817.37196094057458</v>
      </c>
      <c r="AC26" s="524">
        <f>AB26*(1+$H$20)^0.25</f>
        <v>823.28212315477924</v>
      </c>
      <c r="AD26" s="524">
        <f t="shared" ref="AD26:AE26" si="17">AC26*(1+$H$20)^0.25</f>
        <v>829.23501991221201</v>
      </c>
      <c r="AE26" s="524">
        <f t="shared" si="17"/>
        <v>835.2309602130523</v>
      </c>
      <c r="AF26" s="515">
        <f>AE26*(1+$I$20)^0.25</f>
        <v>849.46624944065513</v>
      </c>
      <c r="AG26" s="524">
        <f>AF26*(1+$I$20)^0.25</f>
        <v>863.94415833760286</v>
      </c>
      <c r="AH26" s="533" t="s">
        <v>1896</v>
      </c>
    </row>
    <row r="27" spans="2:34" ht="19.5" customHeight="1" x14ac:dyDescent="0.35">
      <c r="B27" s="545" t="s">
        <v>1709</v>
      </c>
      <c r="C27" s="225"/>
      <c r="D27" s="556"/>
      <c r="E27" s="514"/>
      <c r="F27" s="514"/>
      <c r="G27" s="514"/>
      <c r="H27" s="514"/>
      <c r="I27" s="514"/>
      <c r="J27" s="514"/>
      <c r="K27" s="514"/>
      <c r="L27" s="514"/>
      <c r="M27" s="514"/>
      <c r="N27" s="514"/>
      <c r="O27" s="514"/>
      <c r="P27" s="514"/>
      <c r="Q27" s="514"/>
      <c r="R27" s="514"/>
      <c r="S27" s="514"/>
      <c r="T27" s="514"/>
      <c r="U27" s="514"/>
      <c r="V27" s="514"/>
      <c r="W27" s="514"/>
      <c r="X27" s="519">
        <v>-11</v>
      </c>
      <c r="Y27" s="519"/>
      <c r="Z27" s="519"/>
      <c r="AA27" s="519"/>
      <c r="AB27" s="519"/>
      <c r="AC27" s="519"/>
      <c r="AD27" s="519"/>
      <c r="AE27" s="519"/>
      <c r="AF27" s="519"/>
      <c r="AG27" s="519"/>
    </row>
    <row r="28" spans="2:34" ht="19.399999999999999" customHeight="1" x14ac:dyDescent="0.35">
      <c r="B28" s="545" t="s">
        <v>207</v>
      </c>
      <c r="C28" s="225"/>
      <c r="D28" s="556">
        <f t="shared" ref="D28:Q28" si="18">D10*D12</f>
        <v>391.92099999999999</v>
      </c>
      <c r="E28" s="514">
        <f t="shared" si="18"/>
        <v>406.23</v>
      </c>
      <c r="F28" s="514">
        <f t="shared" si="18"/>
        <v>414.87200000000001</v>
      </c>
      <c r="G28" s="514">
        <f t="shared" si="18"/>
        <v>418.36200000000002</v>
      </c>
      <c r="H28" s="514">
        <f t="shared" si="18"/>
        <v>414.971</v>
      </c>
      <c r="I28" s="514">
        <f t="shared" si="18"/>
        <v>424.089</v>
      </c>
      <c r="J28" s="514">
        <f t="shared" si="18"/>
        <v>505.45</v>
      </c>
      <c r="K28" s="514">
        <f t="shared" si="18"/>
        <v>483.86600000000004</v>
      </c>
      <c r="L28" s="514">
        <f t="shared" si="18"/>
        <v>506.75599999999997</v>
      </c>
      <c r="M28" s="514">
        <f t="shared" si="18"/>
        <v>501.459</v>
      </c>
      <c r="N28" s="514">
        <f t="shared" si="18"/>
        <v>526.38599999999997</v>
      </c>
      <c r="O28" s="514">
        <f t="shared" si="18"/>
        <v>541.66800000000001</v>
      </c>
      <c r="P28" s="514">
        <f t="shared" si="18"/>
        <v>563.64300000000003</v>
      </c>
      <c r="Q28" s="514">
        <f t="shared" si="18"/>
        <v>594.56200000000001</v>
      </c>
      <c r="R28" s="514">
        <f>R26*R12</f>
        <v>595.59299999999996</v>
      </c>
      <c r="S28" s="514">
        <f>S26*S12</f>
        <v>607.94899999999996</v>
      </c>
      <c r="T28" s="514">
        <f>T26*T12</f>
        <v>607.13699999999994</v>
      </c>
      <c r="U28" s="514">
        <f t="shared" ref="U28" si="19">U26*U12</f>
        <v>630.96299999999997</v>
      </c>
      <c r="V28" s="514">
        <f>V26*V12</f>
        <v>639.71100000000001</v>
      </c>
      <c r="W28" s="514">
        <f>W26*W12</f>
        <v>590.947</v>
      </c>
      <c r="X28" s="519">
        <f t="shared" ref="X28:AC28" si="20">X26*X12</f>
        <v>616.99699999999996</v>
      </c>
      <c r="Y28" s="519">
        <f t="shared" si="20"/>
        <v>583.51744813871062</v>
      </c>
      <c r="Z28" s="519">
        <f t="shared" si="20"/>
        <v>571.60610915363998</v>
      </c>
      <c r="AA28" s="519">
        <f t="shared" si="20"/>
        <v>559.9379162764875</v>
      </c>
      <c r="AB28" s="519">
        <f t="shared" si="20"/>
        <v>563.98665304899646</v>
      </c>
      <c r="AC28" s="519">
        <f t="shared" si="20"/>
        <v>568.06466497679764</v>
      </c>
      <c r="AD28" s="519">
        <f t="shared" ref="AD28:AG28" si="21">AD26*AD12</f>
        <v>572.1721637394262</v>
      </c>
      <c r="AE28" s="519">
        <f t="shared" si="21"/>
        <v>576.309362547006</v>
      </c>
      <c r="AF28" s="519">
        <f t="shared" si="21"/>
        <v>586.13171211405199</v>
      </c>
      <c r="AG28" s="519">
        <f t="shared" si="21"/>
        <v>596.12146925294587</v>
      </c>
    </row>
    <row r="29" spans="2:34" ht="19.399999999999999" customHeight="1" x14ac:dyDescent="0.35">
      <c r="B29" s="316" t="s">
        <v>438</v>
      </c>
      <c r="C29" s="317"/>
      <c r="D29" s="558">
        <f t="shared" ref="D29:G29" si="22">D26-D28</f>
        <v>197.57900000000001</v>
      </c>
      <c r="E29" s="516">
        <f t="shared" si="22"/>
        <v>192.47000000000003</v>
      </c>
      <c r="F29" s="516">
        <f t="shared" si="22"/>
        <v>199.52799999999996</v>
      </c>
      <c r="G29" s="516">
        <f t="shared" si="22"/>
        <v>204.03799999999995</v>
      </c>
      <c r="H29" s="516">
        <f t="shared" ref="H29:AC29" si="23">H26-H28</f>
        <v>205.62900000000002</v>
      </c>
      <c r="I29" s="516">
        <f t="shared" si="23"/>
        <v>182.31099999999998</v>
      </c>
      <c r="J29" s="516">
        <f t="shared" si="23"/>
        <v>149.15000000000003</v>
      </c>
      <c r="K29" s="516">
        <f t="shared" si="23"/>
        <v>206.93399999999991</v>
      </c>
      <c r="L29" s="516">
        <f t="shared" si="23"/>
        <v>171.84400000000005</v>
      </c>
      <c r="M29" s="516">
        <f t="shared" si="23"/>
        <v>203.541</v>
      </c>
      <c r="N29" s="516">
        <f t="shared" si="23"/>
        <v>219.31400000000008</v>
      </c>
      <c r="O29" s="516">
        <f>O26-O28</f>
        <v>207.53200000000004</v>
      </c>
      <c r="P29" s="516">
        <f>P26-P28</f>
        <v>182.45699999999999</v>
      </c>
      <c r="Q29" s="516">
        <f t="shared" si="23"/>
        <v>196.83799999999997</v>
      </c>
      <c r="R29" s="516">
        <f t="shared" si="23"/>
        <v>223.10700000000008</v>
      </c>
      <c r="S29" s="516">
        <f t="shared" si="23"/>
        <v>211.05100000000004</v>
      </c>
      <c r="T29" s="516">
        <f t="shared" si="23"/>
        <v>221.26300000000003</v>
      </c>
      <c r="U29" s="516">
        <f t="shared" si="23"/>
        <v>240.53700000000003</v>
      </c>
      <c r="V29" s="516">
        <f t="shared" si="23"/>
        <v>271.68899999999996</v>
      </c>
      <c r="W29" s="516">
        <f t="shared" si="23"/>
        <v>289.65300000000002</v>
      </c>
      <c r="X29" s="552">
        <f t="shared" si="23"/>
        <v>246.303</v>
      </c>
      <c r="Y29" s="552">
        <f t="shared" si="23"/>
        <v>262.16001293188447</v>
      </c>
      <c r="Z29" s="552">
        <f t="shared" si="23"/>
        <v>256.8085417936644</v>
      </c>
      <c r="AA29" s="552">
        <f t="shared" si="23"/>
        <v>251.56631021117562</v>
      </c>
      <c r="AB29" s="552">
        <f t="shared" si="23"/>
        <v>253.38530789157812</v>
      </c>
      <c r="AC29" s="552">
        <f t="shared" si="23"/>
        <v>255.2174581779816</v>
      </c>
      <c r="AD29" s="552">
        <f t="shared" ref="AD29:AG29" si="24">AD26-AD28</f>
        <v>257.06285617278581</v>
      </c>
      <c r="AE29" s="552">
        <f t="shared" si="24"/>
        <v>258.9215976660463</v>
      </c>
      <c r="AF29" s="552">
        <f t="shared" si="24"/>
        <v>263.33453732660314</v>
      </c>
      <c r="AG29" s="552">
        <f t="shared" si="24"/>
        <v>267.82268908465699</v>
      </c>
    </row>
    <row r="30" spans="2:34" ht="19.399999999999999" customHeight="1" x14ac:dyDescent="0.35">
      <c r="B30" s="202"/>
      <c r="C30" s="202"/>
      <c r="D30" s="517"/>
      <c r="E30" s="517"/>
      <c r="F30" s="517"/>
      <c r="G30" s="517"/>
      <c r="H30" s="517"/>
      <c r="I30" s="517"/>
      <c r="J30" s="517"/>
      <c r="K30" s="517"/>
      <c r="L30" s="517"/>
      <c r="M30" s="517"/>
      <c r="N30" s="517"/>
      <c r="O30" s="517"/>
      <c r="P30" s="517"/>
      <c r="Q30" s="517"/>
      <c r="R30" s="517"/>
      <c r="S30" s="517"/>
      <c r="T30" s="517"/>
      <c r="U30" s="517"/>
      <c r="V30" s="517"/>
      <c r="W30" s="517"/>
      <c r="X30" s="517"/>
      <c r="Y30" s="517"/>
      <c r="Z30" s="517"/>
      <c r="AA30" s="517"/>
      <c r="AB30" s="517"/>
      <c r="AC30" s="517"/>
      <c r="AD30" s="517"/>
      <c r="AE30" s="517"/>
      <c r="AF30" s="517"/>
      <c r="AG30" s="517"/>
    </row>
    <row r="31" spans="2:34" ht="19.399999999999999" customHeight="1" x14ac:dyDescent="0.35">
      <c r="B31" s="202"/>
      <c r="C31" s="202"/>
      <c r="D31" s="517"/>
      <c r="E31" s="517"/>
      <c r="F31" s="517"/>
      <c r="G31" s="517"/>
      <c r="H31" s="517"/>
      <c r="I31" s="517"/>
      <c r="J31" s="517"/>
      <c r="K31" s="517"/>
      <c r="L31" s="517"/>
      <c r="M31" s="517"/>
      <c r="N31" s="517"/>
      <c r="O31" s="517"/>
      <c r="AG31" s="517"/>
    </row>
    <row r="32" spans="2:34" ht="19.399999999999999" customHeight="1" x14ac:dyDescent="0.35">
      <c r="B32" s="202"/>
      <c r="C32" s="202"/>
      <c r="D32" s="517"/>
      <c r="E32" s="517"/>
      <c r="F32" s="517"/>
      <c r="G32" s="517"/>
      <c r="H32" s="517"/>
      <c r="I32" s="517"/>
      <c r="J32" s="517"/>
      <c r="K32" s="517"/>
      <c r="L32" s="517"/>
      <c r="M32" s="517"/>
      <c r="N32" s="517"/>
      <c r="O32" s="517"/>
      <c r="AG32" s="517"/>
    </row>
    <row r="33" spans="2:33" ht="19.399999999999999" customHeight="1" x14ac:dyDescent="0.35">
      <c r="B33" s="202"/>
      <c r="C33" s="202"/>
      <c r="D33" s="517"/>
      <c r="E33" s="517"/>
      <c r="F33" s="517"/>
      <c r="G33" s="517"/>
      <c r="H33" s="517"/>
      <c r="I33" s="517"/>
      <c r="J33" s="517"/>
      <c r="K33" s="517"/>
      <c r="L33" s="517"/>
      <c r="M33" s="517"/>
      <c r="N33" s="517"/>
      <c r="O33" s="517"/>
      <c r="P33" s="517"/>
      <c r="Q33" s="517"/>
      <c r="R33" s="517"/>
      <c r="S33" s="517"/>
      <c r="T33" s="517"/>
      <c r="U33" s="517"/>
      <c r="V33" s="517"/>
      <c r="W33" s="517"/>
      <c r="X33" s="517"/>
      <c r="Y33" s="517"/>
      <c r="Z33" s="517"/>
      <c r="AA33" s="517"/>
      <c r="AB33" s="517"/>
      <c r="AC33" s="517"/>
      <c r="AD33" s="517"/>
      <c r="AE33" s="517"/>
      <c r="AF33" s="517"/>
      <c r="AG33" s="517"/>
    </row>
    <row r="34" spans="2:33" ht="14.9" customHeight="1" x14ac:dyDescent="0.35">
      <c r="B34" s="547" t="s">
        <v>439</v>
      </c>
      <c r="C34" s="548"/>
      <c r="D34" s="548"/>
      <c r="E34" s="549"/>
      <c r="F34" s="550">
        <v>2021</v>
      </c>
      <c r="G34" s="550">
        <v>2022</v>
      </c>
      <c r="H34" s="550">
        <v>2023</v>
      </c>
      <c r="I34" s="550">
        <v>2024</v>
      </c>
      <c r="J34" s="550">
        <v>2025</v>
      </c>
      <c r="K34" s="550">
        <v>2025</v>
      </c>
      <c r="L34" s="550">
        <v>2027</v>
      </c>
      <c r="M34" s="550">
        <v>2028</v>
      </c>
      <c r="N34" s="550">
        <v>2029</v>
      </c>
      <c r="O34" s="550">
        <v>2030</v>
      </c>
      <c r="P34" s="551">
        <v>2031</v>
      </c>
    </row>
    <row r="35" spans="2:33" ht="15" customHeight="1" x14ac:dyDescent="0.35">
      <c r="B35" s="1369" t="s">
        <v>440</v>
      </c>
      <c r="C35" s="1370"/>
      <c r="D35" s="1370"/>
      <c r="E35" s="1371"/>
      <c r="F35" s="195">
        <v>287</v>
      </c>
      <c r="G35" s="195">
        <v>534</v>
      </c>
      <c r="H35" s="195">
        <v>247</v>
      </c>
      <c r="I35" s="195">
        <v>63</v>
      </c>
      <c r="J35" s="195"/>
      <c r="K35" s="195"/>
      <c r="L35" s="195"/>
      <c r="M35" s="195"/>
      <c r="N35" s="195"/>
      <c r="O35" s="195"/>
      <c r="P35" s="534"/>
    </row>
    <row r="36" spans="2:33" ht="15" customHeight="1" x14ac:dyDescent="0.35">
      <c r="B36" s="1363" t="s">
        <v>441</v>
      </c>
      <c r="C36" s="1364"/>
      <c r="D36" s="1364"/>
      <c r="E36" s="1365"/>
      <c r="F36" s="195">
        <v>0</v>
      </c>
      <c r="G36" s="195">
        <v>0</v>
      </c>
      <c r="H36" s="195">
        <v>756</v>
      </c>
      <c r="I36" s="195">
        <v>1249</v>
      </c>
      <c r="J36" s="195">
        <v>1417</v>
      </c>
      <c r="K36" s="195">
        <v>1522</v>
      </c>
      <c r="L36" s="195">
        <v>1107</v>
      </c>
      <c r="M36" s="195"/>
      <c r="N36" s="195"/>
      <c r="O36" s="195"/>
      <c r="P36" s="534"/>
    </row>
    <row r="37" spans="2:33" x14ac:dyDescent="0.35">
      <c r="B37" s="1363" t="s">
        <v>442</v>
      </c>
      <c r="C37" s="1364"/>
      <c r="D37" s="1364"/>
      <c r="E37" s="1365"/>
      <c r="F37" s="195">
        <v>0</v>
      </c>
      <c r="G37" s="195">
        <v>5</v>
      </c>
      <c r="H37" s="195">
        <v>77</v>
      </c>
      <c r="I37" s="195">
        <v>307</v>
      </c>
      <c r="J37" s="195">
        <v>332</v>
      </c>
      <c r="K37" s="195">
        <v>270</v>
      </c>
      <c r="L37" s="195">
        <v>25</v>
      </c>
      <c r="M37" s="195">
        <v>32</v>
      </c>
      <c r="N37" s="195">
        <v>40</v>
      </c>
      <c r="O37" s="195">
        <v>49</v>
      </c>
      <c r="P37" s="534">
        <v>58</v>
      </c>
    </row>
    <row r="38" spans="2:33" ht="32.9" customHeight="1" x14ac:dyDescent="0.35">
      <c r="B38" s="1366" t="s">
        <v>443</v>
      </c>
      <c r="C38" s="1367"/>
      <c r="D38" s="1367"/>
      <c r="E38" s="1368"/>
      <c r="F38" s="195">
        <v>0</v>
      </c>
      <c r="G38" s="195">
        <v>0</v>
      </c>
      <c r="H38" s="195">
        <v>3768</v>
      </c>
      <c r="I38" s="195">
        <v>3428</v>
      </c>
      <c r="J38" s="195">
        <v>2176</v>
      </c>
      <c r="K38" s="195">
        <v>2304</v>
      </c>
      <c r="L38" s="195">
        <v>2129</v>
      </c>
      <c r="M38" s="195">
        <v>1335</v>
      </c>
      <c r="N38" s="195">
        <v>478</v>
      </c>
      <c r="O38" s="195">
        <v>531</v>
      </c>
      <c r="P38" s="534">
        <v>212</v>
      </c>
    </row>
    <row r="39" spans="2:33" ht="32.9" customHeight="1" x14ac:dyDescent="0.35">
      <c r="B39" s="1366" t="s">
        <v>444</v>
      </c>
      <c r="C39" s="1367"/>
      <c r="D39" s="1367"/>
      <c r="E39" s="1368"/>
      <c r="F39" s="195">
        <v>38</v>
      </c>
      <c r="G39" s="195">
        <v>81</v>
      </c>
      <c r="H39" s="195">
        <v>43</v>
      </c>
      <c r="I39" s="195"/>
      <c r="J39" s="195"/>
      <c r="K39" s="195"/>
      <c r="L39" s="195"/>
      <c r="M39" s="195"/>
      <c r="N39" s="195"/>
      <c r="O39" s="195"/>
      <c r="P39" s="534"/>
    </row>
    <row r="40" spans="2:33" x14ac:dyDescent="0.35">
      <c r="B40" s="1363" t="s">
        <v>445</v>
      </c>
      <c r="C40" s="1364"/>
      <c r="D40" s="1364"/>
      <c r="E40" s="1365"/>
      <c r="F40" s="195"/>
      <c r="G40" s="195"/>
      <c r="H40" s="195"/>
      <c r="I40" s="195">
        <v>-184</v>
      </c>
      <c r="J40" s="195">
        <v>-1830</v>
      </c>
      <c r="K40" s="195">
        <v>-2406</v>
      </c>
      <c r="L40" s="195">
        <v>-2419</v>
      </c>
      <c r="M40" s="195">
        <v>-2467</v>
      </c>
      <c r="N40" s="195">
        <v>-2531</v>
      </c>
      <c r="O40" s="195">
        <v>-2667</v>
      </c>
      <c r="P40" s="534">
        <v>-2809</v>
      </c>
    </row>
    <row r="41" spans="2:33" ht="15.75" customHeight="1" x14ac:dyDescent="0.35">
      <c r="B41" s="1375" t="s">
        <v>446</v>
      </c>
      <c r="C41" s="1376"/>
      <c r="D41" s="1376"/>
      <c r="E41" s="1377"/>
      <c r="F41" s="195">
        <v>6524</v>
      </c>
      <c r="G41" s="195">
        <v>6143</v>
      </c>
      <c r="H41" s="195"/>
      <c r="I41" s="195"/>
      <c r="J41" s="195"/>
      <c r="K41" s="195"/>
      <c r="L41" s="195"/>
      <c r="M41" s="195"/>
      <c r="N41" s="195"/>
      <c r="O41" s="195"/>
      <c r="P41" s="534"/>
    </row>
    <row r="42" spans="2:33" x14ac:dyDescent="0.35">
      <c r="B42" s="1363" t="s">
        <v>447</v>
      </c>
      <c r="C42" s="1364"/>
      <c r="D42" s="1364"/>
      <c r="E42" s="1365"/>
      <c r="F42" s="195">
        <v>50</v>
      </c>
      <c r="G42" s="195">
        <v>175</v>
      </c>
      <c r="H42" s="195">
        <v>25</v>
      </c>
      <c r="I42" s="195"/>
      <c r="J42" s="195"/>
      <c r="K42" s="195"/>
      <c r="L42" s="195"/>
      <c r="M42" s="195"/>
      <c r="N42" s="195"/>
      <c r="O42" s="195"/>
      <c r="P42" s="534"/>
    </row>
    <row r="43" spans="2:33" x14ac:dyDescent="0.35">
      <c r="B43" s="1363" t="s">
        <v>448</v>
      </c>
      <c r="C43" s="1364"/>
      <c r="D43" s="1364"/>
      <c r="E43" s="1365"/>
      <c r="F43" s="195">
        <v>829</v>
      </c>
      <c r="G43" s="195">
        <v>844</v>
      </c>
      <c r="H43" s="195"/>
      <c r="I43" s="195"/>
      <c r="J43" s="195"/>
      <c r="K43" s="195"/>
      <c r="L43" s="195"/>
      <c r="M43" s="195"/>
      <c r="N43" s="195"/>
      <c r="O43" s="195"/>
      <c r="P43" s="534"/>
    </row>
    <row r="44" spans="2:33" x14ac:dyDescent="0.35">
      <c r="B44" s="1378" t="s">
        <v>449</v>
      </c>
      <c r="C44" s="1379"/>
      <c r="D44" s="1379"/>
      <c r="E44" s="1380"/>
      <c r="F44" s="195">
        <f t="shared" ref="F44:P44" si="25">SUM(F35:F43)</f>
        <v>7728</v>
      </c>
      <c r="G44" s="195">
        <f t="shared" si="25"/>
        <v>7782</v>
      </c>
      <c r="H44" s="195">
        <f t="shared" si="25"/>
        <v>4916</v>
      </c>
      <c r="I44" s="195">
        <f t="shared" si="25"/>
        <v>4863</v>
      </c>
      <c r="J44" s="195">
        <f t="shared" si="25"/>
        <v>2095</v>
      </c>
      <c r="K44" s="195">
        <f t="shared" si="25"/>
        <v>1690</v>
      </c>
      <c r="L44" s="195">
        <f t="shared" si="25"/>
        <v>842</v>
      </c>
      <c r="M44" s="195">
        <f t="shared" si="25"/>
        <v>-1100</v>
      </c>
      <c r="N44" s="195">
        <f t="shared" si="25"/>
        <v>-2013</v>
      </c>
      <c r="O44" s="195">
        <f t="shared" si="25"/>
        <v>-2087</v>
      </c>
      <c r="P44" s="534">
        <f t="shared" si="25"/>
        <v>-2539</v>
      </c>
    </row>
    <row r="45" spans="2:33" x14ac:dyDescent="0.35">
      <c r="B45" s="1375" t="s">
        <v>450</v>
      </c>
      <c r="C45" s="1376"/>
      <c r="D45" s="1376"/>
      <c r="E45" s="1377"/>
      <c r="F45" s="195">
        <f t="shared" ref="F45:P45" si="26">F41+F39+F38</f>
        <v>6562</v>
      </c>
      <c r="G45" s="195">
        <f t="shared" si="26"/>
        <v>6224</v>
      </c>
      <c r="H45" s="195">
        <f t="shared" si="26"/>
        <v>3811</v>
      </c>
      <c r="I45" s="195">
        <f t="shared" si="26"/>
        <v>3428</v>
      </c>
      <c r="J45" s="195">
        <f t="shared" si="26"/>
        <v>2176</v>
      </c>
      <c r="K45" s="195">
        <f t="shared" si="26"/>
        <v>2304</v>
      </c>
      <c r="L45" s="195">
        <f t="shared" si="26"/>
        <v>2129</v>
      </c>
      <c r="M45" s="195">
        <f t="shared" si="26"/>
        <v>1335</v>
      </c>
      <c r="N45" s="195">
        <f t="shared" si="26"/>
        <v>478</v>
      </c>
      <c r="O45" s="195">
        <f t="shared" si="26"/>
        <v>531</v>
      </c>
      <c r="P45" s="534">
        <f t="shared" si="26"/>
        <v>212</v>
      </c>
      <c r="Q45" s="202" t="s">
        <v>451</v>
      </c>
    </row>
    <row r="46" spans="2:33" x14ac:dyDescent="0.35">
      <c r="B46" s="1363" t="s">
        <v>452</v>
      </c>
      <c r="C46" s="1364"/>
      <c r="D46" s="1364"/>
      <c r="E46" s="1365"/>
      <c r="F46" s="195">
        <f>(F45/1000)/M26</f>
        <v>9.3078014184397161E-3</v>
      </c>
      <c r="G46" s="195">
        <f>(G45/F45)*F46</f>
        <v>8.8283687943262416E-3</v>
      </c>
      <c r="H46" s="195">
        <f>(H45/G45)*G46+H47</f>
        <v>5.4056737588652481E-3</v>
      </c>
      <c r="I46" s="195">
        <f>(I45/H45)*H46+I47</f>
        <v>4.8624113475177304E-3</v>
      </c>
      <c r="J46" s="195">
        <f>J47</f>
        <v>0</v>
      </c>
      <c r="K46" s="195">
        <f t="shared" ref="K46:L46" si="27">K47</f>
        <v>0</v>
      </c>
      <c r="L46" s="195">
        <f t="shared" si="27"/>
        <v>0</v>
      </c>
      <c r="M46" s="195"/>
      <c r="N46" s="195"/>
      <c r="O46" s="195"/>
      <c r="P46" s="534"/>
      <c r="Q46" s="202" t="s">
        <v>453</v>
      </c>
    </row>
    <row r="47" spans="2:33" ht="29.25" customHeight="1" x14ac:dyDescent="0.35">
      <c r="B47" s="511" t="s">
        <v>897</v>
      </c>
      <c r="C47" s="512"/>
      <c r="D47" s="512"/>
      <c r="E47" s="513"/>
      <c r="F47" s="195"/>
      <c r="G47" s="195"/>
      <c r="H47" s="195"/>
      <c r="I47" s="195"/>
      <c r="J47" s="195"/>
      <c r="K47" s="195"/>
      <c r="L47" s="195"/>
      <c r="M47" s="195"/>
      <c r="N47" s="195"/>
      <c r="O47" s="195"/>
      <c r="P47" s="534"/>
      <c r="Q47" s="202"/>
    </row>
    <row r="48" spans="2:33" x14ac:dyDescent="0.35">
      <c r="B48" s="1372"/>
      <c r="C48" s="1373"/>
      <c r="D48" s="1373"/>
      <c r="E48" s="1374"/>
      <c r="F48" s="528"/>
      <c r="G48" s="528"/>
      <c r="H48" s="528"/>
      <c r="I48" s="528"/>
      <c r="J48" s="528"/>
      <c r="K48" s="528"/>
      <c r="L48" s="528"/>
      <c r="M48" s="528"/>
      <c r="N48" s="528"/>
      <c r="O48" s="528"/>
      <c r="P48" s="535"/>
    </row>
  </sheetData>
  <mergeCells count="34">
    <mergeCell ref="B1:AC1"/>
    <mergeCell ref="V2:AB4"/>
    <mergeCell ref="B2:U4"/>
    <mergeCell ref="Y24:AB24"/>
    <mergeCell ref="Y8:AB8"/>
    <mergeCell ref="M24:P24"/>
    <mergeCell ref="M8:P8"/>
    <mergeCell ref="Q8:T8"/>
    <mergeCell ref="Q24:T24"/>
    <mergeCell ref="AC8:AF8"/>
    <mergeCell ref="W7:AG7"/>
    <mergeCell ref="AC24:AF24"/>
    <mergeCell ref="D7:V7"/>
    <mergeCell ref="W23:AG23"/>
    <mergeCell ref="D23:V23"/>
    <mergeCell ref="B48:E48"/>
    <mergeCell ref="B41:E41"/>
    <mergeCell ref="B42:E42"/>
    <mergeCell ref="B43:E43"/>
    <mergeCell ref="B44:E44"/>
    <mergeCell ref="B45:E45"/>
    <mergeCell ref="B46:E46"/>
    <mergeCell ref="B40:E40"/>
    <mergeCell ref="E8:H8"/>
    <mergeCell ref="B7:C9"/>
    <mergeCell ref="I8:L8"/>
    <mergeCell ref="B38:E38"/>
    <mergeCell ref="B39:E39"/>
    <mergeCell ref="B37:E37"/>
    <mergeCell ref="B35:E35"/>
    <mergeCell ref="I24:L24"/>
    <mergeCell ref="B23:C25"/>
    <mergeCell ref="E24:H24"/>
    <mergeCell ref="B36:E36"/>
  </mergeCells>
  <pageMargins left="0.7" right="0.7" top="0.75" bottom="0.75" header="0.3" footer="0.3"/>
  <pageSetup paperSize="9" orientation="portrait" horizontalDpi="300" verticalDpi="300"/>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G35"/>
  <sheetViews>
    <sheetView topLeftCell="E1" zoomScale="90" zoomScaleNormal="90" workbookViewId="0">
      <selection activeCell="X32" sqref="X32"/>
    </sheetView>
  </sheetViews>
  <sheetFormatPr defaultColWidth="10.9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33" x14ac:dyDescent="0.35">
      <c r="B1" s="1292" t="s">
        <v>55</v>
      </c>
      <c r="C1" s="1292"/>
      <c r="D1" s="1292"/>
      <c r="E1" s="1292"/>
      <c r="F1" s="1292"/>
      <c r="G1" s="1292"/>
      <c r="H1" s="1292"/>
      <c r="I1" s="1292"/>
      <c r="J1" s="1292"/>
      <c r="K1" s="1292"/>
      <c r="L1" s="1292"/>
      <c r="M1" s="1292"/>
      <c r="N1" s="1292"/>
      <c r="O1" s="1292"/>
      <c r="P1" s="1292"/>
      <c r="Q1" s="1292"/>
      <c r="R1" s="1292"/>
      <c r="S1" s="1292"/>
      <c r="T1" s="1292"/>
      <c r="U1" s="1292"/>
      <c r="V1" s="1292"/>
      <c r="W1" s="1292"/>
      <c r="X1" s="1292"/>
      <c r="Y1" s="1292"/>
      <c r="Z1" s="1292"/>
      <c r="AA1" s="1292"/>
      <c r="AB1" s="1292"/>
      <c r="AC1" s="1292"/>
    </row>
    <row r="2" spans="2:33" ht="14.25" customHeight="1" x14ac:dyDescent="0.35">
      <c r="B2" s="1382" t="s">
        <v>863</v>
      </c>
      <c r="C2" s="1382"/>
      <c r="D2" s="1382"/>
      <c r="E2" s="1382"/>
      <c r="F2" s="1382"/>
      <c r="G2" s="1382"/>
      <c r="H2" s="1382"/>
      <c r="I2" s="1382"/>
      <c r="J2" s="1382"/>
      <c r="K2" s="1382"/>
      <c r="L2" s="1382"/>
      <c r="M2" s="1382"/>
      <c r="N2" s="1382"/>
      <c r="O2" s="1382"/>
      <c r="P2" s="1382"/>
      <c r="Q2" s="1382"/>
      <c r="R2" s="1382"/>
      <c r="S2" s="561"/>
      <c r="T2" s="1383" t="s">
        <v>916</v>
      </c>
      <c r="U2" s="1383"/>
      <c r="V2" s="1383"/>
      <c r="W2" s="1383"/>
      <c r="X2" s="1383"/>
      <c r="Y2" s="1383"/>
      <c r="Z2" s="1383"/>
      <c r="AA2" s="1383"/>
      <c r="AB2" s="1383"/>
      <c r="AC2" s="1383"/>
    </row>
    <row r="3" spans="2:33" x14ac:dyDescent="0.35">
      <c r="B3" s="1382"/>
      <c r="C3" s="1382"/>
      <c r="D3" s="1382"/>
      <c r="E3" s="1382"/>
      <c r="F3" s="1382"/>
      <c r="G3" s="1382"/>
      <c r="H3" s="1382"/>
      <c r="I3" s="1382"/>
      <c r="J3" s="1382"/>
      <c r="K3" s="1382"/>
      <c r="L3" s="1382"/>
      <c r="M3" s="1382"/>
      <c r="N3" s="1382"/>
      <c r="O3" s="1382"/>
      <c r="P3" s="1382"/>
      <c r="Q3" s="1382"/>
      <c r="R3" s="1382"/>
      <c r="S3" s="561"/>
      <c r="T3" s="1383"/>
      <c r="U3" s="1383"/>
      <c r="V3" s="1383"/>
      <c r="W3" s="1383"/>
      <c r="X3" s="1383"/>
      <c r="Y3" s="1383"/>
      <c r="Z3" s="1383"/>
      <c r="AA3" s="1383"/>
      <c r="AB3" s="1383"/>
      <c r="AC3" s="1383"/>
    </row>
    <row r="4" spans="2:33" ht="21" customHeight="1" x14ac:dyDescent="0.35">
      <c r="B4" s="1382"/>
      <c r="C4" s="1382"/>
      <c r="D4" s="1382"/>
      <c r="E4" s="1382"/>
      <c r="F4" s="1382"/>
      <c r="G4" s="1382"/>
      <c r="H4" s="1382"/>
      <c r="I4" s="1382"/>
      <c r="J4" s="1382"/>
      <c r="K4" s="1382"/>
      <c r="L4" s="1382"/>
      <c r="M4" s="1382"/>
      <c r="N4" s="1382"/>
      <c r="O4" s="1382"/>
      <c r="P4" s="1382"/>
      <c r="Q4" s="1382"/>
      <c r="R4" s="1382"/>
      <c r="S4" s="561"/>
      <c r="T4" s="1383"/>
      <c r="U4" s="1383"/>
      <c r="V4" s="1383"/>
      <c r="W4" s="1383"/>
      <c r="X4" s="1383"/>
      <c r="Y4" s="1383"/>
      <c r="Z4" s="1383"/>
      <c r="AA4" s="1383"/>
      <c r="AB4" s="1383"/>
      <c r="AC4" s="1383"/>
    </row>
    <row r="6" spans="2:33" x14ac:dyDescent="0.35">
      <c r="B6" s="478" t="s">
        <v>333</v>
      </c>
    </row>
    <row r="7" spans="2:33" ht="14.9" customHeight="1" x14ac:dyDescent="0.35">
      <c r="B7" s="1297" t="s">
        <v>404</v>
      </c>
      <c r="C7" s="1298"/>
      <c r="D7" s="1301" t="s">
        <v>280</v>
      </c>
      <c r="E7" s="1313"/>
      <c r="F7" s="1313"/>
      <c r="G7" s="1313"/>
      <c r="H7" s="1313"/>
      <c r="I7" s="1313"/>
      <c r="J7" s="1313"/>
      <c r="K7" s="1313"/>
      <c r="L7" s="1313"/>
      <c r="M7" s="1313"/>
      <c r="N7" s="1313"/>
      <c r="O7" s="1313"/>
      <c r="P7" s="1313"/>
      <c r="Q7" s="1313"/>
      <c r="R7" s="1313"/>
      <c r="S7" s="1313"/>
      <c r="T7" s="1313"/>
      <c r="U7" s="1314"/>
      <c r="V7" s="1300"/>
      <c r="W7" s="1324" t="s">
        <v>281</v>
      </c>
      <c r="X7" s="1325"/>
      <c r="Y7" s="1325"/>
      <c r="Z7" s="1325"/>
      <c r="AA7" s="1325"/>
      <c r="AB7" s="1325"/>
      <c r="AC7" s="1325"/>
      <c r="AD7" s="1325"/>
      <c r="AE7" s="1325"/>
      <c r="AF7" s="1325"/>
      <c r="AG7" s="1325"/>
    </row>
    <row r="8" spans="2:33" x14ac:dyDescent="0.35">
      <c r="B8" s="1299"/>
      <c r="C8" s="1300"/>
      <c r="D8" s="142">
        <v>2018</v>
      </c>
      <c r="E8" s="1278">
        <v>2019</v>
      </c>
      <c r="F8" s="1306"/>
      <c r="G8" s="1306"/>
      <c r="H8" s="1307"/>
      <c r="I8" s="1278">
        <v>2020</v>
      </c>
      <c r="J8" s="1306"/>
      <c r="K8" s="1306"/>
      <c r="L8" s="1306"/>
      <c r="M8" s="1278">
        <v>2021</v>
      </c>
      <c r="N8" s="1306"/>
      <c r="O8" s="1306"/>
      <c r="P8" s="1279"/>
      <c r="Q8" s="1278">
        <v>2022</v>
      </c>
      <c r="R8" s="1279"/>
      <c r="S8" s="1279"/>
      <c r="T8" s="1279"/>
      <c r="U8" s="201"/>
      <c r="V8" s="251">
        <v>2023</v>
      </c>
      <c r="W8" s="253"/>
      <c r="X8" s="222"/>
      <c r="Y8" s="1304">
        <v>2024</v>
      </c>
      <c r="Z8" s="1315"/>
      <c r="AA8" s="1315"/>
      <c r="AB8" s="1305"/>
      <c r="AC8" s="1303">
        <v>2025</v>
      </c>
      <c r="AD8" s="1315"/>
      <c r="AE8" s="1315"/>
      <c r="AF8" s="1305"/>
      <c r="AG8" s="467">
        <v>2026</v>
      </c>
    </row>
    <row r="9" spans="2:33" x14ac:dyDescent="0.35">
      <c r="B9" s="1301"/>
      <c r="C9" s="1302"/>
      <c r="D9" s="148" t="s">
        <v>282</v>
      </c>
      <c r="E9" s="148" t="s">
        <v>283</v>
      </c>
      <c r="F9" s="144" t="s">
        <v>284</v>
      </c>
      <c r="G9" s="144" t="s">
        <v>238</v>
      </c>
      <c r="H9" s="145" t="s">
        <v>282</v>
      </c>
      <c r="I9" s="144" t="s">
        <v>283</v>
      </c>
      <c r="J9" s="144" t="s">
        <v>284</v>
      </c>
      <c r="K9" s="144" t="s">
        <v>238</v>
      </c>
      <c r="L9" s="144" t="s">
        <v>282</v>
      </c>
      <c r="M9" s="148" t="s">
        <v>283</v>
      </c>
      <c r="N9" s="144" t="s">
        <v>284</v>
      </c>
      <c r="O9" s="144" t="s">
        <v>238</v>
      </c>
      <c r="P9" s="144" t="s">
        <v>282</v>
      </c>
      <c r="Q9" s="148" t="s">
        <v>283</v>
      </c>
      <c r="R9" s="144" t="s">
        <v>284</v>
      </c>
      <c r="S9" s="144" t="s">
        <v>238</v>
      </c>
      <c r="T9" s="144" t="s">
        <v>282</v>
      </c>
      <c r="U9" s="248" t="s">
        <v>283</v>
      </c>
      <c r="V9" s="249" t="s">
        <v>284</v>
      </c>
      <c r="W9" s="232" t="s">
        <v>238</v>
      </c>
      <c r="X9" s="233" t="s">
        <v>282</v>
      </c>
      <c r="Y9" s="232" t="s">
        <v>283</v>
      </c>
      <c r="Z9" s="229" t="s">
        <v>284</v>
      </c>
      <c r="AA9" s="232" t="s">
        <v>238</v>
      </c>
      <c r="AB9" s="232" t="s">
        <v>282</v>
      </c>
      <c r="AC9" s="231" t="s">
        <v>283</v>
      </c>
      <c r="AD9" s="229" t="s">
        <v>284</v>
      </c>
      <c r="AE9" s="232" t="s">
        <v>238</v>
      </c>
      <c r="AF9" s="232" t="s">
        <v>282</v>
      </c>
      <c r="AG9" s="231" t="s">
        <v>283</v>
      </c>
    </row>
    <row r="10" spans="2:33" ht="14.9" customHeight="1" x14ac:dyDescent="0.35">
      <c r="B10" s="566" t="s">
        <v>454</v>
      </c>
      <c r="C10" s="35" t="s">
        <v>912</v>
      </c>
      <c r="D10" s="540">
        <f>'Haver Pivoted'!GO12</f>
        <v>755</v>
      </c>
      <c r="E10" s="541">
        <f>'Haver Pivoted'!GP12</f>
        <v>771.9</v>
      </c>
      <c r="F10" s="541">
        <f>'Haver Pivoted'!GQ12</f>
        <v>785.3</v>
      </c>
      <c r="G10" s="541">
        <f>'Haver Pivoted'!GR12</f>
        <v>793.9</v>
      </c>
      <c r="H10" s="541">
        <f>'Haver Pivoted'!GS12</f>
        <v>797.9</v>
      </c>
      <c r="I10" s="541">
        <f>'Haver Pivoted'!GT12</f>
        <v>798.4</v>
      </c>
      <c r="J10" s="541">
        <f>'Haver Pivoted'!GU12</f>
        <v>811.1</v>
      </c>
      <c r="K10" s="541">
        <f>'Haver Pivoted'!GV12</f>
        <v>823.1</v>
      </c>
      <c r="L10" s="541">
        <f>'Haver Pivoted'!GW12</f>
        <v>834.5</v>
      </c>
      <c r="M10" s="541">
        <f>'Haver Pivoted'!GX12</f>
        <v>849.4</v>
      </c>
      <c r="N10" s="541">
        <f>'Haver Pivoted'!GY12</f>
        <v>865.6</v>
      </c>
      <c r="O10" s="541">
        <f>'Haver Pivoted'!GZ12</f>
        <v>882.6</v>
      </c>
      <c r="P10" s="541">
        <f>'Haver Pivoted'!HA12</f>
        <v>900.3</v>
      </c>
      <c r="Q10" s="541">
        <f>'Haver Pivoted'!HB12</f>
        <v>918.2</v>
      </c>
      <c r="R10" s="541">
        <f>'Haver Pivoted'!HC12</f>
        <v>924.7</v>
      </c>
      <c r="S10" s="542">
        <f>'Haver Pivoted'!HD12</f>
        <v>927.2</v>
      </c>
      <c r="T10" s="526">
        <f>'Haver Pivoted'!HE12</f>
        <v>934.2</v>
      </c>
      <c r="U10" s="564">
        <f>'Haver Pivoted'!HF12</f>
        <v>938.1</v>
      </c>
      <c r="V10" s="542">
        <f>'Haver Pivoted'!HG12</f>
        <v>941.9</v>
      </c>
      <c r="W10" s="542">
        <f>'Haver Pivoted'!HH12</f>
        <v>946.3</v>
      </c>
      <c r="X10" s="542">
        <f>'Haver Pivoted'!HI12</f>
        <v>951.3</v>
      </c>
      <c r="Y10" s="553">
        <f t="shared" ref="Y10:AC10" si="0">X10*(1+Y13)</f>
        <v>956.26691245960421</v>
      </c>
      <c r="Z10" s="553">
        <f t="shared" si="0"/>
        <v>961.2597580837006</v>
      </c>
      <c r="AA10" s="553">
        <f t="shared" si="0"/>
        <v>966.27867227411593</v>
      </c>
      <c r="AB10" s="553">
        <f t="shared" si="0"/>
        <v>992.86655402345843</v>
      </c>
      <c r="AC10" s="524">
        <f t="shared" si="0"/>
        <v>1020.1860212627852</v>
      </c>
      <c r="AD10" s="524">
        <f t="shared" ref="AD10" si="1">AC10*(1+AD13)</f>
        <v>1048.2572041150672</v>
      </c>
      <c r="AE10" s="524">
        <f t="shared" ref="AE10" si="2">AD10*(1+AE13)</f>
        <v>1077.100786598694</v>
      </c>
      <c r="AF10" s="524">
        <f t="shared" ref="AF10" si="3">AE10*(1+AF13)</f>
        <v>1106.7380218683199</v>
      </c>
      <c r="AG10" s="524">
        <f t="shared" ref="AG10" si="4">AF10*(1+AG13)</f>
        <v>1137.1907478750763</v>
      </c>
    </row>
    <row r="11" spans="2:33" ht="28.5" customHeight="1" x14ac:dyDescent="0.35">
      <c r="B11" s="591" t="s">
        <v>914</v>
      </c>
      <c r="C11" s="581" t="s">
        <v>523</v>
      </c>
      <c r="D11" s="592"/>
      <c r="E11" s="578"/>
      <c r="F11" s="578"/>
      <c r="G11" s="578"/>
      <c r="H11" s="578"/>
      <c r="I11" s="578"/>
      <c r="J11" s="579">
        <f>'Haver Pivoted'!GU46</f>
        <v>9.6</v>
      </c>
      <c r="K11" s="579">
        <f>'Haver Pivoted'!GV46</f>
        <v>14.4</v>
      </c>
      <c r="L11" s="579">
        <f>'Haver Pivoted'!GW46</f>
        <v>14.3</v>
      </c>
      <c r="M11" s="579">
        <f>'Haver Pivoted'!GX46</f>
        <v>15</v>
      </c>
      <c r="N11" s="579">
        <f>'Haver Pivoted'!GY46</f>
        <v>15.3</v>
      </c>
      <c r="O11" s="579">
        <f>'Haver Pivoted'!GZ46</f>
        <v>15.6</v>
      </c>
      <c r="P11" s="579">
        <f>'Haver Pivoted'!HA46</f>
        <v>15.7</v>
      </c>
      <c r="Q11" s="579">
        <f>'Haver Pivoted'!HB46</f>
        <v>15.8</v>
      </c>
      <c r="R11" s="579">
        <f>'Haver Pivoted'!HC46</f>
        <v>7.9</v>
      </c>
      <c r="S11" s="510">
        <f>'Haver Pivoted'!HD46</f>
        <v>0</v>
      </c>
      <c r="T11" s="510">
        <f>'Haver Pivoted'!HE46</f>
        <v>0</v>
      </c>
      <c r="U11" s="510">
        <f>'Haver Pivoted'!HF46</f>
        <v>0</v>
      </c>
      <c r="V11" s="510">
        <f>'Haver Pivoted'!HG46</f>
        <v>0</v>
      </c>
      <c r="W11" s="510">
        <f>'Haver Pivoted'!HH46</f>
        <v>0</v>
      </c>
      <c r="X11" s="510">
        <f>'Haver Pivoted'!HI46</f>
        <v>0</v>
      </c>
      <c r="Y11" s="568">
        <f t="shared" ref="Y11:Z11" si="5">X11</f>
        <v>0</v>
      </c>
      <c r="Z11" s="568">
        <f t="shared" si="5"/>
        <v>0</v>
      </c>
      <c r="AA11" s="568"/>
      <c r="AB11" s="568"/>
      <c r="AC11" s="568"/>
      <c r="AD11" s="568"/>
      <c r="AE11" s="568"/>
      <c r="AF11" s="568"/>
      <c r="AG11" s="568"/>
    </row>
    <row r="12" spans="2:33" ht="28.5" customHeight="1" x14ac:dyDescent="0.35">
      <c r="B12" s="591" t="s">
        <v>1919</v>
      </c>
      <c r="C12" s="581"/>
      <c r="D12" s="592"/>
      <c r="E12" s="578"/>
      <c r="F12" s="578"/>
      <c r="G12" s="578"/>
      <c r="H12" s="578"/>
      <c r="I12" s="578"/>
      <c r="J12" s="579"/>
      <c r="K12" s="579"/>
      <c r="L12" s="579"/>
      <c r="M12" s="579"/>
      <c r="N12" s="579"/>
      <c r="O12" s="579"/>
      <c r="P12" s="579"/>
      <c r="Q12" s="579"/>
      <c r="R12" s="579"/>
      <c r="S12" s="510"/>
      <c r="T12" s="510"/>
      <c r="U12" s="510"/>
      <c r="V12" s="510"/>
      <c r="W12" s="361">
        <v>-7</v>
      </c>
      <c r="X12" s="568"/>
      <c r="Y12" s="568"/>
      <c r="Z12" s="568"/>
      <c r="AA12" s="568"/>
      <c r="AB12" s="568"/>
      <c r="AC12" s="568"/>
      <c r="AD12" s="568"/>
      <c r="AE12" s="568"/>
      <c r="AF12" s="568"/>
      <c r="AG12" s="568"/>
    </row>
    <row r="13" spans="2:33" x14ac:dyDescent="0.35">
      <c r="B13" s="584" t="s">
        <v>455</v>
      </c>
      <c r="C13" s="583"/>
      <c r="D13" s="558"/>
      <c r="E13" s="516"/>
      <c r="F13" s="516"/>
      <c r="G13" s="516"/>
      <c r="H13" s="516"/>
      <c r="I13" s="516"/>
      <c r="J13" s="544"/>
      <c r="K13" s="544"/>
      <c r="L13" s="544"/>
      <c r="M13" s="544"/>
      <c r="N13" s="544">
        <f>(1 + $E$26)^0.25-1</f>
        <v>0</v>
      </c>
      <c r="O13" s="544">
        <f>(1 + $E$26)^0.25-1</f>
        <v>0</v>
      </c>
      <c r="P13" s="544">
        <f>(1 + $F$26)^0.25-1</f>
        <v>3.0584654007782985E-2</v>
      </c>
      <c r="Q13" s="544">
        <f>(1 +$F$26)^0.25-1</f>
        <v>3.0584654007782985E-2</v>
      </c>
      <c r="R13" s="544">
        <f>(1 +$F$26)^0.25-1</f>
        <v>3.0584654007782985E-2</v>
      </c>
      <c r="S13" s="580">
        <f>(1 +$F$26)^0.25-1</f>
        <v>3.0584654007782985E-2</v>
      </c>
      <c r="T13" s="580">
        <f>(1 +$G$26)^0.25-1</f>
        <v>1.0195851701480629E-2</v>
      </c>
      <c r="U13" s="580">
        <f>(1 +$G$26)^0.25-1</f>
        <v>1.0195851701480629E-2</v>
      </c>
      <c r="V13" s="580">
        <f>(1 +$G$26)^0.25-1</f>
        <v>1.0195851701480629E-2</v>
      </c>
      <c r="W13" s="544">
        <f>(1 +$G$26)^0.25-1</f>
        <v>1.0195851701480629E-2</v>
      </c>
      <c r="X13" s="569">
        <f t="shared" ref="X13:AA13" si="6">(1 +$H$26)^0.25-1</f>
        <v>5.2211841265681347E-3</v>
      </c>
      <c r="Y13" s="563">
        <f t="shared" si="6"/>
        <v>5.2211841265681347E-3</v>
      </c>
      <c r="Z13" s="563">
        <f t="shared" si="6"/>
        <v>5.2211841265681347E-3</v>
      </c>
      <c r="AA13" s="563">
        <f t="shared" si="6"/>
        <v>5.2211841265681347E-3</v>
      </c>
      <c r="AB13" s="569">
        <f>(1 +$I$26)^0.25-1</f>
        <v>2.7515749350824903E-2</v>
      </c>
      <c r="AC13" s="563">
        <f>(1 +$I$26)^0.25-1</f>
        <v>2.7515749350824903E-2</v>
      </c>
      <c r="AD13" s="563">
        <f t="shared" ref="AD13:AG13" si="7">(1 +$I$26)^0.25-1</f>
        <v>2.7515749350824903E-2</v>
      </c>
      <c r="AE13" s="563">
        <f t="shared" si="7"/>
        <v>2.7515749350824903E-2</v>
      </c>
      <c r="AF13" s="563">
        <f t="shared" si="7"/>
        <v>2.7515749350824903E-2</v>
      </c>
      <c r="AG13" s="563">
        <f t="shared" si="7"/>
        <v>2.7515749350824903E-2</v>
      </c>
    </row>
    <row r="14" spans="2:33" ht="15.75" customHeight="1" x14ac:dyDescent="0.35">
      <c r="B14" s="582"/>
      <c r="C14" s="567"/>
      <c r="D14" s="517"/>
      <c r="E14" s="517"/>
      <c r="F14" s="517"/>
      <c r="G14" s="517"/>
      <c r="H14" s="517"/>
      <c r="I14" s="517"/>
      <c r="J14" s="521"/>
      <c r="K14" s="521"/>
      <c r="L14" s="521"/>
      <c r="M14" s="521"/>
    </row>
    <row r="15" spans="2:33" ht="15.75" customHeight="1" x14ac:dyDescent="0.35">
      <c r="B15" s="582"/>
      <c r="C15" s="567"/>
      <c r="D15" s="517"/>
      <c r="E15" s="517"/>
      <c r="F15" s="517"/>
      <c r="G15" s="517"/>
      <c r="H15" s="517"/>
      <c r="I15" s="517"/>
      <c r="J15" s="521"/>
      <c r="K15" s="521"/>
      <c r="L15" s="521"/>
      <c r="M15" s="521"/>
      <c r="Q15" s="566" t="s">
        <v>454</v>
      </c>
      <c r="S15" t="s">
        <v>1994</v>
      </c>
      <c r="U15" s="564">
        <v>960.5</v>
      </c>
      <c r="V15" s="542">
        <v>967.3</v>
      </c>
      <c r="W15" s="542">
        <v>967.3</v>
      </c>
      <c r="X15" s="542">
        <v>967.3</v>
      </c>
      <c r="Y15" s="524">
        <v>1017.514958943972</v>
      </c>
      <c r="Z15" s="524">
        <v>1042.0509983027189</v>
      </c>
      <c r="AA15" s="524">
        <v>1067.1786920859263</v>
      </c>
      <c r="AB15" s="524">
        <v>1096.5429134899039</v>
      </c>
      <c r="AC15" s="524">
        <v>1126.7151134499154</v>
      </c>
      <c r="AD15" s="524">
        <v>1157.7175241013895</v>
      </c>
      <c r="AE15" s="524">
        <v>1189.5729893136208</v>
      </c>
      <c r="AF15" s="524">
        <v>1222.3049815220859</v>
      </c>
      <c r="AG15" s="524">
        <v>1255.9376190239122</v>
      </c>
    </row>
    <row r="16" spans="2:33" ht="15.75" customHeight="1" x14ac:dyDescent="0.35">
      <c r="B16" s="582"/>
      <c r="C16" s="567"/>
      <c r="D16" s="517"/>
      <c r="E16" s="517"/>
      <c r="F16" s="517"/>
      <c r="G16" s="517"/>
      <c r="H16" s="517"/>
      <c r="I16" s="517"/>
      <c r="J16" s="521"/>
      <c r="K16" s="521"/>
      <c r="L16" s="521"/>
      <c r="M16" s="521"/>
    </row>
    <row r="17" spans="2:32" x14ac:dyDescent="0.35">
      <c r="B17" s="582"/>
      <c r="C17" s="567"/>
      <c r="D17" s="517"/>
      <c r="E17" s="517"/>
      <c r="F17" s="517"/>
      <c r="G17" s="517"/>
      <c r="H17" s="517"/>
      <c r="I17" s="517"/>
      <c r="J17" s="521"/>
      <c r="K17" s="521"/>
      <c r="L17" s="521"/>
      <c r="M17" s="521"/>
      <c r="S17" s="35"/>
      <c r="T17" s="514"/>
      <c r="U17" s="514"/>
      <c r="V17" s="514"/>
      <c r="W17" s="514"/>
      <c r="X17" s="514"/>
    </row>
    <row r="18" spans="2:32" x14ac:dyDescent="0.35">
      <c r="B18" s="582"/>
      <c r="C18" s="567"/>
      <c r="D18" s="517"/>
      <c r="E18" s="517"/>
      <c r="F18" s="517"/>
      <c r="G18" s="517"/>
      <c r="H18" s="517"/>
      <c r="I18" s="517"/>
      <c r="J18" s="521"/>
      <c r="K18" s="521"/>
      <c r="L18" s="521"/>
      <c r="M18" s="521"/>
      <c r="N18" s="565">
        <f t="shared" ref="N18:W18" si="8">(N10/M10)^4-1</f>
        <v>7.8499540564610504E-2</v>
      </c>
      <c r="O18" s="565">
        <f t="shared" si="8"/>
        <v>8.0902948194330859E-2</v>
      </c>
      <c r="P18" s="565">
        <f t="shared" si="8"/>
        <v>8.2663032685441395E-2</v>
      </c>
      <c r="Q18" s="565">
        <f t="shared" si="8"/>
        <v>8.1932466241178004E-2</v>
      </c>
      <c r="R18" s="565">
        <f t="shared" si="8"/>
        <v>2.8618371695726674E-2</v>
      </c>
      <c r="S18" s="565">
        <f t="shared" si="8"/>
        <v>1.0858253310172206E-2</v>
      </c>
      <c r="T18" s="565">
        <f t="shared" si="8"/>
        <v>3.054215121958781E-2</v>
      </c>
      <c r="U18" s="565">
        <f t="shared" si="8"/>
        <v>1.6803639502286805E-2</v>
      </c>
      <c r="V18" s="565">
        <f>(V10/U10)^4-1</f>
        <v>1.6301680581372047E-2</v>
      </c>
      <c r="W18" s="565">
        <f t="shared" si="8"/>
        <v>1.8816976017156817E-2</v>
      </c>
      <c r="X18" s="361"/>
    </row>
    <row r="19" spans="2:32" ht="14.9" customHeight="1" x14ac:dyDescent="0.35">
      <c r="B19" s="478" t="s">
        <v>352</v>
      </c>
      <c r="S19" s="35"/>
      <c r="T19" s="521"/>
      <c r="U19" s="521"/>
      <c r="V19" s="521"/>
      <c r="W19" s="521"/>
      <c r="X19" s="521"/>
    </row>
    <row r="20" spans="2:32" x14ac:dyDescent="0.35">
      <c r="B20" s="588" t="s">
        <v>432</v>
      </c>
      <c r="C20" s="588">
        <v>2019</v>
      </c>
      <c r="D20" s="589">
        <v>2020</v>
      </c>
      <c r="E20" s="589">
        <v>2021</v>
      </c>
      <c r="F20" s="589">
        <v>2022</v>
      </c>
      <c r="G20" s="589">
        <v>2023</v>
      </c>
      <c r="H20" s="590">
        <v>2024</v>
      </c>
      <c r="I20" s="590">
        <v>2025</v>
      </c>
      <c r="J20" s="590">
        <v>2026</v>
      </c>
    </row>
    <row r="21" spans="2:32" ht="21" customHeight="1" x14ac:dyDescent="0.35">
      <c r="B21" s="574" t="s">
        <v>1901</v>
      </c>
      <c r="C21" s="572"/>
      <c r="D21" s="573"/>
      <c r="E21" s="594">
        <v>867.67600000000004</v>
      </c>
      <c r="F21" s="228">
        <v>974.649</v>
      </c>
      <c r="G21" s="228">
        <v>1007.94</v>
      </c>
      <c r="H21" s="228">
        <v>1012.097</v>
      </c>
      <c r="I21" s="228">
        <v>1128.174</v>
      </c>
      <c r="J21" s="228">
        <v>1200.9649999999999</v>
      </c>
      <c r="K21" s="571"/>
      <c r="L21" s="571"/>
      <c r="M21" s="571"/>
      <c r="N21" s="571"/>
      <c r="O21" s="571"/>
      <c r="P21" s="361"/>
      <c r="Q21" s="361"/>
      <c r="R21" s="361"/>
      <c r="S21" s="361"/>
      <c r="T21" s="361"/>
      <c r="U21" s="361"/>
      <c r="V21" s="361"/>
      <c r="W21" s="361"/>
      <c r="X21" s="361"/>
      <c r="Y21" s="361"/>
      <c r="Z21" s="361"/>
      <c r="AA21" s="361"/>
      <c r="AB21" s="361"/>
      <c r="AC21" s="361"/>
    </row>
    <row r="22" spans="2:32" ht="21" customHeight="1" x14ac:dyDescent="0.35">
      <c r="B22" s="575"/>
      <c r="C22" s="570"/>
      <c r="D22" s="571"/>
      <c r="E22" s="228">
        <f>AVERAGE(L10:O10)</f>
        <v>858.02499999999998</v>
      </c>
      <c r="F22" s="228">
        <f>AVERAGE(P10:S10)</f>
        <v>917.59999999999991</v>
      </c>
      <c r="G22" s="228">
        <f>AVERAGE(T10:W10)</f>
        <v>940.125</v>
      </c>
      <c r="H22" s="228">
        <f>AVERAGE(X10:AA10)</f>
        <v>958.77633570435523</v>
      </c>
      <c r="I22" s="228">
        <f>AVERAGE(AB10:AE10)</f>
        <v>1034.6026415000013</v>
      </c>
      <c r="J22" s="152"/>
      <c r="K22" s="571"/>
      <c r="L22" s="571"/>
      <c r="M22" s="571"/>
      <c r="N22" s="571"/>
      <c r="O22" s="571"/>
      <c r="P22" s="361"/>
      <c r="Q22" s="361"/>
      <c r="R22" s="361"/>
      <c r="S22" s="361"/>
      <c r="T22" s="361"/>
      <c r="U22" s="361"/>
      <c r="V22" s="361"/>
      <c r="W22" s="361"/>
      <c r="X22" s="361"/>
      <c r="Y22" s="361"/>
      <c r="Z22" s="361"/>
      <c r="AA22" s="361"/>
      <c r="AB22" s="361"/>
      <c r="AC22" s="361"/>
    </row>
    <row r="23" spans="2:32" ht="21" customHeight="1" x14ac:dyDescent="0.35">
      <c r="B23" s="593" t="s">
        <v>456</v>
      </c>
      <c r="C23" s="202"/>
      <c r="D23" s="202">
        <v>47</v>
      </c>
      <c r="E23" s="202">
        <v>48</v>
      </c>
      <c r="F23" s="35">
        <v>-50</v>
      </c>
      <c r="G23" s="35">
        <v>-45</v>
      </c>
      <c r="H23" s="35"/>
      <c r="I23" s="35"/>
      <c r="J23" s="586">
        <f>SUM(D23:G23)</f>
        <v>0</v>
      </c>
      <c r="M23" s="571"/>
      <c r="N23" s="571"/>
      <c r="O23" s="571"/>
      <c r="P23" s="361"/>
      <c r="Q23" s="361"/>
      <c r="R23" s="361"/>
      <c r="S23" s="361"/>
      <c r="T23" s="361"/>
      <c r="U23" s="361"/>
      <c r="V23" s="361"/>
      <c r="W23" s="361"/>
      <c r="X23" s="361"/>
      <c r="Y23" s="361"/>
      <c r="Z23" s="361"/>
      <c r="AA23" s="361"/>
      <c r="AB23" s="361"/>
      <c r="AC23" s="361"/>
    </row>
    <row r="24" spans="2:32" x14ac:dyDescent="0.35">
      <c r="B24" s="593" t="s">
        <v>1383</v>
      </c>
      <c r="C24" s="570"/>
      <c r="D24" s="570"/>
      <c r="E24" s="570">
        <f>E21-E23</f>
        <v>819.67600000000004</v>
      </c>
      <c r="F24" s="570">
        <f>F21+F23</f>
        <v>924.649</v>
      </c>
      <c r="G24" s="570">
        <f>G21+G23</f>
        <v>962.94</v>
      </c>
      <c r="H24" s="570">
        <f>H21+H23</f>
        <v>1012.097</v>
      </c>
      <c r="I24" s="570">
        <f>I21+I23</f>
        <v>1128.174</v>
      </c>
      <c r="J24" s="586"/>
      <c r="N24" s="587"/>
      <c r="O24" s="567"/>
      <c r="P24" s="361"/>
      <c r="Q24" s="361"/>
      <c r="R24" s="361"/>
      <c r="S24" s="361"/>
      <c r="T24" s="361"/>
      <c r="U24" s="361"/>
      <c r="V24" s="361"/>
      <c r="W24" s="361"/>
      <c r="X24" s="361"/>
      <c r="Y24" s="361"/>
      <c r="Z24" s="361"/>
      <c r="AA24" s="361"/>
      <c r="AB24" s="361"/>
      <c r="AC24" s="361"/>
    </row>
    <row r="25" spans="2:32" x14ac:dyDescent="0.35">
      <c r="B25" s="593" t="s">
        <v>458</v>
      </c>
      <c r="C25" s="186">
        <f>AVERAGE(D10:G10)</f>
        <v>776.52499999999998</v>
      </c>
      <c r="D25" s="186">
        <f>AVERAGE(H10:K10)</f>
        <v>807.625</v>
      </c>
      <c r="E25" s="570">
        <f>AVERAGE(L10:O10)</f>
        <v>858.02499999999998</v>
      </c>
      <c r="F25" s="35"/>
      <c r="G25" s="35"/>
      <c r="H25" s="35"/>
      <c r="I25" s="35"/>
      <c r="J25" s="586"/>
      <c r="K25" s="202" t="s">
        <v>457</v>
      </c>
      <c r="P25" s="361"/>
      <c r="Q25" s="361"/>
      <c r="R25" s="361"/>
      <c r="S25" s="361"/>
      <c r="T25" s="361"/>
      <c r="U25" s="361"/>
      <c r="V25" s="361"/>
      <c r="W25" s="361"/>
      <c r="X25" s="361"/>
      <c r="Y25" s="361"/>
      <c r="Z25" s="361"/>
      <c r="AA25" s="361"/>
      <c r="AB25" s="361"/>
      <c r="AC25" s="361"/>
    </row>
    <row r="26" spans="2:32" x14ac:dyDescent="0.35">
      <c r="B26" s="576" t="s">
        <v>925</v>
      </c>
      <c r="C26" s="202"/>
      <c r="D26" s="202"/>
      <c r="E26" s="202"/>
      <c r="F26" s="202">
        <f>F24/E24-1</f>
        <v>0.12806645552632978</v>
      </c>
      <c r="G26" s="202">
        <f>G24/F24-1+G27</f>
        <v>4.1411389619196104E-2</v>
      </c>
      <c r="H26" s="202">
        <f>H24/G24-1+H27-0.03</f>
        <v>2.1048871165389144E-2</v>
      </c>
      <c r="I26" s="202">
        <f t="shared" ref="I26:J26" si="9">I24/H24-1</f>
        <v>0.11468959990989003</v>
      </c>
      <c r="J26" s="586">
        <f t="shared" si="9"/>
        <v>-1</v>
      </c>
      <c r="P26" s="202"/>
      <c r="Q26" s="202"/>
      <c r="R26" s="202"/>
      <c r="S26" s="202"/>
      <c r="T26" s="202"/>
      <c r="U26" s="202"/>
      <c r="V26" s="202"/>
      <c r="W26" s="202"/>
      <c r="X26" s="202"/>
      <c r="Y26" s="202"/>
      <c r="Z26" s="202"/>
      <c r="AA26" s="202"/>
      <c r="AB26" s="202"/>
      <c r="AC26" s="202"/>
    </row>
    <row r="27" spans="2:32" x14ac:dyDescent="0.35">
      <c r="B27" s="577" t="s">
        <v>895</v>
      </c>
      <c r="C27" s="36"/>
      <c r="D27" s="36"/>
      <c r="E27" s="36"/>
      <c r="F27" s="36"/>
      <c r="G27" s="36">
        <v>0</v>
      </c>
      <c r="H27" s="36"/>
      <c r="I27" s="36"/>
      <c r="J27" s="154"/>
      <c r="P27" s="202"/>
      <c r="Q27" s="202"/>
      <c r="R27" s="202"/>
      <c r="S27" s="202"/>
      <c r="T27" s="202"/>
      <c r="U27" s="202"/>
      <c r="V27" s="202"/>
      <c r="W27" s="202"/>
      <c r="X27" s="202"/>
      <c r="Y27" s="202"/>
      <c r="Z27" s="202"/>
      <c r="AA27" s="202"/>
      <c r="AB27" s="202"/>
      <c r="AC27" s="202"/>
    </row>
    <row r="28" spans="2:32" x14ac:dyDescent="0.35">
      <c r="C28" s="585"/>
      <c r="D28" s="585"/>
      <c r="E28" s="585"/>
      <c r="F28" s="585"/>
      <c r="G28" s="585"/>
      <c r="H28" s="585"/>
      <c r="I28" s="585"/>
      <c r="J28" s="585"/>
      <c r="P28" s="202"/>
      <c r="Q28" s="202"/>
      <c r="R28" s="202"/>
      <c r="S28" s="202"/>
      <c r="T28" s="202"/>
      <c r="U28" s="202"/>
      <c r="V28" s="202"/>
      <c r="W28" s="202"/>
      <c r="X28" s="202"/>
      <c r="Y28" s="202"/>
      <c r="Z28" s="202"/>
      <c r="AA28" s="202"/>
      <c r="AB28" s="202"/>
      <c r="AC28" s="202"/>
    </row>
    <row r="29" spans="2:32" x14ac:dyDescent="0.35">
      <c r="K29" s="585"/>
      <c r="L29" s="585"/>
      <c r="M29" s="585"/>
      <c r="N29" s="585"/>
      <c r="P29" s="202"/>
      <c r="Q29" s="202"/>
      <c r="R29" s="202"/>
      <c r="S29" s="202"/>
      <c r="T29" s="202"/>
      <c r="U29" s="202"/>
      <c r="V29" s="202"/>
      <c r="W29" s="202"/>
      <c r="X29" s="202"/>
      <c r="Y29" s="202"/>
      <c r="Z29" s="202"/>
      <c r="AA29" s="202"/>
      <c r="AB29" s="202"/>
      <c r="AC29" s="202"/>
    </row>
    <row r="30" spans="2:32" x14ac:dyDescent="0.35">
      <c r="P30" s="202"/>
      <c r="Q30" s="202"/>
      <c r="R30" s="202"/>
      <c r="S30" s="202"/>
      <c r="T30" s="202"/>
      <c r="U30" s="202"/>
      <c r="V30" s="202"/>
      <c r="W30" s="202"/>
      <c r="X30" s="202"/>
      <c r="Y30" s="202"/>
      <c r="Z30" s="202"/>
      <c r="AA30" s="202"/>
      <c r="AB30" s="202"/>
      <c r="AC30" s="202"/>
    </row>
    <row r="31" spans="2:32" x14ac:dyDescent="0.35">
      <c r="S31" s="202"/>
      <c r="T31" s="202"/>
      <c r="U31" s="202"/>
      <c r="V31" s="202"/>
      <c r="W31" s="202"/>
      <c r="X31" s="202"/>
      <c r="Y31" s="202"/>
      <c r="Z31" s="202"/>
      <c r="AA31" s="202"/>
      <c r="AB31" s="202"/>
      <c r="AC31" s="202"/>
      <c r="AD31" s="202"/>
      <c r="AE31" s="202"/>
      <c r="AF31" s="202"/>
    </row>
    <row r="32" spans="2:32" x14ac:dyDescent="0.35">
      <c r="P32" s="202"/>
      <c r="Q32" s="202"/>
      <c r="R32" s="202"/>
      <c r="S32" s="202"/>
      <c r="T32" s="202"/>
      <c r="U32" s="202"/>
      <c r="V32" s="202"/>
      <c r="W32" s="202"/>
      <c r="X32" s="202"/>
      <c r="Y32" s="202"/>
      <c r="Z32" s="202"/>
      <c r="AA32" s="202"/>
      <c r="AB32" s="202"/>
      <c r="AC32" s="202"/>
    </row>
    <row r="33" spans="6:29" x14ac:dyDescent="0.35">
      <c r="F33" s="35"/>
      <c r="G33" s="35"/>
      <c r="P33" s="202"/>
      <c r="Q33" s="202"/>
      <c r="R33" s="202"/>
      <c r="S33" s="202"/>
      <c r="T33" s="202"/>
      <c r="U33" s="202"/>
      <c r="V33" s="202"/>
      <c r="W33" s="202"/>
      <c r="X33" s="202"/>
      <c r="Y33" s="202"/>
      <c r="Z33" s="202"/>
      <c r="AA33" s="202"/>
      <c r="AB33" s="202"/>
      <c r="AC33" s="202"/>
    </row>
    <row r="34" spans="6:29" x14ac:dyDescent="0.35">
      <c r="P34" s="202"/>
      <c r="Q34" s="202"/>
      <c r="R34" s="202"/>
      <c r="S34" s="202"/>
      <c r="T34" s="202"/>
      <c r="U34" s="202"/>
      <c r="V34" s="202"/>
      <c r="W34" s="202"/>
      <c r="X34" s="202"/>
      <c r="Y34" s="202"/>
      <c r="Z34" s="202"/>
      <c r="AA34" s="202"/>
      <c r="AB34" s="202"/>
      <c r="AC34" s="202"/>
    </row>
    <row r="35" spans="6:29" x14ac:dyDescent="0.35">
      <c r="P35" s="202"/>
      <c r="Q35" s="202"/>
      <c r="R35" s="202"/>
      <c r="S35" s="202"/>
      <c r="T35" s="202"/>
      <c r="U35" s="202"/>
      <c r="V35" s="202"/>
      <c r="W35" s="202"/>
      <c r="X35" s="202"/>
      <c r="Y35" s="202"/>
      <c r="Z35" s="202"/>
      <c r="AA35" s="202"/>
      <c r="AB35" s="202"/>
      <c r="AC35" s="202"/>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AG23"/>
  <sheetViews>
    <sheetView topLeftCell="J1" workbookViewId="0">
      <selection activeCell="X12" sqref="X12"/>
    </sheetView>
  </sheetViews>
  <sheetFormatPr defaultColWidth="10.90625" defaultRowHeight="14.5" x14ac:dyDescent="0.35"/>
  <sheetData>
    <row r="1" spans="2:33" x14ac:dyDescent="0.35">
      <c r="B1" s="1292" t="s">
        <v>1385</v>
      </c>
      <c r="C1" s="1292"/>
      <c r="D1" s="1292"/>
      <c r="E1" s="1292"/>
      <c r="F1" s="1292"/>
      <c r="G1" s="1292"/>
      <c r="H1" s="1292"/>
      <c r="I1" s="1292"/>
      <c r="J1" s="1292"/>
      <c r="K1" s="1292"/>
      <c r="L1" s="1292"/>
      <c r="M1" s="1292"/>
      <c r="N1" s="1292"/>
      <c r="O1" s="1292"/>
      <c r="P1" s="1292"/>
      <c r="Q1" s="1292"/>
      <c r="R1" s="1292"/>
      <c r="S1" s="1292"/>
      <c r="T1" s="1292"/>
      <c r="U1" s="1292"/>
      <c r="V1" s="1292"/>
      <c r="W1" s="1292"/>
      <c r="X1" s="1292"/>
      <c r="Y1" s="1292"/>
      <c r="Z1" s="1292"/>
      <c r="AA1" s="1292"/>
      <c r="AB1" s="1292"/>
      <c r="AC1" s="1292"/>
    </row>
    <row r="2" spans="2:33" x14ac:dyDescent="0.35">
      <c r="B2" s="1293" t="s">
        <v>1388</v>
      </c>
      <c r="C2" s="1293"/>
      <c r="D2" s="1293"/>
      <c r="E2" s="1293"/>
      <c r="F2" s="1293"/>
      <c r="G2" s="1293"/>
      <c r="H2" s="1293"/>
      <c r="I2" s="1293"/>
      <c r="J2" s="1293"/>
      <c r="K2" s="1293"/>
      <c r="L2" s="1293"/>
      <c r="M2" s="1293"/>
      <c r="N2" s="1293"/>
      <c r="O2" s="1293"/>
      <c r="P2" s="1293"/>
      <c r="Q2" s="1293"/>
      <c r="R2" s="1293"/>
      <c r="S2" s="1293"/>
      <c r="T2" s="1293"/>
      <c r="U2" s="1293"/>
      <c r="V2" s="1293"/>
      <c r="W2" s="1293"/>
      <c r="X2" s="1293"/>
      <c r="Y2" s="1293"/>
      <c r="Z2" s="1293"/>
      <c r="AA2" s="1293"/>
      <c r="AB2" s="1293"/>
      <c r="AC2" s="1293"/>
    </row>
    <row r="3" spans="2:33" x14ac:dyDescent="0.35">
      <c r="B3" s="1293"/>
      <c r="C3" s="1293"/>
      <c r="D3" s="1293"/>
      <c r="E3" s="1293"/>
      <c r="F3" s="1293"/>
      <c r="G3" s="1293"/>
      <c r="H3" s="1293"/>
      <c r="I3" s="1293"/>
      <c r="J3" s="1293"/>
      <c r="K3" s="1293"/>
      <c r="L3" s="1293"/>
      <c r="M3" s="1293"/>
      <c r="N3" s="1293"/>
      <c r="O3" s="1293"/>
      <c r="P3" s="1293"/>
      <c r="Q3" s="1293"/>
      <c r="R3" s="1293"/>
      <c r="S3" s="1293"/>
      <c r="T3" s="1293"/>
      <c r="U3" s="1293"/>
      <c r="V3" s="1293"/>
      <c r="W3" s="1293"/>
      <c r="X3" s="1293"/>
      <c r="Y3" s="1293"/>
      <c r="Z3" s="1293"/>
      <c r="AA3" s="1293"/>
      <c r="AB3" s="1293"/>
      <c r="AC3" s="1293"/>
    </row>
    <row r="4" spans="2:33" x14ac:dyDescent="0.35">
      <c r="B4" s="1293"/>
      <c r="C4" s="1293"/>
      <c r="D4" s="1293"/>
      <c r="E4" s="1293"/>
      <c r="F4" s="1293"/>
      <c r="G4" s="1293"/>
      <c r="H4" s="1293"/>
      <c r="I4" s="1293"/>
      <c r="J4" s="1293"/>
      <c r="K4" s="1293"/>
      <c r="L4" s="1293"/>
      <c r="M4" s="1293"/>
      <c r="N4" s="1293"/>
      <c r="O4" s="1293"/>
      <c r="P4" s="1293"/>
      <c r="Q4" s="1293"/>
      <c r="R4" s="1293"/>
      <c r="S4" s="1293"/>
      <c r="T4" s="1293"/>
      <c r="U4" s="1293"/>
      <c r="V4" s="1293"/>
      <c r="W4" s="1293"/>
      <c r="X4" s="1293"/>
      <c r="Y4" s="1293"/>
      <c r="Z4" s="1293"/>
      <c r="AA4" s="1293"/>
      <c r="AB4" s="1293"/>
      <c r="AC4" s="1293"/>
    </row>
    <row r="5" spans="2:33" x14ac:dyDescent="0.35">
      <c r="B5" s="359"/>
      <c r="C5" s="202"/>
      <c r="D5" s="202"/>
      <c r="E5" s="202"/>
      <c r="F5" s="202"/>
      <c r="G5" s="202"/>
      <c r="H5" s="202"/>
      <c r="I5" s="202"/>
      <c r="J5" s="202"/>
      <c r="K5" s="202"/>
      <c r="L5" s="202"/>
      <c r="M5" s="202"/>
      <c r="N5" s="202"/>
      <c r="O5" s="202"/>
      <c r="P5" s="202"/>
      <c r="Q5" s="202"/>
      <c r="R5" s="202"/>
      <c r="S5" s="202"/>
      <c r="T5" s="202"/>
      <c r="U5" s="202"/>
      <c r="V5" s="202"/>
      <c r="W5" s="202"/>
      <c r="X5" s="202"/>
      <c r="Y5" s="202"/>
    </row>
    <row r="6" spans="2:33" x14ac:dyDescent="0.35">
      <c r="B6" s="1297" t="s">
        <v>1702</v>
      </c>
      <c r="C6" s="1344"/>
      <c r="D6" s="1301" t="s">
        <v>280</v>
      </c>
      <c r="E6" s="1313"/>
      <c r="F6" s="1313"/>
      <c r="G6" s="1313"/>
      <c r="H6" s="1313"/>
      <c r="I6" s="1313"/>
      <c r="J6" s="1313"/>
      <c r="K6" s="1313"/>
      <c r="L6" s="1313"/>
      <c r="M6" s="1313"/>
      <c r="N6" s="1313"/>
      <c r="O6" s="1313"/>
      <c r="P6" s="1313"/>
      <c r="Q6" s="1314"/>
      <c r="R6" s="1314"/>
      <c r="S6" s="1314"/>
      <c r="T6" s="1314"/>
      <c r="U6" s="1314"/>
      <c r="V6" s="1300"/>
      <c r="W6" s="1324" t="s">
        <v>281</v>
      </c>
      <c r="X6" s="1325"/>
      <c r="Y6" s="1325"/>
      <c r="Z6" s="1325"/>
      <c r="AA6" s="1325"/>
      <c r="AB6" s="1325"/>
      <c r="AC6" s="1325"/>
      <c r="AD6" s="1325"/>
      <c r="AE6" s="1325"/>
      <c r="AF6" s="1325"/>
      <c r="AG6" s="1325"/>
    </row>
    <row r="7" spans="2:33" x14ac:dyDescent="0.35">
      <c r="B7" s="1299"/>
      <c r="C7" s="1300"/>
      <c r="D7" s="148">
        <v>2018</v>
      </c>
      <c r="E7" s="1294">
        <v>2019</v>
      </c>
      <c r="F7" s="1295"/>
      <c r="G7" s="1295"/>
      <c r="H7" s="1296"/>
      <c r="I7" s="1294">
        <v>2020</v>
      </c>
      <c r="J7" s="1295"/>
      <c r="K7" s="1295"/>
      <c r="L7" s="1295"/>
      <c r="M7" s="1294">
        <v>2021</v>
      </c>
      <c r="N7" s="1295"/>
      <c r="O7" s="1295"/>
      <c r="P7" s="1295"/>
      <c r="Q7" s="1322">
        <v>2022</v>
      </c>
      <c r="R7" s="1323"/>
      <c r="S7" s="251"/>
      <c r="T7" s="251"/>
      <c r="U7" s="201"/>
      <c r="V7" s="251">
        <v>2023</v>
      </c>
      <c r="W7" s="253"/>
      <c r="X7" s="222"/>
      <c r="Y7" s="1304">
        <v>2024</v>
      </c>
      <c r="Z7" s="1315"/>
      <c r="AA7" s="1315"/>
      <c r="AB7" s="1305"/>
      <c r="AC7" s="1303">
        <v>2025</v>
      </c>
      <c r="AD7" s="1315"/>
      <c r="AE7" s="1315"/>
      <c r="AF7" s="1305"/>
      <c r="AG7" s="467">
        <v>2026</v>
      </c>
    </row>
    <row r="8" spans="2:33" x14ac:dyDescent="0.35">
      <c r="B8" s="1301"/>
      <c r="C8" s="1302"/>
      <c r="D8" s="148" t="s">
        <v>282</v>
      </c>
      <c r="E8" s="148" t="s">
        <v>283</v>
      </c>
      <c r="F8" s="144" t="s">
        <v>284</v>
      </c>
      <c r="G8" s="144" t="s">
        <v>238</v>
      </c>
      <c r="H8" s="145" t="s">
        <v>282</v>
      </c>
      <c r="I8" s="144" t="s">
        <v>283</v>
      </c>
      <c r="J8" s="144" t="s">
        <v>284</v>
      </c>
      <c r="K8" s="144" t="s">
        <v>238</v>
      </c>
      <c r="L8" s="144" t="s">
        <v>282</v>
      </c>
      <c r="M8" s="148" t="s">
        <v>283</v>
      </c>
      <c r="N8" s="144" t="s">
        <v>284</v>
      </c>
      <c r="O8" s="144" t="s">
        <v>238</v>
      </c>
      <c r="P8" s="144" t="s">
        <v>282</v>
      </c>
      <c r="Q8" s="248" t="s">
        <v>283</v>
      </c>
      <c r="R8" s="249" t="s">
        <v>284</v>
      </c>
      <c r="S8" s="249" t="s">
        <v>238</v>
      </c>
      <c r="T8" s="249" t="s">
        <v>282</v>
      </c>
      <c r="U8" s="248" t="s">
        <v>283</v>
      </c>
      <c r="V8" s="249" t="s">
        <v>284</v>
      </c>
      <c r="W8" s="232" t="s">
        <v>238</v>
      </c>
      <c r="X8" s="233" t="s">
        <v>282</v>
      </c>
      <c r="Y8" s="232" t="s">
        <v>283</v>
      </c>
      <c r="Z8" s="229" t="s">
        <v>284</v>
      </c>
      <c r="AA8" s="232" t="s">
        <v>238</v>
      </c>
      <c r="AB8" s="232" t="s">
        <v>282</v>
      </c>
      <c r="AC8" s="231" t="s">
        <v>283</v>
      </c>
      <c r="AD8" s="229" t="s">
        <v>284</v>
      </c>
      <c r="AE8" s="232" t="s">
        <v>238</v>
      </c>
      <c r="AF8" s="232" t="s">
        <v>282</v>
      </c>
      <c r="AG8" s="231" t="s">
        <v>283</v>
      </c>
    </row>
    <row r="9" spans="2:33" x14ac:dyDescent="0.35">
      <c r="B9" s="73" t="s">
        <v>1387</v>
      </c>
      <c r="C9" s="616"/>
      <c r="D9" s="617"/>
      <c r="E9" s="616"/>
      <c r="F9" s="616"/>
      <c r="G9" s="616"/>
      <c r="H9" s="616"/>
      <c r="I9" s="616"/>
      <c r="J9" s="618"/>
      <c r="K9" s="618"/>
      <c r="L9" s="618"/>
      <c r="M9" s="618"/>
      <c r="N9" s="618"/>
      <c r="O9" s="618"/>
      <c r="P9" s="618"/>
      <c r="Q9" s="596"/>
      <c r="R9" s="597">
        <v>0</v>
      </c>
      <c r="S9" s="598">
        <v>0</v>
      </c>
      <c r="T9" s="597">
        <v>0</v>
      </c>
      <c r="U9" s="597">
        <v>0</v>
      </c>
      <c r="V9" s="597">
        <v>0</v>
      </c>
      <c r="W9" s="597">
        <v>-7.7999999999999999E-4</v>
      </c>
      <c r="X9" s="597">
        <v>-7.7999999999999999E-4</v>
      </c>
      <c r="Y9" s="597">
        <v>-9.5E-4</v>
      </c>
      <c r="Z9" s="597">
        <v>-9.5E-4</v>
      </c>
      <c r="AA9" s="597">
        <v>-9.5E-4</v>
      </c>
      <c r="AB9" s="597">
        <v>-9.5E-4</v>
      </c>
      <c r="AC9" s="597">
        <v>-9.3999999999999997E-4</v>
      </c>
      <c r="AD9" s="597">
        <v>-9.3999999999999997E-4</v>
      </c>
      <c r="AE9" s="597">
        <v>-9.3999999999999997E-4</v>
      </c>
      <c r="AF9" s="597">
        <v>-9.3999999999999997E-4</v>
      </c>
      <c r="AG9" s="598">
        <v>-9.3999999999999997E-4</v>
      </c>
    </row>
    <row r="10" spans="2:33" x14ac:dyDescent="0.35">
      <c r="B10" s="35" t="s">
        <v>1386</v>
      </c>
      <c r="C10" s="225"/>
      <c r="D10" s="545"/>
      <c r="E10" s="225"/>
      <c r="F10" s="225"/>
      <c r="G10" s="225"/>
      <c r="H10" s="225"/>
      <c r="I10" s="225"/>
      <c r="J10" s="595"/>
      <c r="K10" s="595"/>
      <c r="L10" s="595"/>
      <c r="M10" s="595"/>
      <c r="N10" s="595"/>
      <c r="O10" s="595"/>
      <c r="P10" s="595"/>
      <c r="Q10" s="595"/>
      <c r="R10" s="141"/>
      <c r="S10" s="141"/>
      <c r="T10" s="141"/>
      <c r="U10" s="141">
        <v>26095</v>
      </c>
      <c r="V10" s="141">
        <v>26404</v>
      </c>
      <c r="W10" s="141">
        <v>26686</v>
      </c>
      <c r="X10" s="141">
        <v>26931</v>
      </c>
      <c r="Y10" s="141">
        <v>27174</v>
      </c>
      <c r="Z10" s="141">
        <v>27411</v>
      </c>
      <c r="AA10" s="141">
        <v>27647</v>
      </c>
      <c r="AB10" s="141">
        <v>27893</v>
      </c>
      <c r="AC10" s="141">
        <v>28143</v>
      </c>
      <c r="AD10" s="141">
        <v>28400</v>
      </c>
      <c r="AE10" s="141">
        <v>28649</v>
      </c>
      <c r="AF10" s="141">
        <v>28910</v>
      </c>
      <c r="AG10" s="141">
        <v>28910</v>
      </c>
    </row>
    <row r="11" spans="2:33" x14ac:dyDescent="0.35">
      <c r="B11" s="35" t="s">
        <v>312</v>
      </c>
      <c r="C11" s="503"/>
      <c r="D11" s="502"/>
      <c r="E11" s="503"/>
      <c r="F11" s="503"/>
      <c r="G11" s="503"/>
      <c r="H11" s="503"/>
      <c r="I11" s="503"/>
      <c r="J11" s="615">
        <v>45</v>
      </c>
      <c r="K11" s="615">
        <v>45</v>
      </c>
      <c r="L11" s="615">
        <v>45</v>
      </c>
      <c r="M11" s="615">
        <v>45</v>
      </c>
      <c r="N11" s="615">
        <v>45</v>
      </c>
      <c r="O11" s="615">
        <v>45</v>
      </c>
      <c r="P11" s="615">
        <v>45</v>
      </c>
      <c r="Q11" s="615">
        <v>45</v>
      </c>
      <c r="R11" s="614">
        <v>45</v>
      </c>
      <c r="S11" s="614">
        <v>45</v>
      </c>
      <c r="T11" s="614">
        <v>45</v>
      </c>
      <c r="U11" s="619">
        <v>45</v>
      </c>
      <c r="V11" s="619">
        <v>45</v>
      </c>
      <c r="W11" s="619">
        <f>W9*W10*(-1)*0.1</f>
        <v>2.0815079999999999</v>
      </c>
      <c r="X11" s="619">
        <f t="shared" ref="X11:AG11" si="0">X9*X10*(-1)*0.1</f>
        <v>2.1006180000000003</v>
      </c>
      <c r="Y11" s="619">
        <f t="shared" si="0"/>
        <v>2.5815300000000003</v>
      </c>
      <c r="Z11" s="619">
        <f t="shared" si="0"/>
        <v>2.6040450000000002</v>
      </c>
      <c r="AA11" s="619">
        <f t="shared" si="0"/>
        <v>2.626465</v>
      </c>
      <c r="AB11" s="619">
        <f t="shared" si="0"/>
        <v>2.6498349999999999</v>
      </c>
      <c r="AC11" s="619">
        <f t="shared" si="0"/>
        <v>2.6454420000000001</v>
      </c>
      <c r="AD11" s="619">
        <f t="shared" si="0"/>
        <v>2.6696</v>
      </c>
      <c r="AE11" s="619">
        <f t="shared" si="0"/>
        <v>2.693006</v>
      </c>
      <c r="AF11" s="619">
        <f t="shared" si="0"/>
        <v>2.7175400000000001</v>
      </c>
      <c r="AG11" s="619">
        <f t="shared" si="0"/>
        <v>2.7175400000000001</v>
      </c>
    </row>
    <row r="12" spans="2:33" x14ac:dyDescent="0.35">
      <c r="B12" s="35"/>
      <c r="C12" s="225"/>
      <c r="D12" s="225"/>
      <c r="E12" s="225"/>
      <c r="F12" s="225"/>
      <c r="G12" s="225"/>
      <c r="H12" s="225"/>
      <c r="I12" s="225"/>
      <c r="J12" s="595"/>
      <c r="K12" s="595"/>
      <c r="L12" s="595"/>
      <c r="M12" s="595"/>
      <c r="N12" s="595"/>
      <c r="O12" s="595"/>
      <c r="P12" s="595"/>
      <c r="Q12" s="595"/>
      <c r="R12" s="141"/>
      <c r="S12" s="141"/>
      <c r="T12" s="141"/>
      <c r="U12" s="75"/>
      <c r="V12" s="75"/>
      <c r="W12" s="75"/>
      <c r="X12" s="75"/>
      <c r="Y12" s="75"/>
      <c r="Z12" s="75"/>
      <c r="AA12" s="75"/>
      <c r="AB12" s="75"/>
      <c r="AC12" s="75"/>
      <c r="AD12" s="75"/>
      <c r="AE12" s="75"/>
      <c r="AF12" s="75"/>
      <c r="AG12" s="75"/>
    </row>
    <row r="13" spans="2:33" x14ac:dyDescent="0.35">
      <c r="B13" s="202"/>
      <c r="C13" s="202"/>
      <c r="D13" s="202"/>
      <c r="E13" s="202"/>
      <c r="F13" s="202"/>
      <c r="G13" s="202"/>
      <c r="H13" s="202"/>
      <c r="I13" s="202"/>
      <c r="J13" s="202"/>
      <c r="K13" s="202"/>
      <c r="L13" s="202"/>
      <c r="M13" s="202"/>
      <c r="N13" s="202"/>
      <c r="O13" s="202"/>
      <c r="P13" s="202"/>
      <c r="Q13" s="202"/>
      <c r="R13" s="202"/>
      <c r="S13" s="202"/>
      <c r="T13" s="202"/>
      <c r="U13" s="202"/>
      <c r="V13" s="202"/>
      <c r="W13" s="202"/>
      <c r="X13" s="202"/>
      <c r="Y13" s="202"/>
      <c r="Z13" s="35"/>
      <c r="AA13" s="35"/>
      <c r="AB13" s="35"/>
      <c r="AC13" s="35"/>
    </row>
    <row r="14" spans="2:33" x14ac:dyDescent="0.35">
      <c r="B14" s="1234" t="s">
        <v>1809</v>
      </c>
      <c r="C14" s="1234"/>
      <c r="D14" s="1234"/>
      <c r="E14" s="1234"/>
      <c r="F14" s="1234"/>
      <c r="G14" s="1234"/>
      <c r="H14" s="1234"/>
      <c r="I14" s="1234"/>
      <c r="J14" s="1234"/>
      <c r="K14" s="1234"/>
      <c r="L14" s="1234"/>
      <c r="M14" s="1234"/>
      <c r="N14" s="1234"/>
      <c r="O14" s="1234"/>
      <c r="P14" s="1234"/>
      <c r="Q14" s="1234"/>
      <c r="R14" s="1234"/>
      <c r="S14" s="1234"/>
      <c r="T14" s="1234"/>
      <c r="U14" s="1234"/>
      <c r="V14" s="1234"/>
      <c r="W14" s="1234"/>
      <c r="X14" s="1234"/>
      <c r="Y14" s="1234"/>
      <c r="Z14" s="1234"/>
      <c r="AA14" s="1234"/>
      <c r="AB14" s="1234"/>
      <c r="AC14" s="1234"/>
      <c r="AD14" s="1234"/>
      <c r="AE14" s="1234"/>
      <c r="AF14" s="1234"/>
    </row>
    <row r="15" spans="2:33" x14ac:dyDescent="0.35">
      <c r="B15" s="1297" t="s">
        <v>1701</v>
      </c>
      <c r="C15" s="1344"/>
      <c r="D15" s="1360" t="s">
        <v>280</v>
      </c>
      <c r="E15" s="1361"/>
      <c r="F15" s="1361"/>
      <c r="G15" s="1361"/>
      <c r="H15" s="1361"/>
      <c r="I15" s="1361"/>
      <c r="J15" s="1361"/>
      <c r="K15" s="1361"/>
      <c r="L15" s="1361"/>
      <c r="M15" s="1361"/>
      <c r="N15" s="1361"/>
      <c r="O15" s="1361"/>
      <c r="P15" s="1361"/>
      <c r="Q15" s="1361"/>
      <c r="R15" s="1361"/>
      <c r="S15" s="1361"/>
      <c r="T15" s="1361"/>
      <c r="U15" s="1361"/>
      <c r="V15" s="1361"/>
      <c r="W15" s="1325" t="s">
        <v>281</v>
      </c>
      <c r="X15" s="1325"/>
      <c r="Y15" s="1325"/>
      <c r="Z15" s="1325"/>
      <c r="AA15" s="1325"/>
      <c r="AB15" s="1325"/>
      <c r="AC15" s="1325"/>
      <c r="AD15" s="1325"/>
      <c r="AE15" s="1325"/>
      <c r="AF15" s="1325"/>
      <c r="AG15" s="1325"/>
    </row>
    <row r="16" spans="2:33" x14ac:dyDescent="0.35">
      <c r="B16" s="1299"/>
      <c r="C16" s="1300"/>
      <c r="D16" s="148">
        <v>2018</v>
      </c>
      <c r="E16" s="1294">
        <v>2019</v>
      </c>
      <c r="F16" s="1295"/>
      <c r="G16" s="1295"/>
      <c r="H16" s="1296"/>
      <c r="I16" s="1294">
        <v>2020</v>
      </c>
      <c r="J16" s="1295"/>
      <c r="K16" s="1295"/>
      <c r="L16" s="1295"/>
      <c r="M16" s="1294">
        <v>2021</v>
      </c>
      <c r="N16" s="1295"/>
      <c r="O16" s="1295"/>
      <c r="P16" s="1295"/>
      <c r="Q16" s="1322">
        <v>2022</v>
      </c>
      <c r="R16" s="1384"/>
      <c r="S16" s="251"/>
      <c r="T16" s="258"/>
      <c r="U16" s="201"/>
      <c r="V16" s="251">
        <v>2023</v>
      </c>
      <c r="W16" s="518"/>
      <c r="X16" s="518"/>
      <c r="Y16" s="1303">
        <v>2024</v>
      </c>
      <c r="Z16" s="1315"/>
      <c r="AA16" s="1315"/>
      <c r="AB16" s="1305"/>
      <c r="AC16" s="1303">
        <v>2025</v>
      </c>
      <c r="AD16" s="1315"/>
      <c r="AE16" s="1315"/>
      <c r="AF16" s="1305"/>
      <c r="AG16" s="467">
        <v>2026</v>
      </c>
    </row>
    <row r="17" spans="2:33" x14ac:dyDescent="0.35">
      <c r="B17" s="1301"/>
      <c r="C17" s="1302"/>
      <c r="D17" s="148" t="s">
        <v>282</v>
      </c>
      <c r="E17" s="148" t="s">
        <v>283</v>
      </c>
      <c r="F17" s="144" t="s">
        <v>284</v>
      </c>
      <c r="G17" s="144" t="s">
        <v>238</v>
      </c>
      <c r="H17" s="145" t="s">
        <v>282</v>
      </c>
      <c r="I17" s="144" t="s">
        <v>283</v>
      </c>
      <c r="J17" s="144" t="s">
        <v>284</v>
      </c>
      <c r="K17" s="144" t="s">
        <v>238</v>
      </c>
      <c r="L17" s="144" t="s">
        <v>282</v>
      </c>
      <c r="M17" s="148" t="s">
        <v>283</v>
      </c>
      <c r="N17" s="144" t="s">
        <v>284</v>
      </c>
      <c r="O17" s="144" t="s">
        <v>238</v>
      </c>
      <c r="P17" s="144" t="s">
        <v>282</v>
      </c>
      <c r="Q17" s="248" t="s">
        <v>283</v>
      </c>
      <c r="R17" s="249" t="s">
        <v>284</v>
      </c>
      <c r="S17" s="249" t="s">
        <v>238</v>
      </c>
      <c r="T17" s="247" t="s">
        <v>282</v>
      </c>
      <c r="U17" s="248" t="s">
        <v>283</v>
      </c>
      <c r="V17" s="249" t="s">
        <v>284</v>
      </c>
      <c r="W17" s="232" t="s">
        <v>238</v>
      </c>
      <c r="X17" s="232" t="s">
        <v>282</v>
      </c>
      <c r="Y17" s="231" t="s">
        <v>283</v>
      </c>
      <c r="Z17" s="229" t="s">
        <v>284</v>
      </c>
      <c r="AA17" s="232" t="s">
        <v>238</v>
      </c>
      <c r="AB17" s="233" t="s">
        <v>282</v>
      </c>
      <c r="AC17" s="231" t="s">
        <v>283</v>
      </c>
      <c r="AD17" s="229" t="s">
        <v>284</v>
      </c>
      <c r="AE17" s="232" t="s">
        <v>238</v>
      </c>
      <c r="AF17" s="232" t="s">
        <v>282</v>
      </c>
      <c r="AG17" s="231" t="s">
        <v>283</v>
      </c>
    </row>
    <row r="18" spans="2:33" x14ac:dyDescent="0.35">
      <c r="B18" s="73" t="s">
        <v>1387</v>
      </c>
      <c r="C18" s="602"/>
      <c r="D18" s="603"/>
      <c r="E18" s="602"/>
      <c r="F18" s="602"/>
      <c r="G18" s="602"/>
      <c r="H18" s="602"/>
      <c r="I18" s="602"/>
      <c r="J18" s="604"/>
      <c r="K18" s="604"/>
      <c r="L18" s="604"/>
      <c r="M18" s="604"/>
      <c r="N18" s="604"/>
      <c r="O18" s="604"/>
      <c r="P18" s="604"/>
      <c r="Q18" s="604"/>
      <c r="R18" s="605">
        <v>0</v>
      </c>
      <c r="S18" s="599">
        <v>0</v>
      </c>
      <c r="T18" s="601">
        <v>0</v>
      </c>
      <c r="U18" s="601">
        <v>-7.7999999999999999E-4</v>
      </c>
      <c r="V18" s="601">
        <v>-7.7999999999999999E-4</v>
      </c>
      <c r="W18" s="601">
        <v>-7.7999999999999999E-4</v>
      </c>
      <c r="X18" s="601">
        <v>-7.7999999999999999E-4</v>
      </c>
      <c r="Y18" s="601">
        <v>-9.5E-4</v>
      </c>
      <c r="Z18" s="601">
        <v>-9.5E-4</v>
      </c>
      <c r="AA18" s="601">
        <v>-9.5E-4</v>
      </c>
      <c r="AB18" s="601">
        <v>-9.5E-4</v>
      </c>
      <c r="AC18" s="601">
        <v>-9.3999999999999997E-4</v>
      </c>
      <c r="AD18" s="601">
        <v>-9.3999999999999997E-4</v>
      </c>
      <c r="AE18" s="601">
        <v>-9.3999999999999997E-4</v>
      </c>
      <c r="AF18" s="601">
        <v>-9.3999999999999997E-4</v>
      </c>
      <c r="AG18" s="599">
        <v>-9.3999999999999997E-4</v>
      </c>
    </row>
    <row r="19" spans="2:33" x14ac:dyDescent="0.35">
      <c r="B19" s="35" t="s">
        <v>1386</v>
      </c>
      <c r="C19" s="606"/>
      <c r="D19" s="607"/>
      <c r="E19" s="606"/>
      <c r="F19" s="606"/>
      <c r="G19" s="606"/>
      <c r="H19" s="606"/>
      <c r="I19" s="606"/>
      <c r="J19" s="608"/>
      <c r="K19" s="608"/>
      <c r="L19" s="608"/>
      <c r="M19" s="608"/>
      <c r="N19" s="608"/>
      <c r="O19" s="608"/>
      <c r="P19" s="608"/>
      <c r="Q19" s="608"/>
      <c r="R19" s="600"/>
      <c r="S19" s="600"/>
      <c r="T19" s="600"/>
      <c r="U19" s="600">
        <v>26095</v>
      </c>
      <c r="V19" s="600">
        <v>26404</v>
      </c>
      <c r="W19" s="600">
        <v>26686</v>
      </c>
      <c r="X19" s="600">
        <v>26931</v>
      </c>
      <c r="Y19" s="600">
        <v>27174</v>
      </c>
      <c r="Z19" s="600">
        <v>27411</v>
      </c>
      <c r="AA19" s="600">
        <v>27647</v>
      </c>
      <c r="AB19" s="600">
        <v>27893</v>
      </c>
      <c r="AC19" s="600">
        <v>28143</v>
      </c>
      <c r="AD19" s="600">
        <v>28400</v>
      </c>
      <c r="AE19" s="600">
        <v>28649</v>
      </c>
      <c r="AF19" s="600">
        <v>28910</v>
      </c>
      <c r="AG19" s="600">
        <v>28910</v>
      </c>
    </row>
    <row r="20" spans="2:33" x14ac:dyDescent="0.35">
      <c r="B20" s="35" t="s">
        <v>312</v>
      </c>
      <c r="C20" s="609"/>
      <c r="D20" s="610"/>
      <c r="E20" s="609"/>
      <c r="F20" s="609"/>
      <c r="G20" s="609"/>
      <c r="H20" s="609"/>
      <c r="I20" s="609"/>
      <c r="J20" s="611"/>
      <c r="K20" s="611"/>
      <c r="L20" s="611"/>
      <c r="M20" s="611"/>
      <c r="N20" s="611"/>
      <c r="O20" s="611"/>
      <c r="P20" s="611"/>
      <c r="Q20" s="611"/>
      <c r="R20" s="612">
        <f>R18*R19</f>
        <v>0</v>
      </c>
      <c r="S20" s="612">
        <f t="shared" ref="S20:T20" si="1">S18*S19</f>
        <v>0</v>
      </c>
      <c r="T20" s="612">
        <f t="shared" si="1"/>
        <v>0</v>
      </c>
      <c r="U20" s="613">
        <f>U18*U19*-1</f>
        <v>20.354099999999999</v>
      </c>
      <c r="V20" s="613">
        <f t="shared" ref="V20:AF20" si="2">V18*V19*-1</f>
        <v>20.595119999999998</v>
      </c>
      <c r="W20" s="613">
        <f t="shared" si="2"/>
        <v>20.815079999999998</v>
      </c>
      <c r="X20" s="613">
        <f t="shared" si="2"/>
        <v>21.006180000000001</v>
      </c>
      <c r="Y20" s="613">
        <f t="shared" si="2"/>
        <v>25.815300000000001</v>
      </c>
      <c r="Z20" s="613">
        <f t="shared" si="2"/>
        <v>26.04045</v>
      </c>
      <c r="AA20" s="613">
        <f t="shared" si="2"/>
        <v>26.26465</v>
      </c>
      <c r="AB20" s="613">
        <f t="shared" si="2"/>
        <v>26.498349999999999</v>
      </c>
      <c r="AC20" s="613">
        <f t="shared" si="2"/>
        <v>26.454419999999999</v>
      </c>
      <c r="AD20" s="613">
        <f t="shared" si="2"/>
        <v>26.695999999999998</v>
      </c>
      <c r="AE20" s="613">
        <f t="shared" si="2"/>
        <v>26.930059999999997</v>
      </c>
      <c r="AF20" s="613">
        <f t="shared" si="2"/>
        <v>27.1754</v>
      </c>
      <c r="AG20" s="613">
        <f t="shared" ref="AG20" si="3">AG18*AG19*-1</f>
        <v>27.1754</v>
      </c>
    </row>
    <row r="23" spans="2:33" x14ac:dyDescent="0.35">
      <c r="C23" t="s">
        <v>1921</v>
      </c>
      <c r="F23" s="119" t="s">
        <v>1920</v>
      </c>
    </row>
  </sheetData>
  <mergeCells count="21">
    <mergeCell ref="Y7:AB7"/>
    <mergeCell ref="B1:AC1"/>
    <mergeCell ref="B2:AC4"/>
    <mergeCell ref="B6:C8"/>
    <mergeCell ref="E7:H7"/>
    <mergeCell ref="I7:L7"/>
    <mergeCell ref="M7:P7"/>
    <mergeCell ref="Q7:R7"/>
    <mergeCell ref="D6:V6"/>
    <mergeCell ref="AC7:AF7"/>
    <mergeCell ref="W6:AG6"/>
    <mergeCell ref="B14:AF14"/>
    <mergeCell ref="B15:C17"/>
    <mergeCell ref="E16:H16"/>
    <mergeCell ref="I16:L16"/>
    <mergeCell ref="M16:P16"/>
    <mergeCell ref="Q16:R16"/>
    <mergeCell ref="Y16:AB16"/>
    <mergeCell ref="AC16:AF16"/>
    <mergeCell ref="D15:V15"/>
    <mergeCell ref="W15:AG15"/>
  </mergeCells>
  <hyperlinks>
    <hyperlink ref="F23" r:id="rId1" xr:uid="{00000000-0004-0000-1500-000000000000}"/>
  </hyperlinks>
  <pageMargins left="0.7" right="0.7" top="0.75" bottom="0.75" header="0.3" footer="0.3"/>
  <pageSetup paperSize="9" orientation="portrait" horizontalDpi="300" verticalDpi="300"/>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CW131"/>
  <sheetViews>
    <sheetView zoomScale="90" zoomScaleNormal="85" workbookViewId="0">
      <pane xSplit="2" ySplit="11" topLeftCell="T171" activePane="bottomRight" state="frozen"/>
      <selection pane="topRight" activeCell="C1" sqref="C1"/>
      <selection pane="bottomLeft" activeCell="A12" sqref="A12"/>
      <selection pane="bottomRight" activeCell="W101" sqref="W101:X101"/>
    </sheetView>
  </sheetViews>
  <sheetFormatPr defaultColWidth="10.90625" defaultRowHeight="14.5" outlineLevelRow="1" x14ac:dyDescent="0.35"/>
  <cols>
    <col min="2" max="2" width="71.1796875" customWidth="1"/>
    <col min="6" max="6" width="12.1796875" customWidth="1"/>
    <col min="7" max="7" width="10.453125" customWidth="1"/>
    <col min="9" max="9" width="12" customWidth="1"/>
  </cols>
  <sheetData>
    <row r="1" spans="2:33" ht="18" customHeight="1" x14ac:dyDescent="0.35">
      <c r="B1" s="1393" t="s">
        <v>465</v>
      </c>
      <c r="C1" s="1393"/>
      <c r="D1" s="1393"/>
      <c r="E1" s="1393"/>
      <c r="F1" s="1393"/>
      <c r="G1" s="1393"/>
      <c r="H1" s="1393"/>
      <c r="I1" s="1393"/>
      <c r="J1" s="1393"/>
      <c r="K1" s="1393"/>
      <c r="L1" s="1393"/>
      <c r="M1" s="1393"/>
      <c r="N1" s="1393"/>
      <c r="O1" s="1393"/>
      <c r="P1" s="1393"/>
      <c r="Q1" s="1393"/>
      <c r="R1" s="1393"/>
      <c r="S1" s="1393"/>
      <c r="T1" s="1393"/>
      <c r="U1" s="1393"/>
      <c r="V1" s="1393"/>
      <c r="W1" s="1393"/>
      <c r="X1" s="1393"/>
      <c r="Y1" s="1393"/>
      <c r="Z1" s="1393"/>
      <c r="AA1" s="1393"/>
      <c r="AB1" s="1393"/>
      <c r="AC1" s="1393"/>
    </row>
    <row r="2" spans="2:33" ht="34.5" hidden="1" customHeight="1" outlineLevel="1" x14ac:dyDescent="0.35">
      <c r="B2" s="1293" t="s">
        <v>864</v>
      </c>
      <c r="C2" s="1330"/>
      <c r="D2" s="1330"/>
      <c r="E2" s="1330"/>
      <c r="F2" s="1330"/>
      <c r="G2" s="1330"/>
      <c r="H2" s="1330"/>
      <c r="I2" s="1330"/>
      <c r="J2" s="1330"/>
      <c r="K2" s="1330"/>
      <c r="L2" s="1330"/>
      <c r="M2" s="1330"/>
      <c r="N2" s="1330"/>
      <c r="O2" s="1330"/>
      <c r="P2" s="1330"/>
      <c r="Q2" s="1330"/>
      <c r="R2" s="1330"/>
      <c r="S2" s="1330"/>
      <c r="T2" s="1330"/>
      <c r="U2" s="1330"/>
      <c r="V2" s="1330"/>
      <c r="W2" s="1330"/>
      <c r="X2" s="1330"/>
      <c r="Y2" s="1330"/>
      <c r="Z2" s="1330"/>
      <c r="AA2" s="1330"/>
      <c r="AB2" s="1330"/>
      <c r="AC2" s="1330"/>
    </row>
    <row r="3" spans="2:33" ht="3" hidden="1" customHeight="1" outlineLevel="1" x14ac:dyDescent="0.35">
      <c r="B3" s="1330"/>
      <c r="C3" s="1330"/>
      <c r="D3" s="1330"/>
      <c r="E3" s="1330"/>
      <c r="F3" s="1330"/>
      <c r="G3" s="1330"/>
      <c r="H3" s="1330"/>
      <c r="I3" s="1330"/>
      <c r="J3" s="1330"/>
      <c r="K3" s="1330"/>
      <c r="L3" s="1330"/>
      <c r="M3" s="1330"/>
      <c r="N3" s="1330"/>
      <c r="O3" s="1330"/>
      <c r="P3" s="1330"/>
      <c r="Q3" s="1330"/>
      <c r="R3" s="1330"/>
      <c r="S3" s="1330"/>
      <c r="T3" s="1330"/>
      <c r="U3" s="1330"/>
      <c r="V3" s="1330"/>
      <c r="W3" s="1330"/>
      <c r="X3" s="1330"/>
      <c r="Y3" s="1330"/>
      <c r="Z3" s="1330"/>
      <c r="AA3" s="1330"/>
      <c r="AB3" s="1330"/>
      <c r="AC3" s="1330"/>
    </row>
    <row r="4" spans="2:33" ht="10.4" hidden="1" customHeight="1" outlineLevel="1" x14ac:dyDescent="0.35">
      <c r="B4" s="1330"/>
      <c r="C4" s="1330"/>
      <c r="D4" s="1330"/>
      <c r="E4" s="1330"/>
      <c r="F4" s="1330"/>
      <c r="G4" s="1330"/>
      <c r="H4" s="1330"/>
      <c r="I4" s="1330"/>
      <c r="J4" s="1330"/>
      <c r="K4" s="1330"/>
      <c r="L4" s="1330"/>
      <c r="M4" s="1330"/>
      <c r="N4" s="1330"/>
      <c r="O4" s="1330"/>
      <c r="P4" s="1330"/>
      <c r="Q4" s="1330"/>
      <c r="R4" s="1330"/>
      <c r="S4" s="1330"/>
      <c r="T4" s="1330"/>
      <c r="U4" s="1330"/>
      <c r="V4" s="1330"/>
      <c r="W4" s="1330"/>
      <c r="X4" s="1330"/>
      <c r="Y4" s="1330"/>
      <c r="Z4" s="1330"/>
      <c r="AA4" s="1330"/>
      <c r="AB4" s="1330"/>
      <c r="AC4" s="1330"/>
    </row>
    <row r="5" spans="2:33" ht="14.25" hidden="1" customHeight="1" outlineLevel="1" x14ac:dyDescent="0.35">
      <c r="B5" s="1330"/>
      <c r="C5" s="1330"/>
      <c r="D5" s="1330"/>
      <c r="E5" s="1330"/>
      <c r="F5" s="1330"/>
      <c r="G5" s="1330"/>
      <c r="H5" s="1330"/>
      <c r="I5" s="1330"/>
      <c r="J5" s="1330"/>
      <c r="K5" s="1330"/>
      <c r="L5" s="1330"/>
      <c r="M5" s="1330"/>
      <c r="N5" s="1330"/>
      <c r="O5" s="1330"/>
      <c r="P5" s="1330"/>
      <c r="Q5" s="1330"/>
      <c r="R5" s="1330"/>
      <c r="S5" s="1330"/>
      <c r="T5" s="1330"/>
      <c r="U5" s="1330"/>
      <c r="V5" s="1330"/>
      <c r="W5" s="1330"/>
      <c r="X5" s="1330"/>
      <c r="Y5" s="1330"/>
      <c r="Z5" s="1330"/>
      <c r="AA5" s="1330"/>
      <c r="AB5" s="1330"/>
      <c r="AC5" s="1330"/>
    </row>
    <row r="6" spans="2:33" ht="14.25" hidden="1" customHeight="1" outlineLevel="1" x14ac:dyDescent="0.35">
      <c r="B6" s="1330"/>
      <c r="C6" s="1330"/>
      <c r="D6" s="1330"/>
      <c r="E6" s="1330"/>
      <c r="F6" s="1330"/>
      <c r="G6" s="1330"/>
      <c r="H6" s="1330"/>
      <c r="I6" s="1330"/>
      <c r="J6" s="1330"/>
      <c r="K6" s="1330"/>
      <c r="L6" s="1330"/>
      <c r="M6" s="1330"/>
      <c r="N6" s="1330"/>
      <c r="O6" s="1330"/>
      <c r="P6" s="1330"/>
      <c r="Q6" s="1330"/>
      <c r="R6" s="1330"/>
      <c r="S6" s="1330"/>
      <c r="T6" s="1330"/>
      <c r="U6" s="1330"/>
      <c r="V6" s="1330"/>
      <c r="W6" s="1330"/>
      <c r="X6" s="1330"/>
      <c r="Y6" s="1330"/>
      <c r="Z6" s="1330"/>
      <c r="AA6" s="1330"/>
      <c r="AB6" s="1330"/>
      <c r="AC6" s="1330"/>
    </row>
    <row r="7" spans="2:33" x14ac:dyDescent="0.35">
      <c r="B7" s="690" t="s">
        <v>333</v>
      </c>
      <c r="C7" s="227"/>
      <c r="D7" s="227"/>
      <c r="E7" s="227"/>
      <c r="F7" s="227"/>
      <c r="G7" s="227"/>
      <c r="H7" s="228"/>
      <c r="I7" s="228"/>
      <c r="J7" s="228"/>
      <c r="K7" s="228"/>
      <c r="L7" s="228"/>
      <c r="M7" s="228"/>
      <c r="N7" s="228"/>
      <c r="O7" s="228"/>
      <c r="P7" s="228"/>
      <c r="Q7" s="228"/>
      <c r="R7" s="228"/>
      <c r="S7" s="228"/>
      <c r="T7" s="228"/>
      <c r="U7" s="228"/>
    </row>
    <row r="8" spans="2:33" ht="14.9" customHeight="1" x14ac:dyDescent="0.35">
      <c r="B8" s="649" t="s">
        <v>304</v>
      </c>
      <c r="C8" s="650"/>
      <c r="D8" s="653" t="s">
        <v>280</v>
      </c>
      <c r="E8" s="654"/>
      <c r="F8" s="654"/>
      <c r="G8" s="654"/>
      <c r="H8" s="654"/>
      <c r="I8" s="654"/>
      <c r="J8" s="654"/>
      <c r="K8" s="654"/>
      <c r="L8" s="654"/>
      <c r="M8" s="654"/>
      <c r="N8" s="654"/>
      <c r="O8" s="654"/>
      <c r="P8" s="1313"/>
      <c r="Q8" s="1313"/>
      <c r="R8" s="1313"/>
      <c r="S8" s="1313"/>
      <c r="T8" s="1313"/>
      <c r="U8" s="1313"/>
      <c r="V8" s="1302"/>
      <c r="W8" s="1326" t="s">
        <v>281</v>
      </c>
      <c r="X8" s="1327"/>
      <c r="Y8" s="1327"/>
      <c r="Z8" s="1327"/>
      <c r="AA8" s="1327"/>
      <c r="AB8" s="1327"/>
      <c r="AC8" s="1327"/>
      <c r="AD8" s="1327"/>
      <c r="AE8" s="1327"/>
      <c r="AF8" s="1327"/>
      <c r="AG8" s="1327"/>
    </row>
    <row r="9" spans="2:33" ht="14.9" customHeight="1" x14ac:dyDescent="0.35">
      <c r="B9" s="651"/>
      <c r="C9" s="652"/>
      <c r="D9" s="142">
        <v>2018</v>
      </c>
      <c r="E9" s="1278">
        <v>2019</v>
      </c>
      <c r="F9" s="1306"/>
      <c r="G9" s="1306"/>
      <c r="H9" s="1307"/>
      <c r="I9" s="1278">
        <v>2020</v>
      </c>
      <c r="J9" s="1306"/>
      <c r="K9" s="1306"/>
      <c r="L9" s="1306"/>
      <c r="M9" s="1278">
        <v>2021</v>
      </c>
      <c r="N9" s="1306"/>
      <c r="O9" s="1306"/>
      <c r="P9" s="1306"/>
      <c r="Q9" s="1278">
        <v>2022</v>
      </c>
      <c r="R9" s="1279"/>
      <c r="S9" s="1279"/>
      <c r="T9" s="1307"/>
      <c r="U9" s="251"/>
      <c r="V9" s="251">
        <v>2023</v>
      </c>
      <c r="W9" s="518"/>
      <c r="X9" s="222"/>
      <c r="Y9" s="1303">
        <v>2024</v>
      </c>
      <c r="Z9" s="1315"/>
      <c r="AA9" s="1315"/>
      <c r="AB9" s="1305"/>
      <c r="AC9" s="1303">
        <v>2025</v>
      </c>
      <c r="AD9" s="1315"/>
      <c r="AE9" s="1315"/>
      <c r="AF9" s="1304"/>
      <c r="AG9" s="282">
        <v>2026</v>
      </c>
    </row>
    <row r="10" spans="2:33" x14ac:dyDescent="0.35">
      <c r="B10" s="651"/>
      <c r="C10" s="652"/>
      <c r="D10" s="148" t="s">
        <v>282</v>
      </c>
      <c r="E10" s="148" t="s">
        <v>283</v>
      </c>
      <c r="F10" s="144" t="s">
        <v>284</v>
      </c>
      <c r="G10" s="144" t="s">
        <v>238</v>
      </c>
      <c r="H10" s="145" t="s">
        <v>282</v>
      </c>
      <c r="I10" s="144" t="s">
        <v>283</v>
      </c>
      <c r="J10" s="144" t="s">
        <v>284</v>
      </c>
      <c r="K10" s="144" t="s">
        <v>238</v>
      </c>
      <c r="L10" s="144" t="s">
        <v>282</v>
      </c>
      <c r="M10" s="148" t="s">
        <v>283</v>
      </c>
      <c r="N10" s="144" t="s">
        <v>284</v>
      </c>
      <c r="O10" s="144" t="s">
        <v>238</v>
      </c>
      <c r="P10" s="144" t="s">
        <v>282</v>
      </c>
      <c r="Q10" s="148" t="s">
        <v>283</v>
      </c>
      <c r="R10" s="144" t="s">
        <v>284</v>
      </c>
      <c r="S10" s="144" t="s">
        <v>238</v>
      </c>
      <c r="T10" s="145" t="s">
        <v>282</v>
      </c>
      <c r="U10" s="144" t="s">
        <v>283</v>
      </c>
      <c r="V10" s="249" t="s">
        <v>284</v>
      </c>
      <c r="W10" s="232" t="s">
        <v>238</v>
      </c>
      <c r="X10" s="233" t="s">
        <v>282</v>
      </c>
      <c r="Y10" s="231" t="s">
        <v>283</v>
      </c>
      <c r="Z10" s="229" t="s">
        <v>284</v>
      </c>
      <c r="AA10" s="232" t="s">
        <v>238</v>
      </c>
      <c r="AB10" s="232" t="s">
        <v>282</v>
      </c>
      <c r="AC10" s="231" t="s">
        <v>283</v>
      </c>
      <c r="AD10" s="229" t="s">
        <v>284</v>
      </c>
      <c r="AE10" s="232" t="s">
        <v>238</v>
      </c>
      <c r="AF10" s="232" t="s">
        <v>282</v>
      </c>
      <c r="AG10" s="282" t="s">
        <v>283</v>
      </c>
    </row>
    <row r="11" spans="2:33" x14ac:dyDescent="0.35">
      <c r="B11" s="1386" t="s">
        <v>466</v>
      </c>
      <c r="C11" s="1387"/>
      <c r="D11" s="620"/>
      <c r="E11" s="682"/>
      <c r="F11" s="682"/>
      <c r="G11" s="682"/>
      <c r="H11" s="270"/>
      <c r="I11" s="270"/>
      <c r="J11" s="270"/>
      <c r="K11" s="270"/>
      <c r="L11" s="270"/>
      <c r="M11" s="537"/>
      <c r="N11" s="537"/>
      <c r="O11" s="537"/>
      <c r="P11" s="270"/>
      <c r="Q11" s="270"/>
      <c r="R11" s="270"/>
      <c r="S11" s="270"/>
      <c r="T11" s="250"/>
      <c r="U11" s="270"/>
      <c r="V11" s="270"/>
      <c r="W11" s="181"/>
      <c r="X11" s="181"/>
      <c r="Y11" s="181"/>
      <c r="Z11" s="181"/>
      <c r="AA11" s="181"/>
      <c r="AB11" s="181"/>
      <c r="AC11" s="182"/>
    </row>
    <row r="12" spans="2:33" ht="17.149999999999999" customHeight="1" x14ac:dyDescent="0.35">
      <c r="B12" s="631" t="s">
        <v>467</v>
      </c>
      <c r="C12" s="202" t="s">
        <v>468</v>
      </c>
      <c r="D12" s="557">
        <f>'Haver Pivoted'!GO31</f>
        <v>2223</v>
      </c>
      <c r="E12" s="517">
        <f>'Haver Pivoted'!GP31</f>
        <v>2303.6</v>
      </c>
      <c r="F12" s="517">
        <f>'Haver Pivoted'!GQ31</f>
        <v>2320.1</v>
      </c>
      <c r="G12" s="517">
        <f>'Haver Pivoted'!GR31</f>
        <v>2332.9</v>
      </c>
      <c r="H12" s="517">
        <f>'Haver Pivoted'!GS31</f>
        <v>2346.6</v>
      </c>
      <c r="I12" s="517">
        <f>'Haver Pivoted'!GT31</f>
        <v>2412.6</v>
      </c>
      <c r="J12" s="517">
        <f>'Haver Pivoted'!GU31</f>
        <v>4652.1000000000004</v>
      </c>
      <c r="K12" s="517">
        <f>'Haver Pivoted'!GV31</f>
        <v>3508</v>
      </c>
      <c r="L12" s="517">
        <f>'Haver Pivoted'!GW31</f>
        <v>2895.4</v>
      </c>
      <c r="M12" s="517">
        <f>'Haver Pivoted'!GX31</f>
        <v>5127.3999999999996</v>
      </c>
      <c r="N12" s="517">
        <f>'Haver Pivoted'!GY31</f>
        <v>3403.8</v>
      </c>
      <c r="O12" s="517">
        <f>'Haver Pivoted'!GZ31</f>
        <v>3135</v>
      </c>
      <c r="P12" s="517">
        <f>'Haver Pivoted'!HA31</f>
        <v>2947.7</v>
      </c>
      <c r="Q12" s="517">
        <f>'Haver Pivoted'!HB31</f>
        <v>2903.2</v>
      </c>
      <c r="R12" s="517">
        <f>'Haver Pivoted'!HC31</f>
        <v>2895.2</v>
      </c>
      <c r="S12" s="520">
        <f>'Haver Pivoted'!HD31</f>
        <v>2867.4</v>
      </c>
      <c r="T12" s="520">
        <f>'Haver Pivoted'!HE31</f>
        <v>2896.7</v>
      </c>
      <c r="U12" s="520">
        <f>'Haver Pivoted'!HF31</f>
        <v>2945.8</v>
      </c>
      <c r="V12" s="520">
        <f>'Haver Pivoted'!HG31</f>
        <v>2929.7</v>
      </c>
      <c r="W12" s="520">
        <f>'Haver Pivoted'!HH31</f>
        <v>2930.1</v>
      </c>
      <c r="X12" s="520">
        <f>'Haver Pivoted'!HI31</f>
        <v>2927.1</v>
      </c>
      <c r="Y12" s="633">
        <f t="shared" ref="Y12:AC12" si="0">SUM(Y14:Y31)-Y30</f>
        <v>2970.4247308306517</v>
      </c>
      <c r="Z12" s="633">
        <f t="shared" si="0"/>
        <v>2984.2366240737961</v>
      </c>
      <c r="AA12" s="633">
        <f t="shared" si="0"/>
        <v>2997.4460144546879</v>
      </c>
      <c r="AB12" s="633">
        <f t="shared" si="0"/>
        <v>3030.5253723945061</v>
      </c>
      <c r="AC12" s="681">
        <f t="shared" si="0"/>
        <v>3099.8580357714818</v>
      </c>
    </row>
    <row r="13" spans="2:33" x14ac:dyDescent="0.35">
      <c r="B13" s="423"/>
      <c r="C13" s="202"/>
      <c r="D13" s="557"/>
      <c r="E13" s="517"/>
      <c r="F13" s="517"/>
      <c r="G13" s="517"/>
      <c r="H13" s="517"/>
      <c r="I13" s="517"/>
      <c r="J13" s="517"/>
      <c r="K13" s="517"/>
      <c r="L13" s="517"/>
      <c r="M13" s="517"/>
      <c r="N13" s="517"/>
      <c r="O13" s="517"/>
      <c r="P13" s="202"/>
      <c r="Q13" s="195"/>
      <c r="R13" s="195"/>
      <c r="S13" s="195"/>
      <c r="T13" s="195"/>
      <c r="U13" s="195"/>
      <c r="V13" s="195"/>
      <c r="W13" s="195"/>
      <c r="X13" s="282"/>
      <c r="Y13" s="282"/>
      <c r="Z13" s="282"/>
      <c r="AA13" s="282"/>
      <c r="AB13" s="282"/>
      <c r="AC13" s="393"/>
    </row>
    <row r="14" spans="2:33" x14ac:dyDescent="0.35">
      <c r="B14" s="627" t="s">
        <v>1922</v>
      </c>
      <c r="C14" s="202"/>
      <c r="D14" s="557">
        <f>'Unemployment Insurance'!D20+'Unemployment Insurance'!D19</f>
        <v>27.1</v>
      </c>
      <c r="E14" s="517">
        <f>'Unemployment Insurance'!E20+'Unemployment Insurance'!E19</f>
        <v>30.5</v>
      </c>
      <c r="F14" s="517">
        <f>'Unemployment Insurance'!F20+'Unemployment Insurance'!F19</f>
        <v>27.7</v>
      </c>
      <c r="G14" s="517">
        <f>'Unemployment Insurance'!G20+'Unemployment Insurance'!G19</f>
        <v>25</v>
      </c>
      <c r="H14" s="517">
        <f>'Unemployment Insurance'!H20+'Unemployment Insurance'!H19</f>
        <v>26.7</v>
      </c>
      <c r="I14" s="517">
        <f>'Unemployment Insurance'!I20+'Unemployment Insurance'!I19</f>
        <v>40.9</v>
      </c>
      <c r="J14" s="517">
        <f>'Unemployment Insurance'!J20+'Unemployment Insurance'!J19</f>
        <v>951.4</v>
      </c>
      <c r="K14" s="517">
        <f>'Unemployment Insurance'!K20+'Unemployment Insurance'!K19</f>
        <v>802.3</v>
      </c>
      <c r="L14" s="517">
        <f>'Unemployment Insurance'!L20+'Unemployment Insurance'!L19</f>
        <v>323.5</v>
      </c>
      <c r="M14" s="517">
        <f>'Unemployment Insurance'!M20+'Unemployment Insurance'!M19</f>
        <v>583.5</v>
      </c>
      <c r="N14" s="517">
        <f>'Unemployment Insurance'!N20+'Unemployment Insurance'!N19</f>
        <v>451.8</v>
      </c>
      <c r="O14" s="517">
        <f>'Unemployment Insurance'!O20+'Unemployment Insurance'!O19</f>
        <v>226.8</v>
      </c>
      <c r="P14" s="517">
        <f>'Unemployment Insurance'!P20+'Unemployment Insurance'!P19</f>
        <v>33.9</v>
      </c>
      <c r="Q14" s="517">
        <f>'Unemployment Insurance'!Q20+'Unemployment Insurance'!Q19</f>
        <v>26.2</v>
      </c>
      <c r="R14" s="517">
        <f>'Unemployment Insurance'!R20+'Unemployment Insurance'!R19</f>
        <v>21.4</v>
      </c>
      <c r="S14" s="517">
        <f>'Unemployment Insurance'!S20+'Unemployment Insurance'!S19</f>
        <v>19.600000000000001</v>
      </c>
      <c r="T14" s="517">
        <f>'Unemployment Insurance'!T20+'Unemployment Insurance'!T19</f>
        <v>22.1</v>
      </c>
      <c r="U14" s="517">
        <f>'Unemployment Insurance'!U20+'Unemployment Insurance'!U19</f>
        <v>22</v>
      </c>
      <c r="V14" s="520">
        <f>V15+V16</f>
        <v>22.62857142857143</v>
      </c>
      <c r="W14" s="520">
        <f>W15+W16</f>
        <v>22.62857142857143</v>
      </c>
      <c r="X14" s="520">
        <f>X15+X16</f>
        <v>22.7</v>
      </c>
      <c r="Y14" s="633">
        <f>'Unemployment Insurance'!Y20+'Unemployment Insurance'!Y19</f>
        <v>23.885714285714286</v>
      </c>
      <c r="Z14" s="633">
        <f>'Unemployment Insurance'!Z20+'Unemployment Insurance'!Z19</f>
        <v>25.771428571428572</v>
      </c>
      <c r="AA14" s="633">
        <f>'Unemployment Insurance'!AA20+'Unemployment Insurance'!AA19</f>
        <v>27.028571428571432</v>
      </c>
      <c r="AB14" s="633">
        <f>'Unemployment Insurance'!AB20+'Unemployment Insurance'!AB19</f>
        <v>28.285714285714292</v>
      </c>
      <c r="AC14" s="681">
        <f>'Unemployment Insurance'!AC20+'Unemployment Insurance'!AC19</f>
        <v>28.914285714285718</v>
      </c>
    </row>
    <row r="15" spans="2:33" x14ac:dyDescent="0.35">
      <c r="B15" s="376" t="s">
        <v>203</v>
      </c>
      <c r="C15" s="202"/>
      <c r="D15" s="557"/>
      <c r="E15" s="517"/>
      <c r="F15" s="517"/>
      <c r="G15" s="517"/>
      <c r="H15" s="517"/>
      <c r="I15" s="517"/>
      <c r="J15" s="517"/>
      <c r="K15" s="517"/>
      <c r="L15" s="517"/>
      <c r="M15" s="517"/>
      <c r="N15" s="517"/>
      <c r="O15" s="517"/>
      <c r="P15" s="517"/>
      <c r="Q15" s="517"/>
      <c r="R15" s="517"/>
      <c r="S15" s="517"/>
      <c r="T15" s="517"/>
      <c r="U15" s="517"/>
      <c r="V15" s="520">
        <f>'Unemployment Insurance'!V19</f>
        <v>0</v>
      </c>
      <c r="W15" s="520">
        <f>'Unemployment Insurance'!W19</f>
        <v>0</v>
      </c>
      <c r="X15" s="520">
        <f>'Unemployment Insurance'!X19</f>
        <v>7.1428571428569398E-2</v>
      </c>
      <c r="Y15" s="633"/>
      <c r="Z15" s="633"/>
      <c r="AA15" s="633"/>
      <c r="AB15" s="633"/>
      <c r="AC15" s="681"/>
    </row>
    <row r="16" spans="2:33" x14ac:dyDescent="0.35">
      <c r="B16" s="376" t="s">
        <v>205</v>
      </c>
      <c r="C16" s="202"/>
      <c r="D16" s="557"/>
      <c r="E16" s="517"/>
      <c r="F16" s="517"/>
      <c r="G16" s="517"/>
      <c r="H16" s="517"/>
      <c r="I16" s="517"/>
      <c r="J16" s="517"/>
      <c r="K16" s="517"/>
      <c r="L16" s="517"/>
      <c r="M16" s="517"/>
      <c r="N16" s="517"/>
      <c r="O16" s="517"/>
      <c r="P16" s="517"/>
      <c r="Q16" s="517"/>
      <c r="R16" s="517"/>
      <c r="S16" s="517"/>
      <c r="T16" s="517"/>
      <c r="U16" s="517"/>
      <c r="V16" s="520">
        <f>'Unemployment Insurance'!V20</f>
        <v>22.62857142857143</v>
      </c>
      <c r="W16" s="520">
        <f>'Unemployment Insurance'!W20</f>
        <v>22.62857142857143</v>
      </c>
      <c r="X16" s="520">
        <f>'Unemployment Insurance'!X20</f>
        <v>22.62857142857143</v>
      </c>
      <c r="Y16" s="633"/>
      <c r="Z16" s="633"/>
      <c r="AA16" s="633"/>
      <c r="AB16" s="633"/>
      <c r="AC16" s="681"/>
    </row>
    <row r="17" spans="2:101" ht="17.899999999999999" customHeight="1" x14ac:dyDescent="0.35">
      <c r="B17" s="627" t="s">
        <v>55</v>
      </c>
      <c r="C17" s="202"/>
      <c r="D17" s="557">
        <f>Medicare!D10</f>
        <v>755</v>
      </c>
      <c r="E17" s="517">
        <f>Medicare!E10</f>
        <v>771.9</v>
      </c>
      <c r="F17" s="517">
        <f>Medicare!F10</f>
        <v>785.3</v>
      </c>
      <c r="G17" s="517">
        <f>Medicare!G10</f>
        <v>793.9</v>
      </c>
      <c r="H17" s="517">
        <f>Medicare!H10</f>
        <v>797.9</v>
      </c>
      <c r="I17" s="517">
        <f>Medicare!I10</f>
        <v>798.4</v>
      </c>
      <c r="J17" s="517">
        <f>Medicare!J10</f>
        <v>811.1</v>
      </c>
      <c r="K17" s="517">
        <f>Medicare!K10</f>
        <v>823.1</v>
      </c>
      <c r="L17" s="517">
        <f>Medicare!L10</f>
        <v>834.5</v>
      </c>
      <c r="M17" s="517">
        <f>Medicare!M10</f>
        <v>849.4</v>
      </c>
      <c r="N17" s="517">
        <f>Medicare!N10</f>
        <v>865.6</v>
      </c>
      <c r="O17" s="517">
        <f>Medicare!O10</f>
        <v>882.6</v>
      </c>
      <c r="P17" s="517">
        <f>Medicare!P10</f>
        <v>900.3</v>
      </c>
      <c r="Q17" s="517">
        <f>Medicare!Q10</f>
        <v>918.2</v>
      </c>
      <c r="R17" s="517">
        <f>Medicare!R10</f>
        <v>924.7</v>
      </c>
      <c r="S17" s="517">
        <f>Medicare!S10</f>
        <v>927.2</v>
      </c>
      <c r="T17" s="517">
        <f>Medicare!T10</f>
        <v>934.2</v>
      </c>
      <c r="U17" s="517">
        <f>Medicare!U10</f>
        <v>938.1</v>
      </c>
      <c r="V17" s="517">
        <f>Medicare!V10</f>
        <v>941.9</v>
      </c>
      <c r="W17" s="517">
        <f>Medicare!W10</f>
        <v>946.3</v>
      </c>
      <c r="X17" s="633">
        <f>Medicare!X10</f>
        <v>951.3</v>
      </c>
      <c r="Y17" s="633">
        <f>Medicare!Y10</f>
        <v>956.26691245960421</v>
      </c>
      <c r="Z17" s="633">
        <f>Medicare!Z10</f>
        <v>961.2597580837006</v>
      </c>
      <c r="AA17" s="633">
        <f>Medicare!AA10</f>
        <v>966.27867227411593</v>
      </c>
      <c r="AB17" s="633">
        <f>Medicare!AB10</f>
        <v>992.86655402345843</v>
      </c>
      <c r="AC17" s="681">
        <f>Medicare!AC10</f>
        <v>1020.1860212627852</v>
      </c>
    </row>
    <row r="18" spans="2:101" ht="18" customHeight="1" x14ac:dyDescent="0.35">
      <c r="B18" s="628" t="s">
        <v>469</v>
      </c>
      <c r="C18" s="202"/>
      <c r="D18" s="237"/>
      <c r="E18" s="195"/>
      <c r="F18" s="195"/>
      <c r="G18" s="195"/>
      <c r="H18" s="517">
        <f>'Rebate Checks (expired)'!H10 +'Rebate Checks (expired)'!H11</f>
        <v>0</v>
      </c>
      <c r="I18" s="517">
        <f>'Rebate Checks (expired)'!I10 +'Rebate Checks (expired)'!I11</f>
        <v>0</v>
      </c>
      <c r="J18" s="517">
        <f>'Rebate Checks (expired)'!J10 +'Rebate Checks (expired)'!J11</f>
        <v>1078.0999999999999</v>
      </c>
      <c r="K18" s="517">
        <f>'Rebate Checks (expired)'!K10 +'Rebate Checks (expired)'!K11</f>
        <v>15.6</v>
      </c>
      <c r="L18" s="517">
        <f>'Rebate Checks (expired)'!L10 +'Rebate Checks (expired)'!L11</f>
        <v>5</v>
      </c>
      <c r="M18" s="517">
        <f>'Rebate Checks (expired)'!M10 +'Rebate Checks (expired)'!M11</f>
        <v>1933.6999999999998</v>
      </c>
      <c r="N18" s="517">
        <f>'Rebate Checks (expired)'!N10 +'Rebate Checks (expired)'!N11</f>
        <v>290.10000000000002</v>
      </c>
      <c r="O18" s="517">
        <f>'Rebate Checks (expired)'!O10 +'Rebate Checks (expired)'!O11</f>
        <v>38.9</v>
      </c>
      <c r="P18" s="517">
        <f>'Rebate Checks (expired)'!P10 +'Rebate Checks (expired)'!P11</f>
        <v>14.2</v>
      </c>
      <c r="Q18" s="517">
        <f>'Rebate Checks (expired)'!Q10 +'Rebate Checks (expired)'!Q11</f>
        <v>0</v>
      </c>
      <c r="R18" s="517">
        <f>'Rebate Checks (expired)'!Q10 +'Rebate Checks (expired)'!R11</f>
        <v>0</v>
      </c>
      <c r="S18" s="517">
        <f>'Rebate Checks (expired)'!S10 +'Rebate Checks (expired)'!S11</f>
        <v>0</v>
      </c>
      <c r="T18" s="517">
        <f>'Rebate Checks (expired)'!T10 +'Rebate Checks (expired)'!T11</f>
        <v>0</v>
      </c>
      <c r="U18" s="517">
        <f>'Rebate Checks (expired)'!U10 +'Rebate Checks (expired)'!U11</f>
        <v>0</v>
      </c>
      <c r="V18" s="520">
        <f>V19+V20</f>
        <v>0</v>
      </c>
      <c r="W18" s="520">
        <f>W19+W20</f>
        <v>0</v>
      </c>
      <c r="X18" s="520">
        <f>X19+X20</f>
        <v>0</v>
      </c>
      <c r="Y18" s="633">
        <f>'Rebate Checks (expired)'!Y10 +'Rebate Checks (expired)'!Y11</f>
        <v>0</v>
      </c>
      <c r="Z18" s="633">
        <f>'Rebate Checks (expired)'!Z10 +'Rebate Checks (expired)'!Z11</f>
        <v>0</v>
      </c>
      <c r="AA18" s="633">
        <f>'Rebate Checks (expired)'!AA10 +'Rebate Checks (expired)'!AA11</f>
        <v>0</v>
      </c>
      <c r="AB18" s="633">
        <f>'Rebate Checks (expired)'!AB10 +'Rebate Checks (expired)'!AB11</f>
        <v>0</v>
      </c>
      <c r="AC18" s="681">
        <f>'Rebate Checks (expired)'!AC10 +'Rebate Checks (expired)'!AC11</f>
        <v>0</v>
      </c>
    </row>
    <row r="19" spans="2:101" ht="18" customHeight="1" x14ac:dyDescent="0.35">
      <c r="B19" s="629" t="s">
        <v>1923</v>
      </c>
      <c r="C19" s="202"/>
      <c r="D19" s="237"/>
      <c r="E19" s="195"/>
      <c r="F19" s="195"/>
      <c r="G19" s="195"/>
      <c r="H19" s="517"/>
      <c r="I19" s="517"/>
      <c r="J19" s="517"/>
      <c r="K19" s="517"/>
      <c r="L19" s="517"/>
      <c r="M19" s="517"/>
      <c r="N19" s="517"/>
      <c r="O19" s="517"/>
      <c r="P19" s="517"/>
      <c r="Q19" s="517"/>
      <c r="R19" s="517"/>
      <c r="S19" s="517"/>
      <c r="T19" s="517"/>
      <c r="U19" s="517"/>
      <c r="V19" s="517">
        <v>0</v>
      </c>
      <c r="W19" s="517"/>
      <c r="X19" s="633"/>
      <c r="Y19" s="633"/>
      <c r="Z19" s="633"/>
      <c r="AA19" s="633"/>
      <c r="AB19" s="633"/>
      <c r="AC19" s="681"/>
    </row>
    <row r="20" spans="2:101" ht="18" customHeight="1" x14ac:dyDescent="0.35">
      <c r="B20" s="629" t="s">
        <v>1924</v>
      </c>
      <c r="C20" s="202"/>
      <c r="D20" s="237"/>
      <c r="E20" s="195"/>
      <c r="F20" s="195"/>
      <c r="G20" s="195"/>
      <c r="H20" s="517"/>
      <c r="I20" s="517"/>
      <c r="J20" s="517"/>
      <c r="K20" s="517"/>
      <c r="L20" s="517"/>
      <c r="M20" s="517"/>
      <c r="N20" s="517"/>
      <c r="O20" s="517"/>
      <c r="P20" s="517"/>
      <c r="Q20" s="517"/>
      <c r="R20" s="517"/>
      <c r="S20" s="517"/>
      <c r="T20" s="517"/>
      <c r="U20" s="517"/>
      <c r="V20" s="517">
        <v>0</v>
      </c>
      <c r="W20" s="517"/>
      <c r="X20" s="633"/>
      <c r="Y20" s="633"/>
      <c r="Z20" s="633"/>
      <c r="AA20" s="633"/>
      <c r="AB20" s="633"/>
      <c r="AC20" s="681"/>
    </row>
    <row r="21" spans="2:101" ht="18" customHeight="1" x14ac:dyDescent="0.35">
      <c r="B21" s="630" t="s">
        <v>49</v>
      </c>
      <c r="C21" s="202"/>
      <c r="D21" s="236">
        <f>'Provider Relief (expired)'!D11</f>
        <v>0</v>
      </c>
      <c r="E21" s="190">
        <f>'Provider Relief (expired)'!E11</f>
        <v>0</v>
      </c>
      <c r="F21" s="190">
        <f>'Provider Relief (expired)'!F11</f>
        <v>0</v>
      </c>
      <c r="G21" s="190">
        <f>'Provider Relief (expired)'!G11</f>
        <v>0</v>
      </c>
      <c r="H21" s="190">
        <f>'Provider Relief (expired)'!H11</f>
        <v>0</v>
      </c>
      <c r="I21" s="190">
        <f>'Provider Relief (expired)'!I11</f>
        <v>0</v>
      </c>
      <c r="J21" s="190">
        <f>'Provider Relief (expired)'!J11</f>
        <v>160.9</v>
      </c>
      <c r="K21" s="190">
        <f>'Provider Relief (expired)'!K11</f>
        <v>58.4</v>
      </c>
      <c r="L21" s="190">
        <f>'Provider Relief (expired)'!L11</f>
        <v>34.5</v>
      </c>
      <c r="M21" s="190">
        <f>'Provider Relief (expired)'!M11</f>
        <v>21.4</v>
      </c>
      <c r="N21" s="190">
        <f>'Provider Relief (expired)'!N11</f>
        <v>13.3</v>
      </c>
      <c r="O21" s="190">
        <f>'Provider Relief (expired)'!O11</f>
        <v>18.7</v>
      </c>
      <c r="P21" s="190">
        <f>'Provider Relief (expired)'!P11</f>
        <v>32.200000000000003</v>
      </c>
      <c r="Q21" s="190">
        <f>'Provider Relief (expired)'!Q11</f>
        <v>26.9</v>
      </c>
      <c r="R21" s="190">
        <f>'Provider Relief (expired)'!R11</f>
        <v>20</v>
      </c>
      <c r="S21" s="190">
        <f>'Provider Relief (expired)'!S11</f>
        <v>8.1</v>
      </c>
      <c r="T21" s="190">
        <f>'Provider Relief (expired)'!T11</f>
        <v>4.9000000000000004</v>
      </c>
      <c r="U21" s="190">
        <v>0</v>
      </c>
      <c r="V21" s="517">
        <v>0</v>
      </c>
      <c r="W21" s="517">
        <v>0</v>
      </c>
      <c r="X21" s="633">
        <v>0</v>
      </c>
      <c r="Y21" s="633">
        <v>0</v>
      </c>
      <c r="Z21" s="633">
        <v>0</v>
      </c>
      <c r="AA21" s="633">
        <v>0</v>
      </c>
      <c r="AB21" s="633">
        <v>0</v>
      </c>
      <c r="AC21" s="633">
        <v>0</v>
      </c>
      <c r="AD21" s="633">
        <v>0</v>
      </c>
      <c r="AE21" s="633">
        <v>0</v>
      </c>
      <c r="AF21" s="633">
        <v>0</v>
      </c>
      <c r="AG21" s="633">
        <v>0</v>
      </c>
    </row>
    <row r="22" spans="2:101" ht="18" customHeight="1" x14ac:dyDescent="0.35">
      <c r="B22" s="423" t="s">
        <v>1925</v>
      </c>
      <c r="C22" s="202"/>
      <c r="D22" s="236"/>
      <c r="E22" s="190"/>
      <c r="F22" s="190"/>
      <c r="G22" s="190"/>
      <c r="H22" s="190"/>
      <c r="I22" s="190"/>
      <c r="J22" s="190"/>
      <c r="K22" s="190"/>
      <c r="L22" s="190"/>
      <c r="M22" s="190"/>
      <c r="N22" s="190"/>
      <c r="O22" s="190"/>
      <c r="P22" s="190"/>
      <c r="Q22" s="190"/>
      <c r="R22" s="190"/>
      <c r="S22" s="190"/>
      <c r="T22" s="190"/>
      <c r="U22" s="190"/>
      <c r="V22" s="517"/>
      <c r="W22" s="517"/>
      <c r="X22" s="633"/>
      <c r="Y22" s="633"/>
      <c r="Z22" s="633"/>
      <c r="AA22" s="633"/>
      <c r="AB22" s="633"/>
      <c r="AC22" s="681"/>
    </row>
    <row r="23" spans="2:101" ht="18" customHeight="1" x14ac:dyDescent="0.35">
      <c r="B23" s="423" t="s">
        <v>1926</v>
      </c>
      <c r="C23" s="202"/>
      <c r="D23" s="236"/>
      <c r="E23" s="190"/>
      <c r="F23" s="190"/>
      <c r="G23" s="190"/>
      <c r="H23" s="190"/>
      <c r="I23" s="190"/>
      <c r="J23" s="190"/>
      <c r="K23" s="190"/>
      <c r="L23" s="190"/>
      <c r="M23" s="190"/>
      <c r="N23" s="190"/>
      <c r="O23" s="190"/>
      <c r="P23" s="190"/>
      <c r="Q23" s="190"/>
      <c r="R23" s="190"/>
      <c r="S23" s="190"/>
      <c r="T23" s="190"/>
      <c r="U23" s="190"/>
      <c r="V23" s="517"/>
      <c r="W23" s="517"/>
      <c r="X23" s="633"/>
      <c r="Y23" s="633"/>
      <c r="Z23" s="633"/>
      <c r="AA23" s="633"/>
      <c r="AB23" s="633"/>
      <c r="AC23" s="681"/>
    </row>
    <row r="24" spans="2:101" ht="20.149999999999999" customHeight="1" x14ac:dyDescent="0.35">
      <c r="B24" s="230" t="s">
        <v>472</v>
      </c>
      <c r="C24" s="225"/>
      <c r="D24" s="683"/>
      <c r="E24" s="595"/>
      <c r="F24" s="595"/>
      <c r="G24" s="595"/>
      <c r="H24" s="514"/>
      <c r="I24" s="514"/>
      <c r="J24" s="514"/>
      <c r="K24" s="514"/>
      <c r="L24" s="514"/>
      <c r="M24" s="514">
        <f>'ARP Quarterly'!C5</f>
        <v>0</v>
      </c>
      <c r="N24" s="514">
        <f>'ARP Quarterly'!D5</f>
        <v>33.921840000000024</v>
      </c>
      <c r="O24" s="514">
        <f>'ARP Quarterly'!E5</f>
        <v>44.966160000000031</v>
      </c>
      <c r="P24" s="514">
        <f>'ARP Quarterly'!F5</f>
        <v>52.756999999999998</v>
      </c>
      <c r="Q24" s="514">
        <f>'ARP Quarterly'!G5</f>
        <v>52.756999999999998</v>
      </c>
      <c r="R24" s="514">
        <f>'ARP Quarterly'!H5</f>
        <v>52.756999999999998</v>
      </c>
      <c r="S24" s="514">
        <f>'ARP Quarterly'!I5</f>
        <v>52.756999999999998</v>
      </c>
      <c r="T24" s="514">
        <v>30</v>
      </c>
      <c r="U24" s="514">
        <f>'ARP Quarterly'!K5</f>
        <v>12</v>
      </c>
      <c r="V24" s="514">
        <f>'ARP Quarterly'!L5</f>
        <v>12</v>
      </c>
      <c r="W24" s="514">
        <f>'ARP Quarterly'!M5</f>
        <v>12</v>
      </c>
      <c r="X24" s="519">
        <f>'ARP Quarterly'!N5</f>
        <v>4.2219999999999995</v>
      </c>
      <c r="Y24" s="519">
        <f>'ARP Quarterly'!O5</f>
        <v>4.2219999999999995</v>
      </c>
      <c r="Z24" s="519">
        <f>'ARP Quarterly'!P5</f>
        <v>4.2219999999999995</v>
      </c>
      <c r="AA24" s="519">
        <f>'ARP Quarterly'!Q5</f>
        <v>4.2219999999999995</v>
      </c>
      <c r="AB24" s="519">
        <f>'ARP Quarterly'!R5</f>
        <v>2.3719999999999999</v>
      </c>
      <c r="AC24" s="519">
        <f>'ARP Quarterly'!S5</f>
        <v>2.3719999999999999</v>
      </c>
      <c r="AD24" s="519">
        <f>'ARP Quarterly'!T5</f>
        <v>2.3719999999999999</v>
      </c>
      <c r="AE24" s="519">
        <f>'ARP Quarterly'!U5</f>
        <v>2.3719999999999999</v>
      </c>
      <c r="AF24" s="519">
        <f>'ARP Quarterly'!V5</f>
        <v>0.49</v>
      </c>
      <c r="AG24" s="465"/>
    </row>
    <row r="25" spans="2:101" ht="22.4" customHeight="1" x14ac:dyDescent="0.35">
      <c r="B25" s="210" t="s">
        <v>218</v>
      </c>
      <c r="C25" s="639"/>
      <c r="D25" s="236"/>
      <c r="E25" s="190"/>
      <c r="F25" s="190"/>
      <c r="G25" s="190"/>
      <c r="H25" s="190"/>
      <c r="I25" s="190"/>
      <c r="J25" s="190"/>
      <c r="K25" s="190"/>
      <c r="L25" s="190"/>
      <c r="M25" s="517">
        <f>'ARP Quarterly'!C4</f>
        <v>0</v>
      </c>
      <c r="N25" s="517">
        <f>'ARP Quarterly'!D4</f>
        <v>0</v>
      </c>
      <c r="O25" s="517">
        <f>'ARP Quarterly'!E4</f>
        <v>3.1040000000000418</v>
      </c>
      <c r="P25" s="517">
        <f>'ARP Quarterly'!F4</f>
        <v>19.719000000000005</v>
      </c>
      <c r="Q25" s="517">
        <f>'ARP Quarterly'!G4</f>
        <v>19.719000000000005</v>
      </c>
      <c r="R25" s="517">
        <f>'ARP Quarterly'!H4</f>
        <v>19.719000000000005</v>
      </c>
      <c r="S25" s="517">
        <f>'ARP Quarterly'!I4</f>
        <v>19.719000000000005</v>
      </c>
      <c r="T25" s="517">
        <f>'ARP Quarterly'!J4</f>
        <v>1.4159999999999999</v>
      </c>
      <c r="U25" s="517">
        <f>'ARP Quarterly'!K4</f>
        <v>1.4159999999999999</v>
      </c>
      <c r="V25" s="517">
        <f>'ARP Quarterly'!L4</f>
        <v>1.4159999999999999</v>
      </c>
      <c r="W25" s="517">
        <f>'ARP Quarterly'!M4</f>
        <v>1.4159999999999999</v>
      </c>
      <c r="X25" s="633">
        <f>'ARP Quarterly'!N4</f>
        <v>1.4790000000000001</v>
      </c>
      <c r="Y25" s="633">
        <f>'ARP Quarterly'!O4</f>
        <v>1.4790000000000001</v>
      </c>
      <c r="Z25" s="633">
        <f>'ARP Quarterly'!P4</f>
        <v>1.4790000000000001</v>
      </c>
      <c r="AA25" s="633">
        <f>'ARP Quarterly'!Q4</f>
        <v>1.4790000000000001</v>
      </c>
      <c r="AB25" s="633">
        <f>'ARP Quarterly'!R4</f>
        <v>1.63</v>
      </c>
      <c r="AC25" s="633">
        <f>'ARP Quarterly'!S4</f>
        <v>1.63</v>
      </c>
      <c r="AD25" s="633">
        <f>'ARP Quarterly'!T4</f>
        <v>1.63</v>
      </c>
      <c r="AE25" s="633">
        <f>'ARP Quarterly'!U4</f>
        <v>1.63</v>
      </c>
      <c r="AF25" s="633">
        <f>'ARP Quarterly'!V4</f>
        <v>1.671</v>
      </c>
      <c r="AG25" s="634"/>
      <c r="AH25" s="639"/>
      <c r="AI25" s="639"/>
      <c r="AJ25" s="639"/>
      <c r="AK25" s="639"/>
      <c r="AL25" s="639"/>
      <c r="AM25" s="639"/>
      <c r="AN25" s="639"/>
      <c r="AO25" s="639"/>
      <c r="AP25" s="639"/>
      <c r="AQ25" s="639"/>
      <c r="AR25" s="639"/>
      <c r="AS25" s="639"/>
      <c r="AT25" s="639"/>
      <c r="AU25" s="639"/>
      <c r="AV25" s="639"/>
      <c r="AW25" s="639"/>
      <c r="AX25" s="639"/>
      <c r="AY25" s="639"/>
      <c r="AZ25" s="639"/>
      <c r="BA25" s="639"/>
      <c r="BB25" s="639"/>
      <c r="BC25" s="639"/>
      <c r="BD25" s="639"/>
      <c r="BE25" s="639"/>
      <c r="BF25" s="639"/>
      <c r="BG25" s="639"/>
      <c r="BH25" s="639"/>
      <c r="BI25" s="639"/>
      <c r="BJ25" s="639"/>
      <c r="BK25" s="639"/>
      <c r="BL25" s="639"/>
      <c r="BM25" s="639"/>
      <c r="BN25" s="639"/>
      <c r="BO25" s="639"/>
      <c r="BP25" s="639"/>
      <c r="BQ25" s="639"/>
      <c r="BR25" s="639"/>
      <c r="BS25" s="639"/>
      <c r="BT25" s="639"/>
      <c r="BU25" s="639"/>
      <c r="BV25" s="639"/>
      <c r="BW25" s="639"/>
      <c r="BX25" s="639"/>
      <c r="BY25" s="639"/>
      <c r="BZ25" s="639"/>
      <c r="CA25" s="639"/>
      <c r="CB25" s="639"/>
      <c r="CC25" s="639"/>
      <c r="CD25" s="639"/>
      <c r="CE25" s="639"/>
      <c r="CF25" s="639"/>
      <c r="CG25" s="639"/>
      <c r="CH25" s="639"/>
      <c r="CI25" s="639"/>
      <c r="CJ25" s="639"/>
      <c r="CK25" s="639"/>
      <c r="CL25" s="639"/>
      <c r="CM25" s="639"/>
      <c r="CN25" s="639"/>
      <c r="CO25" s="639"/>
      <c r="CP25" s="639"/>
      <c r="CQ25" s="639"/>
      <c r="CR25" s="639"/>
      <c r="CS25" s="639"/>
      <c r="CT25" s="639"/>
      <c r="CU25" s="639"/>
      <c r="CV25" s="639"/>
      <c r="CW25" s="639"/>
    </row>
    <row r="26" spans="2:101" ht="36.65" customHeight="1" x14ac:dyDescent="0.35">
      <c r="B26" s="210" t="s">
        <v>1438</v>
      </c>
      <c r="C26" s="202"/>
      <c r="D26" s="237">
        <f>D77</f>
        <v>0</v>
      </c>
      <c r="E26" s="195">
        <f t="shared" ref="E26:AG26" si="1">E77</f>
        <v>0</v>
      </c>
      <c r="F26" s="195">
        <f t="shared" si="1"/>
        <v>0</v>
      </c>
      <c r="G26" s="195">
        <f t="shared" si="1"/>
        <v>0</v>
      </c>
      <c r="H26" s="195">
        <f t="shared" si="1"/>
        <v>0</v>
      </c>
      <c r="I26" s="517">
        <f t="shared" si="1"/>
        <v>6.6417500000000018</v>
      </c>
      <c r="J26" s="517">
        <f t="shared" si="1"/>
        <v>51.388749999999995</v>
      </c>
      <c r="K26" s="517">
        <f t="shared" si="1"/>
        <v>55.337750000000007</v>
      </c>
      <c r="L26" s="517">
        <f t="shared" si="1"/>
        <v>62.597749999999998</v>
      </c>
      <c r="M26" s="517">
        <f t="shared" si="1"/>
        <v>88.07774999999998</v>
      </c>
      <c r="N26" s="517">
        <f t="shared" si="1"/>
        <v>102.89075</v>
      </c>
      <c r="O26" s="517">
        <f t="shared" si="1"/>
        <v>94.404750000000007</v>
      </c>
      <c r="P26" s="517">
        <f t="shared" si="1"/>
        <v>91.919749999999993</v>
      </c>
      <c r="Q26" s="517">
        <f t="shared" si="1"/>
        <v>80.097749999999991</v>
      </c>
      <c r="R26" s="517">
        <f t="shared" si="1"/>
        <v>69.023750000000007</v>
      </c>
      <c r="S26" s="517">
        <f t="shared" si="1"/>
        <v>61.349750000000007</v>
      </c>
      <c r="T26" s="517">
        <f t="shared" si="1"/>
        <v>81.433750000000003</v>
      </c>
      <c r="U26" s="517">
        <f t="shared" si="1"/>
        <v>75.465749999999986</v>
      </c>
      <c r="V26" s="517">
        <f>V77</f>
        <v>48.418749999999996</v>
      </c>
      <c r="W26" s="517">
        <f>W77</f>
        <v>48.349750000000007</v>
      </c>
      <c r="X26" s="633">
        <f t="shared" si="1"/>
        <v>31.017749999999999</v>
      </c>
      <c r="Y26" s="633">
        <f t="shared" si="1"/>
        <v>31.017749999999999</v>
      </c>
      <c r="Z26" s="633">
        <f t="shared" si="1"/>
        <v>31.017749999999999</v>
      </c>
      <c r="AA26" s="633">
        <f t="shared" si="1"/>
        <v>31.017749999999999</v>
      </c>
      <c r="AB26" s="633">
        <f t="shared" si="1"/>
        <v>31.017749999999999</v>
      </c>
      <c r="AC26" s="633">
        <f t="shared" si="1"/>
        <v>31.017749999999999</v>
      </c>
      <c r="AD26" s="633">
        <f t="shared" si="1"/>
        <v>31.017749999999999</v>
      </c>
      <c r="AE26" s="633">
        <f t="shared" si="1"/>
        <v>31.017749999999999</v>
      </c>
      <c r="AF26" s="633">
        <f t="shared" si="1"/>
        <v>31.017749999999999</v>
      </c>
      <c r="AG26" s="633">
        <f t="shared" si="1"/>
        <v>31.017749999999999</v>
      </c>
      <c r="AH26" s="202"/>
      <c r="AI26" s="202"/>
      <c r="AJ26" s="202"/>
      <c r="AK26" s="202"/>
      <c r="AL26" s="202"/>
      <c r="AM26" s="202"/>
      <c r="AN26" s="202"/>
      <c r="AO26" s="202"/>
      <c r="AP26" s="202"/>
      <c r="AQ26" s="202"/>
      <c r="AR26" s="202"/>
      <c r="AS26" s="202"/>
      <c r="AT26" s="202"/>
      <c r="AU26" s="202"/>
      <c r="AV26" s="202"/>
      <c r="AW26" s="202"/>
      <c r="AX26" s="202"/>
      <c r="AY26" s="202"/>
      <c r="AZ26" s="202"/>
      <c r="BA26" s="202"/>
      <c r="BB26" s="202"/>
      <c r="BC26" s="202"/>
      <c r="BD26" s="202"/>
      <c r="BE26" s="202"/>
      <c r="BF26" s="202"/>
      <c r="BG26" s="202"/>
      <c r="BH26" s="202"/>
      <c r="BI26" s="202"/>
      <c r="BJ26" s="202"/>
      <c r="BK26" s="202"/>
      <c r="BL26" s="202"/>
      <c r="BM26" s="202"/>
      <c r="BN26" s="202"/>
      <c r="BO26" s="202"/>
      <c r="BP26" s="202"/>
      <c r="BQ26" s="202"/>
      <c r="BR26" s="202"/>
      <c r="BS26" s="202"/>
      <c r="BT26" s="202"/>
      <c r="BU26" s="202"/>
      <c r="BV26" s="202"/>
      <c r="BW26" s="202"/>
      <c r="BX26" s="202"/>
      <c r="BY26" s="202"/>
      <c r="BZ26" s="202"/>
      <c r="CA26" s="202"/>
      <c r="CB26" s="202"/>
      <c r="CC26" s="202"/>
      <c r="CD26" s="202"/>
      <c r="CE26" s="202"/>
      <c r="CF26" s="202"/>
      <c r="CG26" s="202"/>
      <c r="CH26" s="202"/>
      <c r="CI26" s="202"/>
      <c r="CJ26" s="202"/>
      <c r="CK26" s="202"/>
      <c r="CL26" s="202"/>
      <c r="CM26" s="202"/>
      <c r="CN26" s="202"/>
      <c r="CO26" s="202"/>
      <c r="CP26" s="202"/>
      <c r="CQ26" s="202"/>
      <c r="CR26" s="202"/>
      <c r="CS26" s="202"/>
      <c r="CT26" s="202"/>
      <c r="CU26" s="202"/>
      <c r="CV26" s="202"/>
    </row>
    <row r="27" spans="2:101" ht="15.65" customHeight="1" x14ac:dyDescent="0.35">
      <c r="B27" s="210" t="s">
        <v>801</v>
      </c>
      <c r="C27" s="202" t="s">
        <v>828</v>
      </c>
      <c r="D27" s="236">
        <v>30</v>
      </c>
      <c r="E27" s="190">
        <v>30</v>
      </c>
      <c r="F27" s="190">
        <v>30</v>
      </c>
      <c r="G27" s="190">
        <v>30</v>
      </c>
      <c r="H27" s="190">
        <v>30</v>
      </c>
      <c r="I27" s="190">
        <v>30</v>
      </c>
      <c r="J27" s="190">
        <v>30</v>
      </c>
      <c r="K27" s="185">
        <v>30.2</v>
      </c>
      <c r="L27" s="185">
        <v>30.2</v>
      </c>
      <c r="M27" s="185">
        <f>'Haver Pivoted'!GX89</f>
        <v>34.4</v>
      </c>
      <c r="N27" s="185">
        <f>'Haver Pivoted'!GY89</f>
        <v>34.4</v>
      </c>
      <c r="O27" s="185">
        <f>'Haver Pivoted'!GZ89</f>
        <v>218.933333333333</v>
      </c>
      <c r="P27" s="185">
        <f>'Haver Pivoted'!HA89</f>
        <v>223.13333333333301</v>
      </c>
      <c r="Q27" s="185">
        <f>'Haver Pivoted'!HB89</f>
        <v>94.3</v>
      </c>
      <c r="R27" s="185">
        <f>'Haver Pivoted'!HC89</f>
        <v>94.3</v>
      </c>
      <c r="S27" s="396">
        <f>'Haver Pivoted'!HD89</f>
        <v>94.3</v>
      </c>
      <c r="T27" s="396">
        <f>'Haver Pivoted'!HE89</f>
        <v>94.3</v>
      </c>
      <c r="U27" s="633">
        <v>34</v>
      </c>
      <c r="V27" s="517">
        <v>34</v>
      </c>
      <c r="W27" s="517">
        <v>34</v>
      </c>
      <c r="X27" s="633">
        <v>34</v>
      </c>
      <c r="Y27" s="633">
        <v>34</v>
      </c>
      <c r="Z27" s="633">
        <v>34</v>
      </c>
      <c r="AA27" s="633">
        <v>34</v>
      </c>
      <c r="AB27" s="633">
        <v>34</v>
      </c>
      <c r="AC27" s="633">
        <v>34</v>
      </c>
      <c r="AD27" s="633">
        <v>34</v>
      </c>
      <c r="AE27" s="633">
        <v>34</v>
      </c>
      <c r="AF27" s="633">
        <v>34</v>
      </c>
      <c r="AG27" s="633">
        <v>34</v>
      </c>
    </row>
    <row r="28" spans="2:101" ht="21.65" customHeight="1" x14ac:dyDescent="0.35">
      <c r="B28" s="210" t="s">
        <v>470</v>
      </c>
      <c r="C28" s="202"/>
      <c r="D28" s="237"/>
      <c r="E28" s="195"/>
      <c r="F28" s="195"/>
      <c r="G28" s="195"/>
      <c r="H28" s="517"/>
      <c r="I28" s="517"/>
      <c r="J28" s="517">
        <f>'PPP (expired)'!J53</f>
        <v>57.2</v>
      </c>
      <c r="K28" s="517">
        <f>'PPP (expired)'!K53</f>
        <v>81.2</v>
      </c>
      <c r="L28" s="517">
        <f>'PPP (expired)'!L53</f>
        <v>24.4</v>
      </c>
      <c r="M28" s="517">
        <f>'PPP (expired)'!M53</f>
        <v>11.7</v>
      </c>
      <c r="N28" s="517">
        <f>'PPP (expired)'!N53</f>
        <v>28.5</v>
      </c>
      <c r="O28" s="517">
        <f>'PPP (expired)'!O53</f>
        <v>18.8</v>
      </c>
      <c r="P28" s="517">
        <f>'PPP (expired)'!P53</f>
        <v>1.6</v>
      </c>
      <c r="Q28" s="517">
        <f>'PPP (expired)'!Q53</f>
        <v>0</v>
      </c>
      <c r="R28" s="517">
        <f>'PPP (expired)'!Q61</f>
        <v>0</v>
      </c>
      <c r="S28" s="517">
        <f>'PPP (expired)'!S53</f>
        <v>0</v>
      </c>
      <c r="T28" s="517">
        <f>'PPP (expired)'!T53</f>
        <v>0</v>
      </c>
      <c r="U28" s="517">
        <f>'PPP (expired)'!U53</f>
        <v>0</v>
      </c>
      <c r="V28" s="517">
        <f>'PPP (expired)'!V53</f>
        <v>0</v>
      </c>
      <c r="W28" s="517">
        <f>'PPP (expired)'!W53</f>
        <v>0</v>
      </c>
      <c r="X28" s="633">
        <f>'PPP (expired)'!X53</f>
        <v>0</v>
      </c>
      <c r="Y28" s="633">
        <f>'PPP (expired)'!Y53</f>
        <v>0</v>
      </c>
      <c r="Z28" s="633">
        <f>'PPP (expired)'!Z53</f>
        <v>0</v>
      </c>
      <c r="AA28" s="633">
        <f>'PPP (expired)'!AA53</f>
        <v>0</v>
      </c>
      <c r="AB28" s="633">
        <f>'PPP (expired)'!AB53</f>
        <v>0</v>
      </c>
      <c r="AC28" s="633">
        <f>'PPP (expired)'!AC53</f>
        <v>0</v>
      </c>
      <c r="AD28" s="633">
        <f>'PPP (expired)'!AD53</f>
        <v>0</v>
      </c>
      <c r="AE28" s="633">
        <f>'PPP (expired)'!AE53</f>
        <v>0</v>
      </c>
      <c r="AF28" s="633">
        <f>'PPP (expired)'!AF53</f>
        <v>0</v>
      </c>
      <c r="AG28" s="633">
        <f>'PPP (expired)'!AG53</f>
        <v>0</v>
      </c>
    </row>
    <row r="29" spans="2:101" ht="21.65" customHeight="1" x14ac:dyDescent="0.35">
      <c r="B29" s="423" t="s">
        <v>802</v>
      </c>
      <c r="C29" s="202"/>
      <c r="D29" s="557">
        <f t="shared" ref="D29:AF29" si="2">D101</f>
        <v>0</v>
      </c>
      <c r="E29" s="517">
        <f t="shared" si="2"/>
        <v>0</v>
      </c>
      <c r="F29" s="517">
        <f t="shared" si="2"/>
        <v>0</v>
      </c>
      <c r="G29" s="517">
        <f t="shared" si="2"/>
        <v>0</v>
      </c>
      <c r="H29" s="517">
        <f t="shared" si="2"/>
        <v>0</v>
      </c>
      <c r="I29" s="517">
        <f t="shared" si="2"/>
        <v>-6.6417499999997744</v>
      </c>
      <c r="J29" s="517">
        <f t="shared" si="2"/>
        <v>-38.222083333332648</v>
      </c>
      <c r="K29" s="517">
        <f t="shared" si="2"/>
        <v>84.695583333333389</v>
      </c>
      <c r="L29" s="517">
        <f t="shared" si="2"/>
        <v>16.60225000000014</v>
      </c>
      <c r="M29" s="517">
        <f t="shared" si="2"/>
        <v>16.668916666666519</v>
      </c>
      <c r="N29" s="517">
        <f t="shared" si="2"/>
        <v>-12.19925666666677</v>
      </c>
      <c r="O29" s="517">
        <f t="shared" si="2"/>
        <v>-14.628243333333103</v>
      </c>
      <c r="P29" s="517">
        <f t="shared" si="2"/>
        <v>-31.382416666666586</v>
      </c>
      <c r="Q29" s="517">
        <f t="shared" si="2"/>
        <v>-3.1812166666670691</v>
      </c>
      <c r="R29" s="517">
        <f t="shared" si="2"/>
        <v>-1.8405500000005759</v>
      </c>
      <c r="S29" s="517">
        <f t="shared" si="2"/>
        <v>-17.07788333333383</v>
      </c>
      <c r="T29" s="517">
        <f t="shared" si="2"/>
        <v>-2.5472166666675093</v>
      </c>
      <c r="U29" s="517">
        <f t="shared" si="2"/>
        <v>18.339804999999615</v>
      </c>
      <c r="V29" s="517">
        <f>V101</f>
        <v>17.924900238094551</v>
      </c>
      <c r="W29" s="517">
        <f t="shared" si="2"/>
        <v>7.0605669047611173</v>
      </c>
      <c r="X29" s="633">
        <f t="shared" si="2"/>
        <v>23.553804999999102</v>
      </c>
      <c r="Y29" s="633">
        <f t="shared" si="2"/>
        <v>23.553804999999102</v>
      </c>
      <c r="Z29" s="633">
        <f t="shared" si="2"/>
        <v>23.553804999999102</v>
      </c>
      <c r="AA29" s="633">
        <f t="shared" si="2"/>
        <v>23.553804999999102</v>
      </c>
      <c r="AB29" s="633">
        <f t="shared" si="2"/>
        <v>23.553804999999102</v>
      </c>
      <c r="AC29" s="633">
        <f t="shared" si="2"/>
        <v>23.553804999999102</v>
      </c>
      <c r="AD29" s="633">
        <f t="shared" si="2"/>
        <v>23.553804999999102</v>
      </c>
      <c r="AE29" s="633">
        <f t="shared" si="2"/>
        <v>23.553804999999102</v>
      </c>
      <c r="AF29" s="633">
        <f t="shared" si="2"/>
        <v>23.553804999999102</v>
      </c>
      <c r="AG29" s="635"/>
    </row>
    <row r="30" spans="2:101" ht="21" customHeight="1" x14ac:dyDescent="0.35">
      <c r="B30" s="230" t="s">
        <v>799</v>
      </c>
      <c r="C30" s="225"/>
      <c r="D30" s="683">
        <f t="shared" ref="D30:W30" si="3">D25+D21</f>
        <v>0</v>
      </c>
      <c r="E30" s="595">
        <f t="shared" si="3"/>
        <v>0</v>
      </c>
      <c r="F30" s="595">
        <f t="shared" si="3"/>
        <v>0</v>
      </c>
      <c r="G30" s="595">
        <f t="shared" si="3"/>
        <v>0</v>
      </c>
      <c r="H30" s="595">
        <f t="shared" si="3"/>
        <v>0</v>
      </c>
      <c r="I30" s="595">
        <f t="shared" si="3"/>
        <v>0</v>
      </c>
      <c r="J30" s="595">
        <f t="shared" si="3"/>
        <v>160.9</v>
      </c>
      <c r="K30" s="595">
        <f t="shared" si="3"/>
        <v>58.4</v>
      </c>
      <c r="L30" s="595">
        <f t="shared" si="3"/>
        <v>34.5</v>
      </c>
      <c r="M30" s="595">
        <f t="shared" si="3"/>
        <v>21.4</v>
      </c>
      <c r="N30" s="595">
        <f t="shared" si="3"/>
        <v>13.3</v>
      </c>
      <c r="O30" s="595">
        <f t="shared" si="3"/>
        <v>21.804000000000041</v>
      </c>
      <c r="P30" s="514">
        <f t="shared" si="3"/>
        <v>51.919000000000011</v>
      </c>
      <c r="Q30" s="595">
        <f t="shared" si="3"/>
        <v>46.619</v>
      </c>
      <c r="R30" s="595">
        <f t="shared" si="3"/>
        <v>39.719000000000008</v>
      </c>
      <c r="S30" s="595">
        <f t="shared" si="3"/>
        <v>27.819000000000003</v>
      </c>
      <c r="T30" s="514">
        <f t="shared" si="3"/>
        <v>6.3160000000000007</v>
      </c>
      <c r="U30" s="514">
        <f t="shared" si="3"/>
        <v>1.4159999999999999</v>
      </c>
      <c r="V30" s="514">
        <f t="shared" si="3"/>
        <v>1.4159999999999999</v>
      </c>
      <c r="W30" s="514">
        <f t="shared" si="3"/>
        <v>1.4159999999999999</v>
      </c>
      <c r="X30" s="519">
        <f t="shared" ref="X30:AB30" si="4">X25+X21</f>
        <v>1.4790000000000001</v>
      </c>
      <c r="Y30" s="519">
        <f t="shared" si="4"/>
        <v>1.4790000000000001</v>
      </c>
      <c r="Z30" s="519">
        <f t="shared" si="4"/>
        <v>1.4790000000000001</v>
      </c>
      <c r="AA30" s="519">
        <f t="shared" si="4"/>
        <v>1.4790000000000001</v>
      </c>
      <c r="AB30" s="519">
        <f t="shared" si="4"/>
        <v>1.63</v>
      </c>
      <c r="AC30" s="519">
        <f>AC25+AC21</f>
        <v>1.63</v>
      </c>
      <c r="AD30" s="519">
        <f t="shared" ref="AD30:AF30" si="5">AD25+AD21</f>
        <v>1.63</v>
      </c>
      <c r="AE30" s="519">
        <f t="shared" si="5"/>
        <v>1.63</v>
      </c>
      <c r="AF30" s="519">
        <f t="shared" si="5"/>
        <v>1.671</v>
      </c>
      <c r="AG30" s="465"/>
    </row>
    <row r="31" spans="2:101" ht="44.9" customHeight="1" x14ac:dyDescent="0.35">
      <c r="B31" s="210" t="s">
        <v>806</v>
      </c>
      <c r="C31" s="202"/>
      <c r="D31" s="557">
        <f t="shared" ref="D31:AF31" si="6">D93</f>
        <v>1410.9</v>
      </c>
      <c r="E31" s="517">
        <f t="shared" si="6"/>
        <v>1471.1999999999998</v>
      </c>
      <c r="F31" s="517">
        <f t="shared" si="6"/>
        <v>1477.1000000000001</v>
      </c>
      <c r="G31" s="517">
        <f t="shared" si="6"/>
        <v>1484</v>
      </c>
      <c r="H31" s="517">
        <f t="shared" si="6"/>
        <v>1492</v>
      </c>
      <c r="I31" s="517">
        <f t="shared" si="6"/>
        <v>1543.2999999999997</v>
      </c>
      <c r="J31" s="517">
        <f t="shared" si="6"/>
        <v>1550.2333333333331</v>
      </c>
      <c r="K31" s="517">
        <f t="shared" si="6"/>
        <v>1557.1666666666665</v>
      </c>
      <c r="L31" s="517">
        <f t="shared" si="6"/>
        <v>1564.1</v>
      </c>
      <c r="M31" s="517">
        <f t="shared" si="6"/>
        <v>1588.5533333333333</v>
      </c>
      <c r="N31" s="517">
        <f t="shared" si="6"/>
        <v>1595.4866666666667</v>
      </c>
      <c r="O31" s="517">
        <f t="shared" si="6"/>
        <v>1602.42</v>
      </c>
      <c r="P31" s="517">
        <f t="shared" si="6"/>
        <v>1609.3533333333335</v>
      </c>
      <c r="Q31" s="517">
        <f t="shared" si="6"/>
        <v>1688.207466666667</v>
      </c>
      <c r="R31" s="517">
        <f t="shared" si="6"/>
        <v>1695.1408000000004</v>
      </c>
      <c r="S31" s="517">
        <f t="shared" si="6"/>
        <v>1702.0741333333337</v>
      </c>
      <c r="T31" s="517">
        <f t="shared" si="6"/>
        <v>1709.0074666666671</v>
      </c>
      <c r="U31" s="517">
        <f t="shared" si="6"/>
        <v>1822.5884450000005</v>
      </c>
      <c r="V31" s="517">
        <f t="shared" si="6"/>
        <v>1829.5217783333339</v>
      </c>
      <c r="W31" s="517">
        <f t="shared" si="6"/>
        <v>1836.4551116666673</v>
      </c>
      <c r="X31" s="633">
        <f t="shared" si="6"/>
        <v>1843.3884450000007</v>
      </c>
      <c r="Y31" s="633">
        <f t="shared" si="6"/>
        <v>1895.9995490853341</v>
      </c>
      <c r="Z31" s="633">
        <f t="shared" si="6"/>
        <v>1902.9328824186675</v>
      </c>
      <c r="AA31" s="633">
        <f t="shared" si="6"/>
        <v>1909.8662157520009</v>
      </c>
      <c r="AB31" s="633">
        <f t="shared" si="6"/>
        <v>1916.7995490853343</v>
      </c>
      <c r="AC31" s="633">
        <f t="shared" si="6"/>
        <v>1958.1841737944117</v>
      </c>
      <c r="AD31" s="633">
        <f t="shared" si="6"/>
        <v>1965.1175071277451</v>
      </c>
      <c r="AE31" s="633">
        <f t="shared" si="6"/>
        <v>1972.0508404610785</v>
      </c>
      <c r="AF31" s="633">
        <f t="shared" si="6"/>
        <v>1978.9841737944118</v>
      </c>
      <c r="AG31" s="465"/>
    </row>
    <row r="32" spans="2:101" ht="44.9" customHeight="1" x14ac:dyDescent="0.35">
      <c r="B32" s="386" t="s">
        <v>1190</v>
      </c>
      <c r="D32" s="557"/>
      <c r="E32" s="517"/>
      <c r="F32" s="517"/>
      <c r="G32" s="517"/>
      <c r="H32" s="517"/>
      <c r="I32" s="517"/>
      <c r="J32" s="517"/>
      <c r="K32" s="517"/>
      <c r="L32" s="517"/>
      <c r="M32" s="517"/>
      <c r="N32" s="517"/>
      <c r="O32" s="517"/>
      <c r="P32" s="517"/>
      <c r="Q32" s="517"/>
      <c r="R32" s="517"/>
      <c r="S32" s="623">
        <f>'IRA and CHIPS'!E191</f>
        <v>-0.622</v>
      </c>
      <c r="T32" s="623">
        <f>'IRA and CHIPS'!F191</f>
        <v>21.89</v>
      </c>
      <c r="U32" s="623">
        <f>'IRA and CHIPS'!G191</f>
        <v>21.89</v>
      </c>
      <c r="V32" s="623">
        <f>'IRA and CHIPS'!H191</f>
        <v>21.89</v>
      </c>
      <c r="W32" s="623">
        <f>'IRA and CHIPS'!I191</f>
        <v>21.89</v>
      </c>
      <c r="X32" s="636">
        <f>'IRA and CHIPS'!J191</f>
        <v>15.439</v>
      </c>
      <c r="Y32" s="636">
        <f>'IRA and CHIPS'!K191</f>
        <v>15.439</v>
      </c>
      <c r="Z32" s="636">
        <f>'IRA and CHIPS'!L191</f>
        <v>15.439</v>
      </c>
      <c r="AA32" s="636">
        <f>'IRA and CHIPS'!M191</f>
        <v>15.439</v>
      </c>
      <c r="AB32" s="636">
        <f>'IRA and CHIPS'!N191</f>
        <v>16.966999999999999</v>
      </c>
      <c r="AC32" s="636">
        <f>'IRA and CHIPS'!O191</f>
        <v>16.966999999999999</v>
      </c>
      <c r="AD32" s="636">
        <f>'IRA and CHIPS'!P191</f>
        <v>16.966999999999999</v>
      </c>
      <c r="AE32" s="636">
        <f>'IRA and CHIPS'!Q191</f>
        <v>16.966999999999999</v>
      </c>
      <c r="AF32" s="636">
        <f>'IRA and CHIPS'!R191</f>
        <v>0.72799999999999998</v>
      </c>
      <c r="AG32" s="636">
        <f>'IRA and CHIPS'!S191</f>
        <v>0.72799999999999998</v>
      </c>
    </row>
    <row r="33" spans="2:39" ht="31.4" customHeight="1" x14ac:dyDescent="0.35">
      <c r="B33" s="545" t="s">
        <v>803</v>
      </c>
      <c r="C33" s="225"/>
      <c r="D33" s="514">
        <f t="shared" ref="D33:R33" si="7">D31+SUM(D26:D29)+D32</f>
        <v>1440.9</v>
      </c>
      <c r="E33" s="514">
        <f t="shared" si="7"/>
        <v>1501.1999999999998</v>
      </c>
      <c r="F33" s="514">
        <f t="shared" si="7"/>
        <v>1507.1000000000001</v>
      </c>
      <c r="G33" s="514">
        <f t="shared" si="7"/>
        <v>1514</v>
      </c>
      <c r="H33" s="514">
        <f t="shared" si="7"/>
        <v>1522</v>
      </c>
      <c r="I33" s="514">
        <f t="shared" si="7"/>
        <v>1573.3</v>
      </c>
      <c r="J33" s="514">
        <f t="shared" si="7"/>
        <v>1650.6000000000004</v>
      </c>
      <c r="K33" s="514">
        <f t="shared" si="7"/>
        <v>1808.6</v>
      </c>
      <c r="L33" s="514">
        <f t="shared" si="7"/>
        <v>1697.9</v>
      </c>
      <c r="M33" s="514">
        <f t="shared" si="7"/>
        <v>1739.3999999999999</v>
      </c>
      <c r="N33" s="514">
        <f t="shared" si="7"/>
        <v>1749.07816</v>
      </c>
      <c r="O33" s="514">
        <f t="shared" si="7"/>
        <v>1919.92984</v>
      </c>
      <c r="P33" s="514">
        <f t="shared" si="7"/>
        <v>1894.6239999999998</v>
      </c>
      <c r="Q33" s="514">
        <f t="shared" si="7"/>
        <v>1859.424</v>
      </c>
      <c r="R33" s="514">
        <f t="shared" si="7"/>
        <v>1856.6239999999998</v>
      </c>
      <c r="S33" s="514">
        <f>S31+SUM(S26:S29)+S32</f>
        <v>1840.0239999999999</v>
      </c>
      <c r="T33" s="655">
        <f>T31+SUM(T26:T29)+T32</f>
        <v>1904.0839999999996</v>
      </c>
      <c r="U33" s="655">
        <f>U31+SUM(U26:U29)+U32</f>
        <v>1972.2840000000003</v>
      </c>
      <c r="V33" s="514">
        <f>V31+SUM(V26:V29)+V32</f>
        <v>1951.7554285714286</v>
      </c>
      <c r="W33" s="514">
        <f>W31+SUM(W26:W29)+W32</f>
        <v>1947.7554285714286</v>
      </c>
      <c r="X33" s="519">
        <f t="shared" ref="X33" si="8">X31+SUM(X26:X29)+X32</f>
        <v>1947.3989999999999</v>
      </c>
      <c r="Y33" s="519">
        <f t="shared" ref="Y33" si="9">Y31+SUM(Y26:Y29)+Y32</f>
        <v>2000.0101040853333</v>
      </c>
      <c r="Z33" s="519">
        <f t="shared" ref="Z33" si="10">Z31+SUM(Z26:Z29)+Z32</f>
        <v>2006.9434374186667</v>
      </c>
      <c r="AA33" s="519">
        <f t="shared" ref="AA33" si="11">AA31+SUM(AA26:AA29)+AA32</f>
        <v>2013.8767707520001</v>
      </c>
      <c r="AB33" s="519">
        <f t="shared" ref="AB33" si="12">AB31+SUM(AB26:AB29)+AB32</f>
        <v>2022.3381040853335</v>
      </c>
      <c r="AC33" s="519">
        <f>AC31+SUM(AC26:AC29)+AC32</f>
        <v>2063.7227287944106</v>
      </c>
      <c r="AD33" s="519">
        <f t="shared" ref="AD33:AF33" si="13">AD31+SUM(AD26:AD29)+AD32</f>
        <v>2070.6560621277445</v>
      </c>
      <c r="AE33" s="519">
        <f t="shared" si="13"/>
        <v>2077.5893954610779</v>
      </c>
      <c r="AF33" s="519">
        <f t="shared" si="13"/>
        <v>2068.2837287944112</v>
      </c>
      <c r="AG33" s="637"/>
    </row>
    <row r="34" spans="2:39" ht="31.4" customHeight="1" x14ac:dyDescent="0.35">
      <c r="B34" s="545"/>
      <c r="C34" s="225"/>
      <c r="D34" s="514"/>
      <c r="E34" s="514"/>
      <c r="F34" s="514"/>
      <c r="G34" s="514"/>
      <c r="H34" s="514"/>
      <c r="I34" s="514"/>
      <c r="J34" s="514"/>
      <c r="K34" s="514"/>
      <c r="L34" s="514"/>
      <c r="M34" s="514"/>
      <c r="N34" s="514"/>
      <c r="O34" s="514"/>
      <c r="P34" s="514"/>
      <c r="Q34" s="514"/>
      <c r="R34" s="514"/>
      <c r="S34" s="514"/>
      <c r="T34" s="514"/>
      <c r="U34" s="514"/>
      <c r="V34" s="514"/>
      <c r="W34" s="514"/>
      <c r="X34" s="519"/>
      <c r="Y34" s="519"/>
      <c r="Z34" s="519"/>
      <c r="AA34" s="519"/>
      <c r="AB34" s="519"/>
      <c r="AC34" s="519"/>
    </row>
    <row r="35" spans="2:39" ht="31.4" customHeight="1" x14ac:dyDescent="0.35">
      <c r="B35" s="1386" t="s">
        <v>473</v>
      </c>
      <c r="C35" s="1387"/>
      <c r="D35" s="540"/>
      <c r="E35" s="541"/>
      <c r="F35" s="541"/>
      <c r="G35" s="541"/>
      <c r="H35" s="541"/>
      <c r="I35" s="541"/>
      <c r="J35" s="541"/>
      <c r="K35" s="541"/>
      <c r="L35" s="541"/>
      <c r="M35" s="541"/>
      <c r="N35" s="541"/>
      <c r="O35" s="541"/>
      <c r="P35" s="541"/>
      <c r="Q35" s="541"/>
      <c r="R35" s="541"/>
      <c r="S35" s="541"/>
      <c r="T35" s="514"/>
      <c r="U35" s="541"/>
      <c r="V35" s="514"/>
      <c r="W35" s="514"/>
      <c r="X35" s="519"/>
      <c r="Y35" s="519"/>
      <c r="Z35" s="519"/>
      <c r="AA35" s="519"/>
      <c r="AB35" s="519"/>
      <c r="AC35" s="648"/>
    </row>
    <row r="36" spans="2:39" x14ac:dyDescent="0.35">
      <c r="B36" s="423" t="s">
        <v>808</v>
      </c>
      <c r="C36" s="202" t="s">
        <v>474</v>
      </c>
      <c r="D36" s="237">
        <f>'Haver Pivoted'!GO37</f>
        <v>733.6</v>
      </c>
      <c r="E36" s="195">
        <f>'Haver Pivoted'!GP37</f>
        <v>744.2</v>
      </c>
      <c r="F36" s="195">
        <f>'Haver Pivoted'!GQ37</f>
        <v>762.1</v>
      </c>
      <c r="G36" s="195">
        <f>'Haver Pivoted'!GR37</f>
        <v>772.2</v>
      </c>
      <c r="H36" s="195">
        <f>'Haver Pivoted'!GS37</f>
        <v>772.4</v>
      </c>
      <c r="I36" s="195">
        <f>'Haver Pivoted'!GT37</f>
        <v>761.7</v>
      </c>
      <c r="J36" s="195">
        <f>'Haver Pivoted'!GU37</f>
        <v>812.1</v>
      </c>
      <c r="K36" s="195">
        <f>'Haver Pivoted'!GV37</f>
        <v>850.2</v>
      </c>
      <c r="L36" s="195">
        <f>'Haver Pivoted'!GW37</f>
        <v>838.8</v>
      </c>
      <c r="M36" s="195">
        <f>'Haver Pivoted'!GX37</f>
        <v>866.1</v>
      </c>
      <c r="N36" s="195">
        <f>'Haver Pivoted'!GY37</f>
        <v>908</v>
      </c>
      <c r="O36" s="195">
        <f>'Haver Pivoted'!GZ37</f>
        <v>915.6</v>
      </c>
      <c r="P36" s="195">
        <f>'Haver Pivoted'!HA37</f>
        <v>912.9</v>
      </c>
      <c r="Q36" s="195">
        <f>'Haver Pivoted'!HB37</f>
        <v>960.5</v>
      </c>
      <c r="R36" s="195">
        <f>'Haver Pivoted'!HC37</f>
        <v>995.3</v>
      </c>
      <c r="S36" s="141">
        <f>'Haver Pivoted'!HD37</f>
        <v>1015.5</v>
      </c>
      <c r="T36" s="141">
        <f>'Haver Pivoted'!HE37</f>
        <v>1078.2</v>
      </c>
      <c r="U36" s="141">
        <f>'Haver Pivoted'!HF37</f>
        <v>1055.7</v>
      </c>
      <c r="V36" s="137">
        <f>'Haver Pivoted'!HG37</f>
        <v>1087.5</v>
      </c>
      <c r="W36" s="137">
        <f>'Haver Pivoted'!HH37</f>
        <v>1057.5999999999999</v>
      </c>
      <c r="X36" s="137">
        <f>'Haver Pivoted'!HI37</f>
        <v>1040.2</v>
      </c>
      <c r="Y36" s="638"/>
      <c r="Z36" s="638"/>
      <c r="AA36" s="638"/>
      <c r="AB36" s="638"/>
      <c r="AC36" s="695"/>
    </row>
    <row r="37" spans="2:39" x14ac:dyDescent="0.35">
      <c r="B37" s="246" t="s">
        <v>209</v>
      </c>
      <c r="C37" s="202"/>
      <c r="D37" s="557">
        <f>Medicaid!D26</f>
        <v>589.5</v>
      </c>
      <c r="E37" s="517">
        <f>Medicaid!E26</f>
        <v>598.70000000000005</v>
      </c>
      <c r="F37" s="517">
        <f>Medicaid!F26</f>
        <v>614.4</v>
      </c>
      <c r="G37" s="517">
        <f>Medicaid!G26</f>
        <v>622.4</v>
      </c>
      <c r="H37" s="517">
        <f>Medicaid!H26</f>
        <v>620.6</v>
      </c>
      <c r="I37" s="517">
        <f>Medicaid!I26</f>
        <v>606.4</v>
      </c>
      <c r="J37" s="517">
        <f>Medicaid!J26</f>
        <v>654.6</v>
      </c>
      <c r="K37" s="517">
        <f>Medicaid!K26</f>
        <v>690.8</v>
      </c>
      <c r="L37" s="517">
        <f>Medicaid!L26</f>
        <v>678.6</v>
      </c>
      <c r="M37" s="517">
        <f>Medicaid!M26</f>
        <v>705</v>
      </c>
      <c r="N37" s="517">
        <f>Medicaid!N26</f>
        <v>745.7</v>
      </c>
      <c r="O37" s="517">
        <f>Medicaid!O26</f>
        <v>749.2</v>
      </c>
      <c r="P37" s="517">
        <f>Medicaid!P26</f>
        <v>746.1</v>
      </c>
      <c r="Q37" s="517">
        <f>Medicaid!Q26</f>
        <v>791.4</v>
      </c>
      <c r="R37" s="517">
        <f>Medicaid!R26</f>
        <v>818.7</v>
      </c>
      <c r="S37" s="141">
        <f>Medicaid!S26</f>
        <v>819</v>
      </c>
      <c r="T37" s="517">
        <f>Medicaid!T26</f>
        <v>828.4</v>
      </c>
      <c r="U37" s="517">
        <f>Medicaid!U26</f>
        <v>871.5</v>
      </c>
      <c r="V37" s="517">
        <f>Medicaid!V26</f>
        <v>911.4</v>
      </c>
      <c r="W37" s="517">
        <f>Medicaid!W26</f>
        <v>880.6</v>
      </c>
      <c r="X37" s="633">
        <f>Medicaid!X26</f>
        <v>863.3</v>
      </c>
      <c r="Y37" s="633">
        <f>Medicaid!Y26</f>
        <v>845.67746107059509</v>
      </c>
      <c r="Z37" s="633">
        <f>Medicaid!Z26</f>
        <v>828.41465094730438</v>
      </c>
      <c r="AA37" s="633">
        <f>Medicaid!AA26</f>
        <v>811.50422648766312</v>
      </c>
      <c r="AB37" s="633">
        <f>Medicaid!AB26</f>
        <v>817.37196094057458</v>
      </c>
      <c r="AC37" s="681">
        <f>Medicaid!AC26</f>
        <v>823.28212315477924</v>
      </c>
    </row>
    <row r="38" spans="2:39" ht="14.9" customHeight="1" x14ac:dyDescent="0.35">
      <c r="B38" s="545" t="s">
        <v>809</v>
      </c>
      <c r="C38" s="225"/>
      <c r="D38" s="556">
        <f>D36-D37</f>
        <v>144.10000000000002</v>
      </c>
      <c r="E38" s="514">
        <f t="shared" ref="E38:O38" si="14">E36-E37</f>
        <v>145.5</v>
      </c>
      <c r="F38" s="514">
        <f t="shared" si="14"/>
        <v>147.70000000000005</v>
      </c>
      <c r="G38" s="514">
        <f t="shared" si="14"/>
        <v>149.80000000000007</v>
      </c>
      <c r="H38" s="514">
        <f t="shared" si="14"/>
        <v>151.79999999999995</v>
      </c>
      <c r="I38" s="514">
        <f t="shared" si="14"/>
        <v>155.30000000000007</v>
      </c>
      <c r="J38" s="514">
        <f t="shared" si="14"/>
        <v>157.5</v>
      </c>
      <c r="K38" s="514">
        <f t="shared" si="14"/>
        <v>159.40000000000009</v>
      </c>
      <c r="L38" s="514">
        <f t="shared" si="14"/>
        <v>160.19999999999993</v>
      </c>
      <c r="M38" s="514">
        <f t="shared" si="14"/>
        <v>161.10000000000002</v>
      </c>
      <c r="N38" s="514">
        <f t="shared" si="14"/>
        <v>162.29999999999995</v>
      </c>
      <c r="O38" s="514">
        <f t="shared" si="14"/>
        <v>166.39999999999998</v>
      </c>
      <c r="P38" s="514">
        <f>P36-P37</f>
        <v>166.79999999999995</v>
      </c>
      <c r="Q38" s="514">
        <f>Q36-Q37</f>
        <v>169.10000000000002</v>
      </c>
      <c r="R38" s="514">
        <f>R36-R37</f>
        <v>176.59999999999991</v>
      </c>
      <c r="S38" s="141">
        <f>S36-S37</f>
        <v>196.5</v>
      </c>
      <c r="T38" s="141">
        <f>T36-T37</f>
        <v>249.80000000000007</v>
      </c>
      <c r="U38" s="514">
        <f>T38*(1+AVERAGE($F$40:$I$40))+U39</f>
        <v>183.90584224202988</v>
      </c>
      <c r="V38" s="514">
        <f>U38*(1+AVERAGE($F$40:$I$40))+V39</f>
        <v>186.92861396193939</v>
      </c>
      <c r="W38" s="514">
        <f t="shared" ref="W38:AA38" si="15">V38*(1+AVERAGE($F$40:$I$40))</f>
        <v>190.00106952418523</v>
      </c>
      <c r="X38" s="519">
        <f t="shared" si="15"/>
        <v>193.12402555814535</v>
      </c>
      <c r="Y38" s="519">
        <f t="shared" si="15"/>
        <v>196.29831211574134</v>
      </c>
      <c r="Z38" s="519">
        <f t="shared" si="15"/>
        <v>199.52477289205825</v>
      </c>
      <c r="AA38" s="519">
        <f t="shared" si="15"/>
        <v>202.80426544959073</v>
      </c>
      <c r="AB38" s="519">
        <f>AA38*(1+AVERAGE($F$40:$I$40))</f>
        <v>206.137661446175</v>
      </c>
      <c r="AC38" s="519">
        <f t="shared" ref="AC38:AG38" si="16">AB38*(1+AVERAGE($F$40:$I$40))</f>
        <v>209.52584686666717</v>
      </c>
      <c r="AD38" s="519">
        <f t="shared" si="16"/>
        <v>212.9697222584295</v>
      </c>
      <c r="AE38" s="519">
        <f t="shared" si="16"/>
        <v>216.47020297068735</v>
      </c>
      <c r="AF38" s="519">
        <f t="shared" si="16"/>
        <v>220.02821939782032</v>
      </c>
      <c r="AG38" s="519">
        <f t="shared" si="16"/>
        <v>223.64471722665206</v>
      </c>
    </row>
    <row r="39" spans="2:39" ht="14.9" customHeight="1" x14ac:dyDescent="0.35">
      <c r="B39" s="545" t="s">
        <v>1700</v>
      </c>
      <c r="C39" s="225"/>
      <c r="D39" s="556"/>
      <c r="E39" s="514"/>
      <c r="F39" s="514"/>
      <c r="G39" s="514"/>
      <c r="H39" s="514"/>
      <c r="I39" s="514"/>
      <c r="J39" s="514"/>
      <c r="K39" s="514"/>
      <c r="L39" s="514"/>
      <c r="M39" s="514"/>
      <c r="N39" s="514"/>
      <c r="O39" s="514"/>
      <c r="P39" s="514"/>
      <c r="Q39" s="514"/>
      <c r="R39" s="514"/>
      <c r="S39" s="141"/>
      <c r="T39" s="514"/>
      <c r="U39" s="514">
        <v>-70</v>
      </c>
      <c r="V39" s="514"/>
      <c r="W39" s="514"/>
      <c r="X39" s="519"/>
      <c r="Y39" s="519"/>
      <c r="Z39" s="519"/>
      <c r="AA39" s="519"/>
      <c r="AB39" s="519"/>
      <c r="AC39" s="648"/>
    </row>
    <row r="40" spans="2:39" x14ac:dyDescent="0.35">
      <c r="B40" s="675" t="s">
        <v>810</v>
      </c>
      <c r="C40" s="317"/>
      <c r="D40" s="558"/>
      <c r="E40" s="544">
        <f>E38/D38-1</f>
        <v>9.7154753643302616E-3</v>
      </c>
      <c r="F40" s="544">
        <f t="shared" ref="F40:N40" si="17">F38/E38-1</f>
        <v>1.5120274914089737E-2</v>
      </c>
      <c r="G40" s="544">
        <f t="shared" si="17"/>
        <v>1.4218009478673244E-2</v>
      </c>
      <c r="H40" s="544">
        <f t="shared" si="17"/>
        <v>1.3351134846461221E-2</v>
      </c>
      <c r="I40" s="544">
        <f t="shared" si="17"/>
        <v>2.3056653491436929E-2</v>
      </c>
      <c r="J40" s="544">
        <f t="shared" si="17"/>
        <v>1.416613007083023E-2</v>
      </c>
      <c r="K40" s="544">
        <f t="shared" si="17"/>
        <v>1.2063492063492554E-2</v>
      </c>
      <c r="L40" s="544">
        <f t="shared" si="17"/>
        <v>5.0188205771632965E-3</v>
      </c>
      <c r="M40" s="544">
        <f t="shared" si="17"/>
        <v>5.6179775280904565E-3</v>
      </c>
      <c r="N40" s="544">
        <f t="shared" si="17"/>
        <v>7.4487895716941477E-3</v>
      </c>
      <c r="O40" s="544">
        <f>O38/N38-1</f>
        <v>2.5261860751694565E-2</v>
      </c>
      <c r="P40" s="544">
        <f t="shared" ref="P40:S40" si="18">P38/O38-1</f>
        <v>2.4038461538460343E-3</v>
      </c>
      <c r="Q40" s="544">
        <f t="shared" si="18"/>
        <v>1.3788968824940406E-2</v>
      </c>
      <c r="R40" s="544">
        <f t="shared" si="18"/>
        <v>4.4352454169130029E-2</v>
      </c>
      <c r="S40" s="614">
        <f t="shared" si="18"/>
        <v>0.1126840317100799</v>
      </c>
      <c r="T40" s="516"/>
      <c r="U40" s="516"/>
      <c r="V40" s="516"/>
      <c r="W40" s="516"/>
      <c r="X40" s="552"/>
      <c r="Y40" s="552"/>
      <c r="Z40" s="552"/>
      <c r="AA40" s="552"/>
      <c r="AB40" s="552"/>
      <c r="AC40" s="647"/>
    </row>
    <row r="43" spans="2:39" x14ac:dyDescent="0.35">
      <c r="B43" s="1335"/>
      <c r="C43" s="1335"/>
      <c r="U43" s="195"/>
      <c r="V43" s="195"/>
      <c r="W43" s="195"/>
      <c r="X43" s="195"/>
      <c r="Y43" s="195"/>
      <c r="Z43" s="195"/>
      <c r="AA43" s="195"/>
      <c r="AB43" s="195"/>
      <c r="AC43" s="195"/>
    </row>
    <row r="44" spans="2:39" x14ac:dyDescent="0.35">
      <c r="B44" s="434"/>
      <c r="C44" s="202"/>
      <c r="U44" s="517"/>
      <c r="V44" s="517">
        <f>V32+V31+V26+V27+V28+V29</f>
        <v>1951.7554285714286</v>
      </c>
      <c r="W44" s="517"/>
      <c r="X44" s="517"/>
      <c r="Y44" s="517"/>
      <c r="Z44" s="517"/>
      <c r="AA44" s="517"/>
      <c r="AB44" s="517"/>
      <c r="AC44" s="517"/>
      <c r="AD44" s="481"/>
      <c r="AE44" s="481"/>
      <c r="AF44" s="481"/>
      <c r="AG44" s="481"/>
      <c r="AH44" s="481"/>
      <c r="AI44" s="481"/>
      <c r="AJ44" s="481"/>
      <c r="AK44" s="481"/>
      <c r="AL44" s="481"/>
      <c r="AM44" s="481"/>
    </row>
    <row r="45" spans="2:39" x14ac:dyDescent="0.35">
      <c r="B45" s="434"/>
      <c r="C45" s="202"/>
      <c r="U45" s="195"/>
      <c r="V45" s="195"/>
      <c r="W45" s="195"/>
      <c r="X45" s="195"/>
      <c r="Y45" s="195"/>
      <c r="Z45" s="195"/>
      <c r="AA45" s="195"/>
      <c r="AB45" s="195"/>
      <c r="AC45" s="195"/>
      <c r="AD45" s="481"/>
      <c r="AE45" s="481"/>
      <c r="AF45" s="481"/>
      <c r="AG45" s="481"/>
      <c r="AH45" s="481"/>
      <c r="AI45" s="481"/>
      <c r="AJ45" s="481"/>
      <c r="AK45" s="481"/>
      <c r="AL45" s="481"/>
      <c r="AM45" s="481"/>
    </row>
    <row r="46" spans="2:39" ht="28.5" customHeight="1" x14ac:dyDescent="0.35">
      <c r="B46" s="211"/>
      <c r="C46" s="202"/>
      <c r="U46" s="517"/>
      <c r="V46" s="517"/>
      <c r="W46" s="517"/>
      <c r="X46" s="517"/>
      <c r="Y46" s="517"/>
      <c r="Z46" s="517"/>
      <c r="AA46" s="517"/>
      <c r="AB46" s="517"/>
      <c r="AC46" s="517"/>
      <c r="AD46" s="481"/>
      <c r="AE46" s="481"/>
      <c r="AF46" s="481"/>
      <c r="AG46" s="481"/>
      <c r="AH46" s="481"/>
      <c r="AI46" s="481"/>
      <c r="AJ46" s="481"/>
      <c r="AK46" s="481"/>
      <c r="AL46" s="481"/>
      <c r="AM46" s="481"/>
    </row>
    <row r="47" spans="2:39" x14ac:dyDescent="0.35">
      <c r="B47" s="211"/>
      <c r="C47" s="202"/>
      <c r="U47" s="517"/>
      <c r="V47" s="517"/>
      <c r="W47" s="517"/>
      <c r="X47" s="517"/>
      <c r="Y47" s="517"/>
      <c r="Z47" s="517"/>
      <c r="AA47" s="517"/>
      <c r="AB47" s="517"/>
      <c r="AC47" s="517"/>
      <c r="AD47" s="481"/>
      <c r="AE47" s="481"/>
      <c r="AF47" s="481"/>
      <c r="AG47" s="481"/>
      <c r="AH47" s="481"/>
      <c r="AI47" s="481"/>
      <c r="AJ47" s="481"/>
      <c r="AK47" s="481"/>
      <c r="AL47" s="481"/>
      <c r="AM47" s="481"/>
    </row>
    <row r="48" spans="2:39" x14ac:dyDescent="0.35">
      <c r="B48" s="434"/>
      <c r="C48" s="202"/>
      <c r="U48" s="517"/>
      <c r="V48" s="517"/>
      <c r="W48" s="517"/>
      <c r="X48" s="517"/>
      <c r="Y48" s="517"/>
      <c r="Z48" s="517"/>
      <c r="AA48" s="517"/>
      <c r="AB48" s="517"/>
      <c r="AC48" s="517"/>
      <c r="AD48" s="481"/>
      <c r="AE48" s="481"/>
      <c r="AF48" s="481"/>
      <c r="AG48" s="481"/>
      <c r="AH48" s="481"/>
      <c r="AI48" s="481"/>
      <c r="AJ48" s="481"/>
      <c r="AK48" s="481"/>
      <c r="AL48" s="481"/>
      <c r="AM48" s="481"/>
    </row>
    <row r="49" spans="2:39" x14ac:dyDescent="0.35">
      <c r="B49" s="217"/>
      <c r="C49" s="225"/>
      <c r="U49" s="514"/>
      <c r="V49" s="514"/>
      <c r="W49" s="514"/>
      <c r="X49" s="514"/>
      <c r="Y49" s="514"/>
      <c r="Z49" s="514"/>
      <c r="AA49" s="514"/>
      <c r="AB49" s="514"/>
      <c r="AC49" s="514"/>
      <c r="AD49" s="481"/>
      <c r="AE49" s="481"/>
      <c r="AF49" s="481"/>
      <c r="AG49" s="481"/>
      <c r="AH49" s="481"/>
      <c r="AI49" s="481"/>
      <c r="AJ49" s="481"/>
      <c r="AK49" s="481"/>
      <c r="AL49" s="481"/>
      <c r="AM49" s="481"/>
    </row>
    <row r="50" spans="2:39" x14ac:dyDescent="0.35">
      <c r="B50" s="211"/>
      <c r="C50" s="639"/>
      <c r="U50" s="517"/>
      <c r="V50" s="517"/>
      <c r="W50" s="517"/>
      <c r="X50" s="517"/>
      <c r="Y50" s="517"/>
      <c r="Z50" s="517"/>
      <c r="AA50" s="517"/>
      <c r="AB50" s="517"/>
      <c r="AC50" s="517"/>
      <c r="AD50" s="481"/>
      <c r="AE50" s="481"/>
      <c r="AF50" s="481"/>
      <c r="AG50" s="481"/>
      <c r="AH50" s="481"/>
      <c r="AI50" s="481"/>
      <c r="AJ50" s="481"/>
      <c r="AK50" s="481"/>
      <c r="AL50" s="481"/>
      <c r="AM50" s="481"/>
    </row>
    <row r="51" spans="2:39" x14ac:dyDescent="0.35">
      <c r="B51" s="211"/>
      <c r="C51" s="639"/>
      <c r="U51" s="190"/>
      <c r="V51" s="190"/>
      <c r="W51" s="190"/>
      <c r="X51" s="190"/>
      <c r="Y51" s="190"/>
      <c r="Z51" s="190"/>
      <c r="AA51" s="190"/>
      <c r="AB51" s="190"/>
      <c r="AC51" s="190"/>
      <c r="AD51" s="481"/>
      <c r="AE51" s="481"/>
      <c r="AF51" s="481"/>
      <c r="AG51" s="481"/>
      <c r="AH51" s="481"/>
      <c r="AI51" s="481"/>
      <c r="AJ51" s="481"/>
      <c r="AK51" s="481"/>
      <c r="AL51" s="481"/>
      <c r="AM51" s="481"/>
    </row>
    <row r="52" spans="2:39" x14ac:dyDescent="0.35">
      <c r="B52" s="211"/>
      <c r="C52" s="202"/>
      <c r="U52" s="517"/>
      <c r="V52" s="517"/>
      <c r="W52" s="517"/>
      <c r="X52" s="517"/>
      <c r="Y52" s="517"/>
      <c r="Z52" s="517"/>
      <c r="AA52" s="517"/>
      <c r="AB52" s="517"/>
      <c r="AC52" s="517"/>
      <c r="AD52" s="481"/>
      <c r="AE52" s="481"/>
      <c r="AF52" s="481"/>
      <c r="AG52" s="481"/>
      <c r="AH52" s="481"/>
      <c r="AI52" s="481"/>
      <c r="AJ52" s="481"/>
      <c r="AK52" s="481"/>
      <c r="AL52" s="481"/>
      <c r="AM52" s="481"/>
    </row>
    <row r="53" spans="2:39" x14ac:dyDescent="0.35">
      <c r="B53" s="211"/>
      <c r="C53" s="202"/>
      <c r="U53" s="517"/>
      <c r="V53" s="517"/>
      <c r="W53" s="517"/>
      <c r="X53" s="517"/>
      <c r="Y53" s="517"/>
      <c r="Z53" s="517"/>
      <c r="AA53" s="517"/>
      <c r="AB53" s="517"/>
      <c r="AC53" s="517"/>
      <c r="AD53" s="481"/>
      <c r="AE53" s="481"/>
      <c r="AF53" s="481"/>
      <c r="AG53" s="481"/>
      <c r="AH53" s="481"/>
      <c r="AI53" s="481"/>
      <c r="AJ53" s="481"/>
      <c r="AK53" s="481"/>
      <c r="AL53" s="481"/>
      <c r="AM53" s="481"/>
    </row>
    <row r="54" spans="2:39" x14ac:dyDescent="0.35">
      <c r="B54" s="211"/>
      <c r="C54" s="202"/>
      <c r="U54" s="517"/>
      <c r="V54" s="517"/>
      <c r="W54" s="517"/>
      <c r="X54" s="517"/>
      <c r="Y54" s="517"/>
      <c r="Z54" s="517"/>
      <c r="AA54" s="517"/>
      <c r="AB54" s="517"/>
      <c r="AC54" s="517"/>
      <c r="AD54" s="481"/>
      <c r="AE54" s="481"/>
      <c r="AF54" s="481"/>
      <c r="AG54" s="481"/>
      <c r="AH54" s="481"/>
      <c r="AI54" s="481"/>
      <c r="AJ54" s="481"/>
      <c r="AK54" s="481"/>
      <c r="AL54" s="481"/>
      <c r="AM54" s="481"/>
    </row>
    <row r="55" spans="2:39" x14ac:dyDescent="0.35">
      <c r="B55" s="434"/>
      <c r="C55" s="202"/>
      <c r="U55" s="517"/>
      <c r="V55" s="517"/>
      <c r="W55" s="517"/>
      <c r="X55" s="517"/>
      <c r="Y55" s="517"/>
      <c r="Z55" s="517"/>
      <c r="AA55" s="517"/>
      <c r="AB55" s="517"/>
      <c r="AC55" s="517"/>
      <c r="AD55" s="481"/>
      <c r="AE55" s="481"/>
      <c r="AF55" s="481"/>
      <c r="AG55" s="481"/>
      <c r="AH55" s="481"/>
      <c r="AI55" s="481"/>
      <c r="AJ55" s="481"/>
      <c r="AK55" s="481"/>
      <c r="AL55" s="481"/>
      <c r="AM55" s="481"/>
    </row>
    <row r="56" spans="2:39" x14ac:dyDescent="0.35">
      <c r="B56" s="217"/>
      <c r="C56" s="225"/>
      <c r="U56" s="595"/>
      <c r="V56" s="595"/>
      <c r="W56" s="595"/>
      <c r="X56" s="595"/>
      <c r="Y56" s="595"/>
      <c r="Z56" s="595"/>
      <c r="AA56" s="595"/>
      <c r="AB56" s="595"/>
      <c r="AC56" s="595"/>
      <c r="AD56" s="481"/>
      <c r="AE56" s="481"/>
      <c r="AF56" s="481"/>
      <c r="AG56" s="481"/>
      <c r="AH56" s="481"/>
      <c r="AI56" s="481"/>
      <c r="AJ56" s="481"/>
      <c r="AK56" s="481"/>
      <c r="AL56" s="481"/>
      <c r="AM56" s="481"/>
    </row>
    <row r="57" spans="2:39" ht="28.5" customHeight="1" x14ac:dyDescent="0.35">
      <c r="B57" s="211"/>
      <c r="C57" s="202"/>
      <c r="U57" s="517"/>
      <c r="V57" s="517"/>
      <c r="W57" s="517"/>
      <c r="X57" s="517"/>
      <c r="Y57" s="517"/>
      <c r="Z57" s="517"/>
      <c r="AA57" s="517"/>
      <c r="AB57" s="517"/>
      <c r="AC57" s="517"/>
      <c r="AD57" s="481"/>
      <c r="AE57" s="481"/>
      <c r="AF57" s="481"/>
      <c r="AG57" s="481"/>
      <c r="AH57" s="481"/>
      <c r="AI57" s="481"/>
      <c r="AJ57" s="481"/>
      <c r="AK57" s="481"/>
      <c r="AL57" s="481"/>
      <c r="AM57" s="481"/>
    </row>
    <row r="58" spans="2:39" x14ac:dyDescent="0.35">
      <c r="B58" s="338"/>
      <c r="C58" s="35"/>
      <c r="U58" s="623"/>
      <c r="V58" s="623"/>
      <c r="W58" s="623"/>
      <c r="X58" s="623"/>
      <c r="Y58" s="623"/>
      <c r="Z58" s="623"/>
      <c r="AA58" s="623"/>
      <c r="AB58" s="623"/>
      <c r="AC58" s="623"/>
      <c r="AD58" s="481"/>
      <c r="AE58" s="481"/>
      <c r="AF58" s="481"/>
      <c r="AG58" s="481"/>
      <c r="AH58" s="481"/>
      <c r="AI58" s="481"/>
      <c r="AJ58" s="481"/>
      <c r="AK58" s="481"/>
      <c r="AL58" s="481"/>
      <c r="AM58" s="481"/>
    </row>
    <row r="59" spans="2:39" x14ac:dyDescent="0.35">
      <c r="B59" s="225"/>
      <c r="C59" s="225"/>
      <c r="U59" s="514"/>
      <c r="V59" s="514"/>
      <c r="W59" s="514"/>
      <c r="X59" s="514"/>
      <c r="Y59" s="514"/>
      <c r="Z59" s="514"/>
      <c r="AA59" s="514"/>
      <c r="AB59" s="514"/>
      <c r="AC59" s="514"/>
      <c r="AD59" s="481"/>
      <c r="AE59" s="481"/>
      <c r="AF59" s="481"/>
      <c r="AG59" s="481"/>
      <c r="AH59" s="481"/>
      <c r="AI59" s="481"/>
      <c r="AJ59" s="481"/>
      <c r="AK59" s="481"/>
      <c r="AL59" s="481"/>
      <c r="AM59" s="481"/>
    </row>
    <row r="60" spans="2:39" x14ac:dyDescent="0.35">
      <c r="B60" s="1335"/>
      <c r="C60" s="1335"/>
      <c r="U60" s="514"/>
      <c r="V60" s="514"/>
      <c r="W60" s="514"/>
      <c r="X60" s="514"/>
      <c r="Y60" s="514"/>
      <c r="Z60" s="514"/>
      <c r="AA60" s="514"/>
      <c r="AB60" s="514"/>
      <c r="AC60" s="514"/>
      <c r="AD60" s="481"/>
      <c r="AE60" s="481"/>
      <c r="AF60" s="481"/>
      <c r="AG60" s="481"/>
      <c r="AH60" s="481"/>
      <c r="AI60" s="481"/>
      <c r="AJ60" s="481"/>
      <c r="AK60" s="481"/>
      <c r="AL60" s="481"/>
      <c r="AM60" s="481"/>
    </row>
    <row r="61" spans="2:39" x14ac:dyDescent="0.35">
      <c r="B61" s="434"/>
      <c r="C61" s="202"/>
      <c r="U61" s="202"/>
      <c r="V61" s="202"/>
      <c r="W61" s="202"/>
      <c r="X61" s="202"/>
      <c r="Y61" s="202"/>
      <c r="Z61" s="202"/>
      <c r="AA61" s="202"/>
      <c r="AB61" s="202"/>
      <c r="AC61" s="202"/>
      <c r="AD61" s="481"/>
      <c r="AE61" s="481"/>
      <c r="AF61" s="481"/>
      <c r="AG61" s="481"/>
      <c r="AH61" s="481"/>
      <c r="AI61" s="481"/>
      <c r="AJ61" s="481"/>
      <c r="AK61" s="481"/>
      <c r="AL61" s="481"/>
      <c r="AM61" s="481"/>
    </row>
    <row r="62" spans="2:39" x14ac:dyDescent="0.35">
      <c r="B62" s="202"/>
      <c r="C62" s="202"/>
      <c r="U62" s="517"/>
      <c r="V62" s="517"/>
      <c r="W62" s="517"/>
      <c r="X62" s="517"/>
      <c r="Y62" s="517"/>
      <c r="Z62" s="517"/>
      <c r="AA62" s="517"/>
      <c r="AB62" s="517"/>
      <c r="AC62" s="517"/>
      <c r="AD62" s="481"/>
      <c r="AE62" s="481"/>
      <c r="AF62" s="481"/>
      <c r="AG62" s="481"/>
      <c r="AH62" s="481"/>
      <c r="AI62" s="481"/>
      <c r="AJ62" s="481"/>
      <c r="AK62" s="481"/>
      <c r="AL62" s="481"/>
      <c r="AM62" s="481"/>
    </row>
    <row r="63" spans="2:39" x14ac:dyDescent="0.35">
      <c r="B63" s="225"/>
      <c r="C63" s="225"/>
      <c r="U63" s="514"/>
      <c r="V63" s="514"/>
      <c r="W63" s="514"/>
      <c r="X63" s="514"/>
      <c r="Y63" s="514"/>
      <c r="Z63" s="514"/>
      <c r="AA63" s="514"/>
      <c r="AB63" s="514"/>
      <c r="AC63" s="514"/>
      <c r="AD63" s="481"/>
      <c r="AE63" s="481"/>
      <c r="AF63" s="481"/>
      <c r="AG63" s="481"/>
      <c r="AH63" s="481"/>
      <c r="AI63" s="481"/>
      <c r="AJ63" s="481"/>
      <c r="AK63" s="481"/>
      <c r="AL63" s="481"/>
      <c r="AM63" s="481"/>
    </row>
    <row r="64" spans="2:39" x14ac:dyDescent="0.35">
      <c r="B64" s="225"/>
      <c r="C64" s="225"/>
      <c r="U64" s="514"/>
      <c r="V64" s="514"/>
      <c r="W64" s="514"/>
      <c r="X64" s="514"/>
      <c r="Y64" s="514"/>
      <c r="Z64" s="514"/>
      <c r="AA64" s="514"/>
      <c r="AB64" s="514"/>
      <c r="AC64" s="514"/>
      <c r="AD64" s="481"/>
      <c r="AE64" s="481"/>
      <c r="AF64" s="481"/>
      <c r="AG64" s="481"/>
      <c r="AH64" s="481"/>
      <c r="AI64" s="481"/>
      <c r="AJ64" s="481"/>
      <c r="AK64" s="481"/>
      <c r="AL64" s="481"/>
      <c r="AM64" s="481"/>
    </row>
    <row r="65" spans="2:39" x14ac:dyDescent="0.35">
      <c r="B65" s="640"/>
      <c r="C65" s="202"/>
      <c r="U65" s="517"/>
      <c r="V65" s="517"/>
      <c r="W65" s="517"/>
      <c r="X65" s="517"/>
      <c r="Y65" s="517"/>
      <c r="Z65" s="517"/>
      <c r="AA65" s="517"/>
      <c r="AB65" s="517"/>
      <c r="AC65" s="517"/>
      <c r="AD65" s="481"/>
      <c r="AE65" s="481"/>
      <c r="AF65" s="481"/>
      <c r="AG65" s="481"/>
      <c r="AH65" s="481"/>
      <c r="AI65" s="481"/>
      <c r="AJ65" s="481"/>
      <c r="AK65" s="481"/>
      <c r="AL65" s="481"/>
      <c r="AM65" s="481"/>
    </row>
    <row r="67" spans="2:39" x14ac:dyDescent="0.35">
      <c r="U67" s="1385"/>
      <c r="V67" s="1385"/>
      <c r="W67" s="1385"/>
      <c r="X67" s="1385"/>
    </row>
    <row r="68" spans="2:39" x14ac:dyDescent="0.35">
      <c r="U68" s="1385"/>
      <c r="V68" s="1385"/>
      <c r="W68" s="1385"/>
      <c r="X68" s="1385"/>
    </row>
    <row r="69" spans="2:39" x14ac:dyDescent="0.35">
      <c r="U69" s="1385"/>
      <c r="V69" s="1385"/>
      <c r="W69" s="1385"/>
      <c r="X69" s="1385"/>
    </row>
    <row r="71" spans="2:39" x14ac:dyDescent="0.35">
      <c r="P71" s="448"/>
      <c r="Q71" s="448"/>
    </row>
    <row r="72" spans="2:39" x14ac:dyDescent="0.35">
      <c r="B72" s="478" t="s">
        <v>352</v>
      </c>
      <c r="D72" s="517"/>
      <c r="E72" s="517"/>
      <c r="F72" s="517"/>
      <c r="G72" s="517"/>
      <c r="H72" s="517"/>
      <c r="I72" s="517"/>
      <c r="J72" s="517"/>
      <c r="K72" s="517"/>
      <c r="L72" s="517"/>
      <c r="M72" s="517"/>
      <c r="N72" s="517"/>
      <c r="O72" s="517"/>
      <c r="P72" s="517"/>
      <c r="Q72" s="517"/>
      <c r="R72" s="517"/>
      <c r="S72" s="517"/>
      <c r="T72" s="517"/>
      <c r="U72" s="517"/>
      <c r="V72" s="517"/>
      <c r="W72" s="517"/>
      <c r="X72" s="517"/>
      <c r="Y72" s="517"/>
      <c r="Z72" s="517"/>
      <c r="AA72" s="517"/>
      <c r="AB72" s="517"/>
      <c r="AC72" s="517"/>
    </row>
    <row r="73" spans="2:39" ht="45.75" customHeight="1" x14ac:dyDescent="0.35">
      <c r="B73" s="1388" t="s">
        <v>477</v>
      </c>
      <c r="C73" s="1388"/>
      <c r="D73" s="1388"/>
      <c r="E73" s="1388"/>
      <c r="F73" s="1388"/>
      <c r="G73" s="1388"/>
      <c r="H73" s="1388"/>
      <c r="I73" s="1388"/>
      <c r="J73" s="1388"/>
      <c r="K73" s="1388"/>
      <c r="L73" s="1388"/>
      <c r="M73" s="1388"/>
      <c r="N73" s="1388"/>
      <c r="O73" s="1388"/>
      <c r="P73" s="1388"/>
      <c r="Q73" s="1388"/>
      <c r="R73" s="1388"/>
      <c r="S73" s="1388"/>
      <c r="T73" s="1388"/>
      <c r="U73" s="1388"/>
      <c r="V73" s="1388"/>
      <c r="W73" s="1388"/>
      <c r="X73" s="1388"/>
      <c r="Y73" s="1388"/>
      <c r="Z73" s="1388"/>
      <c r="AA73" s="1388"/>
      <c r="AB73" s="1388"/>
      <c r="AC73" s="1388"/>
    </row>
    <row r="74" spans="2:39" ht="14.9" customHeight="1" x14ac:dyDescent="0.35">
      <c r="B74" s="1299" t="s">
        <v>478</v>
      </c>
      <c r="C74" s="1300"/>
      <c r="D74" s="1360" t="s">
        <v>280</v>
      </c>
      <c r="E74" s="1361"/>
      <c r="F74" s="1361"/>
      <c r="G74" s="1361"/>
      <c r="H74" s="1361"/>
      <c r="I74" s="1361"/>
      <c r="J74" s="1361"/>
      <c r="K74" s="1361"/>
      <c r="L74" s="1361"/>
      <c r="M74" s="1361"/>
      <c r="N74" s="1361"/>
      <c r="O74" s="1361"/>
      <c r="P74" s="1361"/>
      <c r="Q74" s="1361"/>
      <c r="R74" s="1361"/>
      <c r="S74" s="1361"/>
      <c r="T74" s="1361"/>
      <c r="U74" s="1361"/>
      <c r="V74" s="1394"/>
      <c r="W74" s="1324" t="s">
        <v>281</v>
      </c>
      <c r="X74" s="1325"/>
      <c r="Y74" s="1325"/>
      <c r="Z74" s="1325"/>
      <c r="AA74" s="1325"/>
      <c r="AB74" s="1325"/>
      <c r="AC74" s="1325"/>
      <c r="AD74" s="1325"/>
      <c r="AE74" s="1325"/>
      <c r="AF74" s="1325"/>
      <c r="AG74" s="1325"/>
    </row>
    <row r="75" spans="2:39" x14ac:dyDescent="0.35">
      <c r="B75" s="1299"/>
      <c r="C75" s="1300"/>
      <c r="D75" s="142">
        <v>2018</v>
      </c>
      <c r="E75" s="1278">
        <v>2019</v>
      </c>
      <c r="F75" s="1306"/>
      <c r="G75" s="1306"/>
      <c r="H75" s="1307"/>
      <c r="I75" s="1278">
        <v>2020</v>
      </c>
      <c r="J75" s="1306"/>
      <c r="K75" s="1306"/>
      <c r="L75" s="1306"/>
      <c r="M75" s="1278">
        <v>2021</v>
      </c>
      <c r="N75" s="1306"/>
      <c r="O75" s="1306"/>
      <c r="P75" s="1306"/>
      <c r="Q75" s="1278">
        <v>2022</v>
      </c>
      <c r="R75" s="1279"/>
      <c r="S75" s="1279"/>
      <c r="T75" s="1307"/>
      <c r="U75" s="251"/>
      <c r="V75" s="522">
        <v>2023</v>
      </c>
      <c r="W75" s="518"/>
      <c r="X75" s="222"/>
      <c r="Y75" s="1303">
        <v>2024</v>
      </c>
      <c r="Z75" s="1315"/>
      <c r="AA75" s="1315"/>
      <c r="AB75" s="1305"/>
      <c r="AC75" s="1303">
        <v>2025</v>
      </c>
      <c r="AD75" s="1315"/>
      <c r="AE75" s="1315"/>
      <c r="AF75" s="1305"/>
      <c r="AG75" s="467">
        <v>2026</v>
      </c>
    </row>
    <row r="76" spans="2:39" x14ac:dyDescent="0.35">
      <c r="B76" s="1301"/>
      <c r="C76" s="1302"/>
      <c r="D76" s="148" t="s">
        <v>282</v>
      </c>
      <c r="E76" s="148" t="s">
        <v>283</v>
      </c>
      <c r="F76" s="144" t="s">
        <v>284</v>
      </c>
      <c r="G76" s="144" t="s">
        <v>238</v>
      </c>
      <c r="H76" s="145" t="s">
        <v>282</v>
      </c>
      <c r="I76" s="144" t="s">
        <v>283</v>
      </c>
      <c r="J76" s="144" t="s">
        <v>284</v>
      </c>
      <c r="K76" s="144" t="s">
        <v>238</v>
      </c>
      <c r="L76" s="144" t="s">
        <v>282</v>
      </c>
      <c r="M76" s="148" t="s">
        <v>283</v>
      </c>
      <c r="N76" s="144" t="s">
        <v>284</v>
      </c>
      <c r="O76" s="144" t="s">
        <v>238</v>
      </c>
      <c r="P76" s="144" t="s">
        <v>282</v>
      </c>
      <c r="Q76" s="148" t="s">
        <v>283</v>
      </c>
      <c r="R76" s="144" t="s">
        <v>284</v>
      </c>
      <c r="S76" s="144" t="s">
        <v>238</v>
      </c>
      <c r="T76" s="145" t="s">
        <v>282</v>
      </c>
      <c r="U76" s="144" t="s">
        <v>283</v>
      </c>
      <c r="V76" s="249" t="s">
        <v>284</v>
      </c>
      <c r="W76" s="232" t="s">
        <v>238</v>
      </c>
      <c r="X76" s="233" t="s">
        <v>282</v>
      </c>
      <c r="Y76" s="231" t="s">
        <v>283</v>
      </c>
      <c r="Z76" s="229" t="s">
        <v>284</v>
      </c>
      <c r="AA76" s="232" t="s">
        <v>238</v>
      </c>
      <c r="AB76" s="232" t="s">
        <v>282</v>
      </c>
      <c r="AC76" s="231" t="s">
        <v>283</v>
      </c>
      <c r="AD76" s="229" t="s">
        <v>284</v>
      </c>
      <c r="AE76" s="232" t="s">
        <v>238</v>
      </c>
      <c r="AF76" s="232" t="s">
        <v>282</v>
      </c>
      <c r="AG76" s="231" t="s">
        <v>283</v>
      </c>
    </row>
    <row r="77" spans="2:39" x14ac:dyDescent="0.35">
      <c r="B77" s="246" t="s">
        <v>1439</v>
      </c>
      <c r="D77" s="215"/>
      <c r="E77" s="270"/>
      <c r="F77" s="270"/>
      <c r="G77" s="270"/>
      <c r="H77" s="270"/>
      <c r="I77" s="537">
        <f>(I78-AVERAGE($E78:$H78))</f>
        <v>6.6417500000000018</v>
      </c>
      <c r="J77" s="537">
        <f t="shared" ref="J77:N77" si="19">(J78-AVERAGE($E78:$H78))</f>
        <v>51.388749999999995</v>
      </c>
      <c r="K77" s="537">
        <f t="shared" si="19"/>
        <v>55.337750000000007</v>
      </c>
      <c r="L77" s="537">
        <f t="shared" si="19"/>
        <v>62.597749999999998</v>
      </c>
      <c r="M77" s="537">
        <f t="shared" si="19"/>
        <v>88.07774999999998</v>
      </c>
      <c r="N77" s="537">
        <f t="shared" si="19"/>
        <v>102.89075</v>
      </c>
      <c r="O77" s="537">
        <f t="shared" ref="O77:U77" si="20">(O78-AVERAGE($E78:$H78))</f>
        <v>94.404750000000007</v>
      </c>
      <c r="P77" s="537">
        <f t="shared" si="20"/>
        <v>91.919749999999993</v>
      </c>
      <c r="Q77" s="537">
        <f t="shared" si="20"/>
        <v>80.097749999999991</v>
      </c>
      <c r="R77" s="537">
        <f t="shared" si="20"/>
        <v>69.023750000000007</v>
      </c>
      <c r="S77" s="538">
        <f t="shared" si="20"/>
        <v>61.349750000000007</v>
      </c>
      <c r="T77" s="525">
        <f t="shared" si="20"/>
        <v>81.433750000000003</v>
      </c>
      <c r="U77" s="538">
        <f t="shared" si="20"/>
        <v>75.465749999999986</v>
      </c>
      <c r="V77" s="538">
        <f>(V78-AVERAGE($E78:$H78))</f>
        <v>48.418749999999996</v>
      </c>
      <c r="W77" s="538">
        <f>(W78-AVERAGE($E78:$H78))</f>
        <v>48.349750000000007</v>
      </c>
      <c r="X77" s="538">
        <f>(X78-AVERAGE($E78:$H78))</f>
        <v>31.017749999999999</v>
      </c>
      <c r="Y77" s="684">
        <f t="shared" ref="Y77:AC77" si="21">X77</f>
        <v>31.017749999999999</v>
      </c>
      <c r="Z77" s="684">
        <f t="shared" si="21"/>
        <v>31.017749999999999</v>
      </c>
      <c r="AA77" s="684">
        <f t="shared" si="21"/>
        <v>31.017749999999999</v>
      </c>
      <c r="AB77" s="684">
        <f t="shared" si="21"/>
        <v>31.017749999999999</v>
      </c>
      <c r="AC77" s="645">
        <f t="shared" si="21"/>
        <v>31.017749999999999</v>
      </c>
      <c r="AD77" s="684">
        <f t="shared" ref="AD77" si="22">AC77</f>
        <v>31.017749999999999</v>
      </c>
      <c r="AE77" s="684">
        <f t="shared" ref="AE77" si="23">AD77</f>
        <v>31.017749999999999</v>
      </c>
      <c r="AF77" s="684">
        <f t="shared" ref="AF77" si="24">AE77</f>
        <v>31.017749999999999</v>
      </c>
      <c r="AG77" s="684">
        <f t="shared" ref="AG77" si="25">AF77</f>
        <v>31.017749999999999</v>
      </c>
    </row>
    <row r="78" spans="2:39" x14ac:dyDescent="0.35">
      <c r="B78" s="246" t="s">
        <v>160</v>
      </c>
      <c r="C78" s="202" t="s">
        <v>479</v>
      </c>
      <c r="D78" s="237">
        <f>'Haver Pivoted'!GO66</f>
        <v>57.017000000000003</v>
      </c>
      <c r="E78" s="195">
        <f>'Haver Pivoted'!GP66</f>
        <v>55.847999999999999</v>
      </c>
      <c r="F78" s="195">
        <f>'Haver Pivoted'!GQ66</f>
        <v>54.531999999999996</v>
      </c>
      <c r="G78" s="195">
        <f>'Haver Pivoted'!GR66</f>
        <v>54.451999999999998</v>
      </c>
      <c r="H78" s="195">
        <f>'Haver Pivoted'!GS66</f>
        <v>54.012999999999998</v>
      </c>
      <c r="I78" s="195">
        <f>'Haver Pivoted'!GT66</f>
        <v>61.353000000000002</v>
      </c>
      <c r="J78" s="195">
        <f>'Haver Pivoted'!GU66</f>
        <v>106.1</v>
      </c>
      <c r="K78" s="195">
        <f>'Haver Pivoted'!GV66</f>
        <v>110.04900000000001</v>
      </c>
      <c r="L78" s="195">
        <f>'Haver Pivoted'!GW66</f>
        <v>117.309</v>
      </c>
      <c r="M78" s="195">
        <f>'Haver Pivoted'!GX66</f>
        <v>142.78899999999999</v>
      </c>
      <c r="N78" s="195">
        <f>'Haver Pivoted'!GY66</f>
        <v>157.602</v>
      </c>
      <c r="O78" s="195">
        <f>'Haver Pivoted'!GZ66</f>
        <v>149.11600000000001</v>
      </c>
      <c r="P78" s="195">
        <f>'Haver Pivoted'!HA66</f>
        <v>146.631</v>
      </c>
      <c r="Q78" s="195">
        <f>'Haver Pivoted'!HB66</f>
        <v>134.809</v>
      </c>
      <c r="R78" s="195">
        <f>'Haver Pivoted'!HC66</f>
        <v>123.735</v>
      </c>
      <c r="S78" s="144">
        <f>'Haver Pivoted'!HD66</f>
        <v>116.06100000000001</v>
      </c>
      <c r="T78" s="144">
        <f>'Haver Pivoted'!HE66</f>
        <v>136.14500000000001</v>
      </c>
      <c r="U78" s="144">
        <f>'Haver Pivoted'!HF66</f>
        <v>130.17699999999999</v>
      </c>
      <c r="V78" s="144">
        <f>'Haver Pivoted'!HG66</f>
        <v>103.13</v>
      </c>
      <c r="W78" s="144">
        <f>'Haver Pivoted'!HH66</f>
        <v>103.06100000000001</v>
      </c>
      <c r="X78" s="144">
        <f>'Haver Pivoted'!HI66</f>
        <v>85.728999999999999</v>
      </c>
      <c r="Y78" s="282"/>
      <c r="Z78" s="282"/>
      <c r="AA78" s="282"/>
      <c r="AB78" s="282"/>
      <c r="AC78" s="282"/>
      <c r="AD78" s="469"/>
      <c r="AE78" s="469"/>
      <c r="AF78" s="469"/>
      <c r="AG78" s="469"/>
    </row>
    <row r="79" spans="2:39" ht="29.15" customHeight="1" x14ac:dyDescent="0.35">
      <c r="B79" s="316" t="s">
        <v>480</v>
      </c>
      <c r="C79" s="317"/>
      <c r="D79" s="679"/>
      <c r="E79" s="528"/>
      <c r="F79" s="528"/>
      <c r="G79" s="528"/>
      <c r="H79" s="528"/>
      <c r="I79" s="528"/>
      <c r="J79" s="528">
        <f t="shared" ref="J79:W79" si="26">J78-$H78</f>
        <v>52.086999999999996</v>
      </c>
      <c r="K79" s="528">
        <f t="shared" si="26"/>
        <v>56.036000000000008</v>
      </c>
      <c r="L79" s="528">
        <f t="shared" si="26"/>
        <v>63.295999999999999</v>
      </c>
      <c r="M79" s="528">
        <f t="shared" si="26"/>
        <v>88.775999999999982</v>
      </c>
      <c r="N79" s="528">
        <f>N78-$H78</f>
        <v>103.589</v>
      </c>
      <c r="O79" s="528">
        <f>O78-$H78</f>
        <v>95.103000000000009</v>
      </c>
      <c r="P79" s="528">
        <f t="shared" si="26"/>
        <v>92.617999999999995</v>
      </c>
      <c r="Q79" s="528">
        <f t="shared" si="26"/>
        <v>80.795999999999992</v>
      </c>
      <c r="R79" s="528">
        <f t="shared" si="26"/>
        <v>69.722000000000008</v>
      </c>
      <c r="S79" s="249">
        <f t="shared" si="26"/>
        <v>62.048000000000009</v>
      </c>
      <c r="T79" s="249">
        <f t="shared" si="26"/>
        <v>82.132000000000005</v>
      </c>
      <c r="U79" s="249">
        <f t="shared" si="26"/>
        <v>76.163999999999987</v>
      </c>
      <c r="V79" s="249">
        <f t="shared" si="26"/>
        <v>49.116999999999997</v>
      </c>
      <c r="W79" s="249">
        <f t="shared" si="26"/>
        <v>49.048000000000009</v>
      </c>
      <c r="X79" s="249">
        <f t="shared" ref="X79" si="27">X78-$H78</f>
        <v>31.716000000000001</v>
      </c>
      <c r="Y79" s="232"/>
      <c r="Z79" s="232"/>
      <c r="AA79" s="232"/>
      <c r="AB79" s="232"/>
      <c r="AC79" s="232"/>
      <c r="AD79" s="469"/>
      <c r="AE79" s="469"/>
      <c r="AF79" s="469"/>
      <c r="AG79" s="469"/>
    </row>
    <row r="80" spans="2:39" ht="29.15" customHeight="1" x14ac:dyDescent="0.35">
      <c r="B80" s="202"/>
      <c r="C80" s="202"/>
      <c r="D80" s="195"/>
      <c r="E80" s="195"/>
      <c r="F80" s="195"/>
      <c r="G80" s="195"/>
      <c r="H80" s="195"/>
      <c r="I80" s="195"/>
      <c r="J80" s="195"/>
      <c r="K80" s="195"/>
      <c r="L80" s="195"/>
      <c r="M80" s="195"/>
      <c r="N80" s="195"/>
      <c r="O80" s="195"/>
      <c r="P80" s="195"/>
      <c r="Q80" s="195"/>
      <c r="R80" s="195"/>
      <c r="S80" s="195"/>
      <c r="T80" s="195"/>
      <c r="U80" s="195"/>
      <c r="V80" s="195"/>
      <c r="W80" s="195"/>
      <c r="X80" s="195"/>
      <c r="Y80" s="195"/>
      <c r="Z80" s="195"/>
      <c r="AA80" s="195"/>
      <c r="AB80" s="195"/>
      <c r="AC80" s="195"/>
    </row>
    <row r="81" spans="2:33" ht="29.15" customHeight="1" x14ac:dyDescent="0.35">
      <c r="B81" s="202"/>
      <c r="C81" s="202"/>
      <c r="D81" s="195"/>
      <c r="E81" s="195"/>
      <c r="F81" s="195"/>
      <c r="G81" s="195"/>
      <c r="H81" s="195"/>
      <c r="I81" s="195"/>
      <c r="J81" s="195"/>
      <c r="K81" s="195"/>
      <c r="L81" s="195"/>
      <c r="M81" s="195"/>
      <c r="N81" s="195"/>
      <c r="O81" s="195"/>
      <c r="P81" s="195"/>
      <c r="Q81" s="195"/>
      <c r="R81" s="195"/>
      <c r="S81" s="195"/>
      <c r="T81" s="195"/>
      <c r="U81" s="195"/>
      <c r="V81" s="195"/>
      <c r="W81" s="195"/>
      <c r="X81" s="195"/>
      <c r="Y81" s="195"/>
      <c r="Z81" s="195"/>
      <c r="AA81" s="195"/>
      <c r="AB81" s="195"/>
      <c r="AC81" s="195"/>
    </row>
    <row r="82" spans="2:33" ht="29.15" customHeight="1" x14ac:dyDescent="0.35">
      <c r="B82" s="202"/>
      <c r="C82" s="202"/>
      <c r="D82" s="195"/>
      <c r="E82" s="195"/>
      <c r="F82" s="195"/>
      <c r="G82" s="195"/>
      <c r="H82" s="195"/>
      <c r="I82" s="195"/>
      <c r="J82" s="195"/>
      <c r="K82" s="195"/>
      <c r="L82" s="195"/>
      <c r="M82" s="195"/>
      <c r="N82" s="195"/>
      <c r="O82" s="195"/>
      <c r="P82" s="195"/>
      <c r="Q82" s="195"/>
      <c r="R82" s="195"/>
      <c r="S82" s="195"/>
      <c r="T82" s="195"/>
      <c r="U82" s="195"/>
      <c r="V82" s="195"/>
      <c r="W82" s="195"/>
      <c r="X82" s="195"/>
      <c r="Y82" s="195"/>
      <c r="Z82" s="195"/>
      <c r="AA82" s="195"/>
      <c r="AB82" s="195"/>
      <c r="AC82" s="195"/>
    </row>
    <row r="83" spans="2:33" ht="35.9" customHeight="1" x14ac:dyDescent="0.35"/>
    <row r="84" spans="2:33" x14ac:dyDescent="0.35">
      <c r="B84" s="478" t="s">
        <v>365</v>
      </c>
    </row>
    <row r="85" spans="2:33" x14ac:dyDescent="0.35">
      <c r="B85" s="1389" t="s">
        <v>807</v>
      </c>
      <c r="C85" s="1390"/>
      <c r="D85" s="1301" t="s">
        <v>280</v>
      </c>
      <c r="E85" s="1313"/>
      <c r="F85" s="1313"/>
      <c r="G85" s="1313"/>
      <c r="H85" s="1313"/>
      <c r="I85" s="1313"/>
      <c r="J85" s="1313"/>
      <c r="K85" s="1313"/>
      <c r="L85" s="1313"/>
      <c r="M85" s="1313"/>
      <c r="N85" s="1313"/>
      <c r="O85" s="1313"/>
      <c r="P85" s="1313"/>
      <c r="Q85" s="1313"/>
      <c r="R85" s="1313"/>
      <c r="S85" s="1313"/>
      <c r="T85" s="1313"/>
      <c r="U85" s="1313"/>
      <c r="V85" s="1302"/>
      <c r="W85" s="1324" t="s">
        <v>281</v>
      </c>
      <c r="X85" s="1325"/>
      <c r="Y85" s="1325"/>
      <c r="Z85" s="1325"/>
      <c r="AA85" s="1325"/>
      <c r="AB85" s="1325"/>
      <c r="AC85" s="1325"/>
      <c r="AD85" s="1325"/>
      <c r="AE85" s="1325"/>
      <c r="AF85" s="1325"/>
      <c r="AG85" s="1325"/>
    </row>
    <row r="86" spans="2:33" x14ac:dyDescent="0.35">
      <c r="B86" s="1391"/>
      <c r="C86" s="1392"/>
      <c r="D86" s="142">
        <v>2018</v>
      </c>
      <c r="E86" s="1278">
        <v>2019</v>
      </c>
      <c r="F86" s="1306"/>
      <c r="G86" s="1306"/>
      <c r="H86" s="1307"/>
      <c r="I86" s="1278">
        <v>2020</v>
      </c>
      <c r="J86" s="1306"/>
      <c r="K86" s="1306"/>
      <c r="L86" s="1306"/>
      <c r="M86" s="1278">
        <v>2021</v>
      </c>
      <c r="N86" s="1306"/>
      <c r="O86" s="1306"/>
      <c r="P86" s="1306"/>
      <c r="Q86" s="1278">
        <v>2022</v>
      </c>
      <c r="R86" s="1279"/>
      <c r="S86" s="1279"/>
      <c r="T86" s="1307"/>
      <c r="U86" s="251"/>
      <c r="V86" s="522">
        <v>2023</v>
      </c>
      <c r="W86" s="518"/>
      <c r="X86" s="222"/>
      <c r="Y86" s="1303">
        <v>2024</v>
      </c>
      <c r="Z86" s="1315"/>
      <c r="AA86" s="1315"/>
      <c r="AB86" s="1305"/>
      <c r="AC86" s="1303">
        <v>2025</v>
      </c>
      <c r="AD86" s="1315"/>
      <c r="AE86" s="1315"/>
      <c r="AF86" s="1305"/>
      <c r="AG86" s="467">
        <v>2026</v>
      </c>
    </row>
    <row r="87" spans="2:33" x14ac:dyDescent="0.35">
      <c r="B87" s="1391"/>
      <c r="C87" s="1392"/>
      <c r="D87" s="148" t="s">
        <v>282</v>
      </c>
      <c r="E87" s="148" t="s">
        <v>283</v>
      </c>
      <c r="F87" s="144" t="s">
        <v>284</v>
      </c>
      <c r="G87" s="144" t="s">
        <v>238</v>
      </c>
      <c r="H87" s="145" t="s">
        <v>282</v>
      </c>
      <c r="I87" s="144" t="s">
        <v>283</v>
      </c>
      <c r="J87" s="144" t="s">
        <v>284</v>
      </c>
      <c r="K87" s="144" t="s">
        <v>238</v>
      </c>
      <c r="L87" s="144" t="s">
        <v>282</v>
      </c>
      <c r="M87" s="148" t="s">
        <v>283</v>
      </c>
      <c r="N87" s="144" t="s">
        <v>284</v>
      </c>
      <c r="O87" s="144" t="s">
        <v>238</v>
      </c>
      <c r="P87" s="144" t="s">
        <v>282</v>
      </c>
      <c r="Q87" s="148" t="s">
        <v>283</v>
      </c>
      <c r="R87" s="144" t="s">
        <v>284</v>
      </c>
      <c r="S87" s="144" t="s">
        <v>238</v>
      </c>
      <c r="T87" s="145" t="s">
        <v>282</v>
      </c>
      <c r="U87" s="144" t="s">
        <v>283</v>
      </c>
      <c r="V87" s="249" t="s">
        <v>284</v>
      </c>
      <c r="W87" s="232" t="s">
        <v>238</v>
      </c>
      <c r="X87" s="233" t="s">
        <v>282</v>
      </c>
      <c r="Y87" s="231" t="s">
        <v>283</v>
      </c>
      <c r="Z87" s="229" t="s">
        <v>284</v>
      </c>
      <c r="AA87" s="232" t="s">
        <v>238</v>
      </c>
      <c r="AB87" s="232" t="s">
        <v>282</v>
      </c>
      <c r="AC87" s="231" t="s">
        <v>283</v>
      </c>
      <c r="AD87" s="229" t="s">
        <v>284</v>
      </c>
      <c r="AE87" s="232" t="s">
        <v>238</v>
      </c>
      <c r="AF87" s="232" t="s">
        <v>282</v>
      </c>
      <c r="AG87" s="231" t="s">
        <v>283</v>
      </c>
    </row>
    <row r="88" spans="2:33" ht="25.75" customHeight="1" x14ac:dyDescent="0.35">
      <c r="B88" s="632" t="s">
        <v>467</v>
      </c>
      <c r="C88" s="397" t="s">
        <v>468</v>
      </c>
      <c r="D88" s="325">
        <f>'Haver Pivoted'!GO31</f>
        <v>2223</v>
      </c>
      <c r="E88" s="326">
        <f>'Haver Pivoted'!GP31</f>
        <v>2303.6</v>
      </c>
      <c r="F88" s="326">
        <f>'Haver Pivoted'!GQ31</f>
        <v>2320.1</v>
      </c>
      <c r="G88" s="326">
        <f>'Haver Pivoted'!GR31</f>
        <v>2332.9</v>
      </c>
      <c r="H88" s="326">
        <f>'Haver Pivoted'!GS31</f>
        <v>2346.6</v>
      </c>
      <c r="I88" s="326">
        <f>'Haver Pivoted'!GT31</f>
        <v>2412.6</v>
      </c>
      <c r="J88" s="326">
        <f>'Haver Pivoted'!GU31</f>
        <v>4652.1000000000004</v>
      </c>
      <c r="K88" s="326">
        <f>'Haver Pivoted'!GV31</f>
        <v>3508</v>
      </c>
      <c r="L88" s="326">
        <f>'Haver Pivoted'!GW31</f>
        <v>2895.4</v>
      </c>
      <c r="M88" s="326">
        <f>'Haver Pivoted'!GX31</f>
        <v>5127.3999999999996</v>
      </c>
      <c r="N88" s="326">
        <f>'Haver Pivoted'!GY31</f>
        <v>3403.8</v>
      </c>
      <c r="O88" s="326">
        <f>'Haver Pivoted'!GZ31</f>
        <v>3135</v>
      </c>
      <c r="P88" s="326">
        <f>'Haver Pivoted'!HA31</f>
        <v>2947.7</v>
      </c>
      <c r="Q88" s="326">
        <f>'Haver Pivoted'!HB31</f>
        <v>2903.2</v>
      </c>
      <c r="R88" s="326">
        <f>'Haver Pivoted'!HC31</f>
        <v>2895.2</v>
      </c>
      <c r="S88" s="327">
        <f>'Haver Pivoted'!HD31</f>
        <v>2867.4</v>
      </c>
      <c r="T88" s="646">
        <f>'Haver Pivoted'!HE31</f>
        <v>2896.7</v>
      </c>
      <c r="U88" s="327">
        <f>'Haver Pivoted'!HF31</f>
        <v>2945.8</v>
      </c>
      <c r="V88" s="327">
        <f>'Haver Pivoted'!HG31</f>
        <v>2929.7</v>
      </c>
      <c r="W88" s="327">
        <f>'Haver Pivoted'!HH31</f>
        <v>2930.1</v>
      </c>
      <c r="X88" s="327">
        <f>'Haver Pivoted'!HI31</f>
        <v>2927.1</v>
      </c>
      <c r="Y88" s="656"/>
      <c r="Z88" s="656"/>
      <c r="AA88" s="656"/>
      <c r="AB88" s="656"/>
      <c r="AC88" s="699"/>
      <c r="AD88" s="699"/>
      <c r="AE88" s="699"/>
      <c r="AF88" s="699"/>
      <c r="AG88" s="469"/>
    </row>
    <row r="89" spans="2:33" ht="25.75" customHeight="1" x14ac:dyDescent="0.35">
      <c r="B89" s="443" t="s">
        <v>1929</v>
      </c>
      <c r="C89" s="202"/>
      <c r="D89" s="674">
        <f>D90+D91</f>
        <v>812.1</v>
      </c>
      <c r="E89" s="411">
        <f>E90+E91</f>
        <v>832.4</v>
      </c>
      <c r="F89" s="411">
        <f>F90+F91</f>
        <v>843</v>
      </c>
      <c r="G89" s="411">
        <f t="shared" ref="G89:N89" si="28">G90+G91</f>
        <v>848.9</v>
      </c>
      <c r="H89" s="411">
        <f t="shared" si="28"/>
        <v>854.6</v>
      </c>
      <c r="I89" s="411">
        <f t="shared" si="28"/>
        <v>875.94174999999996</v>
      </c>
      <c r="J89" s="411">
        <f t="shared" si="28"/>
        <v>3140.0887499999999</v>
      </c>
      <c r="K89" s="411">
        <f t="shared" si="28"/>
        <v>1866.1377500000001</v>
      </c>
      <c r="L89" s="411">
        <f t="shared" si="28"/>
        <v>1314.69775</v>
      </c>
      <c r="M89" s="411">
        <f t="shared" si="28"/>
        <v>3522.1777499999998</v>
      </c>
      <c r="N89" s="411">
        <f t="shared" si="28"/>
        <v>1820.5125900000003</v>
      </c>
      <c r="O89" s="411">
        <f>O90+O91</f>
        <v>1547.208243333333</v>
      </c>
      <c r="P89" s="411">
        <f t="shared" ref="P89" si="29">P90+P91</f>
        <v>1369.7290833333329</v>
      </c>
      <c r="Q89" s="411">
        <f t="shared" ref="Q89" si="30">Q90+Q91</f>
        <v>1218.1737499999999</v>
      </c>
      <c r="R89" s="411">
        <f t="shared" ref="R89" si="31">R90+R91</f>
        <v>1201.89975</v>
      </c>
      <c r="S89" s="641">
        <f>S90+S91</f>
        <v>1182.4037500000002</v>
      </c>
      <c r="T89" s="641">
        <f t="shared" ref="T89" si="32">T90+T91</f>
        <v>1190.2397500000002</v>
      </c>
      <c r="U89" s="641">
        <f t="shared" ref="U89" si="33">U90+U91</f>
        <v>1104.87175</v>
      </c>
      <c r="V89" s="641">
        <f>V90+V91</f>
        <v>1082.2533214285713</v>
      </c>
      <c r="W89" s="641">
        <f>W90+W91</f>
        <v>1086.5843214285715</v>
      </c>
      <c r="X89" s="641">
        <f>X90+X91</f>
        <v>1060.1577500000001</v>
      </c>
      <c r="Y89" s="413"/>
      <c r="Z89" s="413"/>
      <c r="AA89" s="413"/>
      <c r="AB89" s="413"/>
      <c r="AC89" s="413"/>
      <c r="AD89" s="413"/>
      <c r="AE89" s="413"/>
      <c r="AF89" s="413"/>
      <c r="AG89" s="469"/>
    </row>
    <row r="90" spans="2:33" ht="25.75" customHeight="1" x14ac:dyDescent="0.35">
      <c r="B90" s="385" t="s">
        <v>1927</v>
      </c>
      <c r="C90" s="202"/>
      <c r="D90" s="674">
        <f t="shared" ref="D90:V90" si="34">D14+D17+D27</f>
        <v>812.1</v>
      </c>
      <c r="E90" s="674">
        <f t="shared" si="34"/>
        <v>832.4</v>
      </c>
      <c r="F90" s="411">
        <f t="shared" si="34"/>
        <v>843</v>
      </c>
      <c r="G90" s="411">
        <f t="shared" si="34"/>
        <v>848.9</v>
      </c>
      <c r="H90" s="411">
        <f t="shared" si="34"/>
        <v>854.6</v>
      </c>
      <c r="I90" s="411">
        <f t="shared" si="34"/>
        <v>869.3</v>
      </c>
      <c r="J90" s="411">
        <f t="shared" si="34"/>
        <v>1792.5</v>
      </c>
      <c r="K90" s="411">
        <f t="shared" si="34"/>
        <v>1655.6000000000001</v>
      </c>
      <c r="L90" s="411">
        <f t="shared" si="34"/>
        <v>1188.2</v>
      </c>
      <c r="M90" s="411">
        <f t="shared" si="34"/>
        <v>1467.3000000000002</v>
      </c>
      <c r="N90" s="411">
        <f t="shared" si="34"/>
        <v>1351.8000000000002</v>
      </c>
      <c r="O90" s="411">
        <f t="shared" si="34"/>
        <v>1328.333333333333</v>
      </c>
      <c r="P90" s="411">
        <f t="shared" si="34"/>
        <v>1157.333333333333</v>
      </c>
      <c r="Q90" s="411">
        <f t="shared" si="34"/>
        <v>1038.7</v>
      </c>
      <c r="R90" s="411">
        <f t="shared" si="34"/>
        <v>1040.4000000000001</v>
      </c>
      <c r="S90" s="641">
        <f t="shared" si="34"/>
        <v>1041.1000000000001</v>
      </c>
      <c r="T90" s="641">
        <f t="shared" si="34"/>
        <v>1050.6000000000001</v>
      </c>
      <c r="U90" s="641">
        <f t="shared" si="34"/>
        <v>994.1</v>
      </c>
      <c r="V90" s="641">
        <f t="shared" si="34"/>
        <v>998.52857142857135</v>
      </c>
      <c r="W90" s="641">
        <f>W14+W17+W27</f>
        <v>1002.9285714285713</v>
      </c>
      <c r="X90" s="641">
        <f>X14+X17+X27</f>
        <v>1008</v>
      </c>
      <c r="Y90" s="413"/>
      <c r="Z90" s="413"/>
      <c r="AA90" s="413"/>
      <c r="AB90" s="413"/>
      <c r="AC90" s="413"/>
      <c r="AD90" s="413"/>
      <c r="AE90" s="413"/>
      <c r="AF90" s="413"/>
      <c r="AG90" s="413"/>
    </row>
    <row r="91" spans="2:33" ht="36" customHeight="1" x14ac:dyDescent="0.35">
      <c r="B91" s="385" t="s">
        <v>1928</v>
      </c>
      <c r="C91" s="202"/>
      <c r="D91" s="411">
        <f t="shared" ref="D91:U91" si="35">D18+D21+D24+D25+D26+D28+D32</f>
        <v>0</v>
      </c>
      <c r="E91" s="411">
        <f t="shared" si="35"/>
        <v>0</v>
      </c>
      <c r="F91" s="411">
        <f t="shared" si="35"/>
        <v>0</v>
      </c>
      <c r="G91" s="411">
        <f t="shared" si="35"/>
        <v>0</v>
      </c>
      <c r="H91" s="411">
        <f t="shared" si="35"/>
        <v>0</v>
      </c>
      <c r="I91" s="411">
        <f t="shared" si="35"/>
        <v>6.6417500000000018</v>
      </c>
      <c r="J91" s="411">
        <f t="shared" si="35"/>
        <v>1347.5887500000001</v>
      </c>
      <c r="K91" s="411">
        <f t="shared" si="35"/>
        <v>210.53775000000002</v>
      </c>
      <c r="L91" s="411">
        <f t="shared" si="35"/>
        <v>126.49775</v>
      </c>
      <c r="M91" s="411">
        <f t="shared" si="35"/>
        <v>2054.8777499999997</v>
      </c>
      <c r="N91" s="411">
        <f t="shared" si="35"/>
        <v>468.71259000000009</v>
      </c>
      <c r="O91" s="411">
        <f t="shared" si="35"/>
        <v>218.87491000000009</v>
      </c>
      <c r="P91" s="411">
        <f t="shared" si="35"/>
        <v>212.39574999999999</v>
      </c>
      <c r="Q91" s="411">
        <f t="shared" si="35"/>
        <v>179.47375</v>
      </c>
      <c r="R91" s="411">
        <f t="shared" si="35"/>
        <v>161.49975000000001</v>
      </c>
      <c r="S91" s="411">
        <f t="shared" si="35"/>
        <v>141.30375000000001</v>
      </c>
      <c r="T91" s="411">
        <f t="shared" si="35"/>
        <v>139.63974999999999</v>
      </c>
      <c r="U91" s="411">
        <f t="shared" si="35"/>
        <v>110.77174999999998</v>
      </c>
      <c r="V91" s="411">
        <f>V18+V21+V24+V25+V26+V28+V32</f>
        <v>83.72475</v>
      </c>
      <c r="W91" s="411">
        <f t="shared" ref="W91:AG91" si="36">W18+W21+W24+W25+W26+W28+W32</f>
        <v>83.655750000000012</v>
      </c>
      <c r="X91" s="413">
        <f t="shared" si="36"/>
        <v>52.15775</v>
      </c>
      <c r="Y91" s="413">
        <f t="shared" si="36"/>
        <v>52.15775</v>
      </c>
      <c r="Z91" s="413">
        <f t="shared" si="36"/>
        <v>52.15775</v>
      </c>
      <c r="AA91" s="413">
        <f t="shared" si="36"/>
        <v>52.15775</v>
      </c>
      <c r="AB91" s="413">
        <f t="shared" si="36"/>
        <v>51.986750000000001</v>
      </c>
      <c r="AC91" s="413">
        <f t="shared" si="36"/>
        <v>51.986750000000001</v>
      </c>
      <c r="AD91" s="413">
        <f t="shared" si="36"/>
        <v>51.986750000000001</v>
      </c>
      <c r="AE91" s="413">
        <f t="shared" si="36"/>
        <v>51.986750000000001</v>
      </c>
      <c r="AF91" s="413">
        <f t="shared" si="36"/>
        <v>33.906750000000002</v>
      </c>
      <c r="AG91" s="413">
        <f t="shared" si="36"/>
        <v>31.745750000000001</v>
      </c>
    </row>
    <row r="92" spans="2:33" ht="25.75" customHeight="1" x14ac:dyDescent="0.35">
      <c r="B92" s="443" t="s">
        <v>804</v>
      </c>
      <c r="C92" s="202"/>
      <c r="D92" s="641">
        <f t="shared" ref="D92:U92" si="37">D88-D89</f>
        <v>1410.9</v>
      </c>
      <c r="E92" s="641">
        <f t="shared" si="37"/>
        <v>1471.1999999999998</v>
      </c>
      <c r="F92" s="641">
        <f t="shared" si="37"/>
        <v>1477.1</v>
      </c>
      <c r="G92" s="641">
        <f t="shared" si="37"/>
        <v>1484</v>
      </c>
      <c r="H92" s="641">
        <f t="shared" si="37"/>
        <v>1492</v>
      </c>
      <c r="I92" s="641">
        <f t="shared" si="37"/>
        <v>1536.65825</v>
      </c>
      <c r="J92" s="641">
        <f t="shared" si="37"/>
        <v>1512.0112500000005</v>
      </c>
      <c r="K92" s="641">
        <f t="shared" si="37"/>
        <v>1641.8622499999999</v>
      </c>
      <c r="L92" s="641">
        <f t="shared" si="37"/>
        <v>1580.70225</v>
      </c>
      <c r="M92" s="641">
        <f t="shared" si="37"/>
        <v>1605.2222499999998</v>
      </c>
      <c r="N92" s="641">
        <f t="shared" si="37"/>
        <v>1583.2874099999999</v>
      </c>
      <c r="O92" s="641">
        <f t="shared" si="37"/>
        <v>1587.791756666667</v>
      </c>
      <c r="P92" s="641">
        <f t="shared" si="37"/>
        <v>1577.9709166666669</v>
      </c>
      <c r="Q92" s="641">
        <f t="shared" si="37"/>
        <v>1685.0262499999999</v>
      </c>
      <c r="R92" s="641">
        <f t="shared" si="37"/>
        <v>1693.3002499999998</v>
      </c>
      <c r="S92" s="641">
        <f t="shared" si="37"/>
        <v>1684.9962499999999</v>
      </c>
      <c r="T92" s="641">
        <f t="shared" si="37"/>
        <v>1706.4602499999996</v>
      </c>
      <c r="U92" s="641">
        <f t="shared" si="37"/>
        <v>1840.9282500000002</v>
      </c>
      <c r="V92" s="641">
        <f>V88-V89</f>
        <v>1847.4466785714285</v>
      </c>
      <c r="W92" s="641">
        <f>W88-W89</f>
        <v>1843.5156785714285</v>
      </c>
      <c r="X92" s="641">
        <f>X88-X89</f>
        <v>1866.9422499999998</v>
      </c>
      <c r="Y92" s="413"/>
      <c r="Z92" s="413"/>
      <c r="AA92" s="413"/>
      <c r="AB92" s="413"/>
      <c r="AC92" s="413"/>
      <c r="AD92" s="413"/>
      <c r="AE92" s="413"/>
      <c r="AF92" s="413"/>
      <c r="AG92" s="469"/>
    </row>
    <row r="93" spans="2:33" ht="20.5" customHeight="1" x14ac:dyDescent="0.35">
      <c r="B93" s="657" t="s">
        <v>805</v>
      </c>
      <c r="C93" s="658"/>
      <c r="D93" s="664">
        <f t="shared" ref="D93:I93" si="38">D12-D14-D17-D27</f>
        <v>1410.9</v>
      </c>
      <c r="E93" s="624">
        <f t="shared" si="38"/>
        <v>1471.1999999999998</v>
      </c>
      <c r="F93" s="624">
        <f t="shared" si="38"/>
        <v>1477.1000000000001</v>
      </c>
      <c r="G93" s="624">
        <f t="shared" si="38"/>
        <v>1484</v>
      </c>
      <c r="H93" s="624">
        <f t="shared" si="38"/>
        <v>1492</v>
      </c>
      <c r="I93" s="624">
        <f t="shared" si="38"/>
        <v>1543.2999999999997</v>
      </c>
      <c r="J93" s="665">
        <f>I93+($H$93-$E$93)/3</f>
        <v>1550.2333333333331</v>
      </c>
      <c r="K93" s="665">
        <f>J93+($H$93-$E$93)/3</f>
        <v>1557.1666666666665</v>
      </c>
      <c r="L93" s="665">
        <f>K93+($H$93-$E$93)/3</f>
        <v>1564.1</v>
      </c>
      <c r="M93" s="666">
        <f>L93+($H$93-$E$93)/3 +(M97-L97)</f>
        <v>1588.5533333333333</v>
      </c>
      <c r="N93" s="665">
        <f>M93+($H$93-$E$93)/3</f>
        <v>1595.4866666666667</v>
      </c>
      <c r="O93" s="665">
        <f>N93+($H$93-$E$93)/3</f>
        <v>1602.42</v>
      </c>
      <c r="P93" s="665">
        <f>O93+($H$93-$E$93)/3</f>
        <v>1609.3533333333335</v>
      </c>
      <c r="Q93" s="666">
        <f>P93+($H$93-$E$93)/3 + 0.06*Q97</f>
        <v>1688.207466666667</v>
      </c>
      <c r="R93" s="665">
        <f>Q93+($H$93-$E$93)/3</f>
        <v>1695.1408000000004</v>
      </c>
      <c r="S93" s="665">
        <f>R93+($H$93-$E$93)/3</f>
        <v>1702.0741333333337</v>
      </c>
      <c r="T93" s="665">
        <f>S93+($H$93-$E$93)/3</f>
        <v>1709.0074666666671</v>
      </c>
      <c r="U93" s="665">
        <f>T93+U94</f>
        <v>1822.5884450000005</v>
      </c>
      <c r="V93" s="665">
        <f>U93+V94</f>
        <v>1829.5217783333339</v>
      </c>
      <c r="W93" s="624">
        <f t="shared" ref="W93:AC93" si="39">V93+W94</f>
        <v>1836.4551116666673</v>
      </c>
      <c r="X93" s="659">
        <f t="shared" si="39"/>
        <v>1843.3884450000007</v>
      </c>
      <c r="Y93" s="659">
        <f t="shared" si="39"/>
        <v>1895.9995490853341</v>
      </c>
      <c r="Z93" s="659">
        <f t="shared" si="39"/>
        <v>1902.9328824186675</v>
      </c>
      <c r="AA93" s="659">
        <f t="shared" si="39"/>
        <v>1909.8662157520009</v>
      </c>
      <c r="AB93" s="659">
        <f t="shared" si="39"/>
        <v>1916.7995490853343</v>
      </c>
      <c r="AC93" s="659">
        <f t="shared" si="39"/>
        <v>1958.1841737944117</v>
      </c>
      <c r="AD93" s="659">
        <f t="shared" ref="AD93" si="40">AC93+AD94</f>
        <v>1965.1175071277451</v>
      </c>
      <c r="AE93" s="659">
        <f t="shared" ref="AE93" si="41">AD93+AE94</f>
        <v>1972.0508404610785</v>
      </c>
      <c r="AF93" s="659">
        <f t="shared" ref="AF93" si="42">AE93+AF94</f>
        <v>1978.9841737944118</v>
      </c>
      <c r="AG93" s="465"/>
    </row>
    <row r="94" spans="2:33" ht="20.5" customHeight="1" x14ac:dyDescent="0.35">
      <c r="B94" s="660" t="s">
        <v>1866</v>
      </c>
      <c r="C94" s="202"/>
      <c r="D94" s="674"/>
      <c r="E94" s="411"/>
      <c r="F94" s="411"/>
      <c r="G94" s="411"/>
      <c r="H94" s="411"/>
      <c r="I94" s="411"/>
      <c r="J94" s="642"/>
      <c r="K94" s="642"/>
      <c r="L94" s="642"/>
      <c r="M94" s="667"/>
      <c r="N94" s="642"/>
      <c r="O94" s="642"/>
      <c r="P94" s="642"/>
      <c r="Q94" s="667"/>
      <c r="R94" s="642"/>
      <c r="S94" s="642"/>
      <c r="T94" s="642"/>
      <c r="U94" s="642">
        <f>U95+U96</f>
        <v>113.58097833333339</v>
      </c>
      <c r="V94" s="642">
        <f>V95+V96</f>
        <v>6.933333333333394</v>
      </c>
      <c r="W94" s="642">
        <f>W95+W96</f>
        <v>6.933333333333394</v>
      </c>
      <c r="X94" s="413">
        <f t="shared" ref="X94:AC94" si="43">X95+X100*X97</f>
        <v>6.933333333333394</v>
      </c>
      <c r="Y94" s="413">
        <f t="shared" si="43"/>
        <v>52.611104085333402</v>
      </c>
      <c r="Z94" s="413">
        <f t="shared" si="43"/>
        <v>6.933333333333394</v>
      </c>
      <c r="AA94" s="413">
        <f t="shared" si="43"/>
        <v>6.933333333333394</v>
      </c>
      <c r="AB94" s="413">
        <f t="shared" si="43"/>
        <v>6.933333333333394</v>
      </c>
      <c r="AC94" s="413">
        <f t="shared" si="43"/>
        <v>41.384624709077393</v>
      </c>
      <c r="AD94" s="413">
        <f t="shared" ref="AD94:AF94" si="44">AD95+AD100*AD97</f>
        <v>6.933333333333394</v>
      </c>
      <c r="AE94" s="413">
        <f t="shared" si="44"/>
        <v>6.933333333333394</v>
      </c>
      <c r="AF94" s="413">
        <f t="shared" si="44"/>
        <v>6.933333333333394</v>
      </c>
      <c r="AG94" s="469"/>
    </row>
    <row r="95" spans="2:33" ht="28.4" customHeight="1" x14ac:dyDescent="0.35">
      <c r="B95" s="661" t="s">
        <v>1863</v>
      </c>
      <c r="C95" s="202"/>
      <c r="D95" s="674"/>
      <c r="E95" s="411"/>
      <c r="F95" s="411"/>
      <c r="G95" s="411"/>
      <c r="H95" s="411"/>
      <c r="I95" s="411"/>
      <c r="J95" s="642"/>
      <c r="K95" s="642"/>
      <c r="L95" s="642"/>
      <c r="M95" s="667"/>
      <c r="N95" s="642"/>
      <c r="O95" s="642"/>
      <c r="P95" s="642"/>
      <c r="Q95" s="667"/>
      <c r="R95" s="642"/>
      <c r="S95" s="642"/>
      <c r="T95" s="642"/>
      <c r="U95" s="642">
        <f>($H$93-$E$93)/3</f>
        <v>6.933333333333394</v>
      </c>
      <c r="V95" s="642">
        <f>($H$93-$E$93)/3</f>
        <v>6.933333333333394</v>
      </c>
      <c r="W95" s="642">
        <f>($H$93-$E$93)/3</f>
        <v>6.933333333333394</v>
      </c>
      <c r="X95" s="413">
        <f t="shared" ref="X95:AC95" si="45">W95</f>
        <v>6.933333333333394</v>
      </c>
      <c r="Y95" s="413">
        <f t="shared" si="45"/>
        <v>6.933333333333394</v>
      </c>
      <c r="Z95" s="413">
        <f t="shared" si="45"/>
        <v>6.933333333333394</v>
      </c>
      <c r="AA95" s="413">
        <f t="shared" si="45"/>
        <v>6.933333333333394</v>
      </c>
      <c r="AB95" s="413">
        <f t="shared" si="45"/>
        <v>6.933333333333394</v>
      </c>
      <c r="AC95" s="413">
        <f t="shared" si="45"/>
        <v>6.933333333333394</v>
      </c>
      <c r="AD95" s="413">
        <f t="shared" ref="AD95" si="46">AC95</f>
        <v>6.933333333333394</v>
      </c>
      <c r="AE95" s="413">
        <f t="shared" ref="AE95" si="47">AD95</f>
        <v>6.933333333333394</v>
      </c>
      <c r="AF95" s="413">
        <f t="shared" ref="AF95" si="48">AE95</f>
        <v>6.933333333333394</v>
      </c>
      <c r="AG95" s="469"/>
    </row>
    <row r="96" spans="2:33" ht="30.65" customHeight="1" x14ac:dyDescent="0.35">
      <c r="B96" s="662" t="s">
        <v>1864</v>
      </c>
      <c r="C96" s="663"/>
      <c r="D96" s="668"/>
      <c r="E96" s="625"/>
      <c r="F96" s="625"/>
      <c r="G96" s="625"/>
      <c r="H96" s="625"/>
      <c r="I96" s="625"/>
      <c r="J96" s="669"/>
      <c r="K96" s="669"/>
      <c r="L96" s="669"/>
      <c r="M96" s="670"/>
      <c r="N96" s="669"/>
      <c r="O96" s="669"/>
      <c r="P96" s="669"/>
      <c r="Q96" s="670"/>
      <c r="R96" s="669"/>
      <c r="S96" s="669"/>
      <c r="T96" s="669"/>
      <c r="U96" s="669">
        <f>U100*T97</f>
        <v>106.647645</v>
      </c>
      <c r="V96" s="669">
        <f>V100*U97</f>
        <v>0</v>
      </c>
      <c r="W96" s="625">
        <f t="shared" ref="W96:AC96" si="49">W100*V97</f>
        <v>0</v>
      </c>
      <c r="X96" s="671">
        <f t="shared" si="49"/>
        <v>0</v>
      </c>
      <c r="Y96" s="671">
        <f>Y100*X97</f>
        <v>43.982336000000004</v>
      </c>
      <c r="Z96" s="671">
        <f t="shared" si="49"/>
        <v>0</v>
      </c>
      <c r="AA96" s="671">
        <f t="shared" si="49"/>
        <v>0</v>
      </c>
      <c r="AB96" s="671">
        <f t="shared" si="49"/>
        <v>0</v>
      </c>
      <c r="AC96" s="671">
        <f t="shared" si="49"/>
        <v>33.451897728000006</v>
      </c>
      <c r="AD96" s="671">
        <f t="shared" ref="AD96" si="50">AD100*AC97</f>
        <v>0</v>
      </c>
      <c r="AE96" s="671">
        <f t="shared" ref="AE96" si="51">AE100*AD97</f>
        <v>0</v>
      </c>
      <c r="AF96" s="671">
        <f t="shared" ref="AF96" si="52">AF100*AE97</f>
        <v>0</v>
      </c>
      <c r="AG96" s="469"/>
    </row>
    <row r="97" spans="2:33" ht="17.5" customHeight="1" x14ac:dyDescent="0.35">
      <c r="B97" s="246" t="s">
        <v>475</v>
      </c>
      <c r="C97" s="202" t="s">
        <v>476</v>
      </c>
      <c r="D97" s="674">
        <f>'Haver Pivoted'!GO88/1000</f>
        <v>983.86099999999999</v>
      </c>
      <c r="E97" s="411">
        <f>'Haver Pivoted'!GP88/1000</f>
        <v>1019.17</v>
      </c>
      <c r="F97" s="411">
        <f>'Haver Pivoted'!GQ88/1000</f>
        <v>1026.74</v>
      </c>
      <c r="G97" s="411">
        <f>'Haver Pivoted'!GR88/1000</f>
        <v>1034.364</v>
      </c>
      <c r="H97" s="411">
        <f>'Haver Pivoted'!GS88/1000</f>
        <v>1042.6969999999999</v>
      </c>
      <c r="I97" s="411">
        <f>'Haver Pivoted'!GT88/1000</f>
        <v>1068.172</v>
      </c>
      <c r="J97" s="411">
        <f>'Haver Pivoted'!GU88/1000</f>
        <v>1075.0809999999999</v>
      </c>
      <c r="K97" s="411">
        <f>'Haver Pivoted'!GV88/1000</f>
        <v>1080.296</v>
      </c>
      <c r="L97" s="411">
        <f>'Haver Pivoted'!GW88/1000</f>
        <v>1088.164</v>
      </c>
      <c r="M97" s="411">
        <f>'Haver Pivoted'!GX88/1000</f>
        <v>1105.684</v>
      </c>
      <c r="N97" s="411">
        <f>'Haver Pivoted'!GY88/1000</f>
        <v>1109.6220000000001</v>
      </c>
      <c r="O97" s="411">
        <f>'Haver Pivoted'!GZ88/1000</f>
        <v>1116.8399999999999</v>
      </c>
      <c r="P97" s="411">
        <f>'Haver Pivoted'!HA88/1000</f>
        <v>1126.2539999999999</v>
      </c>
      <c r="Q97" s="411">
        <f>'Haver Pivoted'!HB88/1000</f>
        <v>1198.68</v>
      </c>
      <c r="R97" s="411">
        <f>'Haver Pivoted'!HC88/1000</f>
        <v>1207.049</v>
      </c>
      <c r="S97" s="641">
        <f>'Haver Pivoted'!HD88/1000</f>
        <v>1214.451</v>
      </c>
      <c r="T97" s="641">
        <f>'Haver Pivoted'!HE88/1000</f>
        <v>1225.835</v>
      </c>
      <c r="U97" s="641">
        <f>'Haver Pivoted'!HF88/1000</f>
        <v>1339.9770000000001</v>
      </c>
      <c r="V97" s="641">
        <f>'Haver Pivoted'!HG88/1000</f>
        <v>1353.758</v>
      </c>
      <c r="W97" s="641">
        <f>'Haver Pivoted'!HH88/1000</f>
        <v>1361.2850000000001</v>
      </c>
      <c r="X97" s="641">
        <f>'Haver Pivoted'!HI88/1000</f>
        <v>1374.4480000000001</v>
      </c>
      <c r="Y97" s="413">
        <f t="shared" ref="Y97:AC97" si="53">X97+Y98</f>
        <v>1427.4303360000001</v>
      </c>
      <c r="Z97" s="413">
        <f t="shared" si="53"/>
        <v>1436.4303360000001</v>
      </c>
      <c r="AA97" s="413">
        <f t="shared" si="53"/>
        <v>1445.4303360000001</v>
      </c>
      <c r="AB97" s="413">
        <f t="shared" si="53"/>
        <v>1454.4303360000001</v>
      </c>
      <c r="AC97" s="413">
        <f t="shared" si="53"/>
        <v>1497.8822337280001</v>
      </c>
      <c r="AD97" s="413">
        <f t="shared" ref="AD97" si="54">AC97+AD98</f>
        <v>1507.8822337280001</v>
      </c>
      <c r="AE97" s="413">
        <f t="shared" ref="AE97" si="55">AD97+AE98</f>
        <v>1517.8822337280001</v>
      </c>
      <c r="AF97" s="413">
        <f t="shared" ref="AF97" si="56">AE97+AF98</f>
        <v>1527.8822337280001</v>
      </c>
      <c r="AG97" s="469"/>
    </row>
    <row r="98" spans="2:33" ht="17.5" customHeight="1" x14ac:dyDescent="0.35">
      <c r="B98" s="385" t="s">
        <v>1865</v>
      </c>
      <c r="C98" s="202"/>
      <c r="D98" s="674"/>
      <c r="E98" s="411"/>
      <c r="F98" s="411"/>
      <c r="G98" s="411"/>
      <c r="H98" s="411"/>
      <c r="I98" s="411"/>
      <c r="J98" s="411"/>
      <c r="K98" s="411"/>
      <c r="L98" s="411"/>
      <c r="M98" s="411"/>
      <c r="N98" s="411"/>
      <c r="O98" s="411"/>
      <c r="P98" s="411"/>
      <c r="Q98" s="411"/>
      <c r="R98" s="411"/>
      <c r="S98" s="641"/>
      <c r="T98" s="641"/>
      <c r="U98" s="641">
        <f>U96+U99</f>
        <v>114.647645</v>
      </c>
      <c r="V98" s="411">
        <f>V96+V99</f>
        <v>8</v>
      </c>
      <c r="W98" s="411">
        <f t="shared" ref="W98:AC98" si="57">W96+W99</f>
        <v>11</v>
      </c>
      <c r="X98" s="413">
        <f>X96+X99</f>
        <v>14</v>
      </c>
      <c r="Y98" s="413">
        <f>Y96+Y99</f>
        <v>52.982336000000004</v>
      </c>
      <c r="Z98" s="413">
        <f t="shared" si="57"/>
        <v>9</v>
      </c>
      <c r="AA98" s="413">
        <f t="shared" si="57"/>
        <v>9</v>
      </c>
      <c r="AB98" s="413">
        <f t="shared" si="57"/>
        <v>9</v>
      </c>
      <c r="AC98" s="413">
        <f t="shared" si="57"/>
        <v>43.451897728000006</v>
      </c>
      <c r="AD98" s="413">
        <f t="shared" ref="AD98:AF98" si="58">AD96+AD99</f>
        <v>10</v>
      </c>
      <c r="AE98" s="413">
        <f t="shared" si="58"/>
        <v>10</v>
      </c>
      <c r="AF98" s="413">
        <f t="shared" si="58"/>
        <v>10</v>
      </c>
      <c r="AG98" s="469"/>
    </row>
    <row r="99" spans="2:33" ht="17.5" customHeight="1" x14ac:dyDescent="0.35">
      <c r="B99" s="376" t="s">
        <v>1868</v>
      </c>
      <c r="C99" s="202"/>
      <c r="D99" s="674"/>
      <c r="E99" s="411"/>
      <c r="F99" s="641"/>
      <c r="G99" s="641"/>
      <c r="H99" s="641"/>
      <c r="I99" s="641"/>
      <c r="J99" s="641"/>
      <c r="K99" s="641"/>
      <c r="L99" s="641"/>
      <c r="M99" s="641"/>
      <c r="N99" s="641"/>
      <c r="O99" s="641"/>
      <c r="P99" s="641"/>
      <c r="Q99" s="641"/>
      <c r="R99" s="641"/>
      <c r="S99" s="641"/>
      <c r="T99" s="641"/>
      <c r="U99" s="641">
        <v>8</v>
      </c>
      <c r="V99" s="411">
        <v>8</v>
      </c>
      <c r="W99" s="411">
        <v>11</v>
      </c>
      <c r="X99" s="413">
        <v>14</v>
      </c>
      <c r="Y99" s="413">
        <v>9</v>
      </c>
      <c r="Z99" s="413">
        <v>9</v>
      </c>
      <c r="AA99" s="413">
        <v>9</v>
      </c>
      <c r="AB99" s="413">
        <v>9</v>
      </c>
      <c r="AC99" s="413">
        <v>10</v>
      </c>
      <c r="AD99" s="413">
        <v>10</v>
      </c>
      <c r="AE99" s="413">
        <v>10</v>
      </c>
      <c r="AF99" s="413">
        <v>10</v>
      </c>
      <c r="AG99" s="469"/>
    </row>
    <row r="100" spans="2:33" ht="39" customHeight="1" x14ac:dyDescent="0.35">
      <c r="B100" s="376" t="s">
        <v>1869</v>
      </c>
      <c r="C100" s="202"/>
      <c r="D100" s="674"/>
      <c r="E100" s="411"/>
      <c r="F100" s="411"/>
      <c r="G100" s="411"/>
      <c r="H100" s="411"/>
      <c r="I100" s="625"/>
      <c r="J100" s="625"/>
      <c r="K100" s="625"/>
      <c r="L100" s="625"/>
      <c r="M100" s="625"/>
      <c r="N100" s="625"/>
      <c r="O100" s="625"/>
      <c r="P100" s="625"/>
      <c r="Q100" s="625"/>
      <c r="R100" s="625"/>
      <c r="S100" s="672"/>
      <c r="T100" s="672"/>
      <c r="U100" s="643">
        <v>8.6999999999999994E-2</v>
      </c>
      <c r="V100" s="626">
        <v>0</v>
      </c>
      <c r="W100" s="626">
        <v>0</v>
      </c>
      <c r="X100" s="673">
        <v>0</v>
      </c>
      <c r="Y100" s="673">
        <v>3.2000000000000001E-2</v>
      </c>
      <c r="Z100" s="673">
        <v>0</v>
      </c>
      <c r="AA100" s="673">
        <v>0</v>
      </c>
      <c r="AB100" s="673">
        <v>0</v>
      </c>
      <c r="AC100" s="673">
        <v>2.3E-2</v>
      </c>
      <c r="AD100" s="673">
        <v>0</v>
      </c>
      <c r="AE100" s="673">
        <v>0</v>
      </c>
      <c r="AF100" s="673">
        <v>0</v>
      </c>
      <c r="AG100" s="469"/>
    </row>
    <row r="101" spans="2:33" ht="49.75" customHeight="1" x14ac:dyDescent="0.35">
      <c r="B101" s="443" t="s">
        <v>1437</v>
      </c>
      <c r="C101" s="202"/>
      <c r="D101" s="674">
        <f t="shared" ref="D101:T101" si="59">D92-D93</f>
        <v>0</v>
      </c>
      <c r="E101" s="411">
        <f t="shared" si="59"/>
        <v>0</v>
      </c>
      <c r="F101" s="411">
        <f t="shared" si="59"/>
        <v>0</v>
      </c>
      <c r="G101" s="411">
        <f t="shared" si="59"/>
        <v>0</v>
      </c>
      <c r="H101" s="411">
        <f t="shared" si="59"/>
        <v>0</v>
      </c>
      <c r="I101" s="411">
        <f t="shared" si="59"/>
        <v>-6.6417499999997744</v>
      </c>
      <c r="J101" s="411">
        <f t="shared" si="59"/>
        <v>-38.222083333332648</v>
      </c>
      <c r="K101" s="411">
        <f t="shared" si="59"/>
        <v>84.695583333333389</v>
      </c>
      <c r="L101" s="411">
        <f t="shared" si="59"/>
        <v>16.60225000000014</v>
      </c>
      <c r="M101" s="411">
        <f t="shared" si="59"/>
        <v>16.668916666666519</v>
      </c>
      <c r="N101" s="411">
        <f t="shared" si="59"/>
        <v>-12.19925666666677</v>
      </c>
      <c r="O101" s="411">
        <f t="shared" si="59"/>
        <v>-14.628243333333103</v>
      </c>
      <c r="P101" s="411">
        <f t="shared" si="59"/>
        <v>-31.382416666666586</v>
      </c>
      <c r="Q101" s="411">
        <f t="shared" si="59"/>
        <v>-3.1812166666670691</v>
      </c>
      <c r="R101" s="411">
        <f t="shared" si="59"/>
        <v>-1.8405500000005759</v>
      </c>
      <c r="S101" s="641">
        <f t="shared" si="59"/>
        <v>-17.07788333333383</v>
      </c>
      <c r="T101" s="641">
        <f t="shared" si="59"/>
        <v>-2.5472166666675093</v>
      </c>
      <c r="U101" s="641">
        <f>U92-U93</f>
        <v>18.339804999999615</v>
      </c>
      <c r="V101" s="641">
        <f>V92-V93</f>
        <v>17.924900238094551</v>
      </c>
      <c r="W101" s="641">
        <f>W92-W93</f>
        <v>7.0605669047611173</v>
      </c>
      <c r="X101" s="641">
        <f>X92-X93</f>
        <v>23.553804999999102</v>
      </c>
      <c r="Y101" s="413">
        <f t="shared" ref="Y101:AC101" si="60">X101</f>
        <v>23.553804999999102</v>
      </c>
      <c r="Z101" s="413">
        <f t="shared" si="60"/>
        <v>23.553804999999102</v>
      </c>
      <c r="AA101" s="413">
        <f t="shared" si="60"/>
        <v>23.553804999999102</v>
      </c>
      <c r="AB101" s="413">
        <f t="shared" si="60"/>
        <v>23.553804999999102</v>
      </c>
      <c r="AC101" s="413">
        <f t="shared" si="60"/>
        <v>23.553804999999102</v>
      </c>
      <c r="AD101" s="413">
        <f t="shared" ref="AD101" si="61">AC101</f>
        <v>23.553804999999102</v>
      </c>
      <c r="AE101" s="413">
        <f t="shared" ref="AE101" si="62">AD101</f>
        <v>23.553804999999102</v>
      </c>
      <c r="AF101" s="413">
        <f t="shared" ref="AF101" si="63">AE101</f>
        <v>23.553804999999102</v>
      </c>
      <c r="AG101" s="465"/>
    </row>
    <row r="102" spans="2:33" ht="29.5" customHeight="1" x14ac:dyDescent="0.35">
      <c r="B102" s="245"/>
      <c r="C102" s="202"/>
      <c r="D102" s="186"/>
      <c r="E102" s="186"/>
      <c r="F102" s="186"/>
      <c r="G102" s="186"/>
      <c r="H102" s="186"/>
      <c r="I102" s="186"/>
      <c r="J102" s="186"/>
      <c r="K102" s="186"/>
      <c r="L102" s="186"/>
      <c r="M102" s="186"/>
      <c r="N102" s="186"/>
      <c r="O102" s="186"/>
      <c r="P102" s="186"/>
      <c r="Q102" s="186"/>
      <c r="R102" s="186"/>
      <c r="S102" s="186"/>
      <c r="T102" s="186"/>
      <c r="U102" s="186"/>
      <c r="V102" s="186"/>
      <c r="W102" s="186"/>
      <c r="X102" s="186"/>
      <c r="Y102" s="186"/>
      <c r="Z102" s="186"/>
      <c r="AA102" s="186"/>
      <c r="AB102" s="186"/>
      <c r="AC102" s="186"/>
    </row>
    <row r="103" spans="2:33" ht="16.75" customHeight="1" x14ac:dyDescent="0.35">
      <c r="B103" s="202"/>
      <c r="C103" s="202"/>
      <c r="S103" s="517"/>
      <c r="T103" s="517"/>
      <c r="U103" s="202"/>
      <c r="V103" s="202"/>
      <c r="W103" s="202"/>
      <c r="X103" s="202"/>
      <c r="Y103" s="202"/>
      <c r="Z103" s="202"/>
      <c r="AA103" s="202"/>
      <c r="AB103" s="202"/>
      <c r="AC103" s="202"/>
    </row>
    <row r="104" spans="2:33" ht="16.75" customHeight="1" x14ac:dyDescent="0.35">
      <c r="B104" s="202"/>
      <c r="C104" s="202"/>
      <c r="S104" s="186"/>
      <c r="T104" s="186"/>
      <c r="U104" s="202"/>
      <c r="V104" s="202"/>
      <c r="W104" s="202"/>
      <c r="X104" s="202"/>
      <c r="Y104" s="202"/>
      <c r="Z104" s="202"/>
      <c r="AA104" s="202"/>
      <c r="AB104" s="202"/>
      <c r="AC104" s="202"/>
    </row>
    <row r="105" spans="2:33" ht="16.75" customHeight="1" x14ac:dyDescent="0.35">
      <c r="B105" s="202"/>
      <c r="C105" s="202"/>
      <c r="S105" s="186"/>
      <c r="T105" s="186"/>
      <c r="U105" s="202"/>
      <c r="V105" s="202"/>
      <c r="W105" s="202"/>
      <c r="X105" s="202"/>
      <c r="Y105" s="202"/>
      <c r="Z105" s="202"/>
      <c r="AA105" s="202"/>
      <c r="AB105" s="202"/>
      <c r="AC105" s="202"/>
    </row>
    <row r="106" spans="2:33" ht="16.75" customHeight="1" x14ac:dyDescent="0.35">
      <c r="B106" s="202"/>
      <c r="C106" s="202"/>
      <c r="S106" s="186"/>
      <c r="T106" s="186"/>
      <c r="U106" s="411"/>
      <c r="V106" s="411"/>
      <c r="W106" s="411"/>
      <c r="X106" s="411"/>
      <c r="Y106" s="411"/>
      <c r="Z106" s="411"/>
      <c r="AA106" s="411"/>
      <c r="AB106" s="411"/>
      <c r="AC106" s="411"/>
      <c r="AD106" s="481"/>
    </row>
    <row r="107" spans="2:33" ht="16.75" customHeight="1" x14ac:dyDescent="0.35">
      <c r="B107" s="434"/>
      <c r="C107" s="202"/>
      <c r="S107" s="186"/>
      <c r="T107" s="186"/>
      <c r="U107" s="186"/>
      <c r="V107" s="186"/>
      <c r="W107" s="186"/>
      <c r="X107" s="186"/>
      <c r="Y107" s="186"/>
      <c r="Z107" s="186"/>
      <c r="AA107" s="186"/>
      <c r="AB107" s="186"/>
      <c r="AC107" s="186"/>
      <c r="AD107" s="481"/>
    </row>
    <row r="108" spans="2:33" ht="16.75" customHeight="1" x14ac:dyDescent="0.35">
      <c r="B108" s="434"/>
      <c r="C108" s="202"/>
      <c r="S108" s="186"/>
      <c r="T108" s="186"/>
      <c r="U108" s="186"/>
      <c r="V108" s="186"/>
      <c r="W108" s="186"/>
      <c r="X108" s="186"/>
      <c r="Y108" s="186"/>
      <c r="Z108" s="186"/>
      <c r="AA108" s="186"/>
      <c r="AB108" s="186"/>
      <c r="AC108" s="186"/>
      <c r="AD108" s="481"/>
    </row>
    <row r="109" spans="2:33" ht="16.75" customHeight="1" x14ac:dyDescent="0.35">
      <c r="B109" s="434"/>
      <c r="C109" s="202"/>
      <c r="S109" s="186"/>
      <c r="T109" s="186"/>
      <c r="U109" s="186"/>
      <c r="V109" s="186"/>
      <c r="W109" s="186"/>
      <c r="X109" s="186"/>
      <c r="Y109" s="186"/>
      <c r="Z109" s="186"/>
      <c r="AA109" s="186"/>
      <c r="AB109" s="186"/>
      <c r="AC109" s="186"/>
      <c r="AD109" s="481"/>
    </row>
    <row r="110" spans="2:33" ht="16.75" customHeight="1" x14ac:dyDescent="0.35">
      <c r="B110" s="202"/>
      <c r="C110" s="202"/>
      <c r="S110" s="202"/>
      <c r="T110" s="202"/>
      <c r="U110" s="411"/>
      <c r="V110" s="411"/>
      <c r="W110" s="411"/>
      <c r="X110" s="411"/>
      <c r="Y110" s="411"/>
      <c r="Z110" s="411"/>
      <c r="AA110" s="411"/>
      <c r="AB110" s="411"/>
      <c r="AC110" s="411"/>
      <c r="AD110" s="481"/>
    </row>
    <row r="111" spans="2:33" ht="16.75" customHeight="1" x14ac:dyDescent="0.35">
      <c r="B111" s="434"/>
      <c r="C111" s="202"/>
      <c r="S111" s="202"/>
      <c r="T111" s="202"/>
      <c r="U111" s="411"/>
      <c r="V111" s="411"/>
      <c r="W111" s="411"/>
      <c r="X111" s="411"/>
      <c r="Y111" s="411"/>
      <c r="Z111" s="411"/>
      <c r="AA111" s="411"/>
      <c r="AB111" s="411"/>
      <c r="AC111" s="411"/>
      <c r="AD111" s="481"/>
    </row>
    <row r="112" spans="2:33" ht="16.75" customHeight="1" x14ac:dyDescent="0.35">
      <c r="B112" s="434"/>
      <c r="C112" s="202"/>
      <c r="S112" s="202"/>
      <c r="T112" s="202"/>
      <c r="U112" s="186"/>
      <c r="V112" s="186"/>
      <c r="W112" s="186"/>
      <c r="X112" s="186"/>
      <c r="Y112" s="186"/>
      <c r="Z112" s="186"/>
      <c r="AA112" s="186"/>
      <c r="AB112" s="186"/>
      <c r="AC112" s="186"/>
      <c r="AD112" s="481"/>
    </row>
    <row r="113" spans="2:30" ht="16.75" customHeight="1" x14ac:dyDescent="0.35">
      <c r="B113" s="434"/>
      <c r="C113" s="202"/>
      <c r="S113" s="202"/>
      <c r="T113" s="202"/>
      <c r="U113" s="644"/>
      <c r="V113" s="644"/>
      <c r="W113" s="644"/>
      <c r="X113" s="644"/>
      <c r="Y113" s="644"/>
      <c r="Z113" s="644"/>
      <c r="AA113" s="644"/>
      <c r="AB113" s="644"/>
      <c r="AC113" s="644"/>
      <c r="AD113" s="481"/>
    </row>
    <row r="114" spans="2:30" ht="16.75" customHeight="1" x14ac:dyDescent="0.35">
      <c r="B114" s="202"/>
      <c r="C114" s="202"/>
      <c r="S114" s="186"/>
      <c r="T114" s="186"/>
      <c r="U114" s="186"/>
      <c r="V114" s="186"/>
      <c r="W114" s="186"/>
      <c r="X114" s="186"/>
      <c r="Y114" s="186"/>
      <c r="Z114" s="186"/>
      <c r="AA114" s="186"/>
      <c r="AB114" s="186"/>
      <c r="AC114" s="186"/>
      <c r="AD114" s="481"/>
    </row>
    <row r="115" spans="2:30" ht="22.5" customHeight="1" x14ac:dyDescent="0.35">
      <c r="B115" s="245"/>
      <c r="C115" s="202"/>
      <c r="D115" s="186"/>
      <c r="E115" s="186"/>
      <c r="F115" s="186"/>
      <c r="G115" s="186"/>
      <c r="H115" s="186"/>
      <c r="I115" s="186"/>
      <c r="J115" s="186"/>
      <c r="K115" s="186"/>
      <c r="L115" s="186"/>
      <c r="M115" s="186"/>
      <c r="N115" s="186"/>
      <c r="O115" s="186"/>
      <c r="P115" s="186"/>
      <c r="Q115" s="186"/>
      <c r="R115" s="186"/>
      <c r="S115" s="186"/>
      <c r="T115" s="186"/>
      <c r="U115" s="186"/>
      <c r="V115" s="186"/>
      <c r="W115" s="186"/>
      <c r="X115" s="186"/>
      <c r="Y115" s="186"/>
      <c r="Z115" s="186"/>
      <c r="AA115" s="186"/>
      <c r="AB115" s="186"/>
      <c r="AC115" s="186"/>
    </row>
    <row r="116" spans="2:30" ht="22.5" customHeight="1" x14ac:dyDescent="0.35">
      <c r="B116" s="245"/>
      <c r="C116" s="202"/>
      <c r="D116" s="186"/>
      <c r="E116" s="186"/>
      <c r="F116" s="186"/>
      <c r="G116" s="186"/>
      <c r="H116" s="186"/>
      <c r="I116" s="186"/>
      <c r="J116" s="186"/>
      <c r="K116" s="186"/>
      <c r="L116" s="186"/>
      <c r="M116" s="186"/>
      <c r="N116" s="186"/>
      <c r="O116" s="186"/>
      <c r="P116" s="186"/>
      <c r="Q116" s="186"/>
      <c r="R116" s="186"/>
      <c r="S116" s="186"/>
      <c r="T116" s="186"/>
      <c r="U116" s="186"/>
      <c r="V116" s="186"/>
      <c r="W116" s="186"/>
      <c r="X116" s="186"/>
      <c r="Y116" s="186"/>
      <c r="Z116" s="186"/>
      <c r="AA116" s="186"/>
      <c r="AB116" s="186"/>
      <c r="AC116" s="186"/>
    </row>
    <row r="117" spans="2:30" ht="38.5" customHeight="1" x14ac:dyDescent="0.35">
      <c r="B117" s="452"/>
      <c r="C117" s="676">
        <v>2022</v>
      </c>
      <c r="D117" s="677">
        <v>2023</v>
      </c>
      <c r="E117" s="677">
        <v>2024</v>
      </c>
      <c r="F117" s="678">
        <v>2025</v>
      </c>
      <c r="G117" s="186">
        <v>2026</v>
      </c>
      <c r="H117" s="186"/>
      <c r="I117" s="186"/>
      <c r="J117" s="186"/>
      <c r="K117" s="186"/>
      <c r="L117" s="186"/>
      <c r="M117" s="186"/>
      <c r="N117" s="186"/>
      <c r="O117" s="186"/>
      <c r="P117" s="186"/>
      <c r="Q117" s="186"/>
      <c r="R117" s="186"/>
      <c r="S117" s="186"/>
      <c r="T117" s="186"/>
      <c r="U117" s="186"/>
      <c r="V117" s="186"/>
      <c r="W117" s="186"/>
      <c r="X117" s="186"/>
      <c r="Y117" s="186"/>
      <c r="Z117" s="186"/>
      <c r="AA117" s="186"/>
      <c r="AB117" s="186"/>
      <c r="AC117" s="186"/>
    </row>
    <row r="118" spans="2:30" ht="38.5" customHeight="1" x14ac:dyDescent="0.35">
      <c r="B118" s="490" t="s">
        <v>1862</v>
      </c>
      <c r="C118" s="228">
        <v>1212.4870000000001</v>
      </c>
      <c r="D118" s="228">
        <v>1344.7529999999999</v>
      </c>
      <c r="E118" s="228">
        <v>1456.7</v>
      </c>
      <c r="F118" s="228">
        <v>1553.5309999999999</v>
      </c>
      <c r="G118" s="228">
        <v>1643.9870000000001</v>
      </c>
      <c r="H118" s="186"/>
      <c r="I118" s="186"/>
      <c r="J118" s="186"/>
      <c r="K118" s="186"/>
      <c r="L118" s="186"/>
      <c r="M118" s="186"/>
      <c r="N118" s="186"/>
      <c r="O118" s="186"/>
      <c r="P118" s="186"/>
      <c r="Q118" s="186"/>
      <c r="R118" s="186"/>
      <c r="S118" s="186"/>
      <c r="T118" s="186"/>
      <c r="U118" s="186"/>
      <c r="V118" s="186"/>
      <c r="W118" s="186"/>
      <c r="X118" s="186"/>
      <c r="Y118" s="186"/>
      <c r="Z118" s="186"/>
      <c r="AA118" s="186"/>
      <c r="AB118" s="186"/>
      <c r="AC118" s="186"/>
    </row>
    <row r="119" spans="2:30" ht="69" customHeight="1" x14ac:dyDescent="0.35">
      <c r="B119" s="245"/>
      <c r="C119" s="202"/>
      <c r="D119" s="186"/>
      <c r="E119" s="186"/>
      <c r="F119" s="186"/>
      <c r="G119" s="186"/>
      <c r="H119" s="186"/>
      <c r="I119" s="186"/>
      <c r="J119" s="186"/>
      <c r="K119" s="186"/>
      <c r="L119" s="186"/>
      <c r="M119" s="186"/>
      <c r="N119" s="186"/>
      <c r="O119" s="186"/>
      <c r="P119" s="186"/>
      <c r="Q119" s="186"/>
      <c r="R119" s="186"/>
      <c r="S119" s="186"/>
      <c r="T119" s="186"/>
      <c r="U119" s="186"/>
      <c r="V119" s="186"/>
      <c r="W119" s="186"/>
      <c r="X119" s="186"/>
      <c r="Y119" s="186"/>
      <c r="Z119" s="186"/>
      <c r="AA119" s="186"/>
      <c r="AB119" s="186"/>
      <c r="AC119" s="186"/>
    </row>
    <row r="120" spans="2:30" x14ac:dyDescent="0.35">
      <c r="B120" s="77" t="s">
        <v>1436</v>
      </c>
      <c r="D120" s="202"/>
      <c r="E120" s="202"/>
      <c r="F120" s="202"/>
      <c r="G120" s="202"/>
      <c r="H120" s="202"/>
      <c r="I120" s="202"/>
      <c r="J120" s="202"/>
      <c r="K120" s="202"/>
      <c r="L120" s="202"/>
      <c r="M120" s="186"/>
      <c r="N120" s="186"/>
      <c r="O120" s="186"/>
      <c r="P120" s="202"/>
    </row>
    <row r="121" spans="2:30" x14ac:dyDescent="0.35">
      <c r="B121" s="527" t="s">
        <v>811</v>
      </c>
      <c r="C121" s="688"/>
      <c r="D121" s="691">
        <v>2021</v>
      </c>
      <c r="E121" s="691">
        <v>2022</v>
      </c>
      <c r="F121" s="691">
        <v>2023</v>
      </c>
      <c r="G121" s="692">
        <v>2024</v>
      </c>
      <c r="R121" s="481"/>
    </row>
    <row r="122" spans="2:30" x14ac:dyDescent="0.35">
      <c r="B122" s="593" t="s">
        <v>812</v>
      </c>
      <c r="C122" s="698"/>
      <c r="D122" s="685">
        <v>3605.8330000000001</v>
      </c>
      <c r="E122" s="685">
        <v>2900</v>
      </c>
      <c r="F122" s="685">
        <f>E122*1.02</f>
        <v>2958</v>
      </c>
      <c r="G122" s="686">
        <f>F122*1.06</f>
        <v>3135.48</v>
      </c>
    </row>
    <row r="123" spans="2:30" x14ac:dyDescent="0.35">
      <c r="B123" s="593" t="s">
        <v>815</v>
      </c>
      <c r="C123" s="687"/>
      <c r="D123" s="680">
        <f>AVERAGE(Medicare!L10:O10)</f>
        <v>858.02499999999998</v>
      </c>
      <c r="E123" s="680">
        <f>AVERAGE(Medicare!P10:S10)</f>
        <v>917.59999999999991</v>
      </c>
      <c r="F123" s="680">
        <f>AVERAGE(Medicare!T10:W10)</f>
        <v>940.125</v>
      </c>
      <c r="G123" s="696">
        <f>AVERAGE(Medicare!X10:AA10)</f>
        <v>958.77633570435523</v>
      </c>
    </row>
    <row r="124" spans="2:30" ht="13.4" customHeight="1" x14ac:dyDescent="0.35">
      <c r="B124" s="593" t="s">
        <v>813</v>
      </c>
      <c r="C124" s="687"/>
      <c r="D124" s="680">
        <f>D122-D123</f>
        <v>2747.808</v>
      </c>
      <c r="E124" s="680">
        <f t="shared" ref="E124:G124" si="64">E122-E123</f>
        <v>1982.4</v>
      </c>
      <c r="F124" s="680">
        <f t="shared" si="64"/>
        <v>2017.875</v>
      </c>
      <c r="G124" s="696">
        <f t="shared" si="64"/>
        <v>2176.7036642956446</v>
      </c>
    </row>
    <row r="125" spans="2:30" x14ac:dyDescent="0.35">
      <c r="B125" s="593" t="s">
        <v>816</v>
      </c>
      <c r="C125" s="687"/>
      <c r="D125" s="680">
        <f>AVERAGE(L12:O12)</f>
        <v>3640.3999999999996</v>
      </c>
      <c r="E125" s="680">
        <f>AVERAGE(P12:S12)</f>
        <v>2903.3749999999995</v>
      </c>
      <c r="F125" s="680">
        <f>AVERAGE(T12:W12)</f>
        <v>2925.5750000000003</v>
      </c>
      <c r="G125" s="696">
        <f>AVERAGE(X12:AA12)</f>
        <v>2969.8018423397839</v>
      </c>
    </row>
    <row r="126" spans="2:30" x14ac:dyDescent="0.35">
      <c r="B126" s="593" t="s">
        <v>815</v>
      </c>
      <c r="C126" s="687"/>
      <c r="D126" s="680">
        <f>AVERAGE(Medicare!L10:O10)</f>
        <v>858.02499999999998</v>
      </c>
      <c r="E126" s="680">
        <f>AVERAGE(Medicare!P10:S10)</f>
        <v>917.59999999999991</v>
      </c>
      <c r="F126" s="680">
        <f>AVERAGE(Medicare!T10:W10)</f>
        <v>940.125</v>
      </c>
      <c r="G126" s="696">
        <f>AVERAGE(Medicare!X10:AA10)</f>
        <v>958.77633570435523</v>
      </c>
    </row>
    <row r="127" spans="2:30" x14ac:dyDescent="0.35">
      <c r="B127" s="593" t="s">
        <v>535</v>
      </c>
      <c r="C127" s="687"/>
      <c r="D127" s="680">
        <f>AVERAGE(L31:O31)</f>
        <v>1587.6399999999999</v>
      </c>
      <c r="E127" s="680">
        <f>AVERAGE(P31:S31)</f>
        <v>1673.6939333333335</v>
      </c>
      <c r="F127" s="680">
        <f>AVERAGE(T31:W31)</f>
        <v>1799.3932004166672</v>
      </c>
      <c r="G127" s="696">
        <f>AVERAGE(X31:AA31)</f>
        <v>1888.0467730640009</v>
      </c>
    </row>
    <row r="128" spans="2:30" ht="27.65" customHeight="1" x14ac:dyDescent="0.35">
      <c r="B128" s="689" t="s">
        <v>814</v>
      </c>
      <c r="C128" s="316"/>
      <c r="D128" s="583"/>
      <c r="E128" s="693">
        <v>1.157</v>
      </c>
      <c r="F128" s="693">
        <v>1.0109999999999999</v>
      </c>
      <c r="G128" s="697">
        <v>1.0529999999999999</v>
      </c>
    </row>
    <row r="129" spans="2:7" x14ac:dyDescent="0.35">
      <c r="B129" s="202" t="s">
        <v>817</v>
      </c>
      <c r="D129" s="694">
        <f>D125-D122</f>
        <v>34.566999999999553</v>
      </c>
      <c r="E129" s="694">
        <f>E125-E122</f>
        <v>3.3749999999995453</v>
      </c>
      <c r="F129" s="694">
        <f>F125-F122</f>
        <v>-32.424999999999727</v>
      </c>
      <c r="G129" s="694">
        <f t="shared" ref="G129" si="65">G125-G122</f>
        <v>-165.67815766021613</v>
      </c>
    </row>
    <row r="131" spans="2:7" x14ac:dyDescent="0.35">
      <c r="B131" t="s">
        <v>812</v>
      </c>
      <c r="D131">
        <v>3605.8330000000001</v>
      </c>
      <c r="E131">
        <v>2832.5949999999998</v>
      </c>
      <c r="F131">
        <v>2833.72</v>
      </c>
      <c r="G131">
        <v>2976.7339999999999</v>
      </c>
    </row>
  </sheetData>
  <mergeCells count="34">
    <mergeCell ref="AC86:AF86"/>
    <mergeCell ref="AC75:AF75"/>
    <mergeCell ref="W74:AG74"/>
    <mergeCell ref="W85:AG85"/>
    <mergeCell ref="Q75:T75"/>
    <mergeCell ref="D74:V74"/>
    <mergeCell ref="D85:V85"/>
    <mergeCell ref="B60:C60"/>
    <mergeCell ref="B1:AC1"/>
    <mergeCell ref="B2:AC6"/>
    <mergeCell ref="E9:H9"/>
    <mergeCell ref="I9:L9"/>
    <mergeCell ref="Y9:AB9"/>
    <mergeCell ref="M9:P9"/>
    <mergeCell ref="Q9:T9"/>
    <mergeCell ref="P8:V8"/>
    <mergeCell ref="AC9:AF9"/>
    <mergeCell ref="W8:AG8"/>
    <mergeCell ref="U67:X69"/>
    <mergeCell ref="Y86:AB86"/>
    <mergeCell ref="B11:C11"/>
    <mergeCell ref="B73:AC73"/>
    <mergeCell ref="B74:C76"/>
    <mergeCell ref="E75:H75"/>
    <mergeCell ref="I75:L75"/>
    <mergeCell ref="B35:C35"/>
    <mergeCell ref="Y75:AB75"/>
    <mergeCell ref="B85:C87"/>
    <mergeCell ref="E86:H86"/>
    <mergeCell ref="I86:L86"/>
    <mergeCell ref="M75:P75"/>
    <mergeCell ref="M86:P86"/>
    <mergeCell ref="Q86:T86"/>
    <mergeCell ref="B43:C43"/>
  </mergeCells>
  <pageMargins left="0.7" right="0.7" top="0.75" bottom="0.75" header="0.3" footer="0.3"/>
  <pageSetup paperSize="9" orientation="portrait" horizontalDpi="300" verticalDpi="300"/>
  <drawing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W139"/>
  <sheetViews>
    <sheetView zoomScale="85" zoomScaleNormal="85" workbookViewId="0">
      <pane xSplit="2" ySplit="11" topLeftCell="Q12" activePane="bottomRight" state="frozen"/>
      <selection pane="topRight" activeCell="C1" sqref="C1"/>
      <selection pane="bottomLeft" activeCell="A12" sqref="A12"/>
      <selection pane="bottomRight" activeCell="C18" sqref="C18"/>
    </sheetView>
  </sheetViews>
  <sheetFormatPr defaultColWidth="10.90625" defaultRowHeight="14.5" outlineLevelRow="1" x14ac:dyDescent="0.35"/>
  <cols>
    <col min="2" max="2" width="71.1796875" customWidth="1"/>
    <col min="4" max="6" width="12.1796875" customWidth="1"/>
    <col min="7" max="7" width="10.453125" customWidth="1"/>
    <col min="8" max="8" width="12.1796875" customWidth="1"/>
    <col min="9" max="9" width="12" customWidth="1"/>
    <col min="10" max="29" width="13.26953125" customWidth="1"/>
  </cols>
  <sheetData>
    <row r="1" spans="1:29" ht="18" customHeight="1" x14ac:dyDescent="0.35">
      <c r="B1" s="1393" t="s">
        <v>465</v>
      </c>
      <c r="C1" s="1393"/>
      <c r="D1" s="1393"/>
      <c r="E1" s="1393"/>
      <c r="F1" s="1393"/>
      <c r="G1" s="1393"/>
      <c r="H1" s="1393"/>
      <c r="I1" s="1393"/>
      <c r="J1" s="1393"/>
      <c r="K1" s="1393"/>
      <c r="L1" s="1393"/>
      <c r="M1" s="1393"/>
      <c r="N1" s="1393"/>
      <c r="O1" s="1393"/>
      <c r="P1" s="1393"/>
      <c r="Q1" s="1393"/>
      <c r="R1" s="1393"/>
      <c r="S1" s="1393"/>
      <c r="T1" s="1393"/>
      <c r="U1" s="1393"/>
      <c r="V1" s="1393"/>
      <c r="W1" s="1393"/>
      <c r="X1" s="1393"/>
      <c r="Y1" s="1393"/>
      <c r="Z1" s="1393"/>
      <c r="AA1" s="1393"/>
      <c r="AB1" s="1393"/>
      <c r="AC1" s="1393"/>
    </row>
    <row r="2" spans="1:29" ht="34.5" hidden="1" customHeight="1" outlineLevel="1" x14ac:dyDescent="0.35">
      <c r="B2" s="1293" t="s">
        <v>864</v>
      </c>
      <c r="C2" s="1330"/>
      <c r="D2" s="1330"/>
      <c r="E2" s="1330"/>
      <c r="F2" s="1330"/>
      <c r="G2" s="1330"/>
      <c r="H2" s="1330"/>
      <c r="I2" s="1330"/>
      <c r="J2" s="1330"/>
      <c r="K2" s="1330"/>
      <c r="L2" s="1330"/>
      <c r="M2" s="1330"/>
      <c r="N2" s="1330"/>
      <c r="O2" s="1330"/>
      <c r="P2" s="1330"/>
      <c r="Q2" s="1330"/>
      <c r="R2" s="1330"/>
      <c r="S2" s="1330"/>
      <c r="T2" s="1330"/>
      <c r="U2" s="1330"/>
      <c r="V2" s="1330"/>
      <c r="W2" s="1330"/>
      <c r="X2" s="1330"/>
      <c r="Y2" s="1330"/>
      <c r="Z2" s="1330"/>
      <c r="AA2" s="1330"/>
      <c r="AB2" s="1330"/>
      <c r="AC2" s="1330"/>
    </row>
    <row r="3" spans="1:29" ht="3" hidden="1" customHeight="1" outlineLevel="1" x14ac:dyDescent="0.35">
      <c r="B3" s="1330"/>
      <c r="C3" s="1330"/>
      <c r="D3" s="1330"/>
      <c r="E3" s="1330"/>
      <c r="F3" s="1330"/>
      <c r="G3" s="1330"/>
      <c r="H3" s="1330"/>
      <c r="I3" s="1330"/>
      <c r="J3" s="1330"/>
      <c r="K3" s="1330"/>
      <c r="L3" s="1330"/>
      <c r="M3" s="1330"/>
      <c r="N3" s="1330"/>
      <c r="O3" s="1330"/>
      <c r="P3" s="1330"/>
      <c r="Q3" s="1330"/>
      <c r="R3" s="1330"/>
      <c r="S3" s="1330"/>
      <c r="T3" s="1330"/>
      <c r="U3" s="1330"/>
      <c r="V3" s="1330"/>
      <c r="W3" s="1330"/>
      <c r="X3" s="1330"/>
      <c r="Y3" s="1330"/>
      <c r="Z3" s="1330"/>
      <c r="AA3" s="1330"/>
      <c r="AB3" s="1330"/>
      <c r="AC3" s="1330"/>
    </row>
    <row r="4" spans="1:29" ht="10.4" hidden="1" customHeight="1" outlineLevel="1" x14ac:dyDescent="0.35">
      <c r="B4" s="1330"/>
      <c r="C4" s="1330"/>
      <c r="D4" s="1330"/>
      <c r="E4" s="1330"/>
      <c r="F4" s="1330"/>
      <c r="G4" s="1330"/>
      <c r="H4" s="1330"/>
      <c r="I4" s="1330"/>
      <c r="J4" s="1330"/>
      <c r="K4" s="1330"/>
      <c r="L4" s="1330"/>
      <c r="M4" s="1330"/>
      <c r="N4" s="1330"/>
      <c r="O4" s="1330"/>
      <c r="P4" s="1330"/>
      <c r="Q4" s="1330"/>
      <c r="R4" s="1330"/>
      <c r="S4" s="1330"/>
      <c r="T4" s="1330"/>
      <c r="U4" s="1330"/>
      <c r="V4" s="1330"/>
      <c r="W4" s="1330"/>
      <c r="X4" s="1330"/>
      <c r="Y4" s="1330"/>
      <c r="Z4" s="1330"/>
      <c r="AA4" s="1330"/>
      <c r="AB4" s="1330"/>
      <c r="AC4" s="1330"/>
    </row>
    <row r="5" spans="1:29" ht="14.25" hidden="1" customHeight="1" outlineLevel="1" x14ac:dyDescent="0.35">
      <c r="B5" s="1330"/>
      <c r="C5" s="1330"/>
      <c r="D5" s="1330"/>
      <c r="E5" s="1330"/>
      <c r="F5" s="1330"/>
      <c r="G5" s="1330"/>
      <c r="H5" s="1330"/>
      <c r="I5" s="1330"/>
      <c r="J5" s="1330"/>
      <c r="K5" s="1330"/>
      <c r="L5" s="1330"/>
      <c r="M5" s="1330"/>
      <c r="N5" s="1330"/>
      <c r="O5" s="1330"/>
      <c r="P5" s="1330"/>
      <c r="Q5" s="1330"/>
      <c r="R5" s="1330"/>
      <c r="S5" s="1330"/>
      <c r="T5" s="1330"/>
      <c r="U5" s="1330"/>
      <c r="V5" s="1330"/>
      <c r="W5" s="1330"/>
      <c r="X5" s="1330"/>
      <c r="Y5" s="1330"/>
      <c r="Z5" s="1330"/>
      <c r="AA5" s="1330"/>
      <c r="AB5" s="1330"/>
      <c r="AC5" s="1330"/>
    </row>
    <row r="6" spans="1:29" ht="14.25" hidden="1" customHeight="1" outlineLevel="1" x14ac:dyDescent="0.35">
      <c r="B6" s="1330"/>
      <c r="C6" s="1330"/>
      <c r="D6" s="1330"/>
      <c r="E6" s="1330"/>
      <c r="F6" s="1330"/>
      <c r="G6" s="1330"/>
      <c r="H6" s="1330"/>
      <c r="I6" s="1330"/>
      <c r="J6" s="1330"/>
      <c r="K6" s="1330"/>
      <c r="L6" s="1330"/>
      <c r="M6" s="1330"/>
      <c r="N6" s="1330"/>
      <c r="O6" s="1330"/>
      <c r="P6" s="1330"/>
      <c r="Q6" s="1330"/>
      <c r="R6" s="1330"/>
      <c r="S6" s="1330"/>
      <c r="T6" s="1330"/>
      <c r="U6" s="1330"/>
      <c r="V6" s="1330"/>
      <c r="W6" s="1330"/>
      <c r="X6" s="1330"/>
      <c r="Y6" s="1330"/>
      <c r="Z6" s="1330"/>
      <c r="AA6" s="1330"/>
      <c r="AB6" s="1330"/>
      <c r="AC6" s="1330"/>
    </row>
    <row r="7" spans="1:29" x14ac:dyDescent="0.35">
      <c r="B7" s="690" t="s">
        <v>333</v>
      </c>
      <c r="C7" s="227"/>
      <c r="D7" s="227"/>
      <c r="E7" s="227"/>
      <c r="F7" s="227"/>
      <c r="G7" s="227"/>
      <c r="H7" s="228"/>
      <c r="I7" s="228"/>
      <c r="J7" s="228"/>
      <c r="K7" s="228"/>
      <c r="L7" s="228"/>
      <c r="M7" s="228"/>
      <c r="N7" s="228"/>
      <c r="O7" s="228"/>
      <c r="P7" s="228"/>
      <c r="Q7" s="228"/>
      <c r="R7" s="228"/>
      <c r="S7" s="228"/>
      <c r="T7" s="228"/>
      <c r="U7" s="228"/>
    </row>
    <row r="8" spans="1:29" ht="14.9" customHeight="1" x14ac:dyDescent="0.35">
      <c r="B8" s="649" t="s">
        <v>304</v>
      </c>
      <c r="C8" s="650"/>
      <c r="D8" s="653" t="s">
        <v>280</v>
      </c>
      <c r="E8" s="654"/>
      <c r="F8" s="654"/>
      <c r="G8" s="654"/>
      <c r="H8" s="654"/>
      <c r="I8" s="654"/>
      <c r="J8" s="654"/>
      <c r="K8" s="654"/>
      <c r="L8" s="654"/>
      <c r="M8" s="654"/>
      <c r="N8" s="654"/>
      <c r="O8" s="654"/>
      <c r="P8" s="1313"/>
      <c r="Q8" s="1313"/>
      <c r="R8" s="1313"/>
      <c r="S8" s="1313"/>
      <c r="T8" s="1313"/>
      <c r="U8" s="1313"/>
      <c r="V8" s="1302"/>
      <c r="W8" s="1341" t="s">
        <v>281</v>
      </c>
      <c r="X8" s="1311"/>
      <c r="Y8" s="1311"/>
      <c r="Z8" s="1311"/>
      <c r="AA8" s="1311"/>
      <c r="AB8" s="1311"/>
      <c r="AC8" s="1342"/>
    </row>
    <row r="9" spans="1:29" ht="14.9" customHeight="1" x14ac:dyDescent="0.35">
      <c r="B9" s="651"/>
      <c r="C9" s="652"/>
      <c r="D9" s="142">
        <v>2018</v>
      </c>
      <c r="E9" s="1278">
        <v>2019</v>
      </c>
      <c r="F9" s="1306"/>
      <c r="G9" s="1306"/>
      <c r="H9" s="1307"/>
      <c r="I9" s="1278">
        <v>2020</v>
      </c>
      <c r="J9" s="1306"/>
      <c r="K9" s="1306"/>
      <c r="L9" s="1306"/>
      <c r="M9" s="1278">
        <v>2021</v>
      </c>
      <c r="N9" s="1306"/>
      <c r="O9" s="1306"/>
      <c r="P9" s="1306"/>
      <c r="Q9" s="1278">
        <v>2022</v>
      </c>
      <c r="R9" s="1279"/>
      <c r="S9" s="1279"/>
      <c r="T9" s="1307"/>
      <c r="U9" s="251"/>
      <c r="V9" s="251">
        <v>2023</v>
      </c>
      <c r="W9" s="518"/>
      <c r="X9" s="222"/>
      <c r="Y9" s="1303">
        <v>2024</v>
      </c>
      <c r="Z9" s="1315"/>
      <c r="AA9" s="1315"/>
      <c r="AB9" s="1305"/>
      <c r="AC9" s="213">
        <v>2025</v>
      </c>
    </row>
    <row r="10" spans="1:29" x14ac:dyDescent="0.35">
      <c r="B10" s="651"/>
      <c r="C10" s="652"/>
      <c r="D10" s="148" t="s">
        <v>282</v>
      </c>
      <c r="E10" s="148" t="s">
        <v>283</v>
      </c>
      <c r="F10" s="144" t="s">
        <v>284</v>
      </c>
      <c r="G10" s="144" t="s">
        <v>238</v>
      </c>
      <c r="H10" s="145" t="s">
        <v>282</v>
      </c>
      <c r="I10" s="144" t="s">
        <v>283</v>
      </c>
      <c r="J10" s="144" t="s">
        <v>284</v>
      </c>
      <c r="K10" s="144" t="s">
        <v>238</v>
      </c>
      <c r="L10" s="144" t="s">
        <v>282</v>
      </c>
      <c r="M10" s="148" t="s">
        <v>283</v>
      </c>
      <c r="N10" s="144" t="s">
        <v>284</v>
      </c>
      <c r="O10" s="144" t="s">
        <v>238</v>
      </c>
      <c r="P10" s="144" t="s">
        <v>282</v>
      </c>
      <c r="Q10" s="148" t="s">
        <v>283</v>
      </c>
      <c r="R10" s="144" t="s">
        <v>284</v>
      </c>
      <c r="S10" s="144" t="s">
        <v>238</v>
      </c>
      <c r="T10" s="145" t="s">
        <v>282</v>
      </c>
      <c r="U10" s="144" t="s">
        <v>283</v>
      </c>
      <c r="V10" s="249" t="s">
        <v>284</v>
      </c>
      <c r="W10" s="232" t="s">
        <v>238</v>
      </c>
      <c r="X10" s="233" t="s">
        <v>282</v>
      </c>
      <c r="Y10" s="231" t="s">
        <v>283</v>
      </c>
      <c r="Z10" s="229" t="s">
        <v>284</v>
      </c>
      <c r="AA10" s="232" t="s">
        <v>238</v>
      </c>
      <c r="AB10" s="232" t="s">
        <v>282</v>
      </c>
      <c r="AC10" s="234" t="s">
        <v>283</v>
      </c>
    </row>
    <row r="11" spans="1:29" ht="15" customHeight="1" x14ac:dyDescent="0.35">
      <c r="B11" s="1386" t="s">
        <v>466</v>
      </c>
      <c r="C11" s="1387"/>
      <c r="D11" s="620"/>
      <c r="E11" s="682"/>
      <c r="F11" s="682"/>
      <c r="G11" s="682"/>
      <c r="H11" s="270"/>
      <c r="I11" s="270"/>
      <c r="J11" s="270"/>
      <c r="K11" s="270"/>
      <c r="L11" s="270"/>
      <c r="M11" s="537"/>
      <c r="N11" s="537"/>
      <c r="O11" s="537"/>
      <c r="P11" s="270"/>
      <c r="Q11" s="270"/>
      <c r="R11" s="270"/>
      <c r="S11" s="270"/>
      <c r="T11" s="250"/>
      <c r="U11" s="270"/>
      <c r="V11" s="270"/>
      <c r="W11" s="181"/>
      <c r="X11" s="181"/>
      <c r="Y11" s="181"/>
      <c r="Z11" s="181"/>
      <c r="AA11" s="181"/>
      <c r="AB11" s="181"/>
      <c r="AC11" s="182"/>
    </row>
    <row r="12" spans="1:29" ht="17.149999999999999" customHeight="1" x14ac:dyDescent="0.35">
      <c r="A12" t="s">
        <v>1933</v>
      </c>
      <c r="B12" s="705" t="s">
        <v>467</v>
      </c>
      <c r="C12" s="202" t="s">
        <v>468</v>
      </c>
      <c r="D12" s="557">
        <f>'Haver Pivoted'!GO31</f>
        <v>2223</v>
      </c>
      <c r="E12" s="517">
        <f>'Haver Pivoted'!GP31</f>
        <v>2303.6</v>
      </c>
      <c r="F12" s="517">
        <f>'Haver Pivoted'!GQ31</f>
        <v>2320.1</v>
      </c>
      <c r="G12" s="517">
        <f>'Haver Pivoted'!GR31</f>
        <v>2332.9</v>
      </c>
      <c r="H12" s="517">
        <f>'Haver Pivoted'!GS31</f>
        <v>2346.6</v>
      </c>
      <c r="I12" s="517">
        <f>'Haver Pivoted'!GT31</f>
        <v>2412.6</v>
      </c>
      <c r="J12" s="517">
        <f>'Haver Pivoted'!GU31</f>
        <v>4652.1000000000004</v>
      </c>
      <c r="K12" s="517">
        <f>'Haver Pivoted'!GV31</f>
        <v>3508</v>
      </c>
      <c r="L12" s="517">
        <f>'Haver Pivoted'!GW31</f>
        <v>2895.4</v>
      </c>
      <c r="M12" s="517">
        <f>'Haver Pivoted'!GX31</f>
        <v>5127.3999999999996</v>
      </c>
      <c r="N12" s="517">
        <f>'Haver Pivoted'!GY31</f>
        <v>3403.8</v>
      </c>
      <c r="O12" s="517">
        <f>'Haver Pivoted'!GZ31</f>
        <v>3135</v>
      </c>
      <c r="P12" s="517">
        <f>'Haver Pivoted'!HA31</f>
        <v>2947.7</v>
      </c>
      <c r="Q12" s="517">
        <f>'Haver Pivoted'!HB31</f>
        <v>2903.2</v>
      </c>
      <c r="R12" s="517">
        <f>'Haver Pivoted'!HC31</f>
        <v>2895.2</v>
      </c>
      <c r="S12" s="520">
        <f>'Haver Pivoted'!HD31</f>
        <v>2867.4</v>
      </c>
      <c r="T12" s="520">
        <f>'Haver Pivoted'!HE31</f>
        <v>2896.7</v>
      </c>
      <c r="U12" s="520">
        <f>'Haver Pivoted'!HF31</f>
        <v>2945.8</v>
      </c>
      <c r="V12" s="520">
        <f>'Haver Pivoted'!HG31</f>
        <v>2929.7</v>
      </c>
      <c r="W12" s="633">
        <f t="shared" ref="W12:AC12" si="0">SUM(W14:W39)-W38</f>
        <v>3090.5375833333328</v>
      </c>
      <c r="X12" s="633">
        <f t="shared" si="0"/>
        <v>3095.0163452380957</v>
      </c>
      <c r="Y12" s="633">
        <f t="shared" si="0"/>
        <v>3150.7605275167475</v>
      </c>
      <c r="Z12" s="633">
        <f t="shared" si="0"/>
        <v>3164.5724207598919</v>
      </c>
      <c r="AA12" s="633">
        <f t="shared" si="0"/>
        <v>3177.7818111407832</v>
      </c>
      <c r="AB12" s="633">
        <f t="shared" si="0"/>
        <v>3211.3141690806015</v>
      </c>
      <c r="AC12" s="681">
        <f t="shared" si="0"/>
        <v>3275.8527321778329</v>
      </c>
    </row>
    <row r="13" spans="1:29" ht="15.65" customHeight="1" x14ac:dyDescent="0.35">
      <c r="A13" t="s">
        <v>1933</v>
      </c>
      <c r="B13" s="704" t="s">
        <v>801</v>
      </c>
      <c r="C13" s="202" t="s">
        <v>828</v>
      </c>
      <c r="D13" s="236">
        <v>30</v>
      </c>
      <c r="E13" s="190">
        <v>30</v>
      </c>
      <c r="F13" s="190">
        <v>30</v>
      </c>
      <c r="G13" s="190">
        <v>30</v>
      </c>
      <c r="H13" s="190">
        <v>30</v>
      </c>
      <c r="I13" s="190">
        <v>30</v>
      </c>
      <c r="J13" s="190">
        <v>30</v>
      </c>
      <c r="K13" s="185">
        <v>30.2</v>
      </c>
      <c r="L13" s="185">
        <v>30.2</v>
      </c>
      <c r="M13" s="185">
        <f>'Haver Pivoted'!GX89</f>
        <v>34.4</v>
      </c>
      <c r="N13" s="185">
        <f>'Haver Pivoted'!GY89</f>
        <v>34.4</v>
      </c>
      <c r="O13" s="185">
        <f>'Haver Pivoted'!GZ89</f>
        <v>218.933333333333</v>
      </c>
      <c r="P13" s="185">
        <f>'Haver Pivoted'!HA89</f>
        <v>223.13333333333301</v>
      </c>
      <c r="Q13" s="185">
        <f>'Haver Pivoted'!HB89</f>
        <v>94.3</v>
      </c>
      <c r="R13" s="185">
        <f>'Haver Pivoted'!HC89</f>
        <v>94.3</v>
      </c>
      <c r="S13" s="185">
        <f>'Haver Pivoted'!HD89</f>
        <v>94.3</v>
      </c>
      <c r="T13" s="185">
        <f>'Haver Pivoted'!HE89</f>
        <v>94.3</v>
      </c>
      <c r="U13" s="633">
        <v>34</v>
      </c>
      <c r="V13" s="517">
        <v>34</v>
      </c>
      <c r="W13" s="633">
        <v>34</v>
      </c>
      <c r="X13" s="633">
        <v>34</v>
      </c>
      <c r="Y13" s="633">
        <v>34</v>
      </c>
      <c r="Z13" s="633">
        <v>34</v>
      </c>
      <c r="AA13" s="633">
        <v>34</v>
      </c>
      <c r="AB13" s="633">
        <v>34</v>
      </c>
      <c r="AC13" s="681">
        <v>34</v>
      </c>
    </row>
    <row r="14" spans="1:29" ht="15" customHeight="1" x14ac:dyDescent="0.35">
      <c r="A14" t="s">
        <v>1930</v>
      </c>
      <c r="B14" s="627" t="s">
        <v>1922</v>
      </c>
      <c r="C14" s="202"/>
      <c r="D14" s="557">
        <f>'Unemployment Insurance'!D20+'Unemployment Insurance'!D19</f>
        <v>27.1</v>
      </c>
      <c r="E14" s="517">
        <f>'Unemployment Insurance'!E20+'Unemployment Insurance'!E19</f>
        <v>30.5</v>
      </c>
      <c r="F14" s="517">
        <f>'Unemployment Insurance'!F20+'Unemployment Insurance'!F19</f>
        <v>27.7</v>
      </c>
      <c r="G14" s="517">
        <f>'Unemployment Insurance'!G20+'Unemployment Insurance'!G19</f>
        <v>25</v>
      </c>
      <c r="H14" s="517">
        <f>'Unemployment Insurance'!H20+'Unemployment Insurance'!H19</f>
        <v>26.7</v>
      </c>
      <c r="I14" s="517">
        <f>'Unemployment Insurance'!I20+'Unemployment Insurance'!I19</f>
        <v>40.9</v>
      </c>
      <c r="J14" s="517">
        <f>'Unemployment Insurance'!J20+'Unemployment Insurance'!J19</f>
        <v>951.4</v>
      </c>
      <c r="K14" s="517">
        <f>'Unemployment Insurance'!K20+'Unemployment Insurance'!K19</f>
        <v>802.3</v>
      </c>
      <c r="L14" s="517">
        <f>'Unemployment Insurance'!L20+'Unemployment Insurance'!L19</f>
        <v>323.5</v>
      </c>
      <c r="M14" s="517">
        <f>'Unemployment Insurance'!M20+'Unemployment Insurance'!M19</f>
        <v>583.5</v>
      </c>
      <c r="N14" s="517">
        <f>'Unemployment Insurance'!N20+'Unemployment Insurance'!N19</f>
        <v>451.8</v>
      </c>
      <c r="O14" s="517">
        <f>'Unemployment Insurance'!O20+'Unemployment Insurance'!O19</f>
        <v>226.8</v>
      </c>
      <c r="P14" s="517">
        <f>'Unemployment Insurance'!P20+'Unemployment Insurance'!P19</f>
        <v>33.9</v>
      </c>
      <c r="Q14" s="517">
        <f>'Unemployment Insurance'!Q20+'Unemployment Insurance'!Q19</f>
        <v>26.2</v>
      </c>
      <c r="R14" s="517">
        <f>'Unemployment Insurance'!R20+'Unemployment Insurance'!R19</f>
        <v>21.4</v>
      </c>
      <c r="S14" s="517">
        <f>'Unemployment Insurance'!S20+'Unemployment Insurance'!S19</f>
        <v>19.600000000000001</v>
      </c>
      <c r="T14" s="517">
        <f>'Unemployment Insurance'!T20+'Unemployment Insurance'!T19</f>
        <v>22.1</v>
      </c>
      <c r="U14" s="517">
        <f>'Unemployment Insurance'!U20+'Unemployment Insurance'!U19</f>
        <v>22</v>
      </c>
      <c r="V14" s="701">
        <f>V15+V16</f>
        <v>22.62857142857143</v>
      </c>
      <c r="W14" s="633">
        <f>'Unemployment Insurance'!W20+'Unemployment Insurance'!W19</f>
        <v>22.62857142857143</v>
      </c>
      <c r="X14" s="633">
        <f>'Unemployment Insurance'!X20+'Unemployment Insurance'!X19</f>
        <v>22.7</v>
      </c>
      <c r="Y14" s="633">
        <f>'Unemployment Insurance'!Y20+'Unemployment Insurance'!Y19</f>
        <v>23.885714285714286</v>
      </c>
      <c r="Z14" s="633">
        <f>'Unemployment Insurance'!Z20+'Unemployment Insurance'!Z19</f>
        <v>25.771428571428572</v>
      </c>
      <c r="AA14" s="633">
        <f>'Unemployment Insurance'!AA20+'Unemployment Insurance'!AA19</f>
        <v>27.028571428571432</v>
      </c>
      <c r="AB14" s="633">
        <f>'Unemployment Insurance'!AB20+'Unemployment Insurance'!AB19</f>
        <v>28.285714285714292</v>
      </c>
      <c r="AC14" s="681">
        <f>'Unemployment Insurance'!AC20+'Unemployment Insurance'!AC19</f>
        <v>28.914285714285718</v>
      </c>
    </row>
    <row r="15" spans="1:29" x14ac:dyDescent="0.35">
      <c r="B15" s="376" t="s">
        <v>203</v>
      </c>
      <c r="C15" s="202"/>
      <c r="D15" s="557"/>
      <c r="E15" s="517"/>
      <c r="F15" s="517"/>
      <c r="G15" s="517"/>
      <c r="H15" s="517"/>
      <c r="I15" s="517"/>
      <c r="J15" s="517"/>
      <c r="K15" s="517"/>
      <c r="L15" s="517"/>
      <c r="M15" s="517"/>
      <c r="N15" s="517"/>
      <c r="O15" s="517"/>
      <c r="P15" s="517"/>
      <c r="Q15" s="517"/>
      <c r="R15" s="517"/>
      <c r="S15" s="517"/>
      <c r="T15" s="517"/>
      <c r="U15" s="517"/>
      <c r="V15" s="517">
        <f>'Unemployment Insurance'!V19</f>
        <v>0</v>
      </c>
      <c r="W15" s="633"/>
      <c r="X15" s="633"/>
      <c r="Y15" s="633"/>
      <c r="Z15" s="633"/>
      <c r="AA15" s="633"/>
      <c r="AB15" s="633"/>
      <c r="AC15" s="681"/>
    </row>
    <row r="16" spans="1:29" x14ac:dyDescent="0.35">
      <c r="B16" s="376" t="s">
        <v>205</v>
      </c>
      <c r="C16" s="202"/>
      <c r="D16" s="557"/>
      <c r="E16" s="517"/>
      <c r="F16" s="517"/>
      <c r="G16" s="517"/>
      <c r="H16" s="517"/>
      <c r="I16" s="517"/>
      <c r="J16" s="517"/>
      <c r="K16" s="517"/>
      <c r="L16" s="517"/>
      <c r="M16" s="517"/>
      <c r="N16" s="517"/>
      <c r="O16" s="517"/>
      <c r="P16" s="517"/>
      <c r="Q16" s="517"/>
      <c r="R16" s="517"/>
      <c r="S16" s="517"/>
      <c r="T16" s="517"/>
      <c r="U16" s="517"/>
      <c r="V16" s="517">
        <f>'Unemployment Insurance'!V20</f>
        <v>22.62857142857143</v>
      </c>
      <c r="W16" s="633"/>
      <c r="X16" s="633"/>
      <c r="Y16" s="633"/>
      <c r="Z16" s="633"/>
      <c r="AA16" s="633"/>
      <c r="AB16" s="633"/>
      <c r="AC16" s="681"/>
    </row>
    <row r="17" spans="1:101" ht="17.899999999999999" customHeight="1" x14ac:dyDescent="0.35">
      <c r="A17" t="s">
        <v>1930</v>
      </c>
      <c r="B17" s="627" t="s">
        <v>55</v>
      </c>
      <c r="C17" s="202"/>
      <c r="D17" s="557">
        <f>Medicare!D10</f>
        <v>755</v>
      </c>
      <c r="E17" s="517">
        <f>Medicare!E10</f>
        <v>771.9</v>
      </c>
      <c r="F17" s="517">
        <f>Medicare!F10</f>
        <v>785.3</v>
      </c>
      <c r="G17" s="517">
        <f>Medicare!G10</f>
        <v>793.9</v>
      </c>
      <c r="H17" s="517">
        <f>Medicare!H10</f>
        <v>797.9</v>
      </c>
      <c r="I17" s="517">
        <f>Medicare!I10</f>
        <v>798.4</v>
      </c>
      <c r="J17" s="517">
        <f>Medicare!J10</f>
        <v>811.1</v>
      </c>
      <c r="K17" s="517">
        <f>Medicare!K10</f>
        <v>823.1</v>
      </c>
      <c r="L17" s="517">
        <f>Medicare!L10</f>
        <v>834.5</v>
      </c>
      <c r="M17" s="517">
        <f>Medicare!M10</f>
        <v>849.4</v>
      </c>
      <c r="N17" s="517">
        <f>Medicare!N10</f>
        <v>865.6</v>
      </c>
      <c r="O17" s="517">
        <f>Medicare!O10</f>
        <v>882.6</v>
      </c>
      <c r="P17" s="517">
        <f>Medicare!P10</f>
        <v>900.3</v>
      </c>
      <c r="Q17" s="517">
        <f>Medicare!Q10</f>
        <v>918.2</v>
      </c>
      <c r="R17" s="517">
        <f>Medicare!R10</f>
        <v>924.7</v>
      </c>
      <c r="S17" s="517">
        <f>Medicare!S10</f>
        <v>927.2</v>
      </c>
      <c r="T17" s="517">
        <f>Medicare!T10</f>
        <v>934.2</v>
      </c>
      <c r="U17" s="517">
        <f>Medicare!U10</f>
        <v>938.1</v>
      </c>
      <c r="V17" s="701">
        <f>Medicare!V10</f>
        <v>941.9</v>
      </c>
      <c r="W17" s="633">
        <f>Medicare!W10</f>
        <v>946.3</v>
      </c>
      <c r="X17" s="633">
        <f>Medicare!X10</f>
        <v>951.3</v>
      </c>
      <c r="Y17" s="633">
        <f>Medicare!Y10</f>
        <v>956.26691245960421</v>
      </c>
      <c r="Z17" s="633">
        <f>Medicare!Z10</f>
        <v>961.2597580837006</v>
      </c>
      <c r="AA17" s="633">
        <f>Medicare!AA10</f>
        <v>966.27867227411593</v>
      </c>
      <c r="AB17" s="633">
        <f>Medicare!AB10</f>
        <v>992.86655402345843</v>
      </c>
      <c r="AC17" s="681">
        <f>Medicare!AC10</f>
        <v>1020.1860212627852</v>
      </c>
    </row>
    <row r="18" spans="1:101" ht="18" customHeight="1" x14ac:dyDescent="0.35">
      <c r="A18" t="s">
        <v>1930</v>
      </c>
      <c r="B18" s="628" t="s">
        <v>469</v>
      </c>
      <c r="C18" s="202"/>
      <c r="D18" s="557"/>
      <c r="E18" s="517"/>
      <c r="F18" s="517"/>
      <c r="G18" s="517"/>
      <c r="H18" s="517">
        <f>'Rebate Checks (expired)'!H10 +'Rebate Checks (expired)'!H11</f>
        <v>0</v>
      </c>
      <c r="I18" s="517">
        <f>'Rebate Checks (expired)'!I10 +'Rebate Checks (expired)'!I11</f>
        <v>0</v>
      </c>
      <c r="J18" s="517">
        <f>'Rebate Checks (expired)'!J10 +'Rebate Checks (expired)'!J11</f>
        <v>1078.0999999999999</v>
      </c>
      <c r="K18" s="517">
        <f>'Rebate Checks (expired)'!K10 +'Rebate Checks (expired)'!K11</f>
        <v>15.6</v>
      </c>
      <c r="L18" s="517">
        <f>'Rebate Checks (expired)'!L10 +'Rebate Checks (expired)'!L11</f>
        <v>5</v>
      </c>
      <c r="M18" s="517">
        <f>'Rebate Checks (expired)'!M10 +'Rebate Checks (expired)'!M11</f>
        <v>1933.6999999999998</v>
      </c>
      <c r="N18" s="517">
        <f>'Rebate Checks (expired)'!N10 +'Rebate Checks (expired)'!N11</f>
        <v>290.10000000000002</v>
      </c>
      <c r="O18" s="517">
        <f>'Rebate Checks (expired)'!O10 +'Rebate Checks (expired)'!O11</f>
        <v>38.9</v>
      </c>
      <c r="P18" s="517">
        <f>'Rebate Checks (expired)'!P10 +'Rebate Checks (expired)'!P11</f>
        <v>14.2</v>
      </c>
      <c r="Q18" s="517">
        <f>'Rebate Checks (expired)'!Q10 +'Rebate Checks (expired)'!Q11</f>
        <v>0</v>
      </c>
      <c r="R18" s="517">
        <f>'Rebate Checks (expired)'!Q10 +'Rebate Checks (expired)'!R11</f>
        <v>0</v>
      </c>
      <c r="S18" s="517">
        <f>'Rebate Checks (expired)'!S10 +'Rebate Checks (expired)'!S11</f>
        <v>0</v>
      </c>
      <c r="T18" s="517">
        <f>'Rebate Checks (expired)'!T10 +'Rebate Checks (expired)'!T11</f>
        <v>0</v>
      </c>
      <c r="U18" s="517">
        <f>'Rebate Checks (expired)'!U10 +'Rebate Checks (expired)'!U11</f>
        <v>0</v>
      </c>
      <c r="V18" s="701">
        <f>V19+V20</f>
        <v>0</v>
      </c>
      <c r="W18" s="633">
        <f>'Rebate Checks (expired)'!W10 +'Rebate Checks (expired)'!W11</f>
        <v>0</v>
      </c>
      <c r="X18" s="633">
        <f>'Rebate Checks (expired)'!X10 +'Rebate Checks (expired)'!X11</f>
        <v>0</v>
      </c>
      <c r="Y18" s="633">
        <f>'Rebate Checks (expired)'!Y10 +'Rebate Checks (expired)'!Y11</f>
        <v>0</v>
      </c>
      <c r="Z18" s="633">
        <f>'Rebate Checks (expired)'!Z10 +'Rebate Checks (expired)'!Z11</f>
        <v>0</v>
      </c>
      <c r="AA18" s="633">
        <f>'Rebate Checks (expired)'!AA10 +'Rebate Checks (expired)'!AA11</f>
        <v>0</v>
      </c>
      <c r="AB18" s="633">
        <f>'Rebate Checks (expired)'!AB10 +'Rebate Checks (expired)'!AB11</f>
        <v>0</v>
      </c>
      <c r="AC18" s="681">
        <f>'Rebate Checks (expired)'!AC10 +'Rebate Checks (expired)'!AC11</f>
        <v>0</v>
      </c>
    </row>
    <row r="19" spans="1:101" ht="18" customHeight="1" x14ac:dyDescent="0.35">
      <c r="B19" s="629" t="s">
        <v>1923</v>
      </c>
      <c r="C19" s="202"/>
      <c r="D19" s="557"/>
      <c r="E19" s="517"/>
      <c r="F19" s="517"/>
      <c r="G19" s="517"/>
      <c r="H19" s="517"/>
      <c r="I19" s="517"/>
      <c r="J19" s="517"/>
      <c r="K19" s="517"/>
      <c r="L19" s="517"/>
      <c r="M19" s="517"/>
      <c r="N19" s="517"/>
      <c r="O19" s="517"/>
      <c r="P19" s="517"/>
      <c r="Q19" s="517"/>
      <c r="R19" s="517"/>
      <c r="S19" s="517"/>
      <c r="T19" s="517"/>
      <c r="U19" s="517"/>
      <c r="V19" s="517">
        <v>0</v>
      </c>
      <c r="W19" s="633"/>
      <c r="X19" s="633"/>
      <c r="Y19" s="633"/>
      <c r="Z19" s="633"/>
      <c r="AA19" s="633"/>
      <c r="AB19" s="633"/>
      <c r="AC19" s="681"/>
    </row>
    <row r="20" spans="1:101" ht="18" customHeight="1" x14ac:dyDescent="0.35">
      <c r="B20" s="629" t="s">
        <v>1924</v>
      </c>
      <c r="C20" s="202"/>
      <c r="D20" s="557"/>
      <c r="E20" s="517"/>
      <c r="F20" s="517"/>
      <c r="G20" s="517"/>
      <c r="H20" s="517"/>
      <c r="I20" s="517"/>
      <c r="J20" s="517"/>
      <c r="K20" s="517"/>
      <c r="L20" s="517"/>
      <c r="M20" s="517"/>
      <c r="N20" s="517"/>
      <c r="O20" s="517"/>
      <c r="P20" s="517"/>
      <c r="Q20" s="517"/>
      <c r="R20" s="517"/>
      <c r="S20" s="517"/>
      <c r="T20" s="517"/>
      <c r="U20" s="517"/>
      <c r="V20" s="517">
        <v>0</v>
      </c>
      <c r="W20" s="633"/>
      <c r="X20" s="633"/>
      <c r="Y20" s="633"/>
      <c r="Z20" s="633"/>
      <c r="AA20" s="633"/>
      <c r="AB20" s="633"/>
      <c r="AC20" s="681"/>
    </row>
    <row r="21" spans="1:101" ht="18" customHeight="1" x14ac:dyDescent="0.35">
      <c r="A21" t="s">
        <v>1930</v>
      </c>
      <c r="B21" s="630" t="s">
        <v>49</v>
      </c>
      <c r="C21" s="202"/>
      <c r="D21" s="355">
        <f>'Provider Relief (expired)'!D11</f>
        <v>0</v>
      </c>
      <c r="E21" s="361">
        <f>'Provider Relief (expired)'!E11</f>
        <v>0</v>
      </c>
      <c r="F21" s="361">
        <f>'Provider Relief (expired)'!F11</f>
        <v>0</v>
      </c>
      <c r="G21" s="361">
        <f>'Provider Relief (expired)'!G11</f>
        <v>0</v>
      </c>
      <c r="H21" s="361">
        <f>'Provider Relief (expired)'!H11</f>
        <v>0</v>
      </c>
      <c r="I21" s="361">
        <f>'Provider Relief (expired)'!I11</f>
        <v>0</v>
      </c>
      <c r="J21" s="361">
        <f>'Provider Relief (expired)'!J11</f>
        <v>160.9</v>
      </c>
      <c r="K21" s="361">
        <f>'Provider Relief (expired)'!K11</f>
        <v>58.4</v>
      </c>
      <c r="L21" s="361">
        <f>'Provider Relief (expired)'!L11</f>
        <v>34.5</v>
      </c>
      <c r="M21" s="361">
        <f>'Provider Relief (expired)'!M11</f>
        <v>21.4</v>
      </c>
      <c r="N21" s="361">
        <f>'Provider Relief (expired)'!N11</f>
        <v>13.3</v>
      </c>
      <c r="O21" s="361">
        <f>'Provider Relief (expired)'!O11</f>
        <v>18.7</v>
      </c>
      <c r="P21" s="361">
        <f>'Provider Relief (expired)'!P11</f>
        <v>32.200000000000003</v>
      </c>
      <c r="Q21" s="361">
        <f>'Provider Relief (expired)'!Q11</f>
        <v>26.9</v>
      </c>
      <c r="R21" s="361">
        <f>'Provider Relief (expired)'!R11</f>
        <v>20</v>
      </c>
      <c r="S21" s="361">
        <f>'Provider Relief (expired)'!S11</f>
        <v>8.1</v>
      </c>
      <c r="T21" s="361">
        <f>'Provider Relief (expired)'!T11</f>
        <v>4.9000000000000004</v>
      </c>
      <c r="U21" s="361">
        <v>0</v>
      </c>
      <c r="V21" s="701">
        <v>0</v>
      </c>
      <c r="W21" s="633">
        <v>0</v>
      </c>
      <c r="X21" s="633">
        <v>0</v>
      </c>
      <c r="Y21" s="633">
        <v>0</v>
      </c>
      <c r="Z21" s="633">
        <v>0</v>
      </c>
      <c r="AA21" s="633">
        <v>0</v>
      </c>
      <c r="AB21" s="633">
        <v>0</v>
      </c>
      <c r="AC21" s="681">
        <v>0</v>
      </c>
    </row>
    <row r="22" spans="1:101" ht="21.65" customHeight="1" x14ac:dyDescent="0.35">
      <c r="B22" s="385" t="s">
        <v>470</v>
      </c>
      <c r="C22" s="202"/>
      <c r="D22" s="557"/>
      <c r="E22" s="517"/>
      <c r="F22" s="517"/>
      <c r="G22" s="517"/>
      <c r="H22" s="517"/>
      <c r="I22" s="517"/>
      <c r="J22" s="517">
        <f>'PPP (expired)'!J53</f>
        <v>57.2</v>
      </c>
      <c r="K22" s="517">
        <f>'PPP (expired)'!K53</f>
        <v>81.2</v>
      </c>
      <c r="L22" s="517">
        <f>'PPP (expired)'!L53</f>
        <v>24.4</v>
      </c>
      <c r="M22" s="517">
        <f>'PPP (expired)'!M53</f>
        <v>11.7</v>
      </c>
      <c r="N22" s="517">
        <f>'PPP (expired)'!N53</f>
        <v>28.5</v>
      </c>
      <c r="O22" s="517">
        <f>'PPP (expired)'!O53</f>
        <v>18.8</v>
      </c>
      <c r="P22" s="517">
        <f>'PPP (expired)'!P53</f>
        <v>1.6</v>
      </c>
      <c r="Q22" s="517">
        <f>'PPP (expired)'!Q53</f>
        <v>0</v>
      </c>
      <c r="R22" s="517">
        <f>'PPP (expired)'!R53</f>
        <v>0</v>
      </c>
      <c r="S22" s="517">
        <f>'PPP (expired)'!S53</f>
        <v>0</v>
      </c>
      <c r="T22" s="517">
        <f>'PPP (expired)'!T53</f>
        <v>0</v>
      </c>
      <c r="U22" s="517">
        <f>'PPP (expired)'!U53</f>
        <v>0</v>
      </c>
      <c r="V22" s="517">
        <f>'PPP (expired)'!V53</f>
        <v>0</v>
      </c>
      <c r="W22" s="633">
        <f>'PPP (expired)'!W53</f>
        <v>0</v>
      </c>
      <c r="X22" s="633">
        <f>'PPP (expired)'!X53</f>
        <v>0</v>
      </c>
      <c r="Y22" s="633">
        <f>'PPP (expired)'!Y53</f>
        <v>0</v>
      </c>
      <c r="Z22" s="633">
        <f>'PPP (expired)'!Z53</f>
        <v>0</v>
      </c>
      <c r="AA22" s="633">
        <f>'PPP (expired)'!AA53</f>
        <v>0</v>
      </c>
      <c r="AB22" s="633">
        <f>'PPP (expired)'!AB53</f>
        <v>0</v>
      </c>
      <c r="AC22" s="633">
        <f>'PPP (expired)'!AC53</f>
        <v>0</v>
      </c>
    </row>
    <row r="23" spans="1:101" ht="22.4" customHeight="1" x14ac:dyDescent="0.35">
      <c r="B23" s="385" t="s">
        <v>218</v>
      </c>
      <c r="C23" s="639"/>
      <c r="D23" s="355"/>
      <c r="E23" s="361"/>
      <c r="F23" s="361"/>
      <c r="G23" s="361"/>
      <c r="H23" s="361"/>
      <c r="I23" s="361"/>
      <c r="J23" s="361"/>
      <c r="K23" s="361"/>
      <c r="L23" s="361"/>
      <c r="M23" s="517">
        <f>'ARP Quarterly'!C4</f>
        <v>0</v>
      </c>
      <c r="N23" s="517">
        <f>'ARP Quarterly'!D4</f>
        <v>0</v>
      </c>
      <c r="O23" s="517">
        <f>'ARP Quarterly'!E4</f>
        <v>3.1040000000000418</v>
      </c>
      <c r="P23" s="517">
        <f>'ARP Quarterly'!F4</f>
        <v>19.719000000000005</v>
      </c>
      <c r="Q23" s="517">
        <f>'ARP Quarterly'!G4</f>
        <v>19.719000000000005</v>
      </c>
      <c r="R23" s="517">
        <f>'ARP Quarterly'!H4</f>
        <v>19.719000000000005</v>
      </c>
      <c r="S23" s="517">
        <f>'ARP Quarterly'!I4</f>
        <v>19.719000000000005</v>
      </c>
      <c r="T23" s="517">
        <f>'ARP Quarterly'!J4</f>
        <v>1.4159999999999999</v>
      </c>
      <c r="U23" s="517">
        <f>'ARP Quarterly'!K4</f>
        <v>1.4159999999999999</v>
      </c>
      <c r="V23" s="517">
        <f>'ARP Quarterly'!L4</f>
        <v>1.4159999999999999</v>
      </c>
      <c r="W23" s="633">
        <f>'ARP Quarterly'!M4</f>
        <v>1.4159999999999999</v>
      </c>
      <c r="X23" s="633">
        <f>'ARP Quarterly'!N4</f>
        <v>1.4790000000000001</v>
      </c>
      <c r="Y23" s="633">
        <f>'ARP Quarterly'!O4</f>
        <v>1.4790000000000001</v>
      </c>
      <c r="Z23" s="633">
        <f>'ARP Quarterly'!P4</f>
        <v>1.4790000000000001</v>
      </c>
      <c r="AA23" s="633">
        <f>'ARP Quarterly'!Q4</f>
        <v>1.4790000000000001</v>
      </c>
      <c r="AB23" s="633">
        <f>'ARP Quarterly'!R4</f>
        <v>1.63</v>
      </c>
      <c r="AC23" s="633">
        <f>'ARP Quarterly'!S4</f>
        <v>1.63</v>
      </c>
      <c r="AE23" s="639"/>
      <c r="AF23" s="639"/>
      <c r="AG23" s="639"/>
      <c r="AH23" s="639"/>
      <c r="AI23" s="639"/>
      <c r="AJ23" s="639"/>
      <c r="AK23" s="639"/>
      <c r="AL23" s="639"/>
      <c r="AM23" s="639"/>
      <c r="AN23" s="639"/>
      <c r="AO23" s="639"/>
      <c r="AP23" s="639"/>
      <c r="AQ23" s="639"/>
      <c r="AR23" s="639"/>
      <c r="AS23" s="639"/>
      <c r="AT23" s="639"/>
      <c r="AU23" s="639"/>
      <c r="AV23" s="639"/>
      <c r="AW23" s="639"/>
      <c r="AX23" s="639"/>
      <c r="AY23" s="639"/>
      <c r="AZ23" s="639"/>
      <c r="BA23" s="639"/>
      <c r="BB23" s="639"/>
      <c r="BC23" s="639"/>
      <c r="BD23" s="639"/>
      <c r="BE23" s="639"/>
      <c r="BF23" s="639"/>
      <c r="BG23" s="639"/>
      <c r="BH23" s="639"/>
      <c r="BI23" s="639"/>
      <c r="BJ23" s="639"/>
      <c r="BK23" s="639"/>
      <c r="BL23" s="639"/>
      <c r="BM23" s="639"/>
      <c r="BN23" s="639"/>
      <c r="BO23" s="639"/>
      <c r="BP23" s="639"/>
      <c r="BQ23" s="639"/>
      <c r="BR23" s="639"/>
      <c r="BS23" s="639"/>
      <c r="BT23" s="639"/>
      <c r="BU23" s="639"/>
      <c r="BV23" s="639"/>
      <c r="BW23" s="639"/>
      <c r="BX23" s="639"/>
      <c r="BY23" s="639"/>
      <c r="BZ23" s="639"/>
      <c r="CA23" s="639"/>
      <c r="CB23" s="639"/>
      <c r="CC23" s="639"/>
      <c r="CD23" s="639"/>
      <c r="CE23" s="639"/>
      <c r="CF23" s="639"/>
      <c r="CG23" s="639"/>
      <c r="CH23" s="639"/>
      <c r="CI23" s="639"/>
      <c r="CJ23" s="639"/>
      <c r="CK23" s="639"/>
      <c r="CL23" s="639"/>
      <c r="CM23" s="639"/>
      <c r="CN23" s="639"/>
      <c r="CO23" s="639"/>
      <c r="CP23" s="639"/>
      <c r="CQ23" s="639"/>
      <c r="CR23" s="639"/>
      <c r="CS23" s="639"/>
      <c r="CT23" s="639"/>
      <c r="CU23" s="639"/>
      <c r="CV23" s="639"/>
      <c r="CW23" s="639"/>
    </row>
    <row r="24" spans="1:101" ht="36.65" customHeight="1" x14ac:dyDescent="0.35">
      <c r="B24" s="210" t="s">
        <v>1438</v>
      </c>
      <c r="C24" s="202"/>
      <c r="D24" s="557">
        <f>D85</f>
        <v>0</v>
      </c>
      <c r="E24" s="517">
        <f t="shared" ref="E24:AC24" si="1">E85</f>
        <v>0</v>
      </c>
      <c r="F24" s="517">
        <f t="shared" si="1"/>
        <v>0</v>
      </c>
      <c r="G24" s="517">
        <f t="shared" si="1"/>
        <v>0</v>
      </c>
      <c r="H24" s="517">
        <f t="shared" si="1"/>
        <v>0</v>
      </c>
      <c r="I24" s="517">
        <f t="shared" si="1"/>
        <v>6.6417500000000018</v>
      </c>
      <c r="J24" s="517">
        <f t="shared" si="1"/>
        <v>51.388749999999995</v>
      </c>
      <c r="K24" s="517">
        <f t="shared" si="1"/>
        <v>55.337750000000007</v>
      </c>
      <c r="L24" s="517">
        <f t="shared" si="1"/>
        <v>62.597749999999998</v>
      </c>
      <c r="M24" s="517">
        <f t="shared" si="1"/>
        <v>88.07774999999998</v>
      </c>
      <c r="N24" s="517">
        <f t="shared" si="1"/>
        <v>102.89075</v>
      </c>
      <c r="O24" s="517">
        <f t="shared" si="1"/>
        <v>94.404750000000007</v>
      </c>
      <c r="P24" s="517">
        <f t="shared" si="1"/>
        <v>91.919749999999993</v>
      </c>
      <c r="Q24" s="517">
        <f t="shared" si="1"/>
        <v>80.097749999999991</v>
      </c>
      <c r="R24" s="517">
        <f t="shared" si="1"/>
        <v>69.023750000000007</v>
      </c>
      <c r="S24" s="517">
        <f t="shared" si="1"/>
        <v>61.349750000000007</v>
      </c>
      <c r="T24" s="517">
        <f t="shared" si="1"/>
        <v>81.433750000000003</v>
      </c>
      <c r="U24" s="517">
        <f t="shared" si="1"/>
        <v>75.465749999999986</v>
      </c>
      <c r="V24" s="517">
        <f t="shared" si="1"/>
        <v>48.418749999999996</v>
      </c>
      <c r="W24" s="633">
        <f t="shared" si="1"/>
        <v>48.418749999999996</v>
      </c>
      <c r="X24" s="633">
        <f t="shared" si="1"/>
        <v>48.418749999999996</v>
      </c>
      <c r="Y24" s="633">
        <f t="shared" si="1"/>
        <v>48.418749999999996</v>
      </c>
      <c r="Z24" s="633">
        <f t="shared" si="1"/>
        <v>48.418749999999996</v>
      </c>
      <c r="AA24" s="633">
        <f t="shared" si="1"/>
        <v>48.418749999999996</v>
      </c>
      <c r="AB24" s="633">
        <f t="shared" si="1"/>
        <v>48.418749999999996</v>
      </c>
      <c r="AC24" s="633">
        <f t="shared" si="1"/>
        <v>48.418749999999996</v>
      </c>
      <c r="AE24" s="202"/>
      <c r="AF24" s="202"/>
      <c r="AG24" s="202"/>
      <c r="AH24" s="202"/>
      <c r="AI24" s="202"/>
      <c r="AJ24" s="202"/>
      <c r="AK24" s="202"/>
      <c r="AL24" s="202"/>
      <c r="AM24" s="202"/>
      <c r="AN24" s="202"/>
      <c r="AO24" s="202"/>
      <c r="AP24" s="202"/>
      <c r="AQ24" s="202"/>
      <c r="AR24" s="202"/>
      <c r="AS24" s="202"/>
      <c r="AT24" s="202"/>
      <c r="AU24" s="202"/>
      <c r="AV24" s="202"/>
      <c r="AW24" s="202"/>
      <c r="AX24" s="202"/>
      <c r="AY24" s="202"/>
      <c r="AZ24" s="202"/>
      <c r="BA24" s="202"/>
      <c r="BB24" s="202"/>
      <c r="BC24" s="202"/>
      <c r="BD24" s="202"/>
      <c r="BE24" s="202"/>
      <c r="BF24" s="202"/>
      <c r="BG24" s="202"/>
      <c r="BH24" s="202"/>
      <c r="BI24" s="202"/>
      <c r="BJ24" s="202"/>
      <c r="BK24" s="202"/>
      <c r="BL24" s="202"/>
      <c r="BM24" s="202"/>
      <c r="BN24" s="202"/>
      <c r="BO24" s="202"/>
      <c r="BP24" s="202"/>
      <c r="BQ24" s="202"/>
      <c r="BR24" s="202"/>
      <c r="BS24" s="202"/>
      <c r="BT24" s="202"/>
      <c r="BU24" s="202"/>
      <c r="BV24" s="202"/>
      <c r="BW24" s="202"/>
      <c r="BX24" s="202"/>
      <c r="BY24" s="202"/>
      <c r="BZ24" s="202"/>
      <c r="CA24" s="202"/>
      <c r="CB24" s="202"/>
      <c r="CC24" s="202"/>
      <c r="CD24" s="202"/>
      <c r="CE24" s="202"/>
      <c r="CF24" s="202"/>
      <c r="CG24" s="202"/>
      <c r="CH24" s="202"/>
      <c r="CI24" s="202"/>
      <c r="CJ24" s="202"/>
      <c r="CK24" s="202"/>
      <c r="CL24" s="202"/>
      <c r="CM24" s="202"/>
      <c r="CN24" s="202"/>
      <c r="CO24" s="202"/>
      <c r="CP24" s="202"/>
      <c r="CQ24" s="202"/>
      <c r="CR24" s="202"/>
      <c r="CS24" s="202"/>
      <c r="CT24" s="202"/>
      <c r="CU24" s="202"/>
      <c r="CV24" s="202"/>
    </row>
    <row r="25" spans="1:101" ht="17.149999999999999" customHeight="1" x14ac:dyDescent="0.35">
      <c r="A25" t="s">
        <v>1933</v>
      </c>
      <c r="B25" s="705" t="s">
        <v>467</v>
      </c>
      <c r="C25" s="202" t="s">
        <v>468</v>
      </c>
      <c r="D25" s="517">
        <f>'Haver Pivoted'!GO31</f>
        <v>2223</v>
      </c>
      <c r="E25" s="517">
        <f>'Haver Pivoted'!GP31</f>
        <v>2303.6</v>
      </c>
      <c r="F25" s="517">
        <f>'Haver Pivoted'!GQ31</f>
        <v>2320.1</v>
      </c>
      <c r="G25" s="517">
        <f>'Haver Pivoted'!GR31</f>
        <v>2332.9</v>
      </c>
      <c r="H25" s="517">
        <f>'Haver Pivoted'!GS31</f>
        <v>2346.6</v>
      </c>
      <c r="I25" s="517">
        <f>'Haver Pivoted'!GT31</f>
        <v>2412.6</v>
      </c>
      <c r="J25" s="517">
        <f>'Haver Pivoted'!GU31</f>
        <v>4652.1000000000004</v>
      </c>
      <c r="K25" s="517">
        <f>'Haver Pivoted'!GV31</f>
        <v>3508</v>
      </c>
      <c r="L25" s="517">
        <f>'Haver Pivoted'!GW31</f>
        <v>2895.4</v>
      </c>
      <c r="M25" s="517">
        <f>'Haver Pivoted'!GX31</f>
        <v>5127.3999999999996</v>
      </c>
      <c r="N25" s="517">
        <f>'Haver Pivoted'!GY31</f>
        <v>3403.8</v>
      </c>
      <c r="O25" s="517">
        <f>'Haver Pivoted'!GZ31</f>
        <v>3135</v>
      </c>
      <c r="P25" s="517">
        <f>'Haver Pivoted'!HA31</f>
        <v>2947.7</v>
      </c>
      <c r="Q25" s="517">
        <f>'Haver Pivoted'!HB31</f>
        <v>2903.2</v>
      </c>
      <c r="R25" s="517">
        <f>'Haver Pivoted'!HC31</f>
        <v>2895.2</v>
      </c>
      <c r="S25" s="517">
        <f>'Haver Pivoted'!HD31</f>
        <v>2867.4</v>
      </c>
      <c r="T25" s="517">
        <f>'Haver Pivoted'!HE31</f>
        <v>2896.7</v>
      </c>
      <c r="U25" s="517">
        <f>'Haver Pivoted'!HF31</f>
        <v>2945.8</v>
      </c>
      <c r="V25" s="517">
        <f>'Haver Pivoted'!HG31</f>
        <v>2929.7</v>
      </c>
      <c r="W25" s="633"/>
      <c r="X25" s="633"/>
      <c r="Y25" s="633"/>
      <c r="Z25" s="633"/>
      <c r="AA25" s="633"/>
      <c r="AB25" s="633"/>
      <c r="AC25" s="633"/>
    </row>
    <row r="26" spans="1:101" ht="17.149999999999999" customHeight="1" x14ac:dyDescent="0.35">
      <c r="B26" s="227" t="s">
        <v>1932</v>
      </c>
      <c r="C26" s="202"/>
      <c r="D26" s="517">
        <f>D27+D28</f>
        <v>812.1</v>
      </c>
      <c r="E26" s="517">
        <f t="shared" ref="E26:V26" si="2">E27+E28</f>
        <v>832.4</v>
      </c>
      <c r="F26" s="517">
        <f t="shared" si="2"/>
        <v>843</v>
      </c>
      <c r="G26" s="517">
        <f t="shared" si="2"/>
        <v>848.9</v>
      </c>
      <c r="H26" s="517">
        <f t="shared" si="2"/>
        <v>854.6</v>
      </c>
      <c r="I26" s="517">
        <f t="shared" si="2"/>
        <v>875.94174999999996</v>
      </c>
      <c r="J26" s="517">
        <f t="shared" si="2"/>
        <v>2979.1887500000003</v>
      </c>
      <c r="K26" s="517">
        <f t="shared" si="2"/>
        <v>1807.73775</v>
      </c>
      <c r="L26" s="517">
        <f t="shared" si="2"/>
        <v>1280.19775</v>
      </c>
      <c r="M26" s="517">
        <f>M27+M28</f>
        <v>3500.7777499999997</v>
      </c>
      <c r="N26" s="517">
        <f t="shared" si="2"/>
        <v>1773.2907500000001</v>
      </c>
      <c r="O26" s="517">
        <f t="shared" si="2"/>
        <v>1483.542083333333</v>
      </c>
      <c r="P26" s="517">
        <f t="shared" si="2"/>
        <v>1284.7720833333331</v>
      </c>
      <c r="Q26" s="517">
        <f t="shared" si="2"/>
        <v>1138.51675</v>
      </c>
      <c r="R26" s="517">
        <f t="shared" si="2"/>
        <v>1129.1427500000002</v>
      </c>
      <c r="S26" s="517">
        <f t="shared" si="2"/>
        <v>1122.16875</v>
      </c>
      <c r="T26" s="517">
        <f t="shared" si="2"/>
        <v>1133.4497500000002</v>
      </c>
      <c r="U26" s="517">
        <f t="shared" si="2"/>
        <v>1070.9817499999999</v>
      </c>
      <c r="V26" s="517">
        <f t="shared" si="2"/>
        <v>1048.3633214285715</v>
      </c>
      <c r="W26" s="633">
        <f>W27+W28</f>
        <v>49.834749999999993</v>
      </c>
      <c r="X26" s="633">
        <f t="shared" ref="X26" si="3">X27+X28</f>
        <v>49.897749999999995</v>
      </c>
      <c r="Y26" s="633">
        <f t="shared" ref="Y26" si="4">Y27+Y28</f>
        <v>49.897749999999995</v>
      </c>
      <c r="Z26" s="633">
        <f t="shared" ref="Z26" si="5">Z27+Z28</f>
        <v>49.897749999999995</v>
      </c>
      <c r="AA26" s="633">
        <f t="shared" ref="AA26" si="6">AA27+AA28</f>
        <v>49.897749999999995</v>
      </c>
      <c r="AB26" s="633">
        <f t="shared" ref="AB26" si="7">AB27+AB28</f>
        <v>50.048749999999998</v>
      </c>
      <c r="AC26" s="633">
        <f t="shared" ref="AC26" si="8">AC27+AC28</f>
        <v>50.048749999999998</v>
      </c>
    </row>
    <row r="27" spans="1:101" ht="17.149999999999999" customHeight="1" x14ac:dyDescent="0.35">
      <c r="B27" s="376" t="s">
        <v>1931</v>
      </c>
      <c r="C27" s="202"/>
      <c r="D27" s="557">
        <f t="shared" ref="D27:V27" si="9">D13+D14+D17</f>
        <v>812.1</v>
      </c>
      <c r="E27" s="517">
        <f t="shared" si="9"/>
        <v>832.4</v>
      </c>
      <c r="F27" s="517">
        <f t="shared" si="9"/>
        <v>843</v>
      </c>
      <c r="G27" s="517">
        <f t="shared" si="9"/>
        <v>848.9</v>
      </c>
      <c r="H27" s="517">
        <f t="shared" si="9"/>
        <v>854.6</v>
      </c>
      <c r="I27" s="517">
        <f t="shared" si="9"/>
        <v>869.3</v>
      </c>
      <c r="J27" s="517">
        <f t="shared" si="9"/>
        <v>1792.5</v>
      </c>
      <c r="K27" s="517">
        <f t="shared" si="9"/>
        <v>1655.6</v>
      </c>
      <c r="L27" s="517">
        <f t="shared" si="9"/>
        <v>1188.2</v>
      </c>
      <c r="M27" s="517">
        <f t="shared" si="9"/>
        <v>1467.3</v>
      </c>
      <c r="N27" s="517">
        <f t="shared" si="9"/>
        <v>1351.8</v>
      </c>
      <c r="O27" s="517">
        <f t="shared" si="9"/>
        <v>1328.333333333333</v>
      </c>
      <c r="P27" s="517">
        <f t="shared" si="9"/>
        <v>1157.333333333333</v>
      </c>
      <c r="Q27" s="517">
        <f t="shared" si="9"/>
        <v>1038.7</v>
      </c>
      <c r="R27" s="517">
        <f t="shared" si="9"/>
        <v>1040.4000000000001</v>
      </c>
      <c r="S27" s="517">
        <f t="shared" si="9"/>
        <v>1041.1000000000001</v>
      </c>
      <c r="T27" s="517">
        <f t="shared" si="9"/>
        <v>1050.6000000000001</v>
      </c>
      <c r="U27" s="517">
        <f t="shared" si="9"/>
        <v>994.1</v>
      </c>
      <c r="V27" s="517">
        <f t="shared" si="9"/>
        <v>998.52857142857147</v>
      </c>
      <c r="W27" s="633"/>
      <c r="X27" s="633"/>
      <c r="Y27" s="633"/>
      <c r="Z27" s="633"/>
      <c r="AA27" s="633"/>
      <c r="AB27" s="633"/>
      <c r="AC27" s="681"/>
    </row>
    <row r="28" spans="1:101" ht="28.5" customHeight="1" x14ac:dyDescent="0.35">
      <c r="B28" s="376" t="s">
        <v>1928</v>
      </c>
      <c r="C28" s="202"/>
      <c r="D28" s="355">
        <f t="shared" ref="D28:AC28" si="10">D18+D23+D24+D22</f>
        <v>0</v>
      </c>
      <c r="E28" s="361">
        <f t="shared" si="10"/>
        <v>0</v>
      </c>
      <c r="F28" s="361">
        <f t="shared" si="10"/>
        <v>0</v>
      </c>
      <c r="G28" s="361">
        <f t="shared" si="10"/>
        <v>0</v>
      </c>
      <c r="H28" s="361">
        <f t="shared" si="10"/>
        <v>0</v>
      </c>
      <c r="I28" s="361">
        <f t="shared" si="10"/>
        <v>6.6417500000000018</v>
      </c>
      <c r="J28" s="361">
        <f t="shared" si="10"/>
        <v>1186.68875</v>
      </c>
      <c r="K28" s="361">
        <f t="shared" si="10"/>
        <v>152.13775000000001</v>
      </c>
      <c r="L28" s="361">
        <f t="shared" si="10"/>
        <v>91.997749999999996</v>
      </c>
      <c r="M28" s="361">
        <f t="shared" si="10"/>
        <v>2033.4777499999998</v>
      </c>
      <c r="N28" s="361">
        <f t="shared" si="10"/>
        <v>421.49075000000005</v>
      </c>
      <c r="O28" s="361">
        <f t="shared" si="10"/>
        <v>155.20875000000007</v>
      </c>
      <c r="P28" s="361">
        <f t="shared" si="10"/>
        <v>127.43875</v>
      </c>
      <c r="Q28" s="361">
        <f t="shared" si="10"/>
        <v>99.816749999999999</v>
      </c>
      <c r="R28" s="361">
        <f t="shared" si="10"/>
        <v>88.742750000000015</v>
      </c>
      <c r="S28" s="361">
        <f t="shared" si="10"/>
        <v>81.068750000000009</v>
      </c>
      <c r="T28" s="361">
        <f t="shared" si="10"/>
        <v>82.84975</v>
      </c>
      <c r="U28" s="361">
        <f t="shared" si="10"/>
        <v>76.881749999999982</v>
      </c>
      <c r="V28" s="361">
        <f t="shared" si="10"/>
        <v>49.834749999999993</v>
      </c>
      <c r="W28" s="303">
        <f t="shared" si="10"/>
        <v>49.834749999999993</v>
      </c>
      <c r="X28" s="303">
        <f t="shared" si="10"/>
        <v>49.897749999999995</v>
      </c>
      <c r="Y28" s="303">
        <f t="shared" si="10"/>
        <v>49.897749999999995</v>
      </c>
      <c r="Z28" s="303">
        <f t="shared" si="10"/>
        <v>49.897749999999995</v>
      </c>
      <c r="AA28" s="303">
        <f t="shared" si="10"/>
        <v>49.897749999999995</v>
      </c>
      <c r="AB28" s="303">
        <f t="shared" si="10"/>
        <v>50.048749999999998</v>
      </c>
      <c r="AC28" s="303">
        <f t="shared" si="10"/>
        <v>50.048749999999998</v>
      </c>
    </row>
    <row r="29" spans="1:101" x14ac:dyDescent="0.35">
      <c r="B29" s="385" t="s">
        <v>1934</v>
      </c>
      <c r="C29" s="202"/>
      <c r="D29" s="361">
        <f>D25-D26</f>
        <v>1410.9</v>
      </c>
      <c r="E29" s="361">
        <f t="shared" ref="E29:V29" si="11">E25-E26</f>
        <v>1471.1999999999998</v>
      </c>
      <c r="F29" s="361">
        <f t="shared" si="11"/>
        <v>1477.1</v>
      </c>
      <c r="G29" s="361">
        <f t="shared" si="11"/>
        <v>1484</v>
      </c>
      <c r="H29" s="361">
        <f t="shared" si="11"/>
        <v>1492</v>
      </c>
      <c r="I29" s="361">
        <f t="shared" si="11"/>
        <v>1536.65825</v>
      </c>
      <c r="J29" s="361">
        <f t="shared" si="11"/>
        <v>1672.9112500000001</v>
      </c>
      <c r="K29" s="361">
        <f t="shared" si="11"/>
        <v>1700.26225</v>
      </c>
      <c r="L29" s="361">
        <f t="shared" si="11"/>
        <v>1615.20225</v>
      </c>
      <c r="M29" s="361">
        <f t="shared" si="11"/>
        <v>1626.6222499999999</v>
      </c>
      <c r="N29" s="361">
        <f t="shared" si="11"/>
        <v>1630.5092500000001</v>
      </c>
      <c r="O29" s="361">
        <f t="shared" si="11"/>
        <v>1651.457916666667</v>
      </c>
      <c r="P29" s="361">
        <f t="shared" si="11"/>
        <v>1662.9279166666668</v>
      </c>
      <c r="Q29" s="361">
        <f t="shared" si="11"/>
        <v>1764.6832499999998</v>
      </c>
      <c r="R29" s="361">
        <f t="shared" si="11"/>
        <v>1766.0572499999996</v>
      </c>
      <c r="S29" s="361">
        <f t="shared" si="11"/>
        <v>1745.23125</v>
      </c>
      <c r="T29" s="361">
        <f t="shared" si="11"/>
        <v>1763.2502499999996</v>
      </c>
      <c r="U29" s="361">
        <f t="shared" si="11"/>
        <v>1874.8182500000003</v>
      </c>
      <c r="V29" s="361">
        <f t="shared" si="11"/>
        <v>1881.3366785714284</v>
      </c>
      <c r="W29" s="303"/>
      <c r="X29" s="303"/>
      <c r="Y29" s="303"/>
      <c r="Z29" s="303"/>
      <c r="AA29" s="303"/>
      <c r="AB29" s="303"/>
      <c r="AC29" s="303"/>
    </row>
    <row r="30" spans="1:101" ht="18" customHeight="1" x14ac:dyDescent="0.35">
      <c r="B30" s="423" t="s">
        <v>1925</v>
      </c>
      <c r="C30" s="202"/>
      <c r="D30" s="236"/>
      <c r="E30" s="190"/>
      <c r="F30" s="190"/>
      <c r="G30" s="190"/>
      <c r="H30" s="190"/>
      <c r="I30" s="190"/>
      <c r="J30" s="190"/>
      <c r="K30" s="190"/>
      <c r="L30" s="190"/>
      <c r="M30" s="190"/>
      <c r="N30" s="190"/>
      <c r="O30" s="190"/>
      <c r="P30" s="190"/>
      <c r="Q30" s="190"/>
      <c r="R30" s="190"/>
      <c r="S30" s="190"/>
      <c r="T30" s="190"/>
      <c r="U30" s="190"/>
      <c r="V30" s="517"/>
      <c r="W30" s="633"/>
      <c r="X30" s="633"/>
      <c r="Y30" s="633"/>
      <c r="Z30" s="633"/>
      <c r="AA30" s="633"/>
      <c r="AB30" s="633"/>
      <c r="AC30" s="681"/>
    </row>
    <row r="31" spans="1:101" ht="18" customHeight="1" x14ac:dyDescent="0.35">
      <c r="B31" s="423" t="s">
        <v>1926</v>
      </c>
      <c r="C31" s="202"/>
      <c r="D31" s="236"/>
      <c r="E31" s="190"/>
      <c r="F31" s="190"/>
      <c r="G31" s="190"/>
      <c r="H31" s="190"/>
      <c r="I31" s="190"/>
      <c r="J31" s="190"/>
      <c r="K31" s="190"/>
      <c r="L31" s="190"/>
      <c r="M31" s="190"/>
      <c r="N31" s="190"/>
      <c r="O31" s="190"/>
      <c r="P31" s="190"/>
      <c r="Q31" s="190"/>
      <c r="R31" s="190"/>
      <c r="S31" s="190"/>
      <c r="T31" s="190"/>
      <c r="U31" s="190"/>
      <c r="V31" s="517"/>
      <c r="W31" s="633"/>
      <c r="X31" s="633"/>
      <c r="Y31" s="633"/>
      <c r="Z31" s="633"/>
      <c r="AA31" s="633"/>
      <c r="AB31" s="633"/>
      <c r="AC31" s="681"/>
    </row>
    <row r="32" spans="1:101" ht="20.149999999999999" customHeight="1" x14ac:dyDescent="0.35">
      <c r="B32" s="230" t="s">
        <v>472</v>
      </c>
      <c r="C32" s="225"/>
      <c r="D32" s="683"/>
      <c r="E32" s="595"/>
      <c r="F32" s="595"/>
      <c r="G32" s="595"/>
      <c r="H32" s="514"/>
      <c r="I32" s="514"/>
      <c r="J32" s="514"/>
      <c r="K32" s="514"/>
      <c r="L32" s="514"/>
      <c r="M32" s="514">
        <f>'ARP Quarterly'!C5</f>
        <v>0</v>
      </c>
      <c r="N32" s="514">
        <f>'ARP Quarterly'!D5</f>
        <v>33.921840000000024</v>
      </c>
      <c r="O32" s="514">
        <f>'ARP Quarterly'!E5</f>
        <v>44.966160000000031</v>
      </c>
      <c r="P32" s="514">
        <f>'ARP Quarterly'!F5</f>
        <v>52.756999999999998</v>
      </c>
      <c r="Q32" s="514">
        <f>'ARP Quarterly'!G5</f>
        <v>52.756999999999998</v>
      </c>
      <c r="R32" s="514">
        <f>'ARP Quarterly'!H5</f>
        <v>52.756999999999998</v>
      </c>
      <c r="S32" s="514">
        <f>'ARP Quarterly'!I5</f>
        <v>52.756999999999998</v>
      </c>
      <c r="T32" s="514">
        <v>30</v>
      </c>
      <c r="U32" s="514">
        <f>'ARP Quarterly'!K5</f>
        <v>12</v>
      </c>
      <c r="V32" s="702">
        <f>'ARP Quarterly'!L5</f>
        <v>12</v>
      </c>
      <c r="W32" s="519">
        <f>'ARP Quarterly'!M5</f>
        <v>12</v>
      </c>
      <c r="X32" s="519">
        <f>'ARP Quarterly'!N5</f>
        <v>4.2219999999999995</v>
      </c>
      <c r="Y32" s="519">
        <f>'ARP Quarterly'!O5</f>
        <v>4.2219999999999995</v>
      </c>
      <c r="Z32" s="519">
        <f>'ARP Quarterly'!P5</f>
        <v>4.2219999999999995</v>
      </c>
      <c r="AA32" s="519">
        <f>'ARP Quarterly'!Q5</f>
        <v>4.2219999999999995</v>
      </c>
      <c r="AB32" s="519">
        <f>'ARP Quarterly'!R5</f>
        <v>2.3719999999999999</v>
      </c>
      <c r="AC32" s="648">
        <f>'ARP Quarterly'!S5</f>
        <v>2.3719999999999999</v>
      </c>
    </row>
    <row r="33" spans="2:101" ht="22.4" customHeight="1" x14ac:dyDescent="0.35">
      <c r="B33" s="210" t="s">
        <v>218</v>
      </c>
      <c r="C33" s="639"/>
      <c r="D33" s="236"/>
      <c r="E33" s="190"/>
      <c r="F33" s="190"/>
      <c r="G33" s="190"/>
      <c r="H33" s="190"/>
      <c r="I33" s="190"/>
      <c r="J33" s="190"/>
      <c r="K33" s="190"/>
      <c r="L33" s="190"/>
      <c r="M33" s="517">
        <f>'ARP Quarterly'!C4</f>
        <v>0</v>
      </c>
      <c r="N33" s="517">
        <f>'ARP Quarterly'!D4</f>
        <v>0</v>
      </c>
      <c r="O33" s="517">
        <f>'ARP Quarterly'!E4</f>
        <v>3.1040000000000418</v>
      </c>
      <c r="P33" s="517">
        <f>'ARP Quarterly'!F4</f>
        <v>19.719000000000005</v>
      </c>
      <c r="Q33" s="517">
        <f>'ARP Quarterly'!G4</f>
        <v>19.719000000000005</v>
      </c>
      <c r="R33" s="517">
        <f>'ARP Quarterly'!H4</f>
        <v>19.719000000000005</v>
      </c>
      <c r="S33" s="517">
        <f>'ARP Quarterly'!I4</f>
        <v>19.719000000000005</v>
      </c>
      <c r="T33" s="517">
        <f>'ARP Quarterly'!J4</f>
        <v>1.4159999999999999</v>
      </c>
      <c r="U33" s="517">
        <f>'ARP Quarterly'!K4</f>
        <v>1.4159999999999999</v>
      </c>
      <c r="V33" s="517">
        <f>'ARP Quarterly'!L4</f>
        <v>1.4159999999999999</v>
      </c>
      <c r="W33" s="633">
        <f>'ARP Quarterly'!M4</f>
        <v>1.4159999999999999</v>
      </c>
      <c r="X33" s="633">
        <f>'ARP Quarterly'!N4</f>
        <v>1.4790000000000001</v>
      </c>
      <c r="Y33" s="633">
        <f>'ARP Quarterly'!O4</f>
        <v>1.4790000000000001</v>
      </c>
      <c r="Z33" s="633">
        <f>'ARP Quarterly'!P4</f>
        <v>1.4790000000000001</v>
      </c>
      <c r="AA33" s="633">
        <f>'ARP Quarterly'!Q4</f>
        <v>1.4790000000000001</v>
      </c>
      <c r="AB33" s="633">
        <f>'ARP Quarterly'!R4</f>
        <v>1.63</v>
      </c>
      <c r="AC33" s="681">
        <f>'ARP Quarterly'!S4</f>
        <v>1.63</v>
      </c>
      <c r="AE33" s="639"/>
      <c r="AF33" s="639"/>
      <c r="AG33" s="639"/>
      <c r="AH33" s="639"/>
      <c r="AI33" s="639"/>
      <c r="AJ33" s="639"/>
      <c r="AK33" s="639"/>
      <c r="AL33" s="639"/>
      <c r="AM33" s="639"/>
      <c r="AN33" s="639"/>
      <c r="AO33" s="639"/>
      <c r="AP33" s="639"/>
      <c r="AQ33" s="639"/>
      <c r="AR33" s="639"/>
      <c r="AS33" s="639"/>
      <c r="AT33" s="639"/>
      <c r="AU33" s="639"/>
      <c r="AV33" s="639"/>
      <c r="AW33" s="639"/>
      <c r="AX33" s="639"/>
      <c r="AY33" s="639"/>
      <c r="AZ33" s="639"/>
      <c r="BA33" s="639"/>
      <c r="BB33" s="639"/>
      <c r="BC33" s="639"/>
      <c r="BD33" s="639"/>
      <c r="BE33" s="639"/>
      <c r="BF33" s="639"/>
      <c r="BG33" s="639"/>
      <c r="BH33" s="639"/>
      <c r="BI33" s="639"/>
      <c r="BJ33" s="639"/>
      <c r="BK33" s="639"/>
      <c r="BL33" s="639"/>
      <c r="BM33" s="639"/>
      <c r="BN33" s="639"/>
      <c r="BO33" s="639"/>
      <c r="BP33" s="639"/>
      <c r="BQ33" s="639"/>
      <c r="BR33" s="639"/>
      <c r="BS33" s="639"/>
      <c r="BT33" s="639"/>
      <c r="BU33" s="639"/>
      <c r="BV33" s="639"/>
      <c r="BW33" s="639"/>
      <c r="BX33" s="639"/>
      <c r="BY33" s="639"/>
      <c r="BZ33" s="639"/>
      <c r="CA33" s="639"/>
      <c r="CB33" s="639"/>
      <c r="CC33" s="639"/>
      <c r="CD33" s="639"/>
      <c r="CE33" s="639"/>
      <c r="CF33" s="639"/>
      <c r="CG33" s="639"/>
      <c r="CH33" s="639"/>
      <c r="CI33" s="639"/>
      <c r="CJ33" s="639"/>
      <c r="CK33" s="639"/>
      <c r="CL33" s="639"/>
      <c r="CM33" s="639"/>
      <c r="CN33" s="639"/>
      <c r="CO33" s="639"/>
      <c r="CP33" s="639"/>
      <c r="CQ33" s="639"/>
      <c r="CR33" s="639"/>
      <c r="CS33" s="639"/>
      <c r="CT33" s="639"/>
      <c r="CU33" s="639"/>
      <c r="CV33" s="639"/>
      <c r="CW33" s="639"/>
    </row>
    <row r="34" spans="2:101" ht="36.65" customHeight="1" x14ac:dyDescent="0.35">
      <c r="B34" s="210" t="s">
        <v>1438</v>
      </c>
      <c r="C34" s="202"/>
      <c r="D34" s="237">
        <f>D85</f>
        <v>0</v>
      </c>
      <c r="E34" s="195">
        <f t="shared" ref="E34:AC34" si="12">E85</f>
        <v>0</v>
      </c>
      <c r="F34" s="195">
        <f t="shared" si="12"/>
        <v>0</v>
      </c>
      <c r="G34" s="195">
        <f t="shared" si="12"/>
        <v>0</v>
      </c>
      <c r="H34" s="195">
        <f t="shared" si="12"/>
        <v>0</v>
      </c>
      <c r="I34" s="517">
        <f t="shared" si="12"/>
        <v>6.6417500000000018</v>
      </c>
      <c r="J34" s="517">
        <f t="shared" si="12"/>
        <v>51.388749999999995</v>
      </c>
      <c r="K34" s="517">
        <f t="shared" si="12"/>
        <v>55.337750000000007</v>
      </c>
      <c r="L34" s="517">
        <f t="shared" si="12"/>
        <v>62.597749999999998</v>
      </c>
      <c r="M34" s="517">
        <f t="shared" si="12"/>
        <v>88.07774999999998</v>
      </c>
      <c r="N34" s="517">
        <f t="shared" si="12"/>
        <v>102.89075</v>
      </c>
      <c r="O34" s="517">
        <f t="shared" si="12"/>
        <v>94.404750000000007</v>
      </c>
      <c r="P34" s="517">
        <f t="shared" si="12"/>
        <v>91.919749999999993</v>
      </c>
      <c r="Q34" s="517">
        <f t="shared" si="12"/>
        <v>80.097749999999991</v>
      </c>
      <c r="R34" s="517">
        <f t="shared" si="12"/>
        <v>69.023750000000007</v>
      </c>
      <c r="S34" s="517">
        <f t="shared" si="12"/>
        <v>61.349750000000007</v>
      </c>
      <c r="T34" s="517">
        <f t="shared" si="12"/>
        <v>81.433750000000003</v>
      </c>
      <c r="U34" s="517">
        <f t="shared" si="12"/>
        <v>75.465749999999986</v>
      </c>
      <c r="V34" s="517">
        <f>V85</f>
        <v>48.418749999999996</v>
      </c>
      <c r="W34" s="633">
        <f>W85</f>
        <v>48.418749999999996</v>
      </c>
      <c r="X34" s="633">
        <f t="shared" si="12"/>
        <v>48.418749999999996</v>
      </c>
      <c r="Y34" s="633">
        <f t="shared" si="12"/>
        <v>48.418749999999996</v>
      </c>
      <c r="Z34" s="633">
        <f t="shared" si="12"/>
        <v>48.418749999999996</v>
      </c>
      <c r="AA34" s="633">
        <f t="shared" si="12"/>
        <v>48.418749999999996</v>
      </c>
      <c r="AB34" s="633">
        <f t="shared" si="12"/>
        <v>48.418749999999996</v>
      </c>
      <c r="AC34" s="681">
        <f t="shared" si="12"/>
        <v>48.418749999999996</v>
      </c>
      <c r="AE34" s="202"/>
      <c r="AF34" s="202"/>
      <c r="AG34" s="202"/>
      <c r="AH34" s="202"/>
      <c r="AI34" s="202"/>
      <c r="AJ34" s="202"/>
      <c r="AK34" s="202"/>
      <c r="AL34" s="202"/>
      <c r="AM34" s="202"/>
      <c r="AN34" s="202"/>
      <c r="AO34" s="202"/>
      <c r="AP34" s="202"/>
      <c r="AQ34" s="202"/>
      <c r="AR34" s="202"/>
      <c r="AS34" s="202"/>
      <c r="AT34" s="202"/>
      <c r="AU34" s="202"/>
      <c r="AV34" s="202"/>
      <c r="AW34" s="202"/>
      <c r="AX34" s="202"/>
      <c r="AY34" s="202"/>
      <c r="AZ34" s="202"/>
      <c r="BA34" s="202"/>
      <c r="BB34" s="202"/>
      <c r="BC34" s="202"/>
      <c r="BD34" s="202"/>
      <c r="BE34" s="202"/>
      <c r="BF34" s="202"/>
      <c r="BG34" s="202"/>
      <c r="BH34" s="202"/>
      <c r="BI34" s="202"/>
      <c r="BJ34" s="202"/>
      <c r="BK34" s="202"/>
      <c r="BL34" s="202"/>
      <c r="BM34" s="202"/>
      <c r="BN34" s="202"/>
      <c r="BO34" s="202"/>
      <c r="BP34" s="202"/>
      <c r="BQ34" s="202"/>
      <c r="BR34" s="202"/>
      <c r="BS34" s="202"/>
      <c r="BT34" s="202"/>
      <c r="BU34" s="202"/>
      <c r="BV34" s="202"/>
      <c r="BW34" s="202"/>
      <c r="BX34" s="202"/>
      <c r="BY34" s="202"/>
      <c r="BZ34" s="202"/>
      <c r="CA34" s="202"/>
      <c r="CB34" s="202"/>
      <c r="CC34" s="202"/>
      <c r="CD34" s="202"/>
      <c r="CE34" s="202"/>
      <c r="CF34" s="202"/>
      <c r="CG34" s="202"/>
      <c r="CH34" s="202"/>
      <c r="CI34" s="202"/>
      <c r="CJ34" s="202"/>
      <c r="CK34" s="202"/>
      <c r="CL34" s="202"/>
      <c r="CM34" s="202"/>
      <c r="CN34" s="202"/>
      <c r="CO34" s="202"/>
      <c r="CP34" s="202"/>
      <c r="CQ34" s="202"/>
      <c r="CR34" s="202"/>
      <c r="CS34" s="202"/>
      <c r="CT34" s="202"/>
      <c r="CU34" s="202"/>
      <c r="CV34" s="202"/>
    </row>
    <row r="35" spans="2:101" ht="15.65" customHeight="1" x14ac:dyDescent="0.35">
      <c r="B35" s="703" t="s">
        <v>801</v>
      </c>
      <c r="C35" s="202" t="s">
        <v>828</v>
      </c>
      <c r="D35" s="236">
        <v>30</v>
      </c>
      <c r="E35" s="190">
        <v>30</v>
      </c>
      <c r="F35" s="190">
        <v>30</v>
      </c>
      <c r="G35" s="190">
        <v>30</v>
      </c>
      <c r="H35" s="190">
        <v>30</v>
      </c>
      <c r="I35" s="190">
        <v>30</v>
      </c>
      <c r="J35" s="190">
        <v>30</v>
      </c>
      <c r="K35" s="185">
        <v>30.2</v>
      </c>
      <c r="L35" s="185">
        <v>30.2</v>
      </c>
      <c r="M35" s="185">
        <f>'Haver Pivoted'!GX89</f>
        <v>34.4</v>
      </c>
      <c r="N35" s="185">
        <f>'Haver Pivoted'!GY89</f>
        <v>34.4</v>
      </c>
      <c r="O35" s="185">
        <f>'Haver Pivoted'!GZ89</f>
        <v>218.933333333333</v>
      </c>
      <c r="P35" s="185">
        <f>'Haver Pivoted'!HA89</f>
        <v>223.13333333333301</v>
      </c>
      <c r="Q35" s="185">
        <f>'Haver Pivoted'!HB89</f>
        <v>94.3</v>
      </c>
      <c r="R35" s="185">
        <f>'Haver Pivoted'!HC89</f>
        <v>94.3</v>
      </c>
      <c r="S35" s="396">
        <f>'Haver Pivoted'!HD89</f>
        <v>94.3</v>
      </c>
      <c r="T35" s="396">
        <f>'Haver Pivoted'!HE89</f>
        <v>94.3</v>
      </c>
      <c r="U35" s="633">
        <v>34</v>
      </c>
      <c r="V35" s="517">
        <v>34</v>
      </c>
      <c r="W35" s="633">
        <v>34</v>
      </c>
      <c r="X35" s="633">
        <v>34</v>
      </c>
      <c r="Y35" s="633">
        <v>34</v>
      </c>
      <c r="Z35" s="633">
        <v>34</v>
      </c>
      <c r="AA35" s="633">
        <v>34</v>
      </c>
      <c r="AB35" s="633">
        <v>34</v>
      </c>
      <c r="AC35" s="681">
        <v>34</v>
      </c>
    </row>
    <row r="36" spans="2:101" ht="21.65" customHeight="1" x14ac:dyDescent="0.35">
      <c r="B36" s="210" t="s">
        <v>470</v>
      </c>
      <c r="C36" s="202"/>
      <c r="D36" s="237"/>
      <c r="E36" s="195"/>
      <c r="F36" s="195"/>
      <c r="G36" s="195"/>
      <c r="H36" s="517"/>
      <c r="I36" s="517"/>
      <c r="J36" s="517">
        <f>'PPP (expired)'!J53</f>
        <v>57.2</v>
      </c>
      <c r="K36" s="517">
        <f>'PPP (expired)'!K53</f>
        <v>81.2</v>
      </c>
      <c r="L36" s="517">
        <f>'PPP (expired)'!L53</f>
        <v>24.4</v>
      </c>
      <c r="M36" s="517">
        <f>'PPP (expired)'!M53</f>
        <v>11.7</v>
      </c>
      <c r="N36" s="517">
        <f>'PPP (expired)'!N53</f>
        <v>28.5</v>
      </c>
      <c r="O36" s="517">
        <f>'PPP (expired)'!O53</f>
        <v>18.8</v>
      </c>
      <c r="P36" s="517">
        <f>'PPP (expired)'!P53</f>
        <v>1.6</v>
      </c>
      <c r="Q36" s="517">
        <f>'PPP (expired)'!Q53</f>
        <v>0</v>
      </c>
      <c r="R36" s="517">
        <f>'PPP (expired)'!Q61</f>
        <v>0</v>
      </c>
      <c r="S36" s="517">
        <f>'PPP (expired)'!S53</f>
        <v>0</v>
      </c>
      <c r="T36" s="517">
        <f>'PPP (expired)'!T53</f>
        <v>0</v>
      </c>
      <c r="U36" s="517">
        <f>'PPP (expired)'!U53</f>
        <v>0</v>
      </c>
      <c r="V36" s="517">
        <f>'PPP (expired)'!V53</f>
        <v>0</v>
      </c>
      <c r="W36" s="633">
        <f>'PPP (expired)'!W53</f>
        <v>0</v>
      </c>
      <c r="X36" s="633">
        <f>'PPP (expired)'!X53</f>
        <v>0</v>
      </c>
      <c r="Y36" s="633">
        <f>'PPP (expired)'!Y53</f>
        <v>0</v>
      </c>
      <c r="Z36" s="633">
        <f>'PPP (expired)'!Z53</f>
        <v>0</v>
      </c>
      <c r="AA36" s="633">
        <f>'PPP (expired)'!AA53</f>
        <v>0</v>
      </c>
      <c r="AB36" s="633">
        <f>'PPP (expired)'!AB53</f>
        <v>0</v>
      </c>
      <c r="AC36" s="681">
        <f>'PPP (expired)'!AC53</f>
        <v>0</v>
      </c>
    </row>
    <row r="37" spans="2:101" ht="21.65" customHeight="1" x14ac:dyDescent="0.35">
      <c r="B37" s="423" t="s">
        <v>802</v>
      </c>
      <c r="C37" s="202"/>
      <c r="D37" s="557">
        <f t="shared" ref="D37:AC37" si="13">D109</f>
        <v>0</v>
      </c>
      <c r="E37" s="517">
        <f t="shared" si="13"/>
        <v>0</v>
      </c>
      <c r="F37" s="517">
        <f t="shared" si="13"/>
        <v>0</v>
      </c>
      <c r="G37" s="517">
        <f t="shared" si="13"/>
        <v>0</v>
      </c>
      <c r="H37" s="517">
        <f t="shared" si="13"/>
        <v>0</v>
      </c>
      <c r="I37" s="517">
        <f t="shared" si="13"/>
        <v>-6.6417499999997744</v>
      </c>
      <c r="J37" s="517">
        <f t="shared" si="13"/>
        <v>-38.222083333332648</v>
      </c>
      <c r="K37" s="517">
        <f t="shared" si="13"/>
        <v>84.695583333333389</v>
      </c>
      <c r="L37" s="517">
        <f t="shared" si="13"/>
        <v>16.60225000000014</v>
      </c>
      <c r="M37" s="517">
        <f t="shared" si="13"/>
        <v>16.668916666666519</v>
      </c>
      <c r="N37" s="517">
        <f t="shared" si="13"/>
        <v>-12.19925666666677</v>
      </c>
      <c r="O37" s="517">
        <f t="shared" si="13"/>
        <v>-14.628243333333103</v>
      </c>
      <c r="P37" s="517">
        <f t="shared" si="13"/>
        <v>-31.382416666666586</v>
      </c>
      <c r="Q37" s="517">
        <f t="shared" si="13"/>
        <v>-3.1812166666670691</v>
      </c>
      <c r="R37" s="517">
        <f t="shared" si="13"/>
        <v>-1.8405500000005759</v>
      </c>
      <c r="S37" s="517">
        <f t="shared" si="13"/>
        <v>-17.699883333333901</v>
      </c>
      <c r="T37" s="517">
        <f t="shared" si="13"/>
        <v>19.342783333332591</v>
      </c>
      <c r="U37" s="700">
        <f t="shared" si="13"/>
        <v>40.229804999999715</v>
      </c>
      <c r="V37" s="517">
        <f>V109</f>
        <v>39.814900238094424</v>
      </c>
      <c r="W37" s="633">
        <f t="shared" si="13"/>
        <v>39.814900238094424</v>
      </c>
      <c r="X37" s="633">
        <f t="shared" si="13"/>
        <v>39.814900238094424</v>
      </c>
      <c r="Y37" s="633">
        <f t="shared" si="13"/>
        <v>39.814900238094424</v>
      </c>
      <c r="Z37" s="633">
        <f t="shared" si="13"/>
        <v>39.814900238094424</v>
      </c>
      <c r="AA37" s="633">
        <f t="shared" si="13"/>
        <v>39.814900238094424</v>
      </c>
      <c r="AB37" s="633">
        <f t="shared" si="13"/>
        <v>39.814900238094424</v>
      </c>
      <c r="AC37" s="681">
        <f t="shared" si="13"/>
        <v>39.814900238094424</v>
      </c>
    </row>
    <row r="38" spans="2:101" ht="21" customHeight="1" x14ac:dyDescent="0.35">
      <c r="B38" s="230" t="s">
        <v>799</v>
      </c>
      <c r="C38" s="225"/>
      <c r="D38" s="683">
        <f t="shared" ref="D38:AC38" si="14">D33+D21</f>
        <v>0</v>
      </c>
      <c r="E38" s="595">
        <f t="shared" si="14"/>
        <v>0</v>
      </c>
      <c r="F38" s="595">
        <f t="shared" si="14"/>
        <v>0</v>
      </c>
      <c r="G38" s="595">
        <f t="shared" si="14"/>
        <v>0</v>
      </c>
      <c r="H38" s="595">
        <f t="shared" si="14"/>
        <v>0</v>
      </c>
      <c r="I38" s="595">
        <f t="shared" si="14"/>
        <v>0</v>
      </c>
      <c r="J38" s="595">
        <f t="shared" si="14"/>
        <v>160.9</v>
      </c>
      <c r="K38" s="595">
        <f t="shared" si="14"/>
        <v>58.4</v>
      </c>
      <c r="L38" s="595">
        <f t="shared" si="14"/>
        <v>34.5</v>
      </c>
      <c r="M38" s="595">
        <f t="shared" si="14"/>
        <v>21.4</v>
      </c>
      <c r="N38" s="595">
        <f t="shared" si="14"/>
        <v>13.3</v>
      </c>
      <c r="O38" s="595">
        <f t="shared" si="14"/>
        <v>21.804000000000041</v>
      </c>
      <c r="P38" s="514">
        <f t="shared" si="14"/>
        <v>51.919000000000011</v>
      </c>
      <c r="Q38" s="595">
        <f t="shared" si="14"/>
        <v>46.619</v>
      </c>
      <c r="R38" s="595">
        <f t="shared" si="14"/>
        <v>39.719000000000008</v>
      </c>
      <c r="S38" s="595">
        <f t="shared" si="14"/>
        <v>27.819000000000003</v>
      </c>
      <c r="T38" s="514">
        <f t="shared" si="14"/>
        <v>6.3160000000000007</v>
      </c>
      <c r="U38" s="514">
        <f t="shared" si="14"/>
        <v>1.4159999999999999</v>
      </c>
      <c r="V38" s="702">
        <f t="shared" si="14"/>
        <v>1.4159999999999999</v>
      </c>
      <c r="W38" s="519">
        <f t="shared" si="14"/>
        <v>1.4159999999999999</v>
      </c>
      <c r="X38" s="519">
        <f t="shared" si="14"/>
        <v>1.4790000000000001</v>
      </c>
      <c r="Y38" s="519">
        <f t="shared" si="14"/>
        <v>1.4790000000000001</v>
      </c>
      <c r="Z38" s="519">
        <f t="shared" si="14"/>
        <v>1.4790000000000001</v>
      </c>
      <c r="AA38" s="519">
        <f t="shared" si="14"/>
        <v>1.4790000000000001</v>
      </c>
      <c r="AB38" s="519">
        <f t="shared" si="14"/>
        <v>1.63</v>
      </c>
      <c r="AC38" s="519">
        <f t="shared" si="14"/>
        <v>1.63</v>
      </c>
    </row>
    <row r="39" spans="2:101" ht="44.9" customHeight="1" x14ac:dyDescent="0.35">
      <c r="B39" s="210" t="s">
        <v>806</v>
      </c>
      <c r="C39" s="202"/>
      <c r="D39" s="557">
        <f t="shared" ref="D39:AC39" si="15">D101</f>
        <v>1410.9</v>
      </c>
      <c r="E39" s="517">
        <f t="shared" si="15"/>
        <v>1471.1999999999998</v>
      </c>
      <c r="F39" s="517">
        <f t="shared" si="15"/>
        <v>1477.1000000000001</v>
      </c>
      <c r="G39" s="517">
        <f t="shared" si="15"/>
        <v>1484</v>
      </c>
      <c r="H39" s="517">
        <f t="shared" si="15"/>
        <v>1492</v>
      </c>
      <c r="I39" s="517">
        <f t="shared" si="15"/>
        <v>1543.2999999999997</v>
      </c>
      <c r="J39" s="517">
        <f t="shared" si="15"/>
        <v>1550.2333333333331</v>
      </c>
      <c r="K39" s="517">
        <f t="shared" si="15"/>
        <v>1557.1666666666665</v>
      </c>
      <c r="L39" s="517">
        <f t="shared" si="15"/>
        <v>1564.1</v>
      </c>
      <c r="M39" s="517">
        <f t="shared" si="15"/>
        <v>1588.5533333333333</v>
      </c>
      <c r="N39" s="517">
        <f t="shared" si="15"/>
        <v>1595.4866666666667</v>
      </c>
      <c r="O39" s="517">
        <f t="shared" si="15"/>
        <v>1602.42</v>
      </c>
      <c r="P39" s="517">
        <f t="shared" si="15"/>
        <v>1609.3533333333335</v>
      </c>
      <c r="Q39" s="517">
        <f t="shared" si="15"/>
        <v>1688.207466666667</v>
      </c>
      <c r="R39" s="517">
        <f t="shared" si="15"/>
        <v>1695.1408000000004</v>
      </c>
      <c r="S39" s="517">
        <f t="shared" si="15"/>
        <v>1702.0741333333337</v>
      </c>
      <c r="T39" s="517">
        <f t="shared" si="15"/>
        <v>1709.0074666666671</v>
      </c>
      <c r="U39" s="517">
        <f t="shared" si="15"/>
        <v>1822.5884450000005</v>
      </c>
      <c r="V39" s="517">
        <f t="shared" si="15"/>
        <v>1829.5217783333339</v>
      </c>
      <c r="W39" s="633">
        <f t="shared" si="15"/>
        <v>1836.4551116666673</v>
      </c>
      <c r="X39" s="633">
        <f t="shared" si="15"/>
        <v>1843.3884450000007</v>
      </c>
      <c r="Y39" s="633">
        <f t="shared" si="15"/>
        <v>1892.9800005333341</v>
      </c>
      <c r="Z39" s="633">
        <f t="shared" si="15"/>
        <v>1899.9133338666675</v>
      </c>
      <c r="AA39" s="633">
        <f t="shared" si="15"/>
        <v>1906.8466672000009</v>
      </c>
      <c r="AB39" s="633">
        <f t="shared" si="15"/>
        <v>1913.7800005333343</v>
      </c>
      <c r="AC39" s="681">
        <f t="shared" si="15"/>
        <v>1950.3705249626676</v>
      </c>
    </row>
    <row r="40" spans="2:101" ht="44.9" customHeight="1" x14ac:dyDescent="0.35">
      <c r="B40" s="386" t="s">
        <v>1190</v>
      </c>
      <c r="D40" s="557"/>
      <c r="E40" s="517"/>
      <c r="F40" s="517"/>
      <c r="G40" s="517"/>
      <c r="H40" s="517"/>
      <c r="I40" s="517"/>
      <c r="J40" s="517"/>
      <c r="K40" s="517"/>
      <c r="L40" s="517"/>
      <c r="M40" s="517"/>
      <c r="N40" s="517"/>
      <c r="O40" s="517"/>
      <c r="P40" s="517"/>
      <c r="Q40" s="517"/>
      <c r="R40" s="517"/>
      <c r="S40" s="623">
        <f>'IRA and CHIPS'!E191</f>
        <v>-0.622</v>
      </c>
      <c r="T40" s="623">
        <f>'IRA and CHIPS'!F191</f>
        <v>21.89</v>
      </c>
      <c r="U40" s="623">
        <f>'IRA and CHIPS'!G191</f>
        <v>21.89</v>
      </c>
      <c r="V40" s="623">
        <f>'IRA and CHIPS'!H191</f>
        <v>21.89</v>
      </c>
      <c r="W40" s="636">
        <f>'IRA and CHIPS'!I191</f>
        <v>21.89</v>
      </c>
      <c r="X40" s="636">
        <f>'IRA and CHIPS'!J191</f>
        <v>15.439</v>
      </c>
      <c r="Y40" s="636">
        <f>'IRA and CHIPS'!K191</f>
        <v>15.439</v>
      </c>
      <c r="Z40" s="636">
        <f>'IRA and CHIPS'!L191</f>
        <v>15.439</v>
      </c>
      <c r="AA40" s="636">
        <f>'IRA and CHIPS'!M191</f>
        <v>15.439</v>
      </c>
      <c r="AB40" s="636">
        <f>'IRA and CHIPS'!N191</f>
        <v>16.966999999999999</v>
      </c>
      <c r="AC40" s="706">
        <f>'IRA and CHIPS'!O191</f>
        <v>16.966999999999999</v>
      </c>
    </row>
    <row r="41" spans="2:101" ht="31.4" customHeight="1" x14ac:dyDescent="0.35">
      <c r="B41" s="545" t="s">
        <v>803</v>
      </c>
      <c r="C41" s="225"/>
      <c r="D41" s="514">
        <f t="shared" ref="D41:R41" si="16">D39+SUM(D34:D37)+D40</f>
        <v>1440.9</v>
      </c>
      <c r="E41" s="514">
        <f t="shared" si="16"/>
        <v>1501.1999999999998</v>
      </c>
      <c r="F41" s="514">
        <f t="shared" si="16"/>
        <v>1507.1000000000001</v>
      </c>
      <c r="G41" s="514">
        <f t="shared" si="16"/>
        <v>1514</v>
      </c>
      <c r="H41" s="514">
        <f t="shared" si="16"/>
        <v>1522</v>
      </c>
      <c r="I41" s="514">
        <f t="shared" si="16"/>
        <v>1573.3</v>
      </c>
      <c r="J41" s="514">
        <f t="shared" si="16"/>
        <v>1650.6000000000004</v>
      </c>
      <c r="K41" s="514">
        <f t="shared" si="16"/>
        <v>1808.6</v>
      </c>
      <c r="L41" s="514">
        <f t="shared" si="16"/>
        <v>1697.9</v>
      </c>
      <c r="M41" s="514">
        <f t="shared" si="16"/>
        <v>1739.3999999999999</v>
      </c>
      <c r="N41" s="514">
        <f t="shared" si="16"/>
        <v>1749.07816</v>
      </c>
      <c r="O41" s="514">
        <f t="shared" si="16"/>
        <v>1919.92984</v>
      </c>
      <c r="P41" s="514">
        <f t="shared" si="16"/>
        <v>1894.6239999999998</v>
      </c>
      <c r="Q41" s="514">
        <f t="shared" si="16"/>
        <v>1859.424</v>
      </c>
      <c r="R41" s="514">
        <f t="shared" si="16"/>
        <v>1856.6239999999998</v>
      </c>
      <c r="S41" s="514">
        <f>S39+SUM(S34:S37)+S40</f>
        <v>1839.4019999999998</v>
      </c>
      <c r="T41" s="655">
        <f>T39+SUM(T34:T37)+T40</f>
        <v>1925.9739999999999</v>
      </c>
      <c r="U41" s="655">
        <f>U39+SUM(U34:U37)+U40</f>
        <v>1994.1740000000004</v>
      </c>
      <c r="V41" s="702">
        <f>V39+SUM(V34:V37)+V40</f>
        <v>1973.6454285714285</v>
      </c>
      <c r="W41" s="519">
        <f t="shared" ref="W41:AC41" si="17">W39+SUM(W34:W37)+W40</f>
        <v>1980.5787619047619</v>
      </c>
      <c r="X41" s="519">
        <f t="shared" si="17"/>
        <v>1981.0610952380953</v>
      </c>
      <c r="Y41" s="519">
        <f t="shared" si="17"/>
        <v>2030.6526507714286</v>
      </c>
      <c r="Z41" s="519">
        <f t="shared" si="17"/>
        <v>2037.585984104762</v>
      </c>
      <c r="AA41" s="519">
        <f t="shared" si="17"/>
        <v>2044.5193174380954</v>
      </c>
      <c r="AB41" s="519">
        <f t="shared" si="17"/>
        <v>2052.9806507714288</v>
      </c>
      <c r="AC41" s="519">
        <f t="shared" si="17"/>
        <v>2089.5711752007619</v>
      </c>
    </row>
    <row r="42" spans="2:101" ht="31.4" customHeight="1" x14ac:dyDescent="0.35">
      <c r="B42" s="545"/>
      <c r="C42" s="225"/>
      <c r="D42" s="514"/>
      <c r="E42" s="514"/>
      <c r="F42" s="514"/>
      <c r="G42" s="514"/>
      <c r="H42" s="514"/>
      <c r="I42" s="514"/>
      <c r="J42" s="514"/>
      <c r="K42" s="514"/>
      <c r="L42" s="514"/>
      <c r="M42" s="514"/>
      <c r="N42" s="514"/>
      <c r="O42" s="514"/>
      <c r="P42" s="514"/>
      <c r="Q42" s="514"/>
      <c r="R42" s="514"/>
      <c r="S42" s="514"/>
      <c r="T42" s="514"/>
      <c r="U42" s="514"/>
      <c r="V42" s="514">
        <f>V12-SUM(V14,V17,V18,V21,V32,V33,V34,V35)+V40</f>
        <v>1891.2266785714285</v>
      </c>
      <c r="W42" s="519"/>
      <c r="X42" s="519"/>
      <c r="Y42" s="519"/>
      <c r="Z42" s="519"/>
      <c r="AA42" s="519"/>
      <c r="AB42" s="519"/>
      <c r="AC42" s="519"/>
    </row>
    <row r="43" spans="2:101" ht="31.4" customHeight="1" x14ac:dyDescent="0.35">
      <c r="B43" s="1386" t="s">
        <v>473</v>
      </c>
      <c r="C43" s="1387"/>
      <c r="D43" s="540"/>
      <c r="E43" s="541"/>
      <c r="F43" s="541"/>
      <c r="G43" s="541"/>
      <c r="H43" s="541"/>
      <c r="I43" s="541"/>
      <c r="J43" s="541"/>
      <c r="K43" s="541"/>
      <c r="L43" s="541"/>
      <c r="M43" s="541"/>
      <c r="N43" s="541"/>
      <c r="O43" s="541"/>
      <c r="P43" s="541"/>
      <c r="Q43" s="541"/>
      <c r="R43" s="541"/>
      <c r="S43" s="541"/>
      <c r="T43" s="514"/>
      <c r="U43" s="541"/>
      <c r="V43" s="514">
        <f>V39+V37</f>
        <v>1869.3366785714284</v>
      </c>
      <c r="W43" s="519"/>
      <c r="X43" s="519"/>
      <c r="Y43" s="519"/>
      <c r="Z43" s="519"/>
      <c r="AA43" s="519"/>
      <c r="AB43" s="519"/>
      <c r="AC43" s="648"/>
    </row>
    <row r="44" spans="2:101" x14ac:dyDescent="0.35">
      <c r="B44" s="423" t="s">
        <v>808</v>
      </c>
      <c r="C44" s="202" t="s">
        <v>474</v>
      </c>
      <c r="D44" s="237">
        <f>'Haver Pivoted'!GO37</f>
        <v>733.6</v>
      </c>
      <c r="E44" s="195">
        <f>'Haver Pivoted'!GP37</f>
        <v>744.2</v>
      </c>
      <c r="F44" s="195">
        <f>'Haver Pivoted'!GQ37</f>
        <v>762.1</v>
      </c>
      <c r="G44" s="195">
        <f>'Haver Pivoted'!GR37</f>
        <v>772.2</v>
      </c>
      <c r="H44" s="195">
        <f>'Haver Pivoted'!GS37</f>
        <v>772.4</v>
      </c>
      <c r="I44" s="195">
        <f>'Haver Pivoted'!GT37</f>
        <v>761.7</v>
      </c>
      <c r="J44" s="195">
        <f>'Haver Pivoted'!GU37</f>
        <v>812.1</v>
      </c>
      <c r="K44" s="195">
        <f>'Haver Pivoted'!GV37</f>
        <v>850.2</v>
      </c>
      <c r="L44" s="195">
        <f>'Haver Pivoted'!GW37</f>
        <v>838.8</v>
      </c>
      <c r="M44" s="195">
        <f>'Haver Pivoted'!GX37</f>
        <v>866.1</v>
      </c>
      <c r="N44" s="195">
        <f>'Haver Pivoted'!GY37</f>
        <v>908</v>
      </c>
      <c r="O44" s="195">
        <f>'Haver Pivoted'!GZ37</f>
        <v>915.6</v>
      </c>
      <c r="P44" s="195">
        <f>'Haver Pivoted'!HA37</f>
        <v>912.9</v>
      </c>
      <c r="Q44" s="195">
        <f>'Haver Pivoted'!HB37</f>
        <v>960.5</v>
      </c>
      <c r="R44" s="195">
        <f>'Haver Pivoted'!HC37</f>
        <v>995.3</v>
      </c>
      <c r="S44" s="141">
        <f>'Haver Pivoted'!HD37</f>
        <v>1015.5</v>
      </c>
      <c r="T44" s="141">
        <f>'Haver Pivoted'!HE37</f>
        <v>1078.2</v>
      </c>
      <c r="U44" s="141">
        <f>'Haver Pivoted'!HF37</f>
        <v>1055.7</v>
      </c>
      <c r="V44" s="141">
        <f>'Haver Pivoted'!HG37</f>
        <v>1087.5</v>
      </c>
      <c r="W44" s="638"/>
      <c r="X44" s="638"/>
      <c r="Y44" s="638"/>
      <c r="Z44" s="638"/>
      <c r="AA44" s="638"/>
      <c r="AB44" s="638"/>
      <c r="AC44" s="695"/>
    </row>
    <row r="45" spans="2:101" x14ac:dyDescent="0.35">
      <c r="B45" s="246" t="s">
        <v>209</v>
      </c>
      <c r="C45" s="202"/>
      <c r="D45" s="557">
        <f>Medicaid!D26</f>
        <v>589.5</v>
      </c>
      <c r="E45" s="517">
        <f>Medicaid!E26</f>
        <v>598.70000000000005</v>
      </c>
      <c r="F45" s="517">
        <f>Medicaid!F26</f>
        <v>614.4</v>
      </c>
      <c r="G45" s="517">
        <f>Medicaid!G26</f>
        <v>622.4</v>
      </c>
      <c r="H45" s="517">
        <f>Medicaid!H26</f>
        <v>620.6</v>
      </c>
      <c r="I45" s="517">
        <f>Medicaid!I26</f>
        <v>606.4</v>
      </c>
      <c r="J45" s="517">
        <f>Medicaid!J26</f>
        <v>654.6</v>
      </c>
      <c r="K45" s="517">
        <f>Medicaid!K26</f>
        <v>690.8</v>
      </c>
      <c r="L45" s="517">
        <f>Medicaid!L26</f>
        <v>678.6</v>
      </c>
      <c r="M45" s="517">
        <f>Medicaid!M26</f>
        <v>705</v>
      </c>
      <c r="N45" s="517">
        <f>Medicaid!N26</f>
        <v>745.7</v>
      </c>
      <c r="O45" s="517">
        <f>Medicaid!O26</f>
        <v>749.2</v>
      </c>
      <c r="P45" s="517">
        <f>Medicaid!P26</f>
        <v>746.1</v>
      </c>
      <c r="Q45" s="517">
        <f>Medicaid!Q26</f>
        <v>791.4</v>
      </c>
      <c r="R45" s="517">
        <f>Medicaid!R26</f>
        <v>818.7</v>
      </c>
      <c r="S45" s="141">
        <f>Medicaid!S26</f>
        <v>819</v>
      </c>
      <c r="T45" s="517">
        <f>Medicaid!T26</f>
        <v>828.4</v>
      </c>
      <c r="U45" s="517">
        <f>Medicaid!U26</f>
        <v>871.5</v>
      </c>
      <c r="V45" s="517">
        <f>Medicaid!V26</f>
        <v>911.4</v>
      </c>
      <c r="W45" s="633">
        <f>Medicaid!W26</f>
        <v>880.6</v>
      </c>
      <c r="X45" s="633">
        <f>Medicaid!X26</f>
        <v>863.3</v>
      </c>
      <c r="Y45" s="633">
        <f>Medicaid!Y26</f>
        <v>845.67746107059509</v>
      </c>
      <c r="Z45" s="633">
        <f>Medicaid!Z26</f>
        <v>828.41465094730438</v>
      </c>
      <c r="AA45" s="633">
        <f>Medicaid!AA26</f>
        <v>811.50422648766312</v>
      </c>
      <c r="AB45" s="633">
        <f>Medicaid!AB26</f>
        <v>817.37196094057458</v>
      </c>
      <c r="AC45" s="681">
        <f>Medicaid!AC26</f>
        <v>823.28212315477924</v>
      </c>
    </row>
    <row r="46" spans="2:101" ht="14.9" customHeight="1" x14ac:dyDescent="0.35">
      <c r="B46" s="545" t="s">
        <v>809</v>
      </c>
      <c r="C46" s="225"/>
      <c r="D46" s="556">
        <f>D44-D45</f>
        <v>144.10000000000002</v>
      </c>
      <c r="E46" s="514">
        <f t="shared" ref="E46:O46" si="18">E44-E45</f>
        <v>145.5</v>
      </c>
      <c r="F46" s="514">
        <f t="shared" si="18"/>
        <v>147.70000000000005</v>
      </c>
      <c r="G46" s="514">
        <f t="shared" si="18"/>
        <v>149.80000000000007</v>
      </c>
      <c r="H46" s="514">
        <f t="shared" si="18"/>
        <v>151.79999999999995</v>
      </c>
      <c r="I46" s="514">
        <f t="shared" si="18"/>
        <v>155.30000000000007</v>
      </c>
      <c r="J46" s="514">
        <f t="shared" si="18"/>
        <v>157.5</v>
      </c>
      <c r="K46" s="514">
        <f t="shared" si="18"/>
        <v>159.40000000000009</v>
      </c>
      <c r="L46" s="514">
        <f t="shared" si="18"/>
        <v>160.19999999999993</v>
      </c>
      <c r="M46" s="514">
        <f t="shared" si="18"/>
        <v>161.10000000000002</v>
      </c>
      <c r="N46" s="514">
        <f t="shared" si="18"/>
        <v>162.29999999999995</v>
      </c>
      <c r="O46" s="514">
        <f t="shared" si="18"/>
        <v>166.39999999999998</v>
      </c>
      <c r="P46" s="514">
        <f>P44-P45</f>
        <v>166.79999999999995</v>
      </c>
      <c r="Q46" s="514">
        <f>Q44-Q45</f>
        <v>169.10000000000002</v>
      </c>
      <c r="R46" s="514">
        <f>R44-R45</f>
        <v>176.59999999999991</v>
      </c>
      <c r="S46" s="141">
        <f>S44-S45</f>
        <v>196.5</v>
      </c>
      <c r="T46" s="141">
        <f>T44-T45</f>
        <v>249.80000000000007</v>
      </c>
      <c r="U46" s="514">
        <f>T46*(1+AVERAGE($F$48:$I$48))+U47</f>
        <v>183.90584224202988</v>
      </c>
      <c r="V46" s="702">
        <f>U46*(1+AVERAGE($F$48:$I$48))+V47</f>
        <v>186.92861396193939</v>
      </c>
      <c r="W46" s="519">
        <f t="shared" ref="W46:AC46" si="19">V46*(1+AVERAGE($F$48:$I$48))</f>
        <v>190.00106952418523</v>
      </c>
      <c r="X46" s="519">
        <f t="shared" si="19"/>
        <v>193.12402555814535</v>
      </c>
      <c r="Y46" s="519">
        <f t="shared" si="19"/>
        <v>196.29831211574134</v>
      </c>
      <c r="Z46" s="519">
        <f t="shared" si="19"/>
        <v>199.52477289205825</v>
      </c>
      <c r="AA46" s="519">
        <f t="shared" si="19"/>
        <v>202.80426544959073</v>
      </c>
      <c r="AB46" s="519">
        <f t="shared" si="19"/>
        <v>206.137661446175</v>
      </c>
      <c r="AC46" s="648">
        <f t="shared" si="19"/>
        <v>209.52584686666717</v>
      </c>
    </row>
    <row r="47" spans="2:101" ht="14.9" customHeight="1" x14ac:dyDescent="0.35">
      <c r="B47" s="545" t="s">
        <v>1700</v>
      </c>
      <c r="C47" s="225"/>
      <c r="D47" s="556"/>
      <c r="E47" s="514"/>
      <c r="F47" s="514"/>
      <c r="G47" s="514"/>
      <c r="H47" s="514"/>
      <c r="I47" s="514"/>
      <c r="J47" s="514"/>
      <c r="K47" s="514"/>
      <c r="L47" s="514"/>
      <c r="M47" s="514"/>
      <c r="N47" s="514"/>
      <c r="O47" s="514"/>
      <c r="P47" s="514"/>
      <c r="Q47" s="514"/>
      <c r="R47" s="514"/>
      <c r="S47" s="141"/>
      <c r="T47" s="514"/>
      <c r="U47" s="514">
        <v>-70</v>
      </c>
      <c r="V47" s="514"/>
      <c r="W47" s="519"/>
      <c r="X47" s="519"/>
      <c r="Y47" s="519"/>
      <c r="Z47" s="519"/>
      <c r="AA47" s="519"/>
      <c r="AB47" s="519"/>
      <c r="AC47" s="648"/>
    </row>
    <row r="48" spans="2:101" x14ac:dyDescent="0.35">
      <c r="B48" s="675" t="s">
        <v>810</v>
      </c>
      <c r="C48" s="317"/>
      <c r="D48" s="558"/>
      <c r="E48" s="544">
        <f>E46/D46-1</f>
        <v>9.7154753643302616E-3</v>
      </c>
      <c r="F48" s="544">
        <f t="shared" ref="F48:N48" si="20">F46/E46-1</f>
        <v>1.5120274914089737E-2</v>
      </c>
      <c r="G48" s="544">
        <f t="shared" si="20"/>
        <v>1.4218009478673244E-2</v>
      </c>
      <c r="H48" s="544">
        <f t="shared" si="20"/>
        <v>1.3351134846461221E-2</v>
      </c>
      <c r="I48" s="544">
        <f t="shared" si="20"/>
        <v>2.3056653491436929E-2</v>
      </c>
      <c r="J48" s="544">
        <f t="shared" si="20"/>
        <v>1.416613007083023E-2</v>
      </c>
      <c r="K48" s="544">
        <f t="shared" si="20"/>
        <v>1.2063492063492554E-2</v>
      </c>
      <c r="L48" s="544">
        <f t="shared" si="20"/>
        <v>5.0188205771632965E-3</v>
      </c>
      <c r="M48" s="544">
        <f t="shared" si="20"/>
        <v>5.6179775280904565E-3</v>
      </c>
      <c r="N48" s="544">
        <f t="shared" si="20"/>
        <v>7.4487895716941477E-3</v>
      </c>
      <c r="O48" s="544">
        <f>O46/N46-1</f>
        <v>2.5261860751694565E-2</v>
      </c>
      <c r="P48" s="544">
        <f t="shared" ref="P48:S48" si="21">P46/O46-1</f>
        <v>2.4038461538460343E-3</v>
      </c>
      <c r="Q48" s="544">
        <f t="shared" si="21"/>
        <v>1.3788968824940406E-2</v>
      </c>
      <c r="R48" s="544">
        <f t="shared" si="21"/>
        <v>4.4352454169130029E-2</v>
      </c>
      <c r="S48" s="614">
        <f t="shared" si="21"/>
        <v>0.1126840317100799</v>
      </c>
      <c r="T48" s="516"/>
      <c r="U48" s="516"/>
      <c r="V48" s="516"/>
      <c r="W48" s="552"/>
      <c r="X48" s="552"/>
      <c r="Y48" s="552"/>
      <c r="Z48" s="552"/>
      <c r="AA48" s="552"/>
      <c r="AB48" s="552"/>
      <c r="AC48" s="647"/>
    </row>
    <row r="51" spans="2:39" x14ac:dyDescent="0.35">
      <c r="B51" s="1335"/>
      <c r="C51" s="1335"/>
      <c r="U51" s="195"/>
      <c r="V51" s="195"/>
      <c r="W51" s="195"/>
      <c r="X51" s="195"/>
      <c r="Y51" s="195"/>
      <c r="Z51" s="195"/>
      <c r="AA51" s="195"/>
      <c r="AB51" s="195"/>
      <c r="AC51" s="195"/>
    </row>
    <row r="52" spans="2:39" x14ac:dyDescent="0.35">
      <c r="B52" s="434"/>
      <c r="C52" s="202"/>
      <c r="U52" s="517"/>
      <c r="V52" s="517">
        <f>V40+V39+V34+V35+V36+V37</f>
        <v>1973.6454285714285</v>
      </c>
      <c r="W52" s="517"/>
      <c r="X52" s="517"/>
      <c r="Y52" s="517"/>
      <c r="Z52" s="517"/>
      <c r="AA52" s="517"/>
      <c r="AB52" s="517"/>
      <c r="AC52" s="517"/>
      <c r="AD52" s="481"/>
      <c r="AE52" s="481"/>
      <c r="AF52" s="481"/>
      <c r="AG52" s="481"/>
      <c r="AH52" s="481"/>
      <c r="AI52" s="481"/>
      <c r="AJ52" s="481"/>
      <c r="AK52" s="481"/>
      <c r="AL52" s="481"/>
      <c r="AM52" s="481"/>
    </row>
    <row r="53" spans="2:39" x14ac:dyDescent="0.35">
      <c r="B53" s="434"/>
      <c r="C53" s="202"/>
      <c r="U53" s="195"/>
      <c r="V53" s="195"/>
      <c r="W53" s="195"/>
      <c r="X53" s="195"/>
      <c r="Y53" s="195"/>
      <c r="Z53" s="195"/>
      <c r="AA53" s="195"/>
      <c r="AB53" s="195"/>
      <c r="AC53" s="195"/>
      <c r="AD53" s="481"/>
      <c r="AE53" s="481"/>
      <c r="AF53" s="481"/>
      <c r="AG53" s="481"/>
      <c r="AH53" s="481"/>
      <c r="AI53" s="481"/>
      <c r="AJ53" s="481"/>
      <c r="AK53" s="481"/>
      <c r="AL53" s="481"/>
      <c r="AM53" s="481"/>
    </row>
    <row r="54" spans="2:39" ht="28.5" customHeight="1" x14ac:dyDescent="0.35">
      <c r="B54" s="211"/>
      <c r="C54" s="202"/>
      <c r="U54" s="517"/>
      <c r="V54" s="517"/>
      <c r="W54" s="517"/>
      <c r="X54" s="517"/>
      <c r="Y54" s="517"/>
      <c r="Z54" s="517"/>
      <c r="AA54" s="517"/>
      <c r="AB54" s="517"/>
      <c r="AC54" s="517"/>
      <c r="AD54" s="481"/>
      <c r="AE54" s="481"/>
      <c r="AF54" s="481"/>
      <c r="AG54" s="481"/>
      <c r="AH54" s="481"/>
      <c r="AI54" s="481"/>
      <c r="AJ54" s="481"/>
      <c r="AK54" s="481"/>
      <c r="AL54" s="481"/>
      <c r="AM54" s="481"/>
    </row>
    <row r="55" spans="2:39" x14ac:dyDescent="0.35">
      <c r="B55" s="211"/>
      <c r="C55" s="202"/>
      <c r="U55" s="517"/>
      <c r="V55" s="517"/>
      <c r="W55" s="517"/>
      <c r="X55" s="517"/>
      <c r="Y55" s="517"/>
      <c r="Z55" s="517"/>
      <c r="AA55" s="517"/>
      <c r="AB55" s="517"/>
      <c r="AC55" s="517"/>
      <c r="AD55" s="481"/>
      <c r="AE55" s="481"/>
      <c r="AF55" s="481"/>
      <c r="AG55" s="481"/>
      <c r="AH55" s="481"/>
      <c r="AI55" s="481"/>
      <c r="AJ55" s="481"/>
      <c r="AK55" s="481"/>
      <c r="AL55" s="481"/>
      <c r="AM55" s="481"/>
    </row>
    <row r="56" spans="2:39" x14ac:dyDescent="0.35">
      <c r="B56" s="434"/>
      <c r="C56" s="202"/>
      <c r="U56" s="517"/>
      <c r="V56" s="517"/>
      <c r="W56" s="517"/>
      <c r="X56" s="517"/>
      <c r="Y56" s="517"/>
      <c r="Z56" s="517"/>
      <c r="AA56" s="517"/>
      <c r="AB56" s="517"/>
      <c r="AC56" s="517"/>
      <c r="AD56" s="481"/>
      <c r="AE56" s="481"/>
      <c r="AF56" s="481"/>
      <c r="AG56" s="481"/>
      <c r="AH56" s="481"/>
      <c r="AI56" s="481"/>
      <c r="AJ56" s="481"/>
      <c r="AK56" s="481"/>
      <c r="AL56" s="481"/>
      <c r="AM56" s="481"/>
    </row>
    <row r="57" spans="2:39" x14ac:dyDescent="0.35">
      <c r="B57" s="217"/>
      <c r="C57" s="225"/>
      <c r="U57" s="514"/>
      <c r="V57" s="514"/>
      <c r="W57" s="514"/>
      <c r="X57" s="514"/>
      <c r="Y57" s="514"/>
      <c r="Z57" s="514"/>
      <c r="AA57" s="514"/>
      <c r="AB57" s="514"/>
      <c r="AC57" s="514"/>
      <c r="AD57" s="481"/>
      <c r="AE57" s="481"/>
      <c r="AF57" s="481"/>
      <c r="AG57" s="481"/>
      <c r="AH57" s="481"/>
      <c r="AI57" s="481"/>
      <c r="AJ57" s="481"/>
      <c r="AK57" s="481"/>
      <c r="AL57" s="481"/>
      <c r="AM57" s="481"/>
    </row>
    <row r="58" spans="2:39" x14ac:dyDescent="0.35">
      <c r="B58" s="211"/>
      <c r="C58" s="639"/>
      <c r="U58" s="517"/>
      <c r="V58" s="517"/>
      <c r="W58" s="517"/>
      <c r="X58" s="517"/>
      <c r="Y58" s="517"/>
      <c r="Z58" s="517"/>
      <c r="AA58" s="517"/>
      <c r="AB58" s="517"/>
      <c r="AC58" s="517"/>
      <c r="AD58" s="481"/>
      <c r="AE58" s="481"/>
      <c r="AF58" s="481"/>
      <c r="AG58" s="481"/>
      <c r="AH58" s="481"/>
      <c r="AI58" s="481"/>
      <c r="AJ58" s="481"/>
      <c r="AK58" s="481"/>
      <c r="AL58" s="481"/>
      <c r="AM58" s="481"/>
    </row>
    <row r="59" spans="2:39" x14ac:dyDescent="0.35">
      <c r="B59" s="211"/>
      <c r="C59" s="639"/>
      <c r="U59" s="190"/>
      <c r="V59" s="190"/>
      <c r="W59" s="190"/>
      <c r="X59" s="190"/>
      <c r="Y59" s="190"/>
      <c r="Z59" s="190"/>
      <c r="AA59" s="190"/>
      <c r="AB59" s="190"/>
      <c r="AC59" s="190"/>
      <c r="AD59" s="481"/>
      <c r="AE59" s="481"/>
      <c r="AF59" s="481"/>
      <c r="AG59" s="481"/>
      <c r="AH59" s="481"/>
      <c r="AI59" s="481"/>
      <c r="AJ59" s="481"/>
      <c r="AK59" s="481"/>
      <c r="AL59" s="481"/>
      <c r="AM59" s="481"/>
    </row>
    <row r="60" spans="2:39" x14ac:dyDescent="0.35">
      <c r="B60" s="211"/>
      <c r="C60" s="202"/>
      <c r="U60" s="517"/>
      <c r="V60" s="517"/>
      <c r="W60" s="517"/>
      <c r="X60" s="517"/>
      <c r="Y60" s="517"/>
      <c r="Z60" s="517"/>
      <c r="AA60" s="517"/>
      <c r="AB60" s="517"/>
      <c r="AC60" s="517"/>
      <c r="AD60" s="481"/>
      <c r="AE60" s="481"/>
      <c r="AF60" s="481"/>
      <c r="AG60" s="481"/>
      <c r="AH60" s="481"/>
      <c r="AI60" s="481"/>
      <c r="AJ60" s="481"/>
      <c r="AK60" s="481"/>
      <c r="AL60" s="481"/>
      <c r="AM60" s="481"/>
    </row>
    <row r="61" spans="2:39" x14ac:dyDescent="0.35">
      <c r="B61" s="211"/>
      <c r="C61" s="202"/>
      <c r="U61" s="517"/>
      <c r="V61" s="517"/>
      <c r="W61" s="517"/>
      <c r="X61" s="517"/>
      <c r="Y61" s="517"/>
      <c r="Z61" s="517"/>
      <c r="AA61" s="517"/>
      <c r="AB61" s="517"/>
      <c r="AC61" s="517"/>
      <c r="AD61" s="481"/>
      <c r="AE61" s="481"/>
      <c r="AF61" s="481"/>
      <c r="AG61" s="481"/>
      <c r="AH61" s="481"/>
      <c r="AI61" s="481"/>
      <c r="AJ61" s="481"/>
      <c r="AK61" s="481"/>
      <c r="AL61" s="481"/>
      <c r="AM61" s="481"/>
    </row>
    <row r="62" spans="2:39" x14ac:dyDescent="0.35">
      <c r="B62" s="211"/>
      <c r="C62" s="202"/>
      <c r="U62" s="517"/>
      <c r="V62" s="517"/>
      <c r="W62" s="517"/>
      <c r="X62" s="517"/>
      <c r="Y62" s="517"/>
      <c r="Z62" s="517"/>
      <c r="AA62" s="517"/>
      <c r="AB62" s="517"/>
      <c r="AC62" s="517"/>
      <c r="AD62" s="481"/>
      <c r="AE62" s="481"/>
      <c r="AF62" s="481"/>
      <c r="AG62" s="481"/>
      <c r="AH62" s="481"/>
      <c r="AI62" s="481"/>
      <c r="AJ62" s="481"/>
      <c r="AK62" s="481"/>
      <c r="AL62" s="481"/>
      <c r="AM62" s="481"/>
    </row>
    <row r="63" spans="2:39" x14ac:dyDescent="0.35">
      <c r="B63" s="434"/>
      <c r="C63" s="202"/>
      <c r="U63" s="517"/>
      <c r="V63" s="517"/>
      <c r="W63" s="517"/>
      <c r="X63" s="517"/>
      <c r="Y63" s="517"/>
      <c r="Z63" s="517"/>
      <c r="AA63" s="517"/>
      <c r="AB63" s="517"/>
      <c r="AC63" s="517"/>
      <c r="AD63" s="481"/>
      <c r="AE63" s="481"/>
      <c r="AF63" s="481"/>
      <c r="AG63" s="481"/>
      <c r="AH63" s="481"/>
      <c r="AI63" s="481"/>
      <c r="AJ63" s="481"/>
      <c r="AK63" s="481"/>
      <c r="AL63" s="481"/>
      <c r="AM63" s="481"/>
    </row>
    <row r="64" spans="2:39" x14ac:dyDescent="0.35">
      <c r="B64" s="217"/>
      <c r="C64" s="225"/>
      <c r="U64" s="595"/>
      <c r="V64" s="595"/>
      <c r="W64" s="595"/>
      <c r="X64" s="595"/>
      <c r="Y64" s="595"/>
      <c r="Z64" s="595"/>
      <c r="AA64" s="595"/>
      <c r="AB64" s="595"/>
      <c r="AC64" s="595"/>
      <c r="AD64" s="481"/>
      <c r="AE64" s="481"/>
      <c r="AF64" s="481"/>
      <c r="AG64" s="481"/>
      <c r="AH64" s="481"/>
      <c r="AI64" s="481"/>
      <c r="AJ64" s="481"/>
      <c r="AK64" s="481"/>
      <c r="AL64" s="481"/>
      <c r="AM64" s="481"/>
    </row>
    <row r="65" spans="2:39" ht="28.5" customHeight="1" x14ac:dyDescent="0.35">
      <c r="B65" s="211"/>
      <c r="C65" s="202"/>
      <c r="U65" s="517"/>
      <c r="V65" s="517"/>
      <c r="W65" s="517"/>
      <c r="X65" s="517"/>
      <c r="Y65" s="517"/>
      <c r="Z65" s="517"/>
      <c r="AA65" s="517"/>
      <c r="AB65" s="517"/>
      <c r="AC65" s="517"/>
      <c r="AD65" s="481"/>
      <c r="AE65" s="481"/>
      <c r="AF65" s="481"/>
      <c r="AG65" s="481"/>
      <c r="AH65" s="481"/>
      <c r="AI65" s="481"/>
      <c r="AJ65" s="481"/>
      <c r="AK65" s="481"/>
      <c r="AL65" s="481"/>
      <c r="AM65" s="481"/>
    </row>
    <row r="66" spans="2:39" x14ac:dyDescent="0.35">
      <c r="B66" s="338"/>
      <c r="C66" s="35"/>
      <c r="U66" s="623"/>
      <c r="V66" s="623"/>
      <c r="W66" s="623"/>
      <c r="X66" s="623"/>
      <c r="Y66" s="623"/>
      <c r="Z66" s="623"/>
      <c r="AA66" s="623"/>
      <c r="AB66" s="623"/>
      <c r="AC66" s="623"/>
      <c r="AD66" s="481"/>
      <c r="AE66" s="481"/>
      <c r="AF66" s="481"/>
      <c r="AG66" s="481"/>
      <c r="AH66" s="481"/>
      <c r="AI66" s="481"/>
      <c r="AJ66" s="481"/>
      <c r="AK66" s="481"/>
      <c r="AL66" s="481"/>
      <c r="AM66" s="481"/>
    </row>
    <row r="67" spans="2:39" x14ac:dyDescent="0.35">
      <c r="B67" s="225"/>
      <c r="C67" s="225"/>
      <c r="U67" s="514"/>
      <c r="V67" s="514"/>
      <c r="W67" s="514"/>
      <c r="X67" s="514"/>
      <c r="Y67" s="514"/>
      <c r="Z67" s="514"/>
      <c r="AA67" s="514"/>
      <c r="AB67" s="514"/>
      <c r="AC67" s="514"/>
      <c r="AD67" s="481"/>
      <c r="AE67" s="481"/>
      <c r="AF67" s="481"/>
      <c r="AG67" s="481"/>
      <c r="AH67" s="481"/>
      <c r="AI67" s="481"/>
      <c r="AJ67" s="481"/>
      <c r="AK67" s="481"/>
      <c r="AL67" s="481"/>
      <c r="AM67" s="481"/>
    </row>
    <row r="68" spans="2:39" x14ac:dyDescent="0.35">
      <c r="B68" s="1335"/>
      <c r="C68" s="1335"/>
      <c r="U68" s="514"/>
      <c r="V68" s="514"/>
      <c r="W68" s="514"/>
      <c r="X68" s="514"/>
      <c r="Y68" s="514"/>
      <c r="Z68" s="514"/>
      <c r="AA68" s="514"/>
      <c r="AB68" s="514"/>
      <c r="AC68" s="514"/>
      <c r="AD68" s="481"/>
      <c r="AE68" s="481"/>
      <c r="AF68" s="481"/>
      <c r="AG68" s="481"/>
      <c r="AH68" s="481"/>
      <c r="AI68" s="481"/>
      <c r="AJ68" s="481"/>
      <c r="AK68" s="481"/>
      <c r="AL68" s="481"/>
      <c r="AM68" s="481"/>
    </row>
    <row r="69" spans="2:39" x14ac:dyDescent="0.35">
      <c r="B69" s="434"/>
      <c r="C69" s="202"/>
      <c r="U69" s="202"/>
      <c r="V69" s="202"/>
      <c r="W69" s="202"/>
      <c r="X69" s="202"/>
      <c r="Y69" s="202"/>
      <c r="Z69" s="202"/>
      <c r="AA69" s="202"/>
      <c r="AB69" s="202"/>
      <c r="AC69" s="202"/>
      <c r="AD69" s="481"/>
      <c r="AE69" s="481"/>
      <c r="AF69" s="481"/>
      <c r="AG69" s="481"/>
      <c r="AH69" s="481"/>
      <c r="AI69" s="481"/>
      <c r="AJ69" s="481"/>
      <c r="AK69" s="481"/>
      <c r="AL69" s="481"/>
      <c r="AM69" s="481"/>
    </row>
    <row r="70" spans="2:39" x14ac:dyDescent="0.35">
      <c r="B70" s="202"/>
      <c r="C70" s="202"/>
      <c r="U70" s="517"/>
      <c r="V70" s="517"/>
      <c r="W70" s="517"/>
      <c r="X70" s="517"/>
      <c r="Y70" s="517"/>
      <c r="Z70" s="517"/>
      <c r="AA70" s="517"/>
      <c r="AB70" s="517"/>
      <c r="AC70" s="517"/>
      <c r="AD70" s="481"/>
      <c r="AE70" s="481"/>
      <c r="AF70" s="481"/>
      <c r="AG70" s="481"/>
      <c r="AH70" s="481"/>
      <c r="AI70" s="481"/>
      <c r="AJ70" s="481"/>
      <c r="AK70" s="481"/>
      <c r="AL70" s="481"/>
      <c r="AM70" s="481"/>
    </row>
    <row r="71" spans="2:39" x14ac:dyDescent="0.35">
      <c r="B71" s="225"/>
      <c r="C71" s="225"/>
      <c r="U71" s="514"/>
      <c r="V71" s="514"/>
      <c r="W71" s="514"/>
      <c r="X71" s="514"/>
      <c r="Y71" s="514"/>
      <c r="Z71" s="514"/>
      <c r="AA71" s="514"/>
      <c r="AB71" s="514"/>
      <c r="AC71" s="514"/>
      <c r="AD71" s="481"/>
      <c r="AE71" s="481"/>
      <c r="AF71" s="481"/>
      <c r="AG71" s="481"/>
      <c r="AH71" s="481"/>
      <c r="AI71" s="481"/>
      <c r="AJ71" s="481"/>
      <c r="AK71" s="481"/>
      <c r="AL71" s="481"/>
      <c r="AM71" s="481"/>
    </row>
    <row r="72" spans="2:39" x14ac:dyDescent="0.35">
      <c r="B72" s="225"/>
      <c r="C72" s="225"/>
      <c r="U72" s="514"/>
      <c r="V72" s="514"/>
      <c r="W72" s="514"/>
      <c r="X72" s="514"/>
      <c r="Y72" s="514"/>
      <c r="Z72" s="514"/>
      <c r="AA72" s="514"/>
      <c r="AB72" s="514"/>
      <c r="AC72" s="514"/>
      <c r="AD72" s="481"/>
      <c r="AE72" s="481"/>
      <c r="AF72" s="481"/>
      <c r="AG72" s="481"/>
      <c r="AH72" s="481"/>
      <c r="AI72" s="481"/>
      <c r="AJ72" s="481"/>
      <c r="AK72" s="481"/>
      <c r="AL72" s="481"/>
      <c r="AM72" s="481"/>
    </row>
    <row r="73" spans="2:39" x14ac:dyDescent="0.35">
      <c r="B73" s="640"/>
      <c r="C73" s="202"/>
      <c r="U73" s="517"/>
      <c r="V73" s="517"/>
      <c r="W73" s="517"/>
      <c r="X73" s="517"/>
      <c r="Y73" s="517"/>
      <c r="Z73" s="517"/>
      <c r="AA73" s="517"/>
      <c r="AB73" s="517"/>
      <c r="AC73" s="517"/>
      <c r="AD73" s="481"/>
      <c r="AE73" s="481"/>
      <c r="AF73" s="481"/>
      <c r="AG73" s="481"/>
      <c r="AH73" s="481"/>
      <c r="AI73" s="481"/>
      <c r="AJ73" s="481"/>
      <c r="AK73" s="481"/>
      <c r="AL73" s="481"/>
      <c r="AM73" s="481"/>
    </row>
    <row r="75" spans="2:39" x14ac:dyDescent="0.35">
      <c r="U75" s="1385"/>
      <c r="V75" s="1385"/>
      <c r="W75" s="1385"/>
      <c r="X75" s="1385"/>
    </row>
    <row r="76" spans="2:39" x14ac:dyDescent="0.35">
      <c r="U76" s="1385"/>
      <c r="V76" s="1385"/>
      <c r="W76" s="1385"/>
      <c r="X76" s="1385"/>
    </row>
    <row r="77" spans="2:39" x14ac:dyDescent="0.35">
      <c r="U77" s="1385"/>
      <c r="V77" s="1385"/>
      <c r="W77" s="1385"/>
      <c r="X77" s="1385"/>
    </row>
    <row r="79" spans="2:39" x14ac:dyDescent="0.35">
      <c r="P79" s="448"/>
      <c r="Q79" s="448"/>
    </row>
    <row r="80" spans="2:39" x14ac:dyDescent="0.35">
      <c r="B80" s="478" t="s">
        <v>352</v>
      </c>
      <c r="D80" s="517"/>
      <c r="E80" s="517"/>
      <c r="F80" s="517"/>
      <c r="G80" s="517"/>
      <c r="H80" s="517"/>
      <c r="I80" s="517"/>
      <c r="J80" s="517"/>
      <c r="K80" s="517"/>
      <c r="L80" s="517"/>
      <c r="M80" s="517"/>
      <c r="N80" s="517"/>
      <c r="O80" s="517"/>
      <c r="P80" s="517"/>
      <c r="Q80" s="517"/>
      <c r="R80" s="517"/>
      <c r="S80" s="517"/>
      <c r="T80" s="517"/>
      <c r="U80" s="517"/>
      <c r="V80" s="517"/>
      <c r="W80" s="517"/>
      <c r="X80" s="517"/>
      <c r="Y80" s="517"/>
      <c r="Z80" s="517"/>
      <c r="AA80" s="517"/>
      <c r="AB80" s="517"/>
      <c r="AC80" s="517"/>
    </row>
    <row r="81" spans="2:33" ht="45.75" customHeight="1" x14ac:dyDescent="0.35">
      <c r="B81" s="1388" t="s">
        <v>477</v>
      </c>
      <c r="C81" s="1388"/>
      <c r="D81" s="1388"/>
      <c r="E81" s="1388"/>
      <c r="F81" s="1388"/>
      <c r="G81" s="1388"/>
      <c r="H81" s="1388"/>
      <c r="I81" s="1388"/>
      <c r="J81" s="1388"/>
      <c r="K81" s="1388"/>
      <c r="L81" s="1388"/>
      <c r="M81" s="1388"/>
      <c r="N81" s="1388"/>
      <c r="O81" s="1388"/>
      <c r="P81" s="1388"/>
      <c r="Q81" s="1388"/>
      <c r="R81" s="1388"/>
      <c r="S81" s="1388"/>
      <c r="T81" s="1388"/>
      <c r="U81" s="1388"/>
      <c r="V81" s="1388"/>
      <c r="W81" s="1388"/>
      <c r="X81" s="1388"/>
      <c r="Y81" s="1388"/>
      <c r="Z81" s="1388"/>
      <c r="AA81" s="1388"/>
      <c r="AB81" s="1388"/>
      <c r="AC81" s="1388"/>
    </row>
    <row r="82" spans="2:33" ht="14.9" customHeight="1" x14ac:dyDescent="0.35">
      <c r="B82" s="1299" t="s">
        <v>478</v>
      </c>
      <c r="C82" s="1300"/>
      <c r="D82" s="1360" t="s">
        <v>280</v>
      </c>
      <c r="E82" s="1361"/>
      <c r="F82" s="1361"/>
      <c r="G82" s="1361"/>
      <c r="H82" s="1361"/>
      <c r="I82" s="1361"/>
      <c r="J82" s="1361"/>
      <c r="K82" s="1361"/>
      <c r="L82" s="1361"/>
      <c r="M82" s="1361"/>
      <c r="N82" s="1361"/>
      <c r="O82" s="1361"/>
      <c r="P82" s="1361"/>
      <c r="Q82" s="1361"/>
      <c r="R82" s="1361"/>
      <c r="S82" s="1361"/>
      <c r="T82" s="1361"/>
      <c r="U82" s="1361"/>
      <c r="V82" s="1394"/>
      <c r="W82" s="1324" t="s">
        <v>281</v>
      </c>
      <c r="X82" s="1325"/>
      <c r="Y82" s="1325"/>
      <c r="Z82" s="1325"/>
      <c r="AA82" s="1325"/>
      <c r="AB82" s="1325"/>
      <c r="AC82" s="1325"/>
      <c r="AD82" s="1325"/>
      <c r="AE82" s="1325"/>
      <c r="AF82" s="1325"/>
      <c r="AG82" s="1325"/>
    </row>
    <row r="83" spans="2:33" x14ac:dyDescent="0.35">
      <c r="B83" s="1299"/>
      <c r="C83" s="1300"/>
      <c r="D83" s="142">
        <v>2018</v>
      </c>
      <c r="E83" s="1278">
        <v>2019</v>
      </c>
      <c r="F83" s="1306"/>
      <c r="G83" s="1306"/>
      <c r="H83" s="1307"/>
      <c r="I83" s="1278">
        <v>2020</v>
      </c>
      <c r="J83" s="1306"/>
      <c r="K83" s="1306"/>
      <c r="L83" s="1306"/>
      <c r="M83" s="1278">
        <v>2021</v>
      </c>
      <c r="N83" s="1306"/>
      <c r="O83" s="1306"/>
      <c r="P83" s="1306"/>
      <c r="Q83" s="1278">
        <v>2022</v>
      </c>
      <c r="R83" s="1279"/>
      <c r="S83" s="1279"/>
      <c r="T83" s="1307"/>
      <c r="U83" s="251"/>
      <c r="V83" s="522">
        <v>2023</v>
      </c>
      <c r="W83" s="518"/>
      <c r="X83" s="222"/>
      <c r="Y83" s="1303">
        <v>2024</v>
      </c>
      <c r="Z83" s="1315"/>
      <c r="AA83" s="1315"/>
      <c r="AB83" s="1305"/>
      <c r="AC83" s="1303">
        <v>2025</v>
      </c>
      <c r="AD83" s="1315"/>
      <c r="AE83" s="1315"/>
      <c r="AF83" s="1305"/>
      <c r="AG83" s="467">
        <v>2026</v>
      </c>
    </row>
    <row r="84" spans="2:33" x14ac:dyDescent="0.35">
      <c r="B84" s="1301"/>
      <c r="C84" s="1302"/>
      <c r="D84" s="148" t="s">
        <v>282</v>
      </c>
      <c r="E84" s="148" t="s">
        <v>283</v>
      </c>
      <c r="F84" s="144" t="s">
        <v>284</v>
      </c>
      <c r="G84" s="144" t="s">
        <v>238</v>
      </c>
      <c r="H84" s="145" t="s">
        <v>282</v>
      </c>
      <c r="I84" s="144" t="s">
        <v>283</v>
      </c>
      <c r="J84" s="144" t="s">
        <v>284</v>
      </c>
      <c r="K84" s="144" t="s">
        <v>238</v>
      </c>
      <c r="L84" s="144" t="s">
        <v>282</v>
      </c>
      <c r="M84" s="148" t="s">
        <v>283</v>
      </c>
      <c r="N84" s="144" t="s">
        <v>284</v>
      </c>
      <c r="O84" s="144" t="s">
        <v>238</v>
      </c>
      <c r="P84" s="144" t="s">
        <v>282</v>
      </c>
      <c r="Q84" s="148" t="s">
        <v>283</v>
      </c>
      <c r="R84" s="144" t="s">
        <v>284</v>
      </c>
      <c r="S84" s="144" t="s">
        <v>238</v>
      </c>
      <c r="T84" s="145" t="s">
        <v>282</v>
      </c>
      <c r="U84" s="144" t="s">
        <v>283</v>
      </c>
      <c r="V84" s="249" t="s">
        <v>284</v>
      </c>
      <c r="W84" s="232" t="s">
        <v>238</v>
      </c>
      <c r="X84" s="233" t="s">
        <v>282</v>
      </c>
      <c r="Y84" s="231" t="s">
        <v>283</v>
      </c>
      <c r="Z84" s="229" t="s">
        <v>284</v>
      </c>
      <c r="AA84" s="232" t="s">
        <v>238</v>
      </c>
      <c r="AB84" s="232" t="s">
        <v>282</v>
      </c>
      <c r="AC84" s="231" t="s">
        <v>283</v>
      </c>
      <c r="AD84" s="229" t="s">
        <v>284</v>
      </c>
      <c r="AE84" s="232" t="s">
        <v>238</v>
      </c>
      <c r="AF84" s="232" t="s">
        <v>282</v>
      </c>
      <c r="AG84" s="231" t="s">
        <v>283</v>
      </c>
    </row>
    <row r="85" spans="2:33" x14ac:dyDescent="0.35">
      <c r="B85" s="246" t="s">
        <v>1439</v>
      </c>
      <c r="D85" s="215"/>
      <c r="E85" s="270"/>
      <c r="F85" s="270"/>
      <c r="G85" s="270"/>
      <c r="H85" s="270"/>
      <c r="I85" s="537">
        <f>(I86-AVERAGE($E86:$H86))</f>
        <v>6.6417500000000018</v>
      </c>
      <c r="J85" s="537">
        <f t="shared" ref="J85:U85" si="22">(J86-AVERAGE($E86:$H86))</f>
        <v>51.388749999999995</v>
      </c>
      <c r="K85" s="537">
        <f t="shared" si="22"/>
        <v>55.337750000000007</v>
      </c>
      <c r="L85" s="537">
        <f t="shared" si="22"/>
        <v>62.597749999999998</v>
      </c>
      <c r="M85" s="537">
        <f t="shared" si="22"/>
        <v>88.07774999999998</v>
      </c>
      <c r="N85" s="537">
        <f t="shared" si="22"/>
        <v>102.89075</v>
      </c>
      <c r="O85" s="537">
        <f t="shared" si="22"/>
        <v>94.404750000000007</v>
      </c>
      <c r="P85" s="537">
        <f t="shared" si="22"/>
        <v>91.919749999999993</v>
      </c>
      <c r="Q85" s="537">
        <f t="shared" si="22"/>
        <v>80.097749999999991</v>
      </c>
      <c r="R85" s="537">
        <f t="shared" si="22"/>
        <v>69.023750000000007</v>
      </c>
      <c r="S85" s="538">
        <f t="shared" si="22"/>
        <v>61.349750000000007</v>
      </c>
      <c r="T85" s="525">
        <f t="shared" si="22"/>
        <v>81.433750000000003</v>
      </c>
      <c r="U85" s="538">
        <f t="shared" si="22"/>
        <v>75.465749999999986</v>
      </c>
      <c r="V85" s="538">
        <f>(V86-AVERAGE($E86:$H86))</f>
        <v>48.418749999999996</v>
      </c>
      <c r="W85" s="684">
        <f>V85</f>
        <v>48.418749999999996</v>
      </c>
      <c r="X85" s="684">
        <f t="shared" ref="X85:AG85" si="23">W85</f>
        <v>48.418749999999996</v>
      </c>
      <c r="Y85" s="684">
        <f t="shared" si="23"/>
        <v>48.418749999999996</v>
      </c>
      <c r="Z85" s="684">
        <f t="shared" si="23"/>
        <v>48.418749999999996</v>
      </c>
      <c r="AA85" s="684">
        <f t="shared" si="23"/>
        <v>48.418749999999996</v>
      </c>
      <c r="AB85" s="684">
        <f t="shared" si="23"/>
        <v>48.418749999999996</v>
      </c>
      <c r="AC85" s="645">
        <f t="shared" si="23"/>
        <v>48.418749999999996</v>
      </c>
      <c r="AD85" s="684">
        <f t="shared" si="23"/>
        <v>48.418749999999996</v>
      </c>
      <c r="AE85" s="684">
        <f t="shared" si="23"/>
        <v>48.418749999999996</v>
      </c>
      <c r="AF85" s="684">
        <f t="shared" si="23"/>
        <v>48.418749999999996</v>
      </c>
      <c r="AG85" s="684">
        <f t="shared" si="23"/>
        <v>48.418749999999996</v>
      </c>
    </row>
    <row r="86" spans="2:33" x14ac:dyDescent="0.35">
      <c r="B86" s="246" t="s">
        <v>160</v>
      </c>
      <c r="C86" s="202" t="s">
        <v>479</v>
      </c>
      <c r="D86" s="237">
        <f>'Haver Pivoted'!GO66</f>
        <v>57.017000000000003</v>
      </c>
      <c r="E86" s="195">
        <f>'Haver Pivoted'!GP66</f>
        <v>55.847999999999999</v>
      </c>
      <c r="F86" s="195">
        <f>'Haver Pivoted'!GQ66</f>
        <v>54.531999999999996</v>
      </c>
      <c r="G86" s="195">
        <f>'Haver Pivoted'!GR66</f>
        <v>54.451999999999998</v>
      </c>
      <c r="H86" s="195">
        <f>'Haver Pivoted'!GS66</f>
        <v>54.012999999999998</v>
      </c>
      <c r="I86" s="195">
        <f>'Haver Pivoted'!GT66</f>
        <v>61.353000000000002</v>
      </c>
      <c r="J86" s="195">
        <f>'Haver Pivoted'!GU66</f>
        <v>106.1</v>
      </c>
      <c r="K86" s="195">
        <f>'Haver Pivoted'!GV66</f>
        <v>110.04900000000001</v>
      </c>
      <c r="L86" s="195">
        <f>'Haver Pivoted'!GW66</f>
        <v>117.309</v>
      </c>
      <c r="M86" s="195">
        <f>'Haver Pivoted'!GX66</f>
        <v>142.78899999999999</v>
      </c>
      <c r="N86" s="195">
        <f>'Haver Pivoted'!GY66</f>
        <v>157.602</v>
      </c>
      <c r="O86" s="195">
        <f>'Haver Pivoted'!GZ66</f>
        <v>149.11600000000001</v>
      </c>
      <c r="P86" s="195">
        <f>'Haver Pivoted'!HA66</f>
        <v>146.631</v>
      </c>
      <c r="Q86" s="195">
        <f>'Haver Pivoted'!HB66</f>
        <v>134.809</v>
      </c>
      <c r="R86" s="195">
        <f>'Haver Pivoted'!HC66</f>
        <v>123.735</v>
      </c>
      <c r="S86" s="144">
        <f>'Haver Pivoted'!HD66</f>
        <v>116.06100000000001</v>
      </c>
      <c r="T86" s="144">
        <f>'Haver Pivoted'!HE66</f>
        <v>136.14500000000001</v>
      </c>
      <c r="U86" s="144">
        <f>'Haver Pivoted'!HF66</f>
        <v>130.17699999999999</v>
      </c>
      <c r="V86" s="144">
        <f>'Haver Pivoted'!HG66</f>
        <v>103.13</v>
      </c>
      <c r="W86" s="282"/>
      <c r="X86" s="282"/>
      <c r="Y86" s="282"/>
      <c r="Z86" s="282"/>
      <c r="AA86" s="282"/>
      <c r="AB86" s="282"/>
      <c r="AC86" s="282"/>
      <c r="AD86" s="469"/>
      <c r="AE86" s="469"/>
      <c r="AF86" s="469"/>
      <c r="AG86" s="469"/>
    </row>
    <row r="87" spans="2:33" ht="29.15" customHeight="1" x14ac:dyDescent="0.35">
      <c r="B87" s="316" t="s">
        <v>480</v>
      </c>
      <c r="C87" s="317"/>
      <c r="D87" s="679"/>
      <c r="E87" s="528"/>
      <c r="F87" s="528"/>
      <c r="G87" s="528"/>
      <c r="H87" s="528"/>
      <c r="I87" s="528"/>
      <c r="J87" s="528">
        <f t="shared" ref="J87:V87" si="24">J86-$H86</f>
        <v>52.086999999999996</v>
      </c>
      <c r="K87" s="528">
        <f t="shared" si="24"/>
        <v>56.036000000000008</v>
      </c>
      <c r="L87" s="528">
        <f t="shared" si="24"/>
        <v>63.295999999999999</v>
      </c>
      <c r="M87" s="528">
        <f t="shared" si="24"/>
        <v>88.775999999999982</v>
      </c>
      <c r="N87" s="528">
        <f>N86-$H86</f>
        <v>103.589</v>
      </c>
      <c r="O87" s="528">
        <f>O86-$H86</f>
        <v>95.103000000000009</v>
      </c>
      <c r="P87" s="528">
        <f t="shared" si="24"/>
        <v>92.617999999999995</v>
      </c>
      <c r="Q87" s="528">
        <f t="shared" si="24"/>
        <v>80.795999999999992</v>
      </c>
      <c r="R87" s="528">
        <f t="shared" si="24"/>
        <v>69.722000000000008</v>
      </c>
      <c r="S87" s="249">
        <f t="shared" si="24"/>
        <v>62.048000000000009</v>
      </c>
      <c r="T87" s="249">
        <f t="shared" si="24"/>
        <v>82.132000000000005</v>
      </c>
      <c r="U87" s="249">
        <f t="shared" si="24"/>
        <v>76.163999999999987</v>
      </c>
      <c r="V87" s="249">
        <f t="shared" si="24"/>
        <v>49.116999999999997</v>
      </c>
      <c r="W87" s="232"/>
      <c r="X87" s="232"/>
      <c r="Y87" s="232"/>
      <c r="Z87" s="232"/>
      <c r="AA87" s="232"/>
      <c r="AB87" s="232"/>
      <c r="AC87" s="232"/>
      <c r="AD87" s="469"/>
      <c r="AE87" s="469"/>
      <c r="AF87" s="469"/>
      <c r="AG87" s="469"/>
    </row>
    <row r="88" spans="2:33" ht="29.15" customHeight="1" x14ac:dyDescent="0.35">
      <c r="B88" s="202"/>
      <c r="C88" s="202"/>
      <c r="D88" s="195"/>
      <c r="E88" s="195"/>
      <c r="F88" s="195"/>
      <c r="G88" s="195"/>
      <c r="H88" s="195"/>
      <c r="I88" s="195"/>
      <c r="J88" s="195"/>
      <c r="K88" s="195"/>
      <c r="L88" s="195"/>
      <c r="M88" s="195"/>
      <c r="N88" s="195"/>
      <c r="O88" s="195"/>
      <c r="P88" s="195"/>
      <c r="Q88" s="195"/>
      <c r="R88" s="195"/>
      <c r="S88" s="195"/>
      <c r="T88" s="195"/>
      <c r="U88" s="195"/>
      <c r="V88" s="195"/>
      <c r="W88" s="195"/>
      <c r="X88" s="195"/>
      <c r="Y88" s="195"/>
      <c r="Z88" s="195"/>
      <c r="AA88" s="195"/>
      <c r="AB88" s="195"/>
      <c r="AC88" s="195"/>
    </row>
    <row r="89" spans="2:33" ht="29.15" customHeight="1" x14ac:dyDescent="0.35">
      <c r="B89" s="202"/>
      <c r="C89" s="202"/>
      <c r="D89" s="195"/>
      <c r="E89" s="195"/>
      <c r="F89" s="195"/>
      <c r="G89" s="195"/>
      <c r="H89" s="195"/>
      <c r="I89" s="195"/>
      <c r="J89" s="195"/>
      <c r="K89" s="195"/>
      <c r="L89" s="195"/>
      <c r="M89" s="195"/>
      <c r="N89" s="195"/>
      <c r="O89" s="195"/>
      <c r="P89" s="195"/>
      <c r="Q89" s="195"/>
      <c r="R89" s="195"/>
      <c r="S89" s="195"/>
      <c r="T89" s="195"/>
      <c r="U89" s="195"/>
      <c r="V89" s="195"/>
      <c r="W89" s="195"/>
      <c r="X89" s="195"/>
      <c r="Y89" s="195"/>
      <c r="Z89" s="195"/>
      <c r="AA89" s="195"/>
      <c r="AB89" s="195"/>
      <c r="AC89" s="195"/>
    </row>
    <row r="90" spans="2:33" ht="29.15" customHeight="1" x14ac:dyDescent="0.35">
      <c r="B90" s="202"/>
      <c r="C90" s="202"/>
      <c r="D90" s="195"/>
      <c r="E90" s="195"/>
      <c r="F90" s="195"/>
      <c r="G90" s="195"/>
      <c r="H90" s="195"/>
      <c r="I90" s="195"/>
      <c r="J90" s="195"/>
      <c r="K90" s="195"/>
      <c r="L90" s="195"/>
      <c r="M90" s="195"/>
      <c r="N90" s="195"/>
      <c r="O90" s="195"/>
      <c r="P90" s="195"/>
      <c r="Q90" s="195"/>
      <c r="R90" s="195"/>
      <c r="S90" s="195"/>
      <c r="T90" s="195"/>
      <c r="U90" s="195"/>
      <c r="V90" s="195"/>
      <c r="W90" s="195"/>
      <c r="X90" s="195"/>
      <c r="Y90" s="195"/>
      <c r="Z90" s="195"/>
      <c r="AA90" s="195"/>
      <c r="AB90" s="195"/>
      <c r="AC90" s="195"/>
    </row>
    <row r="91" spans="2:33" ht="35.9" customHeight="1" x14ac:dyDescent="0.35"/>
    <row r="92" spans="2:33" x14ac:dyDescent="0.35">
      <c r="B92" s="478" t="s">
        <v>365</v>
      </c>
    </row>
    <row r="93" spans="2:33" x14ac:dyDescent="0.35">
      <c r="B93" s="1389" t="s">
        <v>807</v>
      </c>
      <c r="C93" s="1390"/>
      <c r="D93" s="1301" t="s">
        <v>280</v>
      </c>
      <c r="E93" s="1313"/>
      <c r="F93" s="1313"/>
      <c r="G93" s="1313"/>
      <c r="H93" s="1313"/>
      <c r="I93" s="1313"/>
      <c r="J93" s="1313"/>
      <c r="K93" s="1313"/>
      <c r="L93" s="1313"/>
      <c r="M93" s="1313"/>
      <c r="N93" s="1313"/>
      <c r="O93" s="1313"/>
      <c r="P93" s="1313"/>
      <c r="Q93" s="1313"/>
      <c r="R93" s="1313"/>
      <c r="S93" s="1313"/>
      <c r="T93" s="1313"/>
      <c r="U93" s="1313"/>
      <c r="V93" s="1302"/>
      <c r="W93" s="1324" t="s">
        <v>281</v>
      </c>
      <c r="X93" s="1325"/>
      <c r="Y93" s="1325"/>
      <c r="Z93" s="1325"/>
      <c r="AA93" s="1325"/>
      <c r="AB93" s="1325"/>
      <c r="AC93" s="1325"/>
      <c r="AD93" s="1325"/>
      <c r="AE93" s="1325"/>
      <c r="AF93" s="1325"/>
      <c r="AG93" s="1325"/>
    </row>
    <row r="94" spans="2:33" x14ac:dyDescent="0.35">
      <c r="B94" s="1391"/>
      <c r="C94" s="1392"/>
      <c r="D94" s="142">
        <v>2018</v>
      </c>
      <c r="E94" s="1278">
        <v>2019</v>
      </c>
      <c r="F94" s="1306"/>
      <c r="G94" s="1306"/>
      <c r="H94" s="1307"/>
      <c r="I94" s="1278">
        <v>2020</v>
      </c>
      <c r="J94" s="1306"/>
      <c r="K94" s="1306"/>
      <c r="L94" s="1306"/>
      <c r="M94" s="1278">
        <v>2021</v>
      </c>
      <c r="N94" s="1306"/>
      <c r="O94" s="1306"/>
      <c r="P94" s="1306"/>
      <c r="Q94" s="1278">
        <v>2022</v>
      </c>
      <c r="R94" s="1279"/>
      <c r="S94" s="1279"/>
      <c r="T94" s="1307"/>
      <c r="U94" s="251"/>
      <c r="V94" s="522">
        <v>2023</v>
      </c>
      <c r="W94" s="518"/>
      <c r="X94" s="222"/>
      <c r="Y94" s="1303">
        <v>2024</v>
      </c>
      <c r="Z94" s="1315"/>
      <c r="AA94" s="1315"/>
      <c r="AB94" s="1305"/>
      <c r="AC94" s="1303">
        <v>2025</v>
      </c>
      <c r="AD94" s="1315"/>
      <c r="AE94" s="1315"/>
      <c r="AF94" s="1305"/>
      <c r="AG94" s="467">
        <v>2026</v>
      </c>
    </row>
    <row r="95" spans="2:33" x14ac:dyDescent="0.35">
      <c r="B95" s="1391"/>
      <c r="C95" s="1392"/>
      <c r="D95" s="148" t="s">
        <v>282</v>
      </c>
      <c r="E95" s="148" t="s">
        <v>283</v>
      </c>
      <c r="F95" s="144" t="s">
        <v>284</v>
      </c>
      <c r="G95" s="144" t="s">
        <v>238</v>
      </c>
      <c r="H95" s="145" t="s">
        <v>282</v>
      </c>
      <c r="I95" s="144" t="s">
        <v>283</v>
      </c>
      <c r="J95" s="144" t="s">
        <v>284</v>
      </c>
      <c r="K95" s="144" t="s">
        <v>238</v>
      </c>
      <c r="L95" s="144" t="s">
        <v>282</v>
      </c>
      <c r="M95" s="148" t="s">
        <v>283</v>
      </c>
      <c r="N95" s="144" t="s">
        <v>284</v>
      </c>
      <c r="O95" s="144" t="s">
        <v>238</v>
      </c>
      <c r="P95" s="144" t="s">
        <v>282</v>
      </c>
      <c r="Q95" s="148" t="s">
        <v>283</v>
      </c>
      <c r="R95" s="144" t="s">
        <v>284</v>
      </c>
      <c r="S95" s="144" t="s">
        <v>238</v>
      </c>
      <c r="T95" s="145" t="s">
        <v>282</v>
      </c>
      <c r="U95" s="144" t="s">
        <v>283</v>
      </c>
      <c r="V95" s="249" t="s">
        <v>284</v>
      </c>
      <c r="W95" s="232" t="s">
        <v>238</v>
      </c>
      <c r="X95" s="233" t="s">
        <v>282</v>
      </c>
      <c r="Y95" s="231" t="s">
        <v>283</v>
      </c>
      <c r="Z95" s="229" t="s">
        <v>284</v>
      </c>
      <c r="AA95" s="232" t="s">
        <v>238</v>
      </c>
      <c r="AB95" s="232" t="s">
        <v>282</v>
      </c>
      <c r="AC95" s="231" t="s">
        <v>283</v>
      </c>
      <c r="AD95" s="229" t="s">
        <v>284</v>
      </c>
      <c r="AE95" s="232" t="s">
        <v>238</v>
      </c>
      <c r="AF95" s="232" t="s">
        <v>282</v>
      </c>
      <c r="AG95" s="231" t="s">
        <v>283</v>
      </c>
    </row>
    <row r="96" spans="2:33" ht="25.75" customHeight="1" x14ac:dyDescent="0.35">
      <c r="B96" s="632" t="s">
        <v>467</v>
      </c>
      <c r="C96" s="397" t="s">
        <v>468</v>
      </c>
      <c r="D96" s="325">
        <f>'Haver Pivoted'!GO31</f>
        <v>2223</v>
      </c>
      <c r="E96" s="326">
        <f>'Haver Pivoted'!GP31</f>
        <v>2303.6</v>
      </c>
      <c r="F96" s="326">
        <f>'Haver Pivoted'!GQ31</f>
        <v>2320.1</v>
      </c>
      <c r="G96" s="326">
        <f>'Haver Pivoted'!GR31</f>
        <v>2332.9</v>
      </c>
      <c r="H96" s="326">
        <f>'Haver Pivoted'!GS31</f>
        <v>2346.6</v>
      </c>
      <c r="I96" s="326">
        <f>'Haver Pivoted'!GT31</f>
        <v>2412.6</v>
      </c>
      <c r="J96" s="326">
        <f>'Haver Pivoted'!GU31</f>
        <v>4652.1000000000004</v>
      </c>
      <c r="K96" s="326">
        <f>'Haver Pivoted'!GV31</f>
        <v>3508</v>
      </c>
      <c r="L96" s="326">
        <f>'Haver Pivoted'!GW31</f>
        <v>2895.4</v>
      </c>
      <c r="M96" s="326">
        <f>'Haver Pivoted'!GX31</f>
        <v>5127.3999999999996</v>
      </c>
      <c r="N96" s="326">
        <f>'Haver Pivoted'!GY31</f>
        <v>3403.8</v>
      </c>
      <c r="O96" s="326">
        <f>'Haver Pivoted'!GZ31</f>
        <v>3135</v>
      </c>
      <c r="P96" s="326">
        <f>'Haver Pivoted'!HA31</f>
        <v>2947.7</v>
      </c>
      <c r="Q96" s="326">
        <f>'Haver Pivoted'!HB31</f>
        <v>2903.2</v>
      </c>
      <c r="R96" s="326">
        <f>'Haver Pivoted'!HC31</f>
        <v>2895.2</v>
      </c>
      <c r="S96" s="327">
        <f>'Haver Pivoted'!HD31</f>
        <v>2867.4</v>
      </c>
      <c r="T96" s="646">
        <f>'Haver Pivoted'!HE31</f>
        <v>2896.7</v>
      </c>
      <c r="U96" s="327">
        <f>'Haver Pivoted'!HF31</f>
        <v>2945.8</v>
      </c>
      <c r="V96" s="327">
        <f>'Haver Pivoted'!HG31</f>
        <v>2929.7</v>
      </c>
      <c r="W96" s="656"/>
      <c r="X96" s="656"/>
      <c r="Y96" s="656"/>
      <c r="Z96" s="656"/>
      <c r="AA96" s="656"/>
      <c r="AB96" s="656"/>
      <c r="AC96" s="699"/>
      <c r="AD96" s="699"/>
      <c r="AE96" s="699"/>
      <c r="AF96" s="699"/>
      <c r="AG96" s="469"/>
    </row>
    <row r="97" spans="2:33" ht="25.75" customHeight="1" x14ac:dyDescent="0.35">
      <c r="B97" s="443" t="s">
        <v>1929</v>
      </c>
      <c r="C97" s="202"/>
      <c r="D97" s="674">
        <f>D98+D99</f>
        <v>812.1</v>
      </c>
      <c r="E97" s="411">
        <f>E98+E99</f>
        <v>832.4</v>
      </c>
      <c r="F97" s="411">
        <f>F98+F99</f>
        <v>843</v>
      </c>
      <c r="G97" s="411">
        <f t="shared" ref="G97:N97" si="25">G98+G99</f>
        <v>848.9</v>
      </c>
      <c r="H97" s="411">
        <f t="shared" si="25"/>
        <v>854.6</v>
      </c>
      <c r="I97" s="411">
        <f t="shared" si="25"/>
        <v>875.94174999999996</v>
      </c>
      <c r="J97" s="411">
        <f t="shared" si="25"/>
        <v>3140.0887499999999</v>
      </c>
      <c r="K97" s="411">
        <f t="shared" si="25"/>
        <v>1866.1377500000001</v>
      </c>
      <c r="L97" s="411">
        <f t="shared" si="25"/>
        <v>1314.69775</v>
      </c>
      <c r="M97" s="411">
        <f t="shared" si="25"/>
        <v>3522.1777499999998</v>
      </c>
      <c r="N97" s="411">
        <f t="shared" si="25"/>
        <v>1820.5125900000003</v>
      </c>
      <c r="O97" s="411">
        <f>O98+O99</f>
        <v>1547.208243333333</v>
      </c>
      <c r="P97" s="411">
        <f t="shared" ref="P97:R97" si="26">P98+P99</f>
        <v>1369.7290833333329</v>
      </c>
      <c r="Q97" s="411">
        <f t="shared" si="26"/>
        <v>1218.1737499999999</v>
      </c>
      <c r="R97" s="411">
        <f t="shared" si="26"/>
        <v>1201.89975</v>
      </c>
      <c r="S97" s="641">
        <f>S98+S99</f>
        <v>1183.0257500000002</v>
      </c>
      <c r="T97" s="641">
        <f t="shared" ref="T97:U97" si="27">T98+T99</f>
        <v>1168.3497500000001</v>
      </c>
      <c r="U97" s="641">
        <f t="shared" si="27"/>
        <v>1082.9817499999999</v>
      </c>
      <c r="V97" s="641">
        <f>V98+V99</f>
        <v>1060.3633214285715</v>
      </c>
      <c r="W97" s="413"/>
      <c r="X97" s="413"/>
      <c r="Y97" s="413"/>
      <c r="Z97" s="413"/>
      <c r="AA97" s="413"/>
      <c r="AB97" s="413"/>
      <c r="AC97" s="413"/>
      <c r="AD97" s="413"/>
      <c r="AE97" s="413"/>
      <c r="AF97" s="413"/>
      <c r="AG97" s="469"/>
    </row>
    <row r="98" spans="2:33" ht="25.75" customHeight="1" x14ac:dyDescent="0.35">
      <c r="B98" s="385" t="s">
        <v>1927</v>
      </c>
      <c r="C98" s="202"/>
      <c r="D98" s="674">
        <f t="shared" ref="D98:V98" si="28">D14+D17+D35</f>
        <v>812.1</v>
      </c>
      <c r="E98" s="674">
        <f t="shared" si="28"/>
        <v>832.4</v>
      </c>
      <c r="F98" s="411">
        <f t="shared" si="28"/>
        <v>843</v>
      </c>
      <c r="G98" s="411">
        <f t="shared" si="28"/>
        <v>848.9</v>
      </c>
      <c r="H98" s="411">
        <f t="shared" si="28"/>
        <v>854.6</v>
      </c>
      <c r="I98" s="411">
        <f t="shared" si="28"/>
        <v>869.3</v>
      </c>
      <c r="J98" s="411">
        <f t="shared" si="28"/>
        <v>1792.5</v>
      </c>
      <c r="K98" s="411">
        <f t="shared" si="28"/>
        <v>1655.6000000000001</v>
      </c>
      <c r="L98" s="411">
        <f t="shared" si="28"/>
        <v>1188.2</v>
      </c>
      <c r="M98" s="411">
        <f t="shared" si="28"/>
        <v>1467.3000000000002</v>
      </c>
      <c r="N98" s="411">
        <f t="shared" si="28"/>
        <v>1351.8000000000002</v>
      </c>
      <c r="O98" s="411">
        <f t="shared" si="28"/>
        <v>1328.333333333333</v>
      </c>
      <c r="P98" s="411">
        <f t="shared" si="28"/>
        <v>1157.333333333333</v>
      </c>
      <c r="Q98" s="411">
        <f t="shared" si="28"/>
        <v>1038.7</v>
      </c>
      <c r="R98" s="411">
        <f t="shared" si="28"/>
        <v>1040.4000000000001</v>
      </c>
      <c r="S98" s="641">
        <f t="shared" si="28"/>
        <v>1041.1000000000001</v>
      </c>
      <c r="T98" s="641">
        <f t="shared" si="28"/>
        <v>1050.6000000000001</v>
      </c>
      <c r="U98" s="641">
        <f t="shared" si="28"/>
        <v>994.1</v>
      </c>
      <c r="V98" s="641">
        <f t="shared" si="28"/>
        <v>998.52857142857135</v>
      </c>
      <c r="W98" s="413"/>
      <c r="X98" s="413"/>
      <c r="Y98" s="413"/>
      <c r="Z98" s="413"/>
      <c r="AA98" s="413"/>
      <c r="AB98" s="413"/>
      <c r="AC98" s="413"/>
      <c r="AD98" s="413"/>
      <c r="AE98" s="413"/>
      <c r="AF98" s="413"/>
      <c r="AG98" s="413"/>
    </row>
    <row r="99" spans="2:33" ht="36" customHeight="1" x14ac:dyDescent="0.35">
      <c r="B99" s="385" t="s">
        <v>1928</v>
      </c>
      <c r="C99" s="202"/>
      <c r="D99" s="411">
        <f t="shared" ref="D99:AG99" si="29">D18+D21+D32+D33+D34+D36</f>
        <v>0</v>
      </c>
      <c r="E99" s="411">
        <f t="shared" si="29"/>
        <v>0</v>
      </c>
      <c r="F99" s="411">
        <f t="shared" si="29"/>
        <v>0</v>
      </c>
      <c r="G99" s="411">
        <f t="shared" si="29"/>
        <v>0</v>
      </c>
      <c r="H99" s="411">
        <f t="shared" si="29"/>
        <v>0</v>
      </c>
      <c r="I99" s="411">
        <f t="shared" si="29"/>
        <v>6.6417500000000018</v>
      </c>
      <c r="J99" s="411">
        <f t="shared" si="29"/>
        <v>1347.5887500000001</v>
      </c>
      <c r="K99" s="411">
        <f t="shared" si="29"/>
        <v>210.53775000000002</v>
      </c>
      <c r="L99" s="411">
        <f t="shared" si="29"/>
        <v>126.49775</v>
      </c>
      <c r="M99" s="411">
        <f t="shared" si="29"/>
        <v>2054.8777499999997</v>
      </c>
      <c r="N99" s="411">
        <f t="shared" si="29"/>
        <v>468.71259000000009</v>
      </c>
      <c r="O99" s="411">
        <f t="shared" si="29"/>
        <v>218.87491000000009</v>
      </c>
      <c r="P99" s="411">
        <f t="shared" si="29"/>
        <v>212.39574999999999</v>
      </c>
      <c r="Q99" s="411">
        <f t="shared" si="29"/>
        <v>179.47375</v>
      </c>
      <c r="R99" s="411">
        <f t="shared" si="29"/>
        <v>161.49975000000001</v>
      </c>
      <c r="S99" s="641">
        <f t="shared" si="29"/>
        <v>141.92575000000002</v>
      </c>
      <c r="T99" s="641">
        <f t="shared" si="29"/>
        <v>117.74975000000001</v>
      </c>
      <c r="U99" s="641">
        <f t="shared" si="29"/>
        <v>88.881749999999982</v>
      </c>
      <c r="V99" s="641">
        <f t="shared" si="29"/>
        <v>61.83475</v>
      </c>
      <c r="W99" s="413">
        <f t="shared" si="29"/>
        <v>61.83475</v>
      </c>
      <c r="X99" s="413">
        <f t="shared" si="29"/>
        <v>54.119749999999996</v>
      </c>
      <c r="Y99" s="413">
        <f t="shared" si="29"/>
        <v>54.119749999999996</v>
      </c>
      <c r="Z99" s="413">
        <f t="shared" si="29"/>
        <v>54.119749999999996</v>
      </c>
      <c r="AA99" s="413">
        <f t="shared" si="29"/>
        <v>54.119749999999996</v>
      </c>
      <c r="AB99" s="413">
        <f t="shared" si="29"/>
        <v>52.420749999999998</v>
      </c>
      <c r="AC99" s="413">
        <f t="shared" si="29"/>
        <v>52.420749999999998</v>
      </c>
      <c r="AD99" s="413">
        <f t="shared" si="29"/>
        <v>0</v>
      </c>
      <c r="AE99" s="413">
        <f t="shared" si="29"/>
        <v>0</v>
      </c>
      <c r="AF99" s="413">
        <f t="shared" si="29"/>
        <v>0</v>
      </c>
      <c r="AG99" s="413">
        <f t="shared" si="29"/>
        <v>0</v>
      </c>
    </row>
    <row r="100" spans="2:33" ht="25.75" customHeight="1" x14ac:dyDescent="0.35">
      <c r="B100" s="443" t="s">
        <v>804</v>
      </c>
      <c r="C100" s="202"/>
      <c r="D100" s="674">
        <f>D96-D97</f>
        <v>1410.9</v>
      </c>
      <c r="E100" s="411">
        <f t="shared" ref="E100:T100" si="30">E96-E97</f>
        <v>1471.1999999999998</v>
      </c>
      <c r="F100" s="411">
        <f t="shared" si="30"/>
        <v>1477.1</v>
      </c>
      <c r="G100" s="411">
        <f t="shared" si="30"/>
        <v>1484</v>
      </c>
      <c r="H100" s="411">
        <f t="shared" si="30"/>
        <v>1492</v>
      </c>
      <c r="I100" s="411">
        <f t="shared" si="30"/>
        <v>1536.65825</v>
      </c>
      <c r="J100" s="411">
        <f t="shared" si="30"/>
        <v>1512.0112500000005</v>
      </c>
      <c r="K100" s="411">
        <f t="shared" si="30"/>
        <v>1641.8622499999999</v>
      </c>
      <c r="L100" s="411">
        <f t="shared" si="30"/>
        <v>1580.70225</v>
      </c>
      <c r="M100" s="411">
        <f t="shared" si="30"/>
        <v>1605.2222499999998</v>
      </c>
      <c r="N100" s="411">
        <f t="shared" si="30"/>
        <v>1583.2874099999999</v>
      </c>
      <c r="O100" s="411">
        <f t="shared" si="30"/>
        <v>1587.791756666667</v>
      </c>
      <c r="P100" s="411">
        <f t="shared" si="30"/>
        <v>1577.9709166666669</v>
      </c>
      <c r="Q100" s="411">
        <f t="shared" si="30"/>
        <v>1685.0262499999999</v>
      </c>
      <c r="R100" s="411">
        <f t="shared" si="30"/>
        <v>1693.3002499999998</v>
      </c>
      <c r="S100" s="641">
        <f t="shared" si="30"/>
        <v>1684.3742499999998</v>
      </c>
      <c r="T100" s="641">
        <f t="shared" si="30"/>
        <v>1728.3502499999997</v>
      </c>
      <c r="U100" s="641">
        <f>U96-U97</f>
        <v>1862.8182500000003</v>
      </c>
      <c r="V100" s="641">
        <f>V96-V97</f>
        <v>1869.3366785714284</v>
      </c>
      <c r="W100" s="413"/>
      <c r="X100" s="413"/>
      <c r="Y100" s="413"/>
      <c r="Z100" s="413"/>
      <c r="AA100" s="413"/>
      <c r="AB100" s="413"/>
      <c r="AC100" s="413"/>
      <c r="AD100" s="413"/>
      <c r="AE100" s="413"/>
      <c r="AF100" s="413"/>
      <c r="AG100" s="469"/>
    </row>
    <row r="101" spans="2:33" ht="20.5" customHeight="1" x14ac:dyDescent="0.35">
      <c r="B101" s="657" t="s">
        <v>805</v>
      </c>
      <c r="C101" s="658"/>
      <c r="D101" s="664">
        <f t="shared" ref="D101:I101" si="31">D12-D14-D17-D35</f>
        <v>1410.9</v>
      </c>
      <c r="E101" s="624">
        <f t="shared" si="31"/>
        <v>1471.1999999999998</v>
      </c>
      <c r="F101" s="624">
        <f t="shared" si="31"/>
        <v>1477.1000000000001</v>
      </c>
      <c r="G101" s="624">
        <f t="shared" si="31"/>
        <v>1484</v>
      </c>
      <c r="H101" s="624">
        <f t="shared" si="31"/>
        <v>1492</v>
      </c>
      <c r="I101" s="624">
        <f t="shared" si="31"/>
        <v>1543.2999999999997</v>
      </c>
      <c r="J101" s="665">
        <f>I101+($H$101-$E$101)/3</f>
        <v>1550.2333333333331</v>
      </c>
      <c r="K101" s="665">
        <f>J101+($H$101-$E$101)/3</f>
        <v>1557.1666666666665</v>
      </c>
      <c r="L101" s="665">
        <f>K101+($H$101-$E$101)/3</f>
        <v>1564.1</v>
      </c>
      <c r="M101" s="666">
        <f>L101+($H$101-$E$101)/3 +(M105-L105)</f>
        <v>1588.5533333333333</v>
      </c>
      <c r="N101" s="665">
        <f>M101+($H$101-$E$101)/3</f>
        <v>1595.4866666666667</v>
      </c>
      <c r="O101" s="665">
        <f>N101+($H$101-$E$101)/3</f>
        <v>1602.42</v>
      </c>
      <c r="P101" s="665">
        <f>O101+($H$101-$E$101)/3</f>
        <v>1609.3533333333335</v>
      </c>
      <c r="Q101" s="666">
        <f>P101+($H$101-$E$101)/3 + 0.06*Q105</f>
        <v>1688.207466666667</v>
      </c>
      <c r="R101" s="665">
        <f>Q101+($H$101-$E$101)/3</f>
        <v>1695.1408000000004</v>
      </c>
      <c r="S101" s="665">
        <f>R101+($H$101-$E$101)/3</f>
        <v>1702.0741333333337</v>
      </c>
      <c r="T101" s="665">
        <f>S101+($H$101-$E$101)/3</f>
        <v>1709.0074666666671</v>
      </c>
      <c r="U101" s="665">
        <f>T101+U102</f>
        <v>1822.5884450000005</v>
      </c>
      <c r="V101" s="665">
        <f>U101+V102</f>
        <v>1829.5217783333339</v>
      </c>
      <c r="W101" s="659">
        <f t="shared" ref="W101:AF101" si="32">V101+W102</f>
        <v>1836.4551116666673</v>
      </c>
      <c r="X101" s="659">
        <f t="shared" si="32"/>
        <v>1843.3884450000007</v>
      </c>
      <c r="Y101" s="659">
        <f t="shared" si="32"/>
        <v>1892.9800005333341</v>
      </c>
      <c r="Z101" s="659">
        <f t="shared" si="32"/>
        <v>1899.9133338666675</v>
      </c>
      <c r="AA101" s="659">
        <f t="shared" si="32"/>
        <v>1906.8466672000009</v>
      </c>
      <c r="AB101" s="659">
        <f t="shared" si="32"/>
        <v>1913.7800005333343</v>
      </c>
      <c r="AC101" s="659">
        <f t="shared" si="32"/>
        <v>1950.3705249626676</v>
      </c>
      <c r="AD101" s="659">
        <f t="shared" si="32"/>
        <v>1957.303858296001</v>
      </c>
      <c r="AE101" s="659">
        <f t="shared" si="32"/>
        <v>1964.2371916293343</v>
      </c>
      <c r="AF101" s="659">
        <f t="shared" si="32"/>
        <v>1971.1705249626677</v>
      </c>
      <c r="AG101" s="469"/>
    </row>
    <row r="102" spans="2:33" ht="20.5" customHeight="1" x14ac:dyDescent="0.35">
      <c r="B102" s="660" t="s">
        <v>1866</v>
      </c>
      <c r="C102" s="202"/>
      <c r="D102" s="674"/>
      <c r="E102" s="411"/>
      <c r="F102" s="411"/>
      <c r="G102" s="411"/>
      <c r="H102" s="411"/>
      <c r="I102" s="411"/>
      <c r="J102" s="642"/>
      <c r="K102" s="642"/>
      <c r="L102" s="642"/>
      <c r="M102" s="667"/>
      <c r="N102" s="642"/>
      <c r="O102" s="642"/>
      <c r="P102" s="642"/>
      <c r="Q102" s="667"/>
      <c r="R102" s="642"/>
      <c r="S102" s="642"/>
      <c r="T102" s="642"/>
      <c r="U102" s="642">
        <f>U103+U104</f>
        <v>113.58097833333339</v>
      </c>
      <c r="V102" s="642">
        <f>V103+V104</f>
        <v>6.933333333333394</v>
      </c>
      <c r="W102" s="413">
        <f t="shared" ref="W102:AF102" si="33">W103+W108*W105</f>
        <v>6.933333333333394</v>
      </c>
      <c r="X102" s="413">
        <f t="shared" si="33"/>
        <v>6.933333333333394</v>
      </c>
      <c r="Y102" s="413">
        <f t="shared" si="33"/>
        <v>49.591555533333391</v>
      </c>
      <c r="Z102" s="413">
        <f t="shared" si="33"/>
        <v>6.933333333333394</v>
      </c>
      <c r="AA102" s="413">
        <f t="shared" si="33"/>
        <v>6.933333333333394</v>
      </c>
      <c r="AB102" s="413">
        <f t="shared" si="33"/>
        <v>6.933333333333394</v>
      </c>
      <c r="AC102" s="413">
        <f t="shared" si="33"/>
        <v>36.590524429333399</v>
      </c>
      <c r="AD102" s="413">
        <f t="shared" si="33"/>
        <v>6.933333333333394</v>
      </c>
      <c r="AE102" s="413">
        <f t="shared" si="33"/>
        <v>6.933333333333394</v>
      </c>
      <c r="AF102" s="413">
        <f t="shared" si="33"/>
        <v>6.933333333333394</v>
      </c>
      <c r="AG102" s="469"/>
    </row>
    <row r="103" spans="2:33" ht="28.4" customHeight="1" x14ac:dyDescent="0.35">
      <c r="B103" s="661" t="s">
        <v>1863</v>
      </c>
      <c r="C103" s="202"/>
      <c r="D103" s="674"/>
      <c r="E103" s="411"/>
      <c r="F103" s="411"/>
      <c r="G103" s="411"/>
      <c r="H103" s="411"/>
      <c r="I103" s="411"/>
      <c r="J103" s="642"/>
      <c r="K103" s="642"/>
      <c r="L103" s="642"/>
      <c r="M103" s="667"/>
      <c r="N103" s="642"/>
      <c r="O103" s="642"/>
      <c r="P103" s="642"/>
      <c r="Q103" s="667"/>
      <c r="R103" s="642"/>
      <c r="S103" s="642"/>
      <c r="T103" s="642"/>
      <c r="U103" s="642">
        <f>($H$101-$E$101)/3</f>
        <v>6.933333333333394</v>
      </c>
      <c r="V103" s="642">
        <f>($H$101-$E$101)/3</f>
        <v>6.933333333333394</v>
      </c>
      <c r="W103" s="413">
        <f t="shared" ref="W103:AF103" si="34">V103</f>
        <v>6.933333333333394</v>
      </c>
      <c r="X103" s="413">
        <f t="shared" si="34"/>
        <v>6.933333333333394</v>
      </c>
      <c r="Y103" s="413">
        <f t="shared" si="34"/>
        <v>6.933333333333394</v>
      </c>
      <c r="Z103" s="413">
        <f t="shared" si="34"/>
        <v>6.933333333333394</v>
      </c>
      <c r="AA103" s="413">
        <f t="shared" si="34"/>
        <v>6.933333333333394</v>
      </c>
      <c r="AB103" s="413">
        <f t="shared" si="34"/>
        <v>6.933333333333394</v>
      </c>
      <c r="AC103" s="413">
        <f t="shared" si="34"/>
        <v>6.933333333333394</v>
      </c>
      <c r="AD103" s="413">
        <f t="shared" si="34"/>
        <v>6.933333333333394</v>
      </c>
      <c r="AE103" s="413">
        <f t="shared" si="34"/>
        <v>6.933333333333394</v>
      </c>
      <c r="AF103" s="413">
        <f t="shared" si="34"/>
        <v>6.933333333333394</v>
      </c>
      <c r="AG103" s="469"/>
    </row>
    <row r="104" spans="2:33" ht="30.65" customHeight="1" x14ac:dyDescent="0.35">
      <c r="B104" s="662" t="s">
        <v>1864</v>
      </c>
      <c r="C104" s="663"/>
      <c r="D104" s="668"/>
      <c r="E104" s="625"/>
      <c r="F104" s="625"/>
      <c r="G104" s="625"/>
      <c r="H104" s="625"/>
      <c r="I104" s="625"/>
      <c r="J104" s="669"/>
      <c r="K104" s="669"/>
      <c r="L104" s="669"/>
      <c r="M104" s="670"/>
      <c r="N104" s="669"/>
      <c r="O104" s="669"/>
      <c r="P104" s="669"/>
      <c r="Q104" s="670"/>
      <c r="R104" s="669"/>
      <c r="S104" s="669"/>
      <c r="T104" s="669"/>
      <c r="U104" s="669">
        <f>U108*T105</f>
        <v>106.647645</v>
      </c>
      <c r="V104" s="669">
        <f>V108*U105</f>
        <v>0</v>
      </c>
      <c r="W104" s="671">
        <f t="shared" ref="W104:AF104" si="35">W108*V105</f>
        <v>0</v>
      </c>
      <c r="X104" s="671">
        <f t="shared" si="35"/>
        <v>0</v>
      </c>
      <c r="Y104" s="671">
        <f>Y108*X105</f>
        <v>41.182740000000003</v>
      </c>
      <c r="Z104" s="671">
        <f t="shared" si="35"/>
        <v>0</v>
      </c>
      <c r="AA104" s="671">
        <f t="shared" si="35"/>
        <v>0</v>
      </c>
      <c r="AB104" s="671">
        <f t="shared" si="35"/>
        <v>0</v>
      </c>
      <c r="AC104" s="671">
        <f t="shared" si="35"/>
        <v>28.9188148</v>
      </c>
      <c r="AD104" s="671">
        <f t="shared" si="35"/>
        <v>0</v>
      </c>
      <c r="AE104" s="671">
        <f t="shared" si="35"/>
        <v>0</v>
      </c>
      <c r="AF104" s="671">
        <f t="shared" si="35"/>
        <v>0</v>
      </c>
      <c r="AG104" s="469"/>
    </row>
    <row r="105" spans="2:33" ht="17.5" customHeight="1" x14ac:dyDescent="0.35">
      <c r="B105" s="246" t="s">
        <v>475</v>
      </c>
      <c r="C105" s="202" t="s">
        <v>476</v>
      </c>
      <c r="D105" s="674">
        <f>'Haver Pivoted'!GO88/1000</f>
        <v>983.86099999999999</v>
      </c>
      <c r="E105" s="411">
        <f>'Haver Pivoted'!GP88/1000</f>
        <v>1019.17</v>
      </c>
      <c r="F105" s="411">
        <f>'Haver Pivoted'!GQ88/1000</f>
        <v>1026.74</v>
      </c>
      <c r="G105" s="411">
        <f>'Haver Pivoted'!GR88/1000</f>
        <v>1034.364</v>
      </c>
      <c r="H105" s="411">
        <f>'Haver Pivoted'!GS88/1000</f>
        <v>1042.6969999999999</v>
      </c>
      <c r="I105" s="411">
        <f>'Haver Pivoted'!GT88/1000</f>
        <v>1068.172</v>
      </c>
      <c r="J105" s="411">
        <f>'Haver Pivoted'!GU88/1000</f>
        <v>1075.0809999999999</v>
      </c>
      <c r="K105" s="411">
        <f>'Haver Pivoted'!GV88/1000</f>
        <v>1080.296</v>
      </c>
      <c r="L105" s="411">
        <f>'Haver Pivoted'!GW88/1000</f>
        <v>1088.164</v>
      </c>
      <c r="M105" s="411">
        <f>'Haver Pivoted'!GX88/1000</f>
        <v>1105.684</v>
      </c>
      <c r="N105" s="411">
        <f>'Haver Pivoted'!GY88/1000</f>
        <v>1109.6220000000001</v>
      </c>
      <c r="O105" s="411">
        <f>'Haver Pivoted'!GZ88/1000</f>
        <v>1116.8399999999999</v>
      </c>
      <c r="P105" s="411">
        <f>'Haver Pivoted'!HA88/1000</f>
        <v>1126.2539999999999</v>
      </c>
      <c r="Q105" s="411">
        <f>'Haver Pivoted'!HB88/1000</f>
        <v>1198.68</v>
      </c>
      <c r="R105" s="411">
        <f>'Haver Pivoted'!HC88/1000</f>
        <v>1207.049</v>
      </c>
      <c r="S105" s="641">
        <f>'Haver Pivoted'!HD88/1000</f>
        <v>1214.451</v>
      </c>
      <c r="T105" s="641">
        <f>'Haver Pivoted'!HE88/1000</f>
        <v>1225.835</v>
      </c>
      <c r="U105" s="641">
        <f>'Haver Pivoted'!HF88/1000</f>
        <v>1339.9770000000001</v>
      </c>
      <c r="V105" s="641">
        <f>'Haver Pivoted'!HG88/1000</f>
        <v>1353.758</v>
      </c>
      <c r="W105" s="413">
        <f t="shared" ref="W105:AF105" si="36">V105+W106</f>
        <v>1364.758</v>
      </c>
      <c r="X105" s="413">
        <f t="shared" si="36"/>
        <v>1372.758</v>
      </c>
      <c r="Y105" s="413">
        <f t="shared" si="36"/>
        <v>1421.94074</v>
      </c>
      <c r="Z105" s="413">
        <f t="shared" si="36"/>
        <v>1429.94074</v>
      </c>
      <c r="AA105" s="413">
        <f t="shared" si="36"/>
        <v>1437.94074</v>
      </c>
      <c r="AB105" s="413">
        <f t="shared" si="36"/>
        <v>1445.94074</v>
      </c>
      <c r="AC105" s="413">
        <f t="shared" si="36"/>
        <v>1482.8595548000001</v>
      </c>
      <c r="AD105" s="413">
        <f t="shared" si="36"/>
        <v>1491.8595548000001</v>
      </c>
      <c r="AE105" s="413">
        <f t="shared" si="36"/>
        <v>1501.8595548000001</v>
      </c>
      <c r="AF105" s="413">
        <f t="shared" si="36"/>
        <v>1512.8595548000001</v>
      </c>
      <c r="AG105" s="469"/>
    </row>
    <row r="106" spans="2:33" ht="17.5" customHeight="1" x14ac:dyDescent="0.35">
      <c r="B106" s="385" t="s">
        <v>1865</v>
      </c>
      <c r="C106" s="202"/>
      <c r="D106" s="674"/>
      <c r="E106" s="411"/>
      <c r="F106" s="411"/>
      <c r="G106" s="411"/>
      <c r="H106" s="411"/>
      <c r="I106" s="411"/>
      <c r="J106" s="411"/>
      <c r="K106" s="411"/>
      <c r="L106" s="411"/>
      <c r="M106" s="411"/>
      <c r="N106" s="411"/>
      <c r="O106" s="411"/>
      <c r="P106" s="411"/>
      <c r="Q106" s="411"/>
      <c r="R106" s="411"/>
      <c r="S106" s="641"/>
      <c r="T106" s="641"/>
      <c r="U106" s="641">
        <f>U104+U107</f>
        <v>114.647645</v>
      </c>
      <c r="V106" s="641">
        <f>V104+V107</f>
        <v>8</v>
      </c>
      <c r="W106" s="413">
        <f t="shared" ref="W106:AF106" si="37">W104+W107</f>
        <v>11</v>
      </c>
      <c r="X106" s="413">
        <f t="shared" si="37"/>
        <v>8</v>
      </c>
      <c r="Y106" s="413">
        <f>Y104+Y107</f>
        <v>49.182740000000003</v>
      </c>
      <c r="Z106" s="413">
        <f t="shared" si="37"/>
        <v>8</v>
      </c>
      <c r="AA106" s="413">
        <f t="shared" si="37"/>
        <v>8</v>
      </c>
      <c r="AB106" s="413">
        <f t="shared" si="37"/>
        <v>8</v>
      </c>
      <c r="AC106" s="413">
        <f t="shared" si="37"/>
        <v>36.9188148</v>
      </c>
      <c r="AD106" s="413">
        <f t="shared" si="37"/>
        <v>9</v>
      </c>
      <c r="AE106" s="413">
        <f t="shared" si="37"/>
        <v>10</v>
      </c>
      <c r="AF106" s="413">
        <f t="shared" si="37"/>
        <v>11</v>
      </c>
      <c r="AG106" s="469"/>
    </row>
    <row r="107" spans="2:33" ht="17.5" customHeight="1" x14ac:dyDescent="0.35">
      <c r="B107" s="376" t="s">
        <v>1868</v>
      </c>
      <c r="C107" s="202"/>
      <c r="D107" s="674"/>
      <c r="E107" s="411"/>
      <c r="F107" s="411"/>
      <c r="G107" s="411"/>
      <c r="H107" s="411"/>
      <c r="I107" s="411"/>
      <c r="J107" s="411"/>
      <c r="K107" s="411"/>
      <c r="L107" s="411"/>
      <c r="M107" s="411"/>
      <c r="N107" s="411"/>
      <c r="O107" s="411"/>
      <c r="P107" s="411"/>
      <c r="Q107" s="411"/>
      <c r="R107" s="411"/>
      <c r="S107" s="641"/>
      <c r="T107" s="641"/>
      <c r="U107" s="641">
        <v>8</v>
      </c>
      <c r="V107" s="641">
        <v>8</v>
      </c>
      <c r="W107" s="413">
        <v>11</v>
      </c>
      <c r="X107" s="413">
        <v>8</v>
      </c>
      <c r="Y107" s="413">
        <v>8</v>
      </c>
      <c r="Z107" s="413">
        <v>8</v>
      </c>
      <c r="AA107" s="413">
        <v>8</v>
      </c>
      <c r="AB107" s="413">
        <v>8</v>
      </c>
      <c r="AC107" s="413">
        <v>8</v>
      </c>
      <c r="AD107" s="413">
        <v>9</v>
      </c>
      <c r="AE107" s="413">
        <v>10</v>
      </c>
      <c r="AF107" s="413">
        <v>11</v>
      </c>
      <c r="AG107" s="469"/>
    </row>
    <row r="108" spans="2:33" ht="39" customHeight="1" x14ac:dyDescent="0.35">
      <c r="B108" s="376" t="s">
        <v>1869</v>
      </c>
      <c r="C108" s="202"/>
      <c r="D108" s="674"/>
      <c r="E108" s="411"/>
      <c r="F108" s="411"/>
      <c r="G108" s="411"/>
      <c r="H108" s="411"/>
      <c r="I108" s="625"/>
      <c r="J108" s="625"/>
      <c r="K108" s="625"/>
      <c r="L108" s="625"/>
      <c r="M108" s="625"/>
      <c r="N108" s="625"/>
      <c r="O108" s="625"/>
      <c r="P108" s="625"/>
      <c r="Q108" s="625"/>
      <c r="R108" s="625"/>
      <c r="S108" s="672"/>
      <c r="T108" s="672"/>
      <c r="U108" s="643">
        <v>8.6999999999999994E-2</v>
      </c>
      <c r="V108" s="626">
        <v>0</v>
      </c>
      <c r="W108" s="673">
        <v>0</v>
      </c>
      <c r="X108" s="673">
        <v>0</v>
      </c>
      <c r="Y108" s="673">
        <v>0.03</v>
      </c>
      <c r="Z108" s="673">
        <v>0</v>
      </c>
      <c r="AA108" s="673">
        <v>0</v>
      </c>
      <c r="AB108" s="673">
        <v>0</v>
      </c>
      <c r="AC108" s="673">
        <v>0.02</v>
      </c>
      <c r="AD108" s="673">
        <v>0</v>
      </c>
      <c r="AE108" s="673">
        <v>0</v>
      </c>
      <c r="AF108" s="673">
        <v>0</v>
      </c>
      <c r="AG108" s="469"/>
    </row>
    <row r="109" spans="2:33" ht="49.75" customHeight="1" x14ac:dyDescent="0.35">
      <c r="B109" s="443" t="s">
        <v>1437</v>
      </c>
      <c r="C109" s="202"/>
      <c r="D109" s="674">
        <f t="shared" ref="D109:T109" si="38">D100-D101</f>
        <v>0</v>
      </c>
      <c r="E109" s="411">
        <f t="shared" si="38"/>
        <v>0</v>
      </c>
      <c r="F109" s="411">
        <f t="shared" si="38"/>
        <v>0</v>
      </c>
      <c r="G109" s="411">
        <f t="shared" si="38"/>
        <v>0</v>
      </c>
      <c r="H109" s="411">
        <f t="shared" si="38"/>
        <v>0</v>
      </c>
      <c r="I109" s="411">
        <f t="shared" si="38"/>
        <v>-6.6417499999997744</v>
      </c>
      <c r="J109" s="411">
        <f t="shared" si="38"/>
        <v>-38.222083333332648</v>
      </c>
      <c r="K109" s="411">
        <f t="shared" si="38"/>
        <v>84.695583333333389</v>
      </c>
      <c r="L109" s="411">
        <f t="shared" si="38"/>
        <v>16.60225000000014</v>
      </c>
      <c r="M109" s="411">
        <f t="shared" si="38"/>
        <v>16.668916666666519</v>
      </c>
      <c r="N109" s="411">
        <f t="shared" si="38"/>
        <v>-12.19925666666677</v>
      </c>
      <c r="O109" s="411">
        <f t="shared" si="38"/>
        <v>-14.628243333333103</v>
      </c>
      <c r="P109" s="411">
        <f t="shared" si="38"/>
        <v>-31.382416666666586</v>
      </c>
      <c r="Q109" s="411">
        <f t="shared" si="38"/>
        <v>-3.1812166666670691</v>
      </c>
      <c r="R109" s="411">
        <f t="shared" si="38"/>
        <v>-1.8405500000005759</v>
      </c>
      <c r="S109" s="641">
        <f t="shared" si="38"/>
        <v>-17.699883333333901</v>
      </c>
      <c r="T109" s="641">
        <f t="shared" si="38"/>
        <v>19.342783333332591</v>
      </c>
      <c r="U109" s="641">
        <f>U100-U101</f>
        <v>40.229804999999715</v>
      </c>
      <c r="V109" s="641">
        <f>V100-V101</f>
        <v>39.814900238094424</v>
      </c>
      <c r="W109" s="413">
        <f t="shared" ref="W109:AF109" si="39">V109</f>
        <v>39.814900238094424</v>
      </c>
      <c r="X109" s="413">
        <f t="shared" si="39"/>
        <v>39.814900238094424</v>
      </c>
      <c r="Y109" s="413">
        <f t="shared" si="39"/>
        <v>39.814900238094424</v>
      </c>
      <c r="Z109" s="413">
        <f t="shared" si="39"/>
        <v>39.814900238094424</v>
      </c>
      <c r="AA109" s="413">
        <f t="shared" si="39"/>
        <v>39.814900238094424</v>
      </c>
      <c r="AB109" s="413">
        <f t="shared" si="39"/>
        <v>39.814900238094424</v>
      </c>
      <c r="AC109" s="413">
        <f t="shared" si="39"/>
        <v>39.814900238094424</v>
      </c>
      <c r="AD109" s="413">
        <f t="shared" si="39"/>
        <v>39.814900238094424</v>
      </c>
      <c r="AE109" s="413">
        <f t="shared" si="39"/>
        <v>39.814900238094424</v>
      </c>
      <c r="AF109" s="413">
        <f t="shared" si="39"/>
        <v>39.814900238094424</v>
      </c>
      <c r="AG109" s="469"/>
    </row>
    <row r="110" spans="2:33" ht="29.5" customHeight="1" x14ac:dyDescent="0.35">
      <c r="B110" s="245"/>
      <c r="C110" s="202"/>
      <c r="D110" s="186"/>
      <c r="E110" s="186"/>
      <c r="F110" s="186"/>
      <c r="G110" s="186"/>
      <c r="H110" s="186"/>
      <c r="I110" s="186"/>
      <c r="J110" s="186"/>
      <c r="K110" s="186"/>
      <c r="L110" s="186"/>
      <c r="M110" s="186"/>
      <c r="N110" s="186"/>
      <c r="O110" s="186"/>
      <c r="P110" s="186"/>
      <c r="Q110" s="186"/>
      <c r="R110" s="186"/>
      <c r="S110" s="186"/>
      <c r="T110" s="186"/>
      <c r="U110" s="186"/>
      <c r="V110" s="186"/>
      <c r="W110" s="186"/>
      <c r="X110" s="186"/>
      <c r="Y110" s="186"/>
      <c r="Z110" s="186"/>
      <c r="AA110" s="186"/>
      <c r="AB110" s="186"/>
      <c r="AC110" s="186"/>
    </row>
    <row r="111" spans="2:33" ht="16.75" customHeight="1" x14ac:dyDescent="0.35">
      <c r="B111" s="202"/>
      <c r="C111" s="202"/>
      <c r="S111" s="517"/>
      <c r="T111" s="517"/>
      <c r="U111" s="202"/>
      <c r="V111" s="202"/>
      <c r="W111" s="202"/>
      <c r="X111" s="202"/>
      <c r="Y111" s="202"/>
      <c r="Z111" s="202"/>
      <c r="AA111" s="202"/>
      <c r="AB111" s="202"/>
      <c r="AC111" s="202"/>
    </row>
    <row r="112" spans="2:33" ht="16.75" customHeight="1" x14ac:dyDescent="0.35">
      <c r="B112" s="202"/>
      <c r="C112" s="202"/>
      <c r="S112" s="186"/>
      <c r="T112" s="186"/>
      <c r="U112" s="202"/>
      <c r="V112" s="202"/>
      <c r="W112" s="202"/>
      <c r="X112" s="202"/>
      <c r="Y112" s="202"/>
      <c r="Z112" s="202"/>
      <c r="AA112" s="202"/>
      <c r="AB112" s="202"/>
      <c r="AC112" s="202"/>
    </row>
    <row r="113" spans="2:30" ht="16.75" customHeight="1" x14ac:dyDescent="0.35">
      <c r="B113" s="202"/>
      <c r="C113" s="202"/>
      <c r="S113" s="186"/>
      <c r="T113" s="186"/>
      <c r="U113" s="202"/>
      <c r="V113" s="202"/>
      <c r="W113" s="202"/>
      <c r="X113" s="202"/>
      <c r="Y113" s="202"/>
      <c r="Z113" s="202"/>
      <c r="AA113" s="202"/>
      <c r="AB113" s="202"/>
      <c r="AC113" s="202"/>
    </row>
    <row r="114" spans="2:30" ht="16.75" customHeight="1" x14ac:dyDescent="0.35">
      <c r="B114" s="202"/>
      <c r="C114" s="202"/>
      <c r="S114" s="186"/>
      <c r="T114" s="186"/>
      <c r="U114" s="411"/>
      <c r="V114" s="411"/>
      <c r="W114" s="411"/>
      <c r="X114" s="411"/>
      <c r="Y114" s="411"/>
      <c r="Z114" s="411"/>
      <c r="AA114" s="411"/>
      <c r="AB114" s="411"/>
      <c r="AC114" s="411"/>
      <c r="AD114" s="481"/>
    </row>
    <row r="115" spans="2:30" ht="16.75" customHeight="1" x14ac:dyDescent="0.35">
      <c r="B115" s="434"/>
      <c r="C115" s="202"/>
      <c r="S115" s="186"/>
      <c r="T115" s="186"/>
      <c r="U115" s="186"/>
      <c r="V115" s="186"/>
      <c r="W115" s="186"/>
      <c r="X115" s="186"/>
      <c r="Y115" s="186"/>
      <c r="Z115" s="186"/>
      <c r="AA115" s="186"/>
      <c r="AB115" s="186"/>
      <c r="AC115" s="186"/>
      <c r="AD115" s="481"/>
    </row>
    <row r="116" spans="2:30" ht="16.75" customHeight="1" x14ac:dyDescent="0.35">
      <c r="B116" s="434"/>
      <c r="C116" s="202"/>
      <c r="S116" s="186"/>
      <c r="T116" s="186"/>
      <c r="U116" s="186"/>
      <c r="V116" s="186"/>
      <c r="W116" s="186"/>
      <c r="X116" s="186"/>
      <c r="Y116" s="186"/>
      <c r="Z116" s="186"/>
      <c r="AA116" s="186"/>
      <c r="AB116" s="186"/>
      <c r="AC116" s="186"/>
      <c r="AD116" s="481"/>
    </row>
    <row r="117" spans="2:30" ht="16.75" customHeight="1" x14ac:dyDescent="0.35">
      <c r="B117" s="434"/>
      <c r="C117" s="202"/>
      <c r="S117" s="186"/>
      <c r="T117" s="186"/>
      <c r="U117" s="186"/>
      <c r="V117" s="186"/>
      <c r="W117" s="186"/>
      <c r="X117" s="186"/>
      <c r="Y117" s="186"/>
      <c r="Z117" s="186"/>
      <c r="AA117" s="186"/>
      <c r="AB117" s="186"/>
      <c r="AC117" s="186"/>
      <c r="AD117" s="481"/>
    </row>
    <row r="118" spans="2:30" ht="16.75" customHeight="1" x14ac:dyDescent="0.35">
      <c r="B118" s="202"/>
      <c r="C118" s="202"/>
      <c r="S118" s="202"/>
      <c r="T118" s="202"/>
      <c r="U118" s="411"/>
      <c r="V118" s="411"/>
      <c r="W118" s="411"/>
      <c r="X118" s="411"/>
      <c r="Y118" s="411"/>
      <c r="Z118" s="411"/>
      <c r="AA118" s="411"/>
      <c r="AB118" s="411"/>
      <c r="AC118" s="411"/>
      <c r="AD118" s="481"/>
    </row>
    <row r="119" spans="2:30" ht="16.75" customHeight="1" x14ac:dyDescent="0.35">
      <c r="B119" s="434"/>
      <c r="C119" s="202"/>
      <c r="S119" s="202"/>
      <c r="T119" s="202"/>
      <c r="U119" s="411"/>
      <c r="V119" s="411"/>
      <c r="W119" s="411"/>
      <c r="X119" s="411"/>
      <c r="Y119" s="411"/>
      <c r="Z119" s="411"/>
      <c r="AA119" s="411"/>
      <c r="AB119" s="411"/>
      <c r="AC119" s="411"/>
      <c r="AD119" s="481"/>
    </row>
    <row r="120" spans="2:30" ht="16.75" customHeight="1" x14ac:dyDescent="0.35">
      <c r="B120" s="434"/>
      <c r="C120" s="202"/>
      <c r="S120" s="202"/>
      <c r="T120" s="202"/>
      <c r="U120" s="186"/>
      <c r="V120" s="186"/>
      <c r="W120" s="186"/>
      <c r="X120" s="186"/>
      <c r="Y120" s="186"/>
      <c r="Z120" s="186"/>
      <c r="AA120" s="186"/>
      <c r="AB120" s="186"/>
      <c r="AC120" s="186"/>
      <c r="AD120" s="481"/>
    </row>
    <row r="121" spans="2:30" ht="16.75" customHeight="1" x14ac:dyDescent="0.35">
      <c r="B121" s="434"/>
      <c r="C121" s="202"/>
      <c r="S121" s="202"/>
      <c r="T121" s="202"/>
      <c r="U121" s="644"/>
      <c r="V121" s="644"/>
      <c r="W121" s="644"/>
      <c r="X121" s="644"/>
      <c r="Y121" s="644"/>
      <c r="Z121" s="644"/>
      <c r="AA121" s="644"/>
      <c r="AB121" s="644"/>
      <c r="AC121" s="644"/>
      <c r="AD121" s="481"/>
    </row>
    <row r="122" spans="2:30" ht="16.75" customHeight="1" x14ac:dyDescent="0.35">
      <c r="B122" s="202"/>
      <c r="C122" s="202"/>
      <c r="S122" s="186"/>
      <c r="T122" s="186"/>
      <c r="U122" s="186"/>
      <c r="V122" s="186"/>
      <c r="W122" s="186"/>
      <c r="X122" s="186"/>
      <c r="Y122" s="186"/>
      <c r="Z122" s="186"/>
      <c r="AA122" s="186"/>
      <c r="AB122" s="186"/>
      <c r="AC122" s="186"/>
      <c r="AD122" s="481"/>
    </row>
    <row r="123" spans="2:30" ht="22.5" customHeight="1" x14ac:dyDescent="0.35">
      <c r="B123" s="245"/>
      <c r="C123" s="202"/>
      <c r="D123" s="186"/>
      <c r="E123" s="186"/>
      <c r="F123" s="186"/>
      <c r="G123" s="186"/>
      <c r="H123" s="186"/>
      <c r="I123" s="186"/>
      <c r="J123" s="186"/>
      <c r="K123" s="186"/>
      <c r="L123" s="186"/>
      <c r="M123" s="186"/>
      <c r="N123" s="186"/>
      <c r="O123" s="186"/>
      <c r="P123" s="186"/>
      <c r="Q123" s="186"/>
      <c r="R123" s="186"/>
      <c r="S123" s="186"/>
      <c r="T123" s="186"/>
      <c r="U123" s="186"/>
      <c r="V123" s="186"/>
      <c r="W123" s="186"/>
      <c r="X123" s="186"/>
      <c r="Y123" s="186"/>
      <c r="Z123" s="186"/>
      <c r="AA123" s="186"/>
      <c r="AB123" s="186"/>
      <c r="AC123" s="186"/>
    </row>
    <row r="124" spans="2:30" ht="22.5" customHeight="1" x14ac:dyDescent="0.35">
      <c r="B124" s="245"/>
      <c r="C124" s="202"/>
      <c r="D124" s="186"/>
      <c r="E124" s="186"/>
      <c r="F124" s="186"/>
      <c r="G124" s="186"/>
      <c r="H124" s="186"/>
      <c r="I124" s="186"/>
      <c r="J124" s="186"/>
      <c r="K124" s="186"/>
      <c r="L124" s="186"/>
      <c r="M124" s="186"/>
      <c r="N124" s="186"/>
      <c r="O124" s="186"/>
      <c r="P124" s="186"/>
      <c r="Q124" s="186"/>
      <c r="R124" s="186"/>
      <c r="S124" s="186"/>
      <c r="T124" s="186"/>
      <c r="U124" s="186"/>
      <c r="V124" s="186"/>
      <c r="W124" s="186"/>
      <c r="X124" s="186"/>
      <c r="Y124" s="186"/>
      <c r="Z124" s="186"/>
      <c r="AA124" s="186"/>
      <c r="AB124" s="186"/>
      <c r="AC124" s="186"/>
    </row>
    <row r="125" spans="2:30" ht="38.5" customHeight="1" x14ac:dyDescent="0.35">
      <c r="B125" s="452"/>
      <c r="C125" s="676">
        <v>2022</v>
      </c>
      <c r="D125" s="677">
        <v>2023</v>
      </c>
      <c r="E125" s="677">
        <v>2024</v>
      </c>
      <c r="F125" s="678">
        <v>2025</v>
      </c>
      <c r="G125" s="186">
        <v>2026</v>
      </c>
      <c r="H125" s="186"/>
      <c r="I125" s="186"/>
      <c r="J125" s="186"/>
      <c r="K125" s="186"/>
      <c r="L125" s="186"/>
      <c r="M125" s="186"/>
      <c r="N125" s="186"/>
      <c r="O125" s="186"/>
      <c r="P125" s="186"/>
      <c r="Q125" s="186"/>
      <c r="R125" s="186"/>
      <c r="S125" s="186"/>
      <c r="T125" s="186"/>
      <c r="U125" s="186"/>
      <c r="V125" s="186"/>
      <c r="W125" s="186"/>
      <c r="X125" s="186"/>
      <c r="Y125" s="186"/>
      <c r="Z125" s="186"/>
      <c r="AA125" s="186"/>
      <c r="AB125" s="186"/>
      <c r="AC125" s="186"/>
    </row>
    <row r="126" spans="2:30" ht="38.5" customHeight="1" x14ac:dyDescent="0.35">
      <c r="B126" s="490" t="s">
        <v>1862</v>
      </c>
      <c r="C126" s="228">
        <v>1212.4870000000001</v>
      </c>
      <c r="D126" s="228">
        <v>1344.7529999999999</v>
      </c>
      <c r="E126" s="228">
        <v>1456.7</v>
      </c>
      <c r="F126" s="228">
        <v>1553.5309999999999</v>
      </c>
      <c r="G126" s="228">
        <v>1643.9870000000001</v>
      </c>
      <c r="H126" s="186"/>
      <c r="I126" s="186"/>
      <c r="J126" s="186"/>
      <c r="K126" s="186"/>
      <c r="L126" s="186"/>
      <c r="M126" s="186"/>
      <c r="N126" s="186"/>
      <c r="O126" s="186"/>
      <c r="P126" s="186"/>
      <c r="Q126" s="186"/>
      <c r="R126" s="186"/>
      <c r="S126" s="186"/>
      <c r="T126" s="186"/>
      <c r="U126" s="186"/>
      <c r="V126" s="186"/>
      <c r="W126" s="186"/>
      <c r="X126" s="186"/>
      <c r="Y126" s="186"/>
      <c r="Z126" s="186"/>
      <c r="AA126" s="186"/>
      <c r="AB126" s="186"/>
      <c r="AC126" s="186"/>
    </row>
    <row r="127" spans="2:30" ht="69" customHeight="1" x14ac:dyDescent="0.35">
      <c r="B127" s="245"/>
      <c r="C127" s="202"/>
      <c r="D127" s="186"/>
      <c r="E127" s="186"/>
      <c r="F127" s="186"/>
      <c r="G127" s="186"/>
      <c r="H127" s="186"/>
      <c r="I127" s="186"/>
      <c r="J127" s="186"/>
      <c r="K127" s="186"/>
      <c r="L127" s="186"/>
      <c r="M127" s="186"/>
      <c r="N127" s="186"/>
      <c r="O127" s="186"/>
      <c r="P127" s="186"/>
      <c r="Q127" s="186"/>
      <c r="R127" s="186"/>
      <c r="S127" s="186"/>
      <c r="T127" s="186"/>
      <c r="U127" s="186"/>
      <c r="V127" s="186"/>
      <c r="W127" s="186"/>
      <c r="X127" s="186"/>
      <c r="Y127" s="186"/>
      <c r="Z127" s="186"/>
      <c r="AA127" s="186"/>
      <c r="AB127" s="186"/>
      <c r="AC127" s="186"/>
    </row>
    <row r="128" spans="2:30" x14ac:dyDescent="0.35">
      <c r="B128" s="77" t="s">
        <v>1436</v>
      </c>
      <c r="D128" s="202"/>
      <c r="E128" s="202"/>
      <c r="F128" s="202"/>
      <c r="G128" s="202"/>
      <c r="H128" s="202"/>
      <c r="I128" s="202"/>
      <c r="J128" s="202"/>
      <c r="K128" s="202"/>
      <c r="L128" s="202"/>
      <c r="M128" s="186"/>
      <c r="N128" s="186"/>
      <c r="O128" s="186"/>
      <c r="P128" s="202"/>
    </row>
    <row r="129" spans="2:18" x14ac:dyDescent="0.35">
      <c r="B129" s="527" t="s">
        <v>811</v>
      </c>
      <c r="C129" s="688"/>
      <c r="D129" s="691">
        <v>2021</v>
      </c>
      <c r="E129" s="691">
        <v>2022</v>
      </c>
      <c r="F129" s="691">
        <v>2023</v>
      </c>
      <c r="G129" s="692">
        <v>2024</v>
      </c>
      <c r="R129" s="481"/>
    </row>
    <row r="130" spans="2:18" x14ac:dyDescent="0.35">
      <c r="B130" s="593" t="s">
        <v>812</v>
      </c>
      <c r="C130" s="698"/>
      <c r="D130" s="685">
        <v>3605.8330000000001</v>
      </c>
      <c r="E130" s="685">
        <v>2900</v>
      </c>
      <c r="F130" s="685">
        <f>E130*1.02</f>
        <v>2958</v>
      </c>
      <c r="G130" s="686">
        <f>F130*1.06</f>
        <v>3135.48</v>
      </c>
    </row>
    <row r="131" spans="2:18" x14ac:dyDescent="0.35">
      <c r="B131" s="593" t="s">
        <v>815</v>
      </c>
      <c r="C131" s="687"/>
      <c r="D131" s="680">
        <f>AVERAGE(Medicare!L10:O10)</f>
        <v>858.02499999999998</v>
      </c>
      <c r="E131" s="680">
        <f>AVERAGE(Medicare!P10:S10)</f>
        <v>917.59999999999991</v>
      </c>
      <c r="F131" s="680">
        <f>AVERAGE(Medicare!T10:W10)</f>
        <v>940.125</v>
      </c>
      <c r="G131" s="696">
        <f>AVERAGE(Medicare!X10:AA10)</f>
        <v>958.77633570435523</v>
      </c>
    </row>
    <row r="132" spans="2:18" ht="13.4" customHeight="1" x14ac:dyDescent="0.35">
      <c r="B132" s="593" t="s">
        <v>813</v>
      </c>
      <c r="C132" s="687"/>
      <c r="D132" s="680">
        <f>D130-D131</f>
        <v>2747.808</v>
      </c>
      <c r="E132" s="680">
        <f t="shared" ref="E132:G132" si="40">E130-E131</f>
        <v>1982.4</v>
      </c>
      <c r="F132" s="680">
        <f t="shared" si="40"/>
        <v>2017.875</v>
      </c>
      <c r="G132" s="696">
        <f t="shared" si="40"/>
        <v>2176.7036642956446</v>
      </c>
    </row>
    <row r="133" spans="2:18" x14ac:dyDescent="0.35">
      <c r="B133" s="593" t="s">
        <v>816</v>
      </c>
      <c r="C133" s="687"/>
      <c r="D133" s="680">
        <f>AVERAGE(L12:O12)</f>
        <v>3640.3999999999996</v>
      </c>
      <c r="E133" s="680">
        <f>AVERAGE(P12:S12)</f>
        <v>2903.3749999999995</v>
      </c>
      <c r="F133" s="680">
        <f>AVERAGE(T12:W12)</f>
        <v>2965.6843958333334</v>
      </c>
      <c r="G133" s="696">
        <f>AVERAGE(X12:AA12)</f>
        <v>3147.0327761638796</v>
      </c>
    </row>
    <row r="134" spans="2:18" x14ac:dyDescent="0.35">
      <c r="B134" s="593" t="s">
        <v>815</v>
      </c>
      <c r="C134" s="687"/>
      <c r="D134" s="680">
        <f>AVERAGE(Medicare!L10:O10)</f>
        <v>858.02499999999998</v>
      </c>
      <c r="E134" s="680">
        <f>AVERAGE(Medicare!P10:S10)</f>
        <v>917.59999999999991</v>
      </c>
      <c r="F134" s="680">
        <f>AVERAGE(Medicare!T10:W10)</f>
        <v>940.125</v>
      </c>
      <c r="G134" s="696">
        <f>AVERAGE(Medicare!X10:AA10)</f>
        <v>958.77633570435523</v>
      </c>
    </row>
    <row r="135" spans="2:18" x14ac:dyDescent="0.35">
      <c r="B135" s="593" t="s">
        <v>535</v>
      </c>
      <c r="C135" s="687"/>
      <c r="D135" s="680">
        <f>AVERAGE(L39:O39)</f>
        <v>1587.6399999999999</v>
      </c>
      <c r="E135" s="680">
        <f>AVERAGE(P39:S39)</f>
        <v>1673.6939333333335</v>
      </c>
      <c r="F135" s="680">
        <f>AVERAGE(T39:W39)</f>
        <v>1799.3932004166672</v>
      </c>
      <c r="G135" s="696">
        <f>AVERAGE(X39:AA39)</f>
        <v>1885.7821116500008</v>
      </c>
    </row>
    <row r="136" spans="2:18" ht="27.65" customHeight="1" x14ac:dyDescent="0.35">
      <c r="B136" s="689" t="s">
        <v>814</v>
      </c>
      <c r="C136" s="316"/>
      <c r="D136" s="583"/>
      <c r="E136" s="693">
        <v>1.157</v>
      </c>
      <c r="F136" s="693">
        <v>1.0109999999999999</v>
      </c>
      <c r="G136" s="697">
        <v>1.0529999999999999</v>
      </c>
    </row>
    <row r="137" spans="2:18" x14ac:dyDescent="0.35">
      <c r="B137" s="202" t="s">
        <v>817</v>
      </c>
      <c r="D137" s="694">
        <f>D133-D130</f>
        <v>34.566999999999553</v>
      </c>
      <c r="E137" s="694">
        <f>E133-E130</f>
        <v>3.3749999999995453</v>
      </c>
      <c r="F137" s="694">
        <f>F133-F130</f>
        <v>7.6843958333333831</v>
      </c>
      <c r="G137" s="694">
        <f t="shared" ref="G137" si="41">G133-G130</f>
        <v>11.552776163879571</v>
      </c>
    </row>
    <row r="139" spans="2:18" x14ac:dyDescent="0.35">
      <c r="B139" t="s">
        <v>812</v>
      </c>
      <c r="D139">
        <v>3605.8330000000001</v>
      </c>
      <c r="E139">
        <v>2832.5949999999998</v>
      </c>
      <c r="F139">
        <v>2833.72</v>
      </c>
      <c r="G139">
        <v>2976.7339999999999</v>
      </c>
    </row>
  </sheetData>
  <mergeCells count="33">
    <mergeCell ref="B93:C95"/>
    <mergeCell ref="D93:V93"/>
    <mergeCell ref="W93:AG93"/>
    <mergeCell ref="E94:H94"/>
    <mergeCell ref="I94:L94"/>
    <mergeCell ref="M94:P94"/>
    <mergeCell ref="Q94:T94"/>
    <mergeCell ref="Y94:AB94"/>
    <mergeCell ref="AC94:AF94"/>
    <mergeCell ref="B82:C84"/>
    <mergeCell ref="D82:V82"/>
    <mergeCell ref="W82:AG82"/>
    <mergeCell ref="E83:H83"/>
    <mergeCell ref="I83:L83"/>
    <mergeCell ref="M83:P83"/>
    <mergeCell ref="Q83:T83"/>
    <mergeCell ref="Y83:AB83"/>
    <mergeCell ref="AC83:AF8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s>
  <pageMargins left="0.7" right="0.7" top="0.75" bottom="0.75" header="0.3" footer="0.3"/>
  <pageSetup paperSize="9" orientation="portrait" horizontalDpi="300" verticalDpi="300"/>
  <drawing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M1:AA37"/>
  <sheetViews>
    <sheetView topLeftCell="M13" workbookViewId="0">
      <selection activeCell="AA15" sqref="AA15"/>
    </sheetView>
  </sheetViews>
  <sheetFormatPr defaultColWidth="10.90625" defaultRowHeight="14.5" x14ac:dyDescent="0.35"/>
  <sheetData>
    <row r="1" spans="13:27" x14ac:dyDescent="0.35">
      <c r="M1" s="77" t="s">
        <v>1961</v>
      </c>
      <c r="S1" s="77" t="s">
        <v>1962</v>
      </c>
      <c r="Z1" t="s">
        <v>2000</v>
      </c>
      <c r="AA1" t="s">
        <v>2001</v>
      </c>
    </row>
    <row r="2" spans="13:27" x14ac:dyDescent="0.35">
      <c r="M2" t="s">
        <v>1963</v>
      </c>
      <c r="Q2">
        <v>2952.3</v>
      </c>
      <c r="S2" t="s">
        <v>1963</v>
      </c>
      <c r="X2">
        <v>2952.3</v>
      </c>
      <c r="Z2">
        <v>2917.6753774795288</v>
      </c>
      <c r="AA2" s="633">
        <v>2928.3</v>
      </c>
    </row>
    <row r="3" spans="13:27" x14ac:dyDescent="0.35">
      <c r="M3" t="s">
        <v>1964</v>
      </c>
      <c r="P3" t="s">
        <v>1965</v>
      </c>
      <c r="Q3">
        <v>23.1</v>
      </c>
      <c r="S3" t="s">
        <v>1964</v>
      </c>
      <c r="W3" t="s">
        <v>1965</v>
      </c>
      <c r="X3">
        <v>23.1</v>
      </c>
      <c r="Z3">
        <v>22.62857142857143</v>
      </c>
      <c r="AA3">
        <v>22.62857142857143</v>
      </c>
    </row>
    <row r="4" spans="13:27" x14ac:dyDescent="0.35">
      <c r="M4" t="s">
        <v>55</v>
      </c>
      <c r="P4" t="s">
        <v>1965</v>
      </c>
      <c r="Q4">
        <v>967.3</v>
      </c>
      <c r="S4" t="s">
        <v>55</v>
      </c>
      <c r="W4" t="s">
        <v>1965</v>
      </c>
      <c r="X4">
        <v>967.3</v>
      </c>
      <c r="Z4">
        <v>944.50347271762462</v>
      </c>
      <c r="AA4">
        <v>946.3</v>
      </c>
    </row>
    <row r="5" spans="13:27" x14ac:dyDescent="0.35">
      <c r="M5" t="s">
        <v>56</v>
      </c>
      <c r="P5" t="s">
        <v>1965</v>
      </c>
      <c r="Q5">
        <v>0</v>
      </c>
      <c r="S5" t="s">
        <v>56</v>
      </c>
      <c r="W5" t="s">
        <v>1965</v>
      </c>
      <c r="X5">
        <v>0</v>
      </c>
      <c r="Z5">
        <v>0</v>
      </c>
      <c r="AA5">
        <v>0</v>
      </c>
    </row>
    <row r="6" spans="13:27" x14ac:dyDescent="0.35">
      <c r="M6" t="s">
        <v>1966</v>
      </c>
      <c r="P6" t="s">
        <v>1965</v>
      </c>
      <c r="Q6">
        <v>0</v>
      </c>
      <c r="S6" t="s">
        <v>1966</v>
      </c>
      <c r="W6" t="s">
        <v>1965</v>
      </c>
      <c r="X6">
        <v>0</v>
      </c>
      <c r="Z6">
        <v>0</v>
      </c>
      <c r="AA6">
        <v>0</v>
      </c>
    </row>
    <row r="7" spans="13:27" x14ac:dyDescent="0.35">
      <c r="Q7">
        <f>Q2-SUM(Q3:Q6)</f>
        <v>1961.9</v>
      </c>
      <c r="X7">
        <f>X2-SUM(X3:X6)</f>
        <v>1961.9</v>
      </c>
      <c r="Z7">
        <f>Z2-SUM(Z3:Z6)</f>
        <v>1950.5433333333328</v>
      </c>
      <c r="AA7">
        <f>AA2-SUM(AA3:AA6)</f>
        <v>1959.3714285714289</v>
      </c>
    </row>
    <row r="8" spans="13:27" x14ac:dyDescent="0.35">
      <c r="S8" t="s">
        <v>1967</v>
      </c>
      <c r="W8" t="s">
        <v>1965</v>
      </c>
      <c r="X8">
        <v>34</v>
      </c>
    </row>
    <row r="9" spans="13:27" x14ac:dyDescent="0.35">
      <c r="S9" t="s">
        <v>1967</v>
      </c>
      <c r="W9" t="s">
        <v>1968</v>
      </c>
      <c r="X9">
        <v>34</v>
      </c>
    </row>
    <row r="10" spans="13:27" x14ac:dyDescent="0.35">
      <c r="S10" t="s">
        <v>1969</v>
      </c>
      <c r="W10" t="s">
        <v>1965</v>
      </c>
      <c r="X10">
        <v>37.700000000000003</v>
      </c>
    </row>
    <row r="11" spans="13:27" x14ac:dyDescent="0.35">
      <c r="S11" t="s">
        <v>1969</v>
      </c>
      <c r="W11" t="s">
        <v>1968</v>
      </c>
      <c r="X11">
        <v>37.700000000000003</v>
      </c>
    </row>
    <row r="12" spans="13:27" x14ac:dyDescent="0.35">
      <c r="S12" t="s">
        <v>470</v>
      </c>
      <c r="W12" t="s">
        <v>1965</v>
      </c>
      <c r="X12">
        <v>0</v>
      </c>
    </row>
    <row r="13" spans="13:27" x14ac:dyDescent="0.35">
      <c r="S13" t="s">
        <v>470</v>
      </c>
      <c r="W13" t="s">
        <v>1968</v>
      </c>
      <c r="X13">
        <v>0</v>
      </c>
    </row>
    <row r="14" spans="13:27" x14ac:dyDescent="0.35">
      <c r="S14" t="s">
        <v>1971</v>
      </c>
      <c r="W14" t="s">
        <v>1965</v>
      </c>
      <c r="X14">
        <v>21.9</v>
      </c>
    </row>
    <row r="15" spans="13:27" x14ac:dyDescent="0.35">
      <c r="S15" t="s">
        <v>1971</v>
      </c>
      <c r="W15" t="s">
        <v>1968</v>
      </c>
      <c r="X15">
        <f>X8-X9+X10-X11+X12-X13+X14</f>
        <v>21.9</v>
      </c>
      <c r="Z15">
        <v>21.9</v>
      </c>
      <c r="AA15">
        <v>21.89</v>
      </c>
    </row>
    <row r="16" spans="13:27" x14ac:dyDescent="0.35">
      <c r="X16">
        <f>X7-X8+X9-X10+X11-X12+X13-X14+X15</f>
        <v>1961.9</v>
      </c>
    </row>
    <row r="17" spans="13:27" x14ac:dyDescent="0.35">
      <c r="S17" t="s">
        <v>1970</v>
      </c>
      <c r="W17" t="s">
        <v>1965</v>
      </c>
      <c r="X17">
        <v>12</v>
      </c>
      <c r="Z17">
        <v>12</v>
      </c>
      <c r="AA17">
        <v>12</v>
      </c>
    </row>
    <row r="18" spans="13:27" x14ac:dyDescent="0.35">
      <c r="S18" t="s">
        <v>218</v>
      </c>
      <c r="W18" t="s">
        <v>1965</v>
      </c>
      <c r="X18">
        <v>1.4</v>
      </c>
      <c r="Z18">
        <v>1.4</v>
      </c>
      <c r="AA18">
        <v>1.4</v>
      </c>
    </row>
    <row r="19" spans="13:27" x14ac:dyDescent="0.35">
      <c r="X19">
        <f>X16-X17-X18</f>
        <v>1948.5</v>
      </c>
      <c r="Z19">
        <f>Z7-Z17-Z18+Z15</f>
        <v>1959.0433333333328</v>
      </c>
      <c r="AA19">
        <f>AA7-AA17-AA18+AA15</f>
        <v>1967.8614285714289</v>
      </c>
    </row>
    <row r="21" spans="13:27" x14ac:dyDescent="0.35">
      <c r="M21" s="77" t="s">
        <v>1972</v>
      </c>
    </row>
    <row r="22" spans="13:27" x14ac:dyDescent="0.35">
      <c r="M22" s="707" t="s">
        <v>123</v>
      </c>
      <c r="N22" s="460"/>
      <c r="O22" s="460"/>
      <c r="P22" s="460"/>
      <c r="Q22" s="460"/>
      <c r="R22" s="460"/>
      <c r="S22" s="460"/>
      <c r="T22" s="460"/>
      <c r="U22" s="460"/>
      <c r="V22" s="460"/>
      <c r="W22" s="404"/>
    </row>
    <row r="23" spans="13:27" x14ac:dyDescent="0.35">
      <c r="M23" s="708" t="s">
        <v>1981</v>
      </c>
      <c r="W23" s="152"/>
    </row>
    <row r="24" spans="13:27" x14ac:dyDescent="0.35">
      <c r="M24" s="708" t="s">
        <v>1980</v>
      </c>
      <c r="N24" s="100"/>
      <c r="O24" s="100"/>
      <c r="P24" s="100"/>
      <c r="Q24" s="100"/>
      <c r="R24" s="100"/>
      <c r="S24" s="100"/>
      <c r="T24" s="100"/>
      <c r="U24" s="100"/>
      <c r="V24" s="100"/>
      <c r="W24" s="709"/>
      <c r="X24" s="100"/>
      <c r="Y24" s="100"/>
    </row>
    <row r="25" spans="13:27" x14ac:dyDescent="0.35">
      <c r="M25" s="54" t="s">
        <v>203</v>
      </c>
      <c r="W25" s="152"/>
    </row>
    <row r="26" spans="13:27" x14ac:dyDescent="0.35">
      <c r="M26" s="54" t="s">
        <v>205</v>
      </c>
      <c r="W26" s="152"/>
    </row>
    <row r="27" spans="13:27" x14ac:dyDescent="0.35">
      <c r="M27" s="54" t="s">
        <v>56</v>
      </c>
      <c r="W27" s="152"/>
    </row>
    <row r="28" spans="13:27" x14ac:dyDescent="0.35">
      <c r="M28" s="54" t="s">
        <v>214</v>
      </c>
      <c r="W28" s="152"/>
    </row>
    <row r="29" spans="13:27" x14ac:dyDescent="0.35">
      <c r="M29" s="54" t="s">
        <v>1973</v>
      </c>
      <c r="W29" s="152"/>
    </row>
    <row r="30" spans="13:27" x14ac:dyDescent="0.35">
      <c r="M30" s="710" t="s">
        <v>1974</v>
      </c>
      <c r="N30" s="36"/>
      <c r="O30" s="36"/>
      <c r="P30" s="36"/>
      <c r="Q30" s="36"/>
      <c r="R30" s="36"/>
      <c r="S30" s="36"/>
      <c r="T30" s="36"/>
      <c r="U30" s="36"/>
      <c r="V30" s="36"/>
      <c r="W30" s="154"/>
      <c r="X30" t="s">
        <v>1975</v>
      </c>
    </row>
    <row r="31" spans="13:27" x14ac:dyDescent="0.35">
      <c r="M31" s="711" t="s">
        <v>1970</v>
      </c>
      <c r="N31" s="460"/>
      <c r="O31" s="460"/>
      <c r="P31" s="460"/>
      <c r="Q31" s="460"/>
      <c r="R31" s="460"/>
      <c r="S31" s="460"/>
      <c r="T31" s="460"/>
      <c r="U31" s="460"/>
      <c r="V31" s="460"/>
      <c r="W31" s="404"/>
    </row>
    <row r="32" spans="13:27" x14ac:dyDescent="0.35">
      <c r="M32" s="710" t="s">
        <v>218</v>
      </c>
      <c r="N32" s="36"/>
      <c r="O32" s="36"/>
      <c r="P32" s="36"/>
      <c r="Q32" s="36"/>
      <c r="R32" s="36"/>
      <c r="S32" s="36"/>
      <c r="T32" s="36"/>
      <c r="U32" s="36"/>
      <c r="V32" s="36"/>
      <c r="W32" s="154"/>
      <c r="X32" t="s">
        <v>1976</v>
      </c>
    </row>
    <row r="33" spans="13:24" x14ac:dyDescent="0.35">
      <c r="M33" s="711" t="s">
        <v>135</v>
      </c>
      <c r="N33" s="460"/>
      <c r="O33" s="460"/>
      <c r="P33" s="460"/>
      <c r="Q33" s="460"/>
      <c r="R33" s="460"/>
      <c r="S33" s="460"/>
      <c r="T33" s="460"/>
      <c r="U33" s="460"/>
      <c r="V33" s="460"/>
      <c r="W33" s="404"/>
    </row>
    <row r="34" spans="13:24" x14ac:dyDescent="0.35">
      <c r="M34" s="54" t="s">
        <v>136</v>
      </c>
      <c r="W34" s="152"/>
    </row>
    <row r="35" spans="13:24" x14ac:dyDescent="0.35">
      <c r="M35" s="54" t="s">
        <v>1977</v>
      </c>
      <c r="W35" s="152"/>
    </row>
    <row r="36" spans="13:24" x14ac:dyDescent="0.35">
      <c r="M36" s="54" t="s">
        <v>129</v>
      </c>
      <c r="W36" s="152"/>
    </row>
    <row r="37" spans="13:24" x14ac:dyDescent="0.35">
      <c r="M37" s="710" t="s">
        <v>1978</v>
      </c>
      <c r="N37" s="36"/>
      <c r="O37" s="36"/>
      <c r="P37" s="36"/>
      <c r="Q37" s="36"/>
      <c r="R37" s="36"/>
      <c r="S37" s="36"/>
      <c r="T37" s="36"/>
      <c r="U37" s="36"/>
      <c r="V37" s="36"/>
      <c r="W37" s="154"/>
      <c r="X37" t="s">
        <v>1979</v>
      </c>
    </row>
  </sheetData>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AH14"/>
  <sheetViews>
    <sheetView topLeftCell="Q1" workbookViewId="0">
      <selection activeCell="Z14" sqref="Z14"/>
    </sheetView>
  </sheetViews>
  <sheetFormatPr defaultColWidth="10.90625" defaultRowHeight="14.5" x14ac:dyDescent="0.35"/>
  <sheetData>
    <row r="1" spans="2:34" x14ac:dyDescent="0.35">
      <c r="B1" s="1292" t="s">
        <v>55</v>
      </c>
      <c r="C1" s="1292"/>
      <c r="D1" s="1292"/>
      <c r="E1" s="1292"/>
      <c r="F1" s="1292"/>
      <c r="G1" s="1292"/>
      <c r="H1" s="1292"/>
      <c r="I1" s="1292"/>
      <c r="J1" s="1292"/>
      <c r="K1" s="1292"/>
      <c r="L1" s="1292"/>
      <c r="M1" s="1292"/>
      <c r="N1" s="1292"/>
      <c r="O1" s="1292"/>
      <c r="P1" s="1292"/>
      <c r="Q1" s="1292"/>
      <c r="R1" s="1292"/>
      <c r="S1" s="1292"/>
      <c r="T1" s="1292"/>
      <c r="U1" s="1292"/>
      <c r="V1" s="1292"/>
      <c r="W1" s="1292"/>
      <c r="X1" s="1292"/>
      <c r="Y1" s="1292"/>
      <c r="Z1" s="1292"/>
      <c r="AA1" s="1292"/>
      <c r="AB1" s="1292"/>
      <c r="AC1" s="1292"/>
    </row>
    <row r="2" spans="2:34" ht="14.25" customHeight="1" x14ac:dyDescent="0.35">
      <c r="B2" s="1382" t="s">
        <v>1983</v>
      </c>
      <c r="C2" s="1382"/>
      <c r="D2" s="1382"/>
      <c r="E2" s="1382"/>
      <c r="F2" s="1382"/>
      <c r="G2" s="1382"/>
      <c r="H2" s="1382"/>
      <c r="I2" s="1382"/>
      <c r="J2" s="1382"/>
      <c r="K2" s="1382"/>
      <c r="L2" s="1382"/>
      <c r="M2" s="1382"/>
      <c r="N2" s="1382"/>
      <c r="O2" s="1382"/>
      <c r="P2" s="1382"/>
      <c r="Q2" s="1382"/>
      <c r="R2" s="1382"/>
      <c r="S2" s="561"/>
      <c r="T2" s="1383"/>
      <c r="U2" s="1383"/>
      <c r="V2" s="1383"/>
      <c r="W2" s="1383"/>
      <c r="X2" s="1383"/>
      <c r="Y2" s="1383"/>
      <c r="Z2" s="1383"/>
      <c r="AA2" s="1383"/>
      <c r="AB2" s="1383"/>
      <c r="AC2" s="1383"/>
    </row>
    <row r="3" spans="2:34" x14ac:dyDescent="0.35">
      <c r="B3" s="1382"/>
      <c r="C3" s="1382"/>
      <c r="D3" s="1382"/>
      <c r="E3" s="1382"/>
      <c r="F3" s="1382"/>
      <c r="G3" s="1382"/>
      <c r="H3" s="1382"/>
      <c r="I3" s="1382"/>
      <c r="J3" s="1382"/>
      <c r="K3" s="1382"/>
      <c r="L3" s="1382"/>
      <c r="M3" s="1382"/>
      <c r="N3" s="1382"/>
      <c r="O3" s="1382"/>
      <c r="P3" s="1382"/>
      <c r="Q3" s="1382"/>
      <c r="R3" s="1382"/>
      <c r="S3" s="561"/>
      <c r="T3" s="1383"/>
      <c r="U3" s="1383"/>
      <c r="V3" s="1383"/>
      <c r="W3" s="1383"/>
      <c r="X3" s="1383"/>
      <c r="Y3" s="1383"/>
      <c r="Z3" s="1383"/>
      <c r="AA3" s="1383"/>
      <c r="AB3" s="1383"/>
      <c r="AC3" s="1383"/>
    </row>
    <row r="4" spans="2:34" ht="21" customHeight="1" x14ac:dyDescent="0.35">
      <c r="B4" s="1382"/>
      <c r="C4" s="1382"/>
      <c r="D4" s="1382"/>
      <c r="E4" s="1382"/>
      <c r="F4" s="1382"/>
      <c r="G4" s="1382"/>
      <c r="H4" s="1382"/>
      <c r="I4" s="1382"/>
      <c r="J4" s="1382"/>
      <c r="K4" s="1382"/>
      <c r="L4" s="1382"/>
      <c r="M4" s="1382"/>
      <c r="N4" s="1382"/>
      <c r="O4" s="1382"/>
      <c r="P4" s="1382"/>
      <c r="Q4" s="1382"/>
      <c r="R4" s="1382"/>
      <c r="S4" s="561"/>
      <c r="T4" s="1383"/>
      <c r="U4" s="1383"/>
      <c r="V4" s="1383"/>
      <c r="W4" s="1383"/>
      <c r="X4" s="1383"/>
      <c r="Y4" s="1383"/>
      <c r="Z4" s="1383"/>
      <c r="AA4" s="1383"/>
      <c r="AB4" s="1383"/>
      <c r="AC4" s="1383"/>
    </row>
    <row r="6" spans="2:34" x14ac:dyDescent="0.35">
      <c r="B6" s="478" t="s">
        <v>333</v>
      </c>
    </row>
    <row r="7" spans="2:34" ht="14.9" customHeight="1" x14ac:dyDescent="0.35">
      <c r="B7" s="1297" t="s">
        <v>1984</v>
      </c>
      <c r="C7" s="1298"/>
      <c r="D7" s="1301" t="s">
        <v>280</v>
      </c>
      <c r="E7" s="1313"/>
      <c r="F7" s="1313"/>
      <c r="G7" s="1313"/>
      <c r="H7" s="1313"/>
      <c r="I7" s="1313"/>
      <c r="J7" s="1313"/>
      <c r="K7" s="1313"/>
      <c r="L7" s="1313"/>
      <c r="M7" s="1313"/>
      <c r="N7" s="1313"/>
      <c r="O7" s="1313"/>
      <c r="P7" s="1313"/>
      <c r="Q7" s="1313"/>
      <c r="R7" s="1313"/>
      <c r="S7" s="1313"/>
      <c r="T7" s="1313"/>
      <c r="U7" s="1314"/>
      <c r="V7" s="1300"/>
      <c r="W7" s="1324" t="s">
        <v>281</v>
      </c>
      <c r="X7" s="1325"/>
      <c r="Y7" s="1325"/>
      <c r="Z7" s="1325"/>
      <c r="AA7" s="1325"/>
      <c r="AB7" s="1325"/>
      <c r="AC7" s="1325"/>
      <c r="AD7" s="1325"/>
      <c r="AE7" s="1325"/>
      <c r="AF7" s="1325"/>
      <c r="AG7" s="1325"/>
    </row>
    <row r="8" spans="2:34" x14ac:dyDescent="0.35">
      <c r="B8" s="1299"/>
      <c r="C8" s="1300"/>
      <c r="D8" s="142">
        <v>2018</v>
      </c>
      <c r="E8" s="1278">
        <v>2019</v>
      </c>
      <c r="F8" s="1306"/>
      <c r="G8" s="1306"/>
      <c r="H8" s="1307"/>
      <c r="I8" s="1278">
        <v>2020</v>
      </c>
      <c r="J8" s="1306"/>
      <c r="K8" s="1306"/>
      <c r="L8" s="1306"/>
      <c r="M8" s="1278">
        <v>2021</v>
      </c>
      <c r="N8" s="1306"/>
      <c r="O8" s="1306"/>
      <c r="P8" s="1279"/>
      <c r="Q8" s="1278">
        <v>2022</v>
      </c>
      <c r="R8" s="1279"/>
      <c r="S8" s="1279"/>
      <c r="T8" s="1279"/>
      <c r="U8" s="201"/>
      <c r="V8" s="251">
        <v>2023</v>
      </c>
      <c r="W8" s="253"/>
      <c r="X8" s="222"/>
      <c r="Y8" s="1304">
        <v>2024</v>
      </c>
      <c r="Z8" s="1315"/>
      <c r="AA8" s="1315"/>
      <c r="AB8" s="1305"/>
      <c r="AC8" s="1303">
        <v>2025</v>
      </c>
      <c r="AD8" s="1315"/>
      <c r="AE8" s="1315"/>
      <c r="AF8" s="1305"/>
      <c r="AG8" s="467">
        <v>2026</v>
      </c>
    </row>
    <row r="9" spans="2:34" x14ac:dyDescent="0.35">
      <c r="B9" s="1301"/>
      <c r="C9" s="1302"/>
      <c r="D9" s="148" t="s">
        <v>282</v>
      </c>
      <c r="E9" s="148" t="s">
        <v>283</v>
      </c>
      <c r="F9" s="144" t="s">
        <v>284</v>
      </c>
      <c r="G9" s="144" t="s">
        <v>238</v>
      </c>
      <c r="H9" s="145" t="s">
        <v>282</v>
      </c>
      <c r="I9" s="144" t="s">
        <v>283</v>
      </c>
      <c r="J9" s="144" t="s">
        <v>284</v>
      </c>
      <c r="K9" s="144" t="s">
        <v>238</v>
      </c>
      <c r="L9" s="144" t="s">
        <v>282</v>
      </c>
      <c r="M9" s="148" t="s">
        <v>283</v>
      </c>
      <c r="N9" s="144" t="s">
        <v>284</v>
      </c>
      <c r="O9" s="144" t="s">
        <v>238</v>
      </c>
      <c r="P9" s="144" t="s">
        <v>282</v>
      </c>
      <c r="Q9" s="148" t="s">
        <v>283</v>
      </c>
      <c r="R9" s="144" t="s">
        <v>284</v>
      </c>
      <c r="S9" s="144" t="s">
        <v>238</v>
      </c>
      <c r="T9" s="144" t="s">
        <v>282</v>
      </c>
      <c r="U9" s="248" t="s">
        <v>283</v>
      </c>
      <c r="V9" s="249" t="s">
        <v>284</v>
      </c>
      <c r="W9" s="232" t="s">
        <v>238</v>
      </c>
      <c r="X9" s="233" t="s">
        <v>282</v>
      </c>
      <c r="Y9" s="232" t="s">
        <v>283</v>
      </c>
      <c r="Z9" s="229" t="s">
        <v>284</v>
      </c>
      <c r="AA9" s="232" t="s">
        <v>238</v>
      </c>
      <c r="AB9" s="232" t="s">
        <v>282</v>
      </c>
      <c r="AC9" s="231" t="s">
        <v>283</v>
      </c>
      <c r="AD9" s="229" t="s">
        <v>284</v>
      </c>
      <c r="AE9" s="232" t="s">
        <v>238</v>
      </c>
      <c r="AF9" s="232" t="s">
        <v>282</v>
      </c>
      <c r="AG9" s="231" t="s">
        <v>283</v>
      </c>
    </row>
    <row r="10" spans="2:34" x14ac:dyDescent="0.35">
      <c r="S10" s="713" t="s">
        <v>184</v>
      </c>
      <c r="T10" s="713" t="s">
        <v>185</v>
      </c>
      <c r="U10" s="713" t="s">
        <v>186</v>
      </c>
      <c r="V10" s="713" t="s">
        <v>187</v>
      </c>
      <c r="W10" s="713" t="s">
        <v>188</v>
      </c>
      <c r="X10" s="713" t="s">
        <v>189</v>
      </c>
      <c r="Y10" s="713" t="s">
        <v>190</v>
      </c>
      <c r="Z10" s="713" t="s">
        <v>191</v>
      </c>
      <c r="AA10" s="713" t="s">
        <v>175</v>
      </c>
      <c r="AB10" s="713" t="s">
        <v>176</v>
      </c>
      <c r="AC10" s="713" t="s">
        <v>177</v>
      </c>
      <c r="AD10" s="713" t="s">
        <v>768</v>
      </c>
      <c r="AE10" s="713" t="s">
        <v>769</v>
      </c>
      <c r="AF10" s="713" t="s">
        <v>770</v>
      </c>
      <c r="AG10" s="713" t="s">
        <v>1162</v>
      </c>
      <c r="AH10" s="713" t="s">
        <v>1163</v>
      </c>
    </row>
    <row r="11" spans="2:34" x14ac:dyDescent="0.35">
      <c r="S11" s="712"/>
      <c r="T11" s="712"/>
      <c r="U11" s="712"/>
      <c r="V11" s="712"/>
      <c r="W11" s="712"/>
      <c r="X11" s="712"/>
      <c r="Y11" s="712"/>
      <c r="Z11" s="712"/>
      <c r="AA11" s="712"/>
      <c r="AB11" s="712"/>
      <c r="AC11" s="712"/>
      <c r="AD11" s="712"/>
      <c r="AE11" s="712"/>
      <c r="AF11" s="712"/>
      <c r="AG11" s="712"/>
      <c r="AH11" s="712"/>
    </row>
    <row r="12" spans="2:34" x14ac:dyDescent="0.35">
      <c r="B12" s="712" t="s">
        <v>1942</v>
      </c>
      <c r="S12" s="712">
        <v>9.1428571428571441</v>
      </c>
      <c r="T12" s="712">
        <v>9.1428571428571441</v>
      </c>
      <c r="U12" s="712">
        <v>28.342857142857145</v>
      </c>
      <c r="V12" s="712">
        <v>45.714285714285722</v>
      </c>
      <c r="W12" s="712">
        <v>65</v>
      </c>
      <c r="X12" s="712">
        <v>83</v>
      </c>
      <c r="Y12" s="712">
        <v>95</v>
      </c>
      <c r="Z12" s="712">
        <v>91.428571428571445</v>
      </c>
      <c r="AA12" s="712">
        <v>81.676190476190499</v>
      </c>
      <c r="AB12" s="712">
        <v>72.228571428571442</v>
      </c>
      <c r="AC12" s="712">
        <v>59</v>
      </c>
      <c r="AD12" s="712">
        <v>48</v>
      </c>
      <c r="AE12" s="712">
        <v>40</v>
      </c>
      <c r="AF12" s="712">
        <v>40</v>
      </c>
      <c r="AG12" s="712">
        <v>40</v>
      </c>
      <c r="AH12" s="712">
        <v>40</v>
      </c>
    </row>
    <row r="13" spans="2:34" x14ac:dyDescent="0.35">
      <c r="B13" s="712" t="s">
        <v>1943</v>
      </c>
      <c r="S13" s="714">
        <v>1.2372660206226285</v>
      </c>
      <c r="T13" s="714">
        <v>1.248682720244251</v>
      </c>
      <c r="U13" s="714">
        <v>1.2615323491280164</v>
      </c>
      <c r="V13" s="714">
        <v>1.2711595804574931</v>
      </c>
      <c r="W13" s="714">
        <v>1.2805988589197217</v>
      </c>
      <c r="X13" s="714">
        <v>1.2903026473835131</v>
      </c>
      <c r="Y13" s="714">
        <v>1.2992703261336995</v>
      </c>
      <c r="Z13" s="714">
        <v>1.3072384685165053</v>
      </c>
      <c r="AA13" s="714">
        <v>1.3154269306958029</v>
      </c>
      <c r="AB13" s="714">
        <v>1.3233344552591992</v>
      </c>
      <c r="AC13" s="714">
        <v>1.3308984310938612</v>
      </c>
      <c r="AD13" s="714">
        <v>1.3383543012580754</v>
      </c>
      <c r="AE13" s="714">
        <v>1.3457221150918501</v>
      </c>
      <c r="AF13" s="714">
        <v>1.3530984416878797</v>
      </c>
      <c r="AG13" s="715">
        <v>0</v>
      </c>
      <c r="AH13" s="715">
        <v>0</v>
      </c>
    </row>
    <row r="14" spans="2:34" x14ac:dyDescent="0.35">
      <c r="B14" s="712" t="s">
        <v>1944</v>
      </c>
      <c r="S14" s="712">
        <v>11.312146474264033</v>
      </c>
      <c r="T14" s="712">
        <v>11.41652772794744</v>
      </c>
      <c r="U14" s="712">
        <v>35.755431152428351</v>
      </c>
      <c r="V14" s="712">
        <v>58.110152249485409</v>
      </c>
      <c r="W14" s="712">
        <v>83.238925829781905</v>
      </c>
      <c r="X14" s="712">
        <v>107.09511973283159</v>
      </c>
      <c r="Y14" s="712">
        <v>123.43068098270146</v>
      </c>
      <c r="Z14" s="712">
        <v>119.51894569293765</v>
      </c>
      <c r="AA14" s="712">
        <v>107.43906054902104</v>
      </c>
      <c r="AB14" s="712">
        <v>95.582557225578753</v>
      </c>
      <c r="AC14" s="712">
        <v>78.523007434537817</v>
      </c>
      <c r="AD14" s="712">
        <v>64.241006460387624</v>
      </c>
      <c r="AE14" s="712">
        <v>53.828884603674005</v>
      </c>
      <c r="AF14" s="712">
        <v>54.123937667515193</v>
      </c>
      <c r="AG14" s="712">
        <v>0</v>
      </c>
      <c r="AH14" s="712">
        <v>0</v>
      </c>
    </row>
  </sheetData>
  <mergeCells count="12">
    <mergeCell ref="Y8:AB8"/>
    <mergeCell ref="AC8:AF8"/>
    <mergeCell ref="B1:AC1"/>
    <mergeCell ref="B2:R4"/>
    <mergeCell ref="T2:AC4"/>
    <mergeCell ref="B7:C9"/>
    <mergeCell ref="D7:V7"/>
    <mergeCell ref="W7:AG7"/>
    <mergeCell ref="E8:H8"/>
    <mergeCell ref="I8:L8"/>
    <mergeCell ref="M8:P8"/>
    <mergeCell ref="Q8:T8"/>
  </mergeCells>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C1:BD174"/>
  <sheetViews>
    <sheetView topLeftCell="I160" zoomScale="67" zoomScaleNormal="80" workbookViewId="0">
      <selection activeCell="U123" sqref="U123"/>
    </sheetView>
  </sheetViews>
  <sheetFormatPr defaultColWidth="10.90625" defaultRowHeight="14.5" x14ac:dyDescent="0.35"/>
  <cols>
    <col min="1" max="2" width="0" hidden="1" customWidth="1"/>
    <col min="4" max="4" width="45.1796875" customWidth="1"/>
    <col min="5" max="5" width="11.1796875" customWidth="1"/>
    <col min="11" max="11" width="10.81640625" customWidth="1"/>
    <col min="12" max="12" width="24.726562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292" t="s">
        <v>58</v>
      </c>
      <c r="E1" s="1292"/>
      <c r="F1" s="1292"/>
      <c r="G1" s="1292"/>
      <c r="H1" s="1292"/>
      <c r="I1" s="1292"/>
      <c r="J1" s="1292"/>
      <c r="K1" s="1292"/>
      <c r="L1" s="1292"/>
      <c r="M1" s="1292"/>
      <c r="N1" s="1292"/>
      <c r="O1" s="1292"/>
      <c r="P1" s="1292"/>
      <c r="Q1" s="1292"/>
      <c r="R1" s="1292"/>
      <c r="S1" s="1292"/>
      <c r="T1" s="1292"/>
      <c r="U1" s="1292"/>
      <c r="V1" s="1292"/>
      <c r="W1" s="1292"/>
      <c r="X1" s="1292"/>
      <c r="Y1" s="1292"/>
      <c r="Z1" s="1292"/>
      <c r="AA1" s="1292"/>
      <c r="AB1" s="1292"/>
      <c r="AC1" s="1292"/>
    </row>
    <row r="2" spans="4:56" ht="14.25" customHeight="1" x14ac:dyDescent="0.35">
      <c r="D2" s="1330" t="s">
        <v>917</v>
      </c>
      <c r="E2" s="1330"/>
      <c r="F2" s="1330"/>
      <c r="G2" s="1330"/>
      <c r="H2" s="1330"/>
      <c r="I2" s="1330"/>
      <c r="J2" s="1330"/>
      <c r="K2" s="1330"/>
      <c r="L2" s="1330"/>
      <c r="M2" s="1330"/>
      <c r="N2" s="1330"/>
      <c r="O2" s="1330"/>
      <c r="P2" s="1330"/>
      <c r="Q2" s="1330"/>
      <c r="R2" s="1330"/>
      <c r="S2" s="1330"/>
      <c r="T2" s="1330"/>
      <c r="U2" s="1330"/>
      <c r="V2" s="1330"/>
      <c r="W2" s="1330"/>
      <c r="X2" s="1330"/>
      <c r="Y2" s="1330"/>
      <c r="Z2" s="1330"/>
      <c r="AA2" s="1330"/>
      <c r="AB2" s="1330"/>
      <c r="AC2" s="1330"/>
    </row>
    <row r="3" spans="4:56" ht="84.75" customHeight="1" x14ac:dyDescent="0.35">
      <c r="D3" s="1330"/>
      <c r="E3" s="1330"/>
      <c r="F3" s="1330"/>
      <c r="G3" s="1330"/>
      <c r="H3" s="1330"/>
      <c r="I3" s="1330"/>
      <c r="J3" s="1330"/>
      <c r="K3" s="1330"/>
      <c r="L3" s="1330"/>
      <c r="M3" s="1330"/>
      <c r="N3" s="1330"/>
      <c r="O3" s="1330"/>
      <c r="P3" s="1330"/>
      <c r="Q3" s="1330"/>
      <c r="R3" s="1330"/>
      <c r="S3" s="1330"/>
      <c r="T3" s="1330"/>
      <c r="U3" s="1330"/>
      <c r="V3" s="1330"/>
      <c r="W3" s="1330"/>
      <c r="X3" s="1330"/>
      <c r="Y3" s="1330"/>
      <c r="Z3" s="1330"/>
      <c r="AA3" s="1330"/>
      <c r="AB3" s="1330"/>
      <c r="AC3" s="1330"/>
    </row>
    <row r="4" spans="4:56" x14ac:dyDescent="0.35">
      <c r="D4" s="834" t="s">
        <v>333</v>
      </c>
      <c r="W4" s="35"/>
    </row>
    <row r="5" spans="4:56" x14ac:dyDescent="0.35">
      <c r="D5" s="1297" t="s">
        <v>404</v>
      </c>
      <c r="E5" s="1298"/>
      <c r="F5" s="1398" t="s">
        <v>280</v>
      </c>
      <c r="G5" s="1399"/>
      <c r="H5" s="1399"/>
      <c r="I5" s="1399"/>
      <c r="J5" s="1399"/>
      <c r="K5" s="1399"/>
      <c r="L5" s="1399"/>
      <c r="M5" s="1399"/>
      <c r="N5" s="1399"/>
      <c r="O5" s="1399"/>
      <c r="P5" s="1399"/>
      <c r="Q5" s="1399"/>
      <c r="R5" s="1399"/>
      <c r="S5" s="1399"/>
      <c r="T5" s="1399"/>
      <c r="U5" s="1399"/>
      <c r="V5" s="1400"/>
      <c r="W5" s="1324" t="s">
        <v>281</v>
      </c>
      <c r="X5" s="1325"/>
      <c r="Y5" s="1325"/>
      <c r="Z5" s="1325"/>
      <c r="AA5" s="1325"/>
      <c r="AB5" s="1325"/>
      <c r="AC5" s="1325"/>
      <c r="AD5" s="1325"/>
      <c r="AE5" s="1325"/>
      <c r="AF5" s="1325"/>
      <c r="AG5" s="1325"/>
      <c r="AH5" s="769"/>
      <c r="AI5" s="769"/>
      <c r="AJ5" s="769"/>
      <c r="AK5" s="769"/>
      <c r="AL5" s="769"/>
      <c r="AM5" s="769"/>
      <c r="AN5" s="769"/>
      <c r="AO5" s="769"/>
      <c r="AP5" s="769"/>
      <c r="AQ5" s="769"/>
      <c r="AR5" s="769"/>
      <c r="AS5" s="769"/>
      <c r="AT5" s="769"/>
      <c r="AU5" s="769"/>
      <c r="AV5" s="769"/>
      <c r="AW5" s="769"/>
      <c r="AX5" s="769"/>
      <c r="AY5" s="769"/>
      <c r="AZ5" s="769"/>
      <c r="BA5" s="769"/>
      <c r="BB5" s="769"/>
      <c r="BC5" s="769"/>
      <c r="BD5" s="769"/>
    </row>
    <row r="6" spans="4:56" x14ac:dyDescent="0.35">
      <c r="D6" s="1299"/>
      <c r="E6" s="1314"/>
      <c r="F6" s="1294">
        <v>2019</v>
      </c>
      <c r="G6" s="1295"/>
      <c r="H6" s="1296"/>
      <c r="I6" s="1295">
        <v>2020</v>
      </c>
      <c r="J6" s="1295"/>
      <c r="K6" s="1295"/>
      <c r="L6" s="1295"/>
      <c r="M6" s="1278">
        <v>2021</v>
      </c>
      <c r="N6" s="1306"/>
      <c r="O6" s="1306"/>
      <c r="P6" s="1306"/>
      <c r="Q6" s="1278">
        <v>2022</v>
      </c>
      <c r="R6" s="1279"/>
      <c r="S6" s="1279"/>
      <c r="T6" s="1307"/>
      <c r="U6" s="251"/>
      <c r="V6" s="251">
        <v>2023</v>
      </c>
      <c r="W6" s="518"/>
      <c r="X6" s="222"/>
      <c r="Y6" s="1303">
        <v>2024</v>
      </c>
      <c r="Z6" s="1315"/>
      <c r="AA6" s="1315"/>
      <c r="AB6" s="1305"/>
      <c r="AC6" s="1303">
        <v>2025</v>
      </c>
      <c r="AD6" s="1315"/>
      <c r="AE6" s="1315"/>
      <c r="AF6" s="1305"/>
      <c r="AG6" s="467">
        <v>2026</v>
      </c>
      <c r="AH6" s="770"/>
      <c r="AI6" s="770"/>
      <c r="AJ6" s="770"/>
      <c r="AK6" s="770"/>
      <c r="AL6" s="770"/>
      <c r="AM6" s="770"/>
      <c r="AN6" s="770"/>
      <c r="AO6" s="770"/>
      <c r="AP6" s="770"/>
      <c r="AQ6" s="770"/>
      <c r="AR6" s="770"/>
      <c r="AS6" s="770"/>
      <c r="AT6" s="770"/>
      <c r="AU6" s="770"/>
      <c r="AV6" s="770"/>
      <c r="AW6" s="770"/>
      <c r="AX6" s="770"/>
      <c r="AY6" s="770"/>
      <c r="AZ6" s="770"/>
      <c r="BA6" s="770"/>
      <c r="BB6" s="770"/>
      <c r="BC6" s="770"/>
    </row>
    <row r="7" spans="4:56" x14ac:dyDescent="0.35">
      <c r="D7" s="1301"/>
      <c r="E7" s="1313"/>
      <c r="F7" s="148" t="s">
        <v>284</v>
      </c>
      <c r="G7" s="144" t="s">
        <v>238</v>
      </c>
      <c r="H7" s="145" t="s">
        <v>282</v>
      </c>
      <c r="I7" s="144" t="s">
        <v>283</v>
      </c>
      <c r="J7" s="144" t="s">
        <v>284</v>
      </c>
      <c r="K7" s="144" t="s">
        <v>238</v>
      </c>
      <c r="L7" s="144" t="s">
        <v>282</v>
      </c>
      <c r="M7" s="148" t="s">
        <v>283</v>
      </c>
      <c r="N7" s="144" t="s">
        <v>284</v>
      </c>
      <c r="O7" s="144" t="s">
        <v>238</v>
      </c>
      <c r="P7" s="144" t="s">
        <v>282</v>
      </c>
      <c r="Q7" s="148" t="s">
        <v>283</v>
      </c>
      <c r="R7" s="144" t="s">
        <v>284</v>
      </c>
      <c r="S7" s="144" t="s">
        <v>238</v>
      </c>
      <c r="T7" s="145" t="s">
        <v>282</v>
      </c>
      <c r="U7" s="144" t="s">
        <v>283</v>
      </c>
      <c r="V7" s="249" t="s">
        <v>284</v>
      </c>
      <c r="W7" s="282" t="s">
        <v>238</v>
      </c>
      <c r="X7" s="393" t="s">
        <v>282</v>
      </c>
      <c r="Y7" s="394" t="s">
        <v>283</v>
      </c>
      <c r="Z7" s="290" t="s">
        <v>284</v>
      </c>
      <c r="AA7" s="282" t="s">
        <v>238</v>
      </c>
      <c r="AB7" s="282" t="s">
        <v>282</v>
      </c>
      <c r="AC7" s="231" t="s">
        <v>283</v>
      </c>
      <c r="AD7" s="229" t="s">
        <v>284</v>
      </c>
      <c r="AE7" s="232" t="s">
        <v>238</v>
      </c>
      <c r="AF7" s="232" t="s">
        <v>282</v>
      </c>
      <c r="AG7" s="231" t="s">
        <v>283</v>
      </c>
      <c r="AH7" s="731"/>
      <c r="AI7" s="731"/>
      <c r="AJ7" s="731"/>
      <c r="AK7" s="731"/>
      <c r="AL7" s="731"/>
      <c r="AM7" s="731"/>
      <c r="AN7" s="731"/>
      <c r="AO7" s="731"/>
      <c r="AP7" s="731"/>
      <c r="AQ7" s="731"/>
      <c r="AR7" s="731"/>
      <c r="AS7" s="731"/>
      <c r="AT7" s="731"/>
      <c r="AU7" s="731"/>
      <c r="AV7" s="731"/>
      <c r="AW7" s="731"/>
      <c r="AX7" s="731"/>
      <c r="AY7" s="731"/>
      <c r="AZ7" s="731"/>
      <c r="BA7" s="731"/>
      <c r="BB7" s="731"/>
      <c r="BC7" s="731"/>
    </row>
    <row r="8" spans="4:56" x14ac:dyDescent="0.35">
      <c r="D8" s="854" t="s">
        <v>466</v>
      </c>
      <c r="E8" s="69"/>
      <c r="F8" s="848"/>
      <c r="G8" s="849"/>
      <c r="H8" s="849"/>
      <c r="I8" s="849"/>
      <c r="J8" s="849"/>
      <c r="K8" s="849"/>
      <c r="L8" s="849"/>
      <c r="M8" s="849"/>
      <c r="N8" s="849"/>
      <c r="O8" s="849"/>
      <c r="P8" s="849"/>
      <c r="Q8" s="849"/>
      <c r="R8" s="849"/>
      <c r="S8" s="849"/>
      <c r="T8" s="849"/>
      <c r="U8" s="730"/>
      <c r="V8" s="730"/>
      <c r="W8" s="730"/>
      <c r="X8" s="850"/>
      <c r="Y8" s="850"/>
      <c r="Z8" s="850"/>
      <c r="AA8" s="850"/>
      <c r="AB8" s="850"/>
      <c r="AC8" s="803"/>
      <c r="AD8" s="803"/>
      <c r="AE8" s="803"/>
      <c r="AF8" s="803"/>
      <c r="AG8" s="803"/>
      <c r="AH8" s="644"/>
      <c r="AI8" s="644"/>
      <c r="AJ8" s="644"/>
      <c r="AK8" s="644"/>
      <c r="AL8" s="644"/>
      <c r="AM8" s="644"/>
      <c r="AN8" s="644"/>
      <c r="AO8" s="644"/>
      <c r="AP8" s="644"/>
      <c r="AQ8" s="644"/>
      <c r="AR8" s="644"/>
      <c r="AS8" s="644"/>
      <c r="AT8" s="644"/>
      <c r="AU8" s="644"/>
      <c r="AV8" s="644"/>
      <c r="AW8" s="644"/>
      <c r="AX8" s="644"/>
      <c r="AY8" s="644"/>
      <c r="AZ8" s="644"/>
      <c r="BA8" s="644"/>
      <c r="BB8" s="644"/>
      <c r="BC8" s="644"/>
    </row>
    <row r="9" spans="4:56" ht="14.9" customHeight="1" x14ac:dyDescent="0.35">
      <c r="D9" s="454" t="s">
        <v>481</v>
      </c>
      <c r="E9" s="853"/>
      <c r="F9" s="726">
        <f t="shared" ref="F9:S9" si="0">SUM(F10:F14)</f>
        <v>3262.7999999999997</v>
      </c>
      <c r="G9" s="726">
        <f t="shared" si="0"/>
        <v>3288.1000000000004</v>
      </c>
      <c r="H9" s="726">
        <f t="shared" si="0"/>
        <v>3338</v>
      </c>
      <c r="I9" s="726">
        <f t="shared" si="0"/>
        <v>3404.2999999999997</v>
      </c>
      <c r="J9" s="726">
        <f t="shared" si="0"/>
        <v>3145.3</v>
      </c>
      <c r="K9" s="726">
        <f t="shared" si="0"/>
        <v>3330.5</v>
      </c>
      <c r="L9" s="726">
        <f t="shared" si="0"/>
        <v>3493.7000000000003</v>
      </c>
      <c r="M9" s="726">
        <f t="shared" si="0"/>
        <v>3658.9</v>
      </c>
      <c r="N9" s="726">
        <f t="shared" si="0"/>
        <v>3818.6000000000004</v>
      </c>
      <c r="O9" s="726">
        <f t="shared" si="0"/>
        <v>3938.9</v>
      </c>
      <c r="P9" s="726">
        <f t="shared" si="0"/>
        <v>4059.7000000000003</v>
      </c>
      <c r="Q9" s="726">
        <f t="shared" si="0"/>
        <v>4353.7</v>
      </c>
      <c r="R9" s="726">
        <f t="shared" si="0"/>
        <v>4373.2</v>
      </c>
      <c r="S9" s="726">
        <f t="shared" si="0"/>
        <v>4423.7</v>
      </c>
      <c r="T9" s="726">
        <f t="shared" ref="T9:AC9" si="1">SUM(T10,T12,T14)</f>
        <v>4387.7</v>
      </c>
      <c r="U9" s="726">
        <f>SUM(U10,U12,U14)</f>
        <v>4116.5</v>
      </c>
      <c r="V9" s="726">
        <f t="shared" si="1"/>
        <v>4129.2</v>
      </c>
      <c r="W9" s="726">
        <f t="shared" si="1"/>
        <v>4149.8</v>
      </c>
      <c r="X9" s="788">
        <f t="shared" si="1"/>
        <v>4181.7</v>
      </c>
      <c r="Y9" s="788">
        <f t="shared" si="1"/>
        <v>4236.8196882791963</v>
      </c>
      <c r="Z9" s="788">
        <f t="shared" si="1"/>
        <v>4270.0725554678729</v>
      </c>
      <c r="AA9" s="788">
        <f t="shared" si="1"/>
        <v>4303.6256137979035</v>
      </c>
      <c r="AB9" s="788">
        <f t="shared" si="1"/>
        <v>4334.5561571140242</v>
      </c>
      <c r="AC9" s="788">
        <f t="shared" si="1"/>
        <v>4393.0949961856113</v>
      </c>
      <c r="AD9" s="788">
        <f t="shared" ref="AD9:AG9" si="2">SUM(AD10,AD12,AD14)</f>
        <v>4424.6908127465058</v>
      </c>
      <c r="AE9" s="788">
        <f t="shared" si="2"/>
        <v>4456.5558089947972</v>
      </c>
      <c r="AF9" s="788">
        <f t="shared" si="2"/>
        <v>4488.692504183522</v>
      </c>
      <c r="AG9" s="788">
        <f t="shared" si="2"/>
        <v>4549.3307437599615</v>
      </c>
      <c r="AH9" s="912"/>
      <c r="AI9" s="912"/>
      <c r="AJ9" s="912"/>
      <c r="AK9" s="912"/>
      <c r="AL9" s="912"/>
      <c r="AM9" s="912"/>
      <c r="AN9" s="912"/>
      <c r="AO9" s="912"/>
      <c r="AU9" s="774"/>
      <c r="AV9" s="774"/>
      <c r="AW9" s="774"/>
      <c r="AX9" s="774"/>
      <c r="AY9" s="774"/>
      <c r="AZ9" s="774"/>
      <c r="BA9" s="774"/>
      <c r="BB9" s="774"/>
      <c r="BC9" s="774"/>
    </row>
    <row r="10" spans="4:56" x14ac:dyDescent="0.35">
      <c r="D10" s="485" t="s">
        <v>482</v>
      </c>
      <c r="E10" s="52" t="s">
        <v>115</v>
      </c>
      <c r="F10" s="729">
        <f>'Haver Pivoted'!GQ27</f>
        <v>1689.1</v>
      </c>
      <c r="G10" s="729">
        <f>'Haver Pivoted'!GR27</f>
        <v>1700.3</v>
      </c>
      <c r="H10" s="729">
        <f>'Haver Pivoted'!GS27</f>
        <v>1732.4</v>
      </c>
      <c r="I10" s="729">
        <f>'Haver Pivoted'!GT27</f>
        <v>1767.8</v>
      </c>
      <c r="J10" s="729">
        <f>'Haver Pivoted'!GU27</f>
        <v>1631.4</v>
      </c>
      <c r="K10" s="729">
        <f>'Haver Pivoted'!GV27</f>
        <v>1747.9</v>
      </c>
      <c r="L10" s="729">
        <f>'Haver Pivoted'!GW27</f>
        <v>1866.9</v>
      </c>
      <c r="M10" s="729">
        <f>'Haver Pivoted'!GX27</f>
        <v>2013.4</v>
      </c>
      <c r="N10" s="729">
        <f>'Haver Pivoted'!GY27</f>
        <v>2118.4</v>
      </c>
      <c r="O10" s="729">
        <f>'Haver Pivoted'!GZ27</f>
        <v>2200</v>
      </c>
      <c r="P10" s="729">
        <f>'Haver Pivoted'!HA27</f>
        <v>2265.3000000000002</v>
      </c>
      <c r="Q10" s="729">
        <f>'Haver Pivoted'!HB27</f>
        <v>2506.9</v>
      </c>
      <c r="R10" s="729">
        <f>'Haver Pivoted'!HC27</f>
        <v>2502.6</v>
      </c>
      <c r="S10" s="729">
        <f>'Haver Pivoted'!HD27</f>
        <v>2521.9</v>
      </c>
      <c r="T10" s="787">
        <f>'Haver Pivoted'!HE27</f>
        <v>2490.1</v>
      </c>
      <c r="U10" s="787">
        <f>'Haver Pivoted'!HF27</f>
        <v>2181</v>
      </c>
      <c r="V10" s="787">
        <f>'Haver Pivoted'!HG27</f>
        <v>2175.1</v>
      </c>
      <c r="W10" s="787">
        <f>'Haver Pivoted'!HH27</f>
        <v>2179.8000000000002</v>
      </c>
      <c r="X10" s="787">
        <f>'Haver Pivoted'!HI27</f>
        <v>2194.5</v>
      </c>
      <c r="Y10" s="723">
        <f>X10*(1+$K36-0.02)+Y11</f>
        <v>2227.6652107550944</v>
      </c>
      <c r="Z10" s="789">
        <f>Y10*(1.02)^0.25+Z11</f>
        <v>2238.7209607640784</v>
      </c>
      <c r="AA10" s="789">
        <f t="shared" ref="AA10:AB10" si="3">Z10*(1.02)^0.25+AA11</f>
        <v>2249.8315797038476</v>
      </c>
      <c r="AB10" s="789">
        <f t="shared" si="3"/>
        <v>2260.9973398851507</v>
      </c>
      <c r="AC10" s="723">
        <f>AB10*(1+$L36-0.02)+AC11</f>
        <v>2299.5632625439603</v>
      </c>
      <c r="AD10" s="789">
        <f>AC10*(1.02)^0.25+AD11</f>
        <v>2310.9758376642194</v>
      </c>
      <c r="AE10" s="789">
        <f t="shared" ref="AE10:AF10" si="4">AD10*(1.02)^0.25+AE11</f>
        <v>2322.4450526138744</v>
      </c>
      <c r="AF10" s="789">
        <f t="shared" si="4"/>
        <v>2333.9711884925227</v>
      </c>
      <c r="AG10" s="723">
        <f>AF10*(1+$M36-0.02)+AG11</f>
        <v>2373.7818290251048</v>
      </c>
      <c r="AH10" s="912"/>
      <c r="AI10" s="912"/>
      <c r="AJ10" s="912"/>
      <c r="AK10" s="912"/>
      <c r="AL10" s="912"/>
      <c r="AM10" s="912"/>
      <c r="AN10" s="912"/>
      <c r="AO10" s="912"/>
      <c r="AU10" s="644"/>
      <c r="AV10" s="644"/>
      <c r="AW10" s="644"/>
      <c r="AX10" s="644"/>
      <c r="AY10" s="644"/>
      <c r="AZ10" s="644"/>
      <c r="BA10" s="644"/>
      <c r="BB10" s="644"/>
      <c r="BC10" s="644"/>
    </row>
    <row r="11" spans="4:56" x14ac:dyDescent="0.35">
      <c r="D11" s="485" t="s">
        <v>1810</v>
      </c>
      <c r="E11" s="52"/>
      <c r="F11" s="851"/>
      <c r="G11" s="851"/>
      <c r="H11" s="851"/>
      <c r="I11" s="851"/>
      <c r="J11" s="851"/>
      <c r="K11" s="851"/>
      <c r="L11" s="851"/>
      <c r="M11" s="851"/>
      <c r="N11" s="851"/>
      <c r="O11" s="851"/>
      <c r="P11" s="851"/>
      <c r="Q11" s="851"/>
      <c r="R11" s="851"/>
      <c r="S11" s="727"/>
      <c r="T11" s="727">
        <v>46</v>
      </c>
      <c r="U11" s="727">
        <v>-5</v>
      </c>
      <c r="V11" s="727">
        <v>12</v>
      </c>
      <c r="W11" s="727">
        <v>67</v>
      </c>
      <c r="X11" s="847">
        <v>7</v>
      </c>
      <c r="Y11" s="847">
        <v>0</v>
      </c>
      <c r="Z11" s="847">
        <v>0</v>
      </c>
      <c r="AA11" s="847">
        <v>0</v>
      </c>
      <c r="AB11" s="847">
        <v>0</v>
      </c>
      <c r="AC11" s="847">
        <v>0</v>
      </c>
      <c r="AD11" s="847">
        <v>0</v>
      </c>
      <c r="AE11" s="847">
        <v>0</v>
      </c>
      <c r="AF11" s="847">
        <v>0</v>
      </c>
      <c r="AG11" s="847">
        <v>0</v>
      </c>
      <c r="AH11" s="912"/>
      <c r="AI11" s="912"/>
      <c r="AJ11" s="912"/>
      <c r="AK11" s="912"/>
      <c r="AL11" s="912"/>
      <c r="AM11" s="912"/>
      <c r="AN11" s="912"/>
      <c r="AO11" s="912"/>
      <c r="AU11" s="644"/>
      <c r="AV11" s="644"/>
      <c r="AW11" s="644"/>
      <c r="AX11" s="644"/>
      <c r="AY11" s="644"/>
      <c r="AZ11" s="644"/>
      <c r="BA11" s="644"/>
      <c r="BB11" s="644"/>
      <c r="BC11" s="644"/>
    </row>
    <row r="12" spans="4:56" x14ac:dyDescent="0.35">
      <c r="D12" s="485" t="s">
        <v>483</v>
      </c>
      <c r="E12" s="49" t="s">
        <v>121</v>
      </c>
      <c r="F12" s="729">
        <f>'Haver Pivoted'!GQ30</f>
        <v>1403.3</v>
      </c>
      <c r="G12" s="729">
        <f>'Haver Pivoted'!GR30</f>
        <v>1410</v>
      </c>
      <c r="H12" s="729">
        <f>'Haver Pivoted'!GS30</f>
        <v>1427.9</v>
      </c>
      <c r="I12" s="729">
        <f>'Haver Pivoted'!GT30</f>
        <v>1453.3</v>
      </c>
      <c r="J12" s="729">
        <f>'Haver Pivoted'!GU30</f>
        <v>1383.5</v>
      </c>
      <c r="K12" s="729">
        <f>'Haver Pivoted'!GV30</f>
        <v>1432.5</v>
      </c>
      <c r="L12" s="729">
        <f>'Haver Pivoted'!GW30</f>
        <v>1469</v>
      </c>
      <c r="M12" s="729">
        <f>'Haver Pivoted'!GX30</f>
        <v>1484.6</v>
      </c>
      <c r="N12" s="729">
        <f>'Haver Pivoted'!GY30</f>
        <v>1519.7</v>
      </c>
      <c r="O12" s="729">
        <f>'Haver Pivoted'!GZ30</f>
        <v>1556.8</v>
      </c>
      <c r="P12" s="729">
        <f>'Haver Pivoted'!HA30</f>
        <v>1603.4</v>
      </c>
      <c r="Q12" s="729">
        <f>'Haver Pivoted'!HB30</f>
        <v>1645.9</v>
      </c>
      <c r="R12" s="729">
        <f>'Haver Pivoted'!HC30</f>
        <v>1667.8</v>
      </c>
      <c r="S12" s="729">
        <f>'Haver Pivoted'!HD30</f>
        <v>1709.6</v>
      </c>
      <c r="T12" s="787">
        <f>'Haver Pivoted'!HE30</f>
        <v>1716.7</v>
      </c>
      <c r="U12" s="787">
        <f>'Haver Pivoted'!HF30</f>
        <v>1758.5</v>
      </c>
      <c r="V12" s="787">
        <f>'Haver Pivoted'!HG30</f>
        <v>1778.7</v>
      </c>
      <c r="W12" s="787">
        <f>'Haver Pivoted'!HH30</f>
        <v>1798.4</v>
      </c>
      <c r="X12" s="787">
        <f>'Haver Pivoted'!HI30</f>
        <v>1815.7</v>
      </c>
      <c r="Y12" s="789">
        <f>X12*(1+$K38)^0.25+Y13</f>
        <v>1835.8770380660258</v>
      </c>
      <c r="Z12" s="789">
        <f>Y12*(1+$K38)^0.25+Z13</f>
        <v>1856.2782942656188</v>
      </c>
      <c r="AA12" s="789">
        <f>Z12*(1+$K38)^0.25+AA13</f>
        <v>1876.9062602316567</v>
      </c>
      <c r="AB12" s="789">
        <f t="shared" ref="AB12:AG12" si="5">AA12*(1+$L38)^0.25+AB13</f>
        <v>1896.6710433664741</v>
      </c>
      <c r="AC12" s="789">
        <f t="shared" si="5"/>
        <v>1916.6439597792519</v>
      </c>
      <c r="AD12" s="789">
        <f t="shared" si="5"/>
        <v>1936.8272012198868</v>
      </c>
      <c r="AE12" s="789">
        <f t="shared" si="5"/>
        <v>1957.2229825185232</v>
      </c>
      <c r="AF12" s="789">
        <f t="shared" si="5"/>
        <v>1977.8335418286001</v>
      </c>
      <c r="AG12" s="789">
        <f t="shared" si="5"/>
        <v>1998.6611408724571</v>
      </c>
      <c r="AH12" s="912"/>
      <c r="AI12" s="912"/>
      <c r="AJ12" s="912"/>
      <c r="AK12" s="912"/>
      <c r="AL12" s="912"/>
      <c r="AM12" s="912"/>
      <c r="AN12" s="912"/>
      <c r="AO12" s="912"/>
      <c r="AU12" s="644"/>
      <c r="AV12" s="644"/>
      <c r="AW12" s="644"/>
      <c r="AX12" s="644"/>
      <c r="AY12" s="644"/>
      <c r="AZ12" s="644"/>
      <c r="BA12" s="644"/>
      <c r="BB12" s="644"/>
      <c r="BC12" s="644"/>
    </row>
    <row r="13" spans="4:56" x14ac:dyDescent="0.35">
      <c r="D13" s="485" t="s">
        <v>1742</v>
      </c>
      <c r="E13" s="49"/>
      <c r="F13" s="851"/>
      <c r="G13" s="851"/>
      <c r="H13" s="851"/>
      <c r="I13" s="851"/>
      <c r="J13" s="851"/>
      <c r="K13" s="851"/>
      <c r="L13" s="851"/>
      <c r="M13" s="851"/>
      <c r="N13" s="851"/>
      <c r="O13" s="851"/>
      <c r="P13" s="851"/>
      <c r="Q13" s="851"/>
      <c r="R13" s="851"/>
      <c r="S13" s="851"/>
      <c r="T13" s="727"/>
      <c r="U13" s="727">
        <v>8</v>
      </c>
      <c r="V13" s="727">
        <v>-10</v>
      </c>
      <c r="W13" s="727">
        <v>-5</v>
      </c>
      <c r="X13" s="847">
        <v>-6</v>
      </c>
      <c r="Y13" s="847"/>
      <c r="Z13" s="847"/>
      <c r="AA13" s="847"/>
      <c r="AB13" s="847"/>
      <c r="AC13" s="847"/>
      <c r="AD13" s="847"/>
      <c r="AE13" s="847"/>
      <c r="AF13" s="847"/>
      <c r="AG13" s="847"/>
      <c r="AH13" s="912"/>
      <c r="AI13" s="912"/>
      <c r="AJ13" s="912"/>
      <c r="AK13" s="912"/>
      <c r="AL13" s="912"/>
      <c r="AM13" s="912"/>
      <c r="AN13" s="912"/>
      <c r="AO13" s="912"/>
      <c r="AU13" s="644"/>
      <c r="AV13" s="644"/>
      <c r="AW13" s="644"/>
      <c r="AX13" s="644"/>
      <c r="AY13" s="644"/>
      <c r="AZ13" s="644"/>
      <c r="BA13" s="644"/>
      <c r="BB13" s="644"/>
      <c r="BC13" s="644"/>
    </row>
    <row r="14" spans="4:56" x14ac:dyDescent="0.35">
      <c r="D14" s="485" t="s">
        <v>484</v>
      </c>
      <c r="E14" s="52" t="s">
        <v>117</v>
      </c>
      <c r="F14" s="729">
        <f>'Haver Pivoted'!GQ28</f>
        <v>170.4</v>
      </c>
      <c r="G14" s="729">
        <f>'Haver Pivoted'!GR28</f>
        <v>177.8</v>
      </c>
      <c r="H14" s="729">
        <f>'Haver Pivoted'!GS28</f>
        <v>177.7</v>
      </c>
      <c r="I14" s="729">
        <f>'Haver Pivoted'!GT28</f>
        <v>183.2</v>
      </c>
      <c r="J14" s="729">
        <f>'Haver Pivoted'!GU28</f>
        <v>130.4</v>
      </c>
      <c r="K14" s="729">
        <f>'Haver Pivoted'!GV28</f>
        <v>150.1</v>
      </c>
      <c r="L14" s="729">
        <f>'Haver Pivoted'!GW28</f>
        <v>157.80000000000001</v>
      </c>
      <c r="M14" s="729">
        <f>'Haver Pivoted'!GX28</f>
        <v>160.9</v>
      </c>
      <c r="N14" s="729">
        <f>'Haver Pivoted'!GY28</f>
        <v>180.5</v>
      </c>
      <c r="O14" s="729">
        <f>'Haver Pivoted'!GZ28</f>
        <v>182.1</v>
      </c>
      <c r="P14" s="729">
        <f>'Haver Pivoted'!HA28</f>
        <v>191</v>
      </c>
      <c r="Q14" s="729">
        <f>'Haver Pivoted'!HB28</f>
        <v>200.9</v>
      </c>
      <c r="R14" s="729">
        <f>'Haver Pivoted'!HC28</f>
        <v>202.8</v>
      </c>
      <c r="S14" s="729">
        <f>'Haver Pivoted'!HD28</f>
        <v>192.2</v>
      </c>
      <c r="T14" s="787">
        <f>'Haver Pivoted'!HE28</f>
        <v>180.9</v>
      </c>
      <c r="U14" s="787">
        <f>'Haver Pivoted'!HF28</f>
        <v>177</v>
      </c>
      <c r="V14" s="787">
        <f>'Haver Pivoted'!HG28</f>
        <v>175.4</v>
      </c>
      <c r="W14" s="787">
        <f>'Haver Pivoted'!HH28</f>
        <v>171.6</v>
      </c>
      <c r="X14" s="787">
        <f>'Haver Pivoted'!HI28</f>
        <v>171.5</v>
      </c>
      <c r="Y14" s="789">
        <f>X14*(1+$K39)^0.25</f>
        <v>173.27743945807592</v>
      </c>
      <c r="Z14" s="789">
        <f>Y14*(1+$K39)^0.25</f>
        <v>175.07330043817589</v>
      </c>
      <c r="AA14" s="789">
        <f>Z14*(1+$K39)^0.25</f>
        <v>176.88777386239977</v>
      </c>
      <c r="AB14" s="789">
        <f t="shared" ref="AB14:AG14" si="6">AA14*(1+$L39)^0.25</f>
        <v>176.88777386239977</v>
      </c>
      <c r="AC14" s="789">
        <f t="shared" si="6"/>
        <v>176.88777386239977</v>
      </c>
      <c r="AD14" s="789">
        <f t="shared" si="6"/>
        <v>176.88777386239977</v>
      </c>
      <c r="AE14" s="789">
        <f t="shared" si="6"/>
        <v>176.88777386239977</v>
      </c>
      <c r="AF14" s="789">
        <f t="shared" si="6"/>
        <v>176.88777386239977</v>
      </c>
      <c r="AG14" s="789">
        <f t="shared" si="6"/>
        <v>176.88777386239977</v>
      </c>
      <c r="AH14" s="912"/>
      <c r="AI14" s="912"/>
      <c r="AJ14" s="912"/>
      <c r="AK14" s="912"/>
      <c r="AL14" s="912"/>
      <c r="AM14" s="912"/>
      <c r="AN14" s="912"/>
      <c r="AO14" s="912"/>
      <c r="AU14" s="644"/>
      <c r="AV14" s="644"/>
      <c r="AW14" s="644"/>
      <c r="AX14" s="644"/>
      <c r="AY14" s="644"/>
      <c r="AZ14" s="644"/>
      <c r="BA14" s="644"/>
      <c r="BB14" s="644"/>
      <c r="BC14" s="644"/>
    </row>
    <row r="15" spans="4:56" x14ac:dyDescent="0.35">
      <c r="D15" s="764" t="s">
        <v>1435</v>
      </c>
      <c r="E15" s="765"/>
      <c r="F15" s="852"/>
      <c r="G15" s="851"/>
      <c r="H15" s="851"/>
      <c r="I15" s="851"/>
      <c r="J15" s="851"/>
      <c r="K15" s="851"/>
      <c r="L15" s="851"/>
      <c r="M15" s="851"/>
      <c r="N15" s="851"/>
      <c r="O15" s="851"/>
      <c r="P15" s="851"/>
      <c r="Q15" s="851"/>
      <c r="R15" s="851"/>
      <c r="S15" s="727"/>
      <c r="T15" s="727"/>
      <c r="U15" s="727">
        <v>0</v>
      </c>
      <c r="V15" s="727">
        <v>0</v>
      </c>
      <c r="W15" s="727">
        <v>0</v>
      </c>
      <c r="X15" s="847">
        <v>0</v>
      </c>
      <c r="Y15" s="847">
        <v>0</v>
      </c>
      <c r="Z15" s="847">
        <v>0</v>
      </c>
      <c r="AA15" s="847">
        <v>0</v>
      </c>
      <c r="AB15" s="847">
        <v>0</v>
      </c>
      <c r="AC15" s="847">
        <v>0</v>
      </c>
      <c r="AD15" s="847">
        <v>1</v>
      </c>
      <c r="AE15" s="847">
        <v>2</v>
      </c>
      <c r="AF15" s="847">
        <v>3</v>
      </c>
      <c r="AG15" s="847">
        <v>4</v>
      </c>
      <c r="AH15" s="912"/>
      <c r="AI15" s="912"/>
      <c r="AJ15" s="912"/>
      <c r="AK15" s="912"/>
      <c r="AL15" s="912"/>
      <c r="AM15" s="912"/>
      <c r="AN15" s="912"/>
      <c r="AO15" s="912"/>
      <c r="AU15" s="644"/>
      <c r="AV15" s="644"/>
      <c r="AW15" s="644"/>
      <c r="AX15" s="644"/>
      <c r="AY15" s="644"/>
      <c r="AZ15" s="644"/>
      <c r="BA15" s="644"/>
      <c r="BB15" s="644"/>
      <c r="BC15" s="644"/>
    </row>
    <row r="16" spans="4:56" ht="14.9" customHeight="1" x14ac:dyDescent="0.35">
      <c r="D16" s="384" t="s">
        <v>1982</v>
      </c>
      <c r="E16" s="757" t="s">
        <v>119</v>
      </c>
      <c r="F16" s="835">
        <f>'Haver Pivoted'!GQ29</f>
        <v>210.4</v>
      </c>
      <c r="G16" s="728">
        <f>'Haver Pivoted'!GR29</f>
        <v>198.2</v>
      </c>
      <c r="H16" s="728">
        <f>'Haver Pivoted'!GS29</f>
        <v>233.1</v>
      </c>
      <c r="I16" s="728">
        <f>'Haver Pivoted'!GT29</f>
        <v>189.6</v>
      </c>
      <c r="J16" s="728">
        <f>'Haver Pivoted'!GU29</f>
        <v>199.8</v>
      </c>
      <c r="K16" s="728">
        <f>'Haver Pivoted'!GV29</f>
        <v>246.8</v>
      </c>
      <c r="L16" s="728">
        <f>'Haver Pivoted'!GW29</f>
        <v>250.9</v>
      </c>
      <c r="M16" s="728">
        <f>'Haver Pivoted'!GX29</f>
        <v>252.3</v>
      </c>
      <c r="N16" s="728">
        <f>'Haver Pivoted'!GY29</f>
        <v>283.60000000000002</v>
      </c>
      <c r="O16" s="728">
        <f>'Haver Pivoted'!GZ29</f>
        <v>279.8</v>
      </c>
      <c r="P16" s="728">
        <f>'Haver Pivoted'!HA29</f>
        <v>303.89999999999998</v>
      </c>
      <c r="Q16" s="728">
        <f>'Haver Pivoted'!HB29</f>
        <v>329.8</v>
      </c>
      <c r="R16" s="728">
        <f>'Haver Pivoted'!HC29</f>
        <v>388.8</v>
      </c>
      <c r="S16" s="728">
        <f>'Haver Pivoted'!HD29</f>
        <v>383.6</v>
      </c>
      <c r="T16" s="719">
        <f>'Haver Pivoted'!HE29</f>
        <v>373.6</v>
      </c>
      <c r="U16" s="719">
        <f>'Haver Pivoted'!HF29</f>
        <v>388.6</v>
      </c>
      <c r="V16" s="719">
        <f>'Haver Pivoted'!HG29</f>
        <v>403.3</v>
      </c>
      <c r="W16" s="719">
        <f>'Haver Pivoted'!HH29</f>
        <v>418</v>
      </c>
      <c r="X16" s="789">
        <f>W16*(1+$K40)^0.25</f>
        <v>418.6878884136944</v>
      </c>
      <c r="Y16" s="789">
        <f>X16*(1+$K40)^0.25</f>
        <v>419.37690886200528</v>
      </c>
      <c r="Z16" s="789">
        <f>Y16*(1+$K40)^0.25</f>
        <v>420.06706320788362</v>
      </c>
      <c r="AA16" s="789">
        <f>Z16*(1+$K40)^0.25</f>
        <v>420.75835331734618</v>
      </c>
      <c r="AB16" s="789">
        <f t="shared" ref="AB16:AG16" si="7">AA16*(1+$L40)^0.25</f>
        <v>422.95559046469532</v>
      </c>
      <c r="AC16" s="789">
        <f t="shared" si="7"/>
        <v>425.16430177778267</v>
      </c>
      <c r="AD16" s="789">
        <f t="shared" si="7"/>
        <v>427.38454717571142</v>
      </c>
      <c r="AE16" s="789">
        <f t="shared" si="7"/>
        <v>429.6163868904876</v>
      </c>
      <c r="AF16" s="789">
        <f t="shared" si="7"/>
        <v>431.85988146865407</v>
      </c>
      <c r="AG16" s="789">
        <f t="shared" si="7"/>
        <v>434.11509177293306</v>
      </c>
      <c r="AH16" s="912"/>
      <c r="AI16" s="912"/>
      <c r="AJ16" s="912"/>
      <c r="AK16" s="912"/>
      <c r="AL16" s="912"/>
      <c r="AM16" s="912"/>
      <c r="AN16" s="912"/>
      <c r="AO16" s="912"/>
      <c r="AU16" s="774"/>
      <c r="AV16" s="774"/>
      <c r="AW16" s="774"/>
      <c r="AX16" s="774"/>
      <c r="AY16" s="774"/>
      <c r="AZ16" s="774"/>
      <c r="BA16" s="774"/>
      <c r="BB16" s="774"/>
      <c r="BC16" s="774"/>
    </row>
    <row r="17" spans="4:55" ht="14.9" customHeight="1" x14ac:dyDescent="0.35">
      <c r="D17" s="384"/>
      <c r="E17" s="757"/>
      <c r="F17" s="835"/>
      <c r="G17" s="728"/>
      <c r="H17" s="728"/>
      <c r="I17" s="728"/>
      <c r="J17" s="728"/>
      <c r="K17" s="728"/>
      <c r="L17" s="728"/>
      <c r="M17" s="728"/>
      <c r="N17" s="728"/>
      <c r="O17" s="728"/>
      <c r="P17" s="728"/>
      <c r="Q17" s="728"/>
      <c r="R17" s="728"/>
      <c r="S17" s="784"/>
      <c r="T17" s="784"/>
      <c r="U17" s="784"/>
      <c r="V17" s="784"/>
      <c r="W17" s="784"/>
      <c r="X17" s="784"/>
      <c r="Y17" s="784"/>
      <c r="Z17" s="784"/>
      <c r="AA17" s="784"/>
      <c r="AB17" s="784"/>
      <c r="AC17" s="784"/>
      <c r="AD17" s="784"/>
      <c r="AE17" s="784"/>
      <c r="AF17" s="784"/>
      <c r="AG17" s="784"/>
      <c r="AH17" s="912"/>
      <c r="AI17" s="912"/>
      <c r="AJ17" s="912"/>
      <c r="AK17" s="912"/>
      <c r="AL17" s="912"/>
      <c r="AM17" s="912"/>
      <c r="AN17" s="912"/>
      <c r="AO17" s="912"/>
      <c r="AU17" s="774"/>
      <c r="AV17" s="774"/>
      <c r="AW17" s="774"/>
      <c r="AX17" s="774"/>
      <c r="AY17" s="774"/>
      <c r="AZ17" s="774"/>
      <c r="BA17" s="774"/>
      <c r="BB17" s="774"/>
      <c r="BC17" s="774"/>
    </row>
    <row r="19" spans="4:55" x14ac:dyDescent="0.35">
      <c r="D19" s="846" t="s">
        <v>473</v>
      </c>
      <c r="E19" s="377"/>
      <c r="F19" s="815"/>
      <c r="G19" s="804"/>
      <c r="H19" s="804"/>
      <c r="I19" s="804"/>
      <c r="J19" s="804"/>
      <c r="K19" s="804"/>
      <c r="L19" s="804"/>
      <c r="M19" s="804"/>
      <c r="N19" s="804"/>
      <c r="O19" s="804"/>
      <c r="P19" s="804"/>
      <c r="Q19" s="804"/>
      <c r="R19" s="804"/>
      <c r="S19" s="804"/>
      <c r="T19" s="804"/>
      <c r="U19" s="849"/>
      <c r="V19" s="804"/>
      <c r="W19" s="804"/>
      <c r="X19" s="804"/>
      <c r="Y19" s="804"/>
      <c r="Z19" s="804"/>
      <c r="AA19" s="804"/>
      <c r="AB19" s="804"/>
      <c r="AC19" s="804"/>
      <c r="AF19" s="912"/>
      <c r="AG19" s="912"/>
      <c r="AH19" s="912"/>
      <c r="AI19" s="912"/>
      <c r="AJ19" s="912"/>
      <c r="AK19" s="912"/>
      <c r="AL19" s="912"/>
      <c r="AM19" s="912"/>
      <c r="AN19" s="912"/>
      <c r="AO19" s="912"/>
    </row>
    <row r="20" spans="4:55" ht="14.9" customHeight="1" x14ac:dyDescent="0.35">
      <c r="D20" s="772" t="s">
        <v>481</v>
      </c>
      <c r="E20" s="758"/>
      <c r="F20" s="835">
        <f t="shared" ref="F20:P20" si="8">SUM(F22:F25)</f>
        <v>1902.6999999999998</v>
      </c>
      <c r="G20" s="728">
        <f t="shared" si="8"/>
        <v>1892.4</v>
      </c>
      <c r="H20" s="728">
        <f t="shared" si="8"/>
        <v>1884.5</v>
      </c>
      <c r="I20" s="728">
        <f t="shared" si="8"/>
        <v>1887.9</v>
      </c>
      <c r="J20" s="728">
        <f t="shared" si="8"/>
        <v>1790.3</v>
      </c>
      <c r="K20" s="728">
        <f t="shared" si="8"/>
        <v>1921.1</v>
      </c>
      <c r="L20" s="728">
        <f t="shared" si="8"/>
        <v>1953.6</v>
      </c>
      <c r="M20" s="728">
        <f t="shared" si="8"/>
        <v>2006.3</v>
      </c>
      <c r="N20" s="728">
        <f t="shared" si="8"/>
        <v>2102.1999999999998</v>
      </c>
      <c r="O20" s="728">
        <f t="shared" si="8"/>
        <v>2115.6999999999998</v>
      </c>
      <c r="P20" s="728">
        <f t="shared" si="8"/>
        <v>2213.6999999999998</v>
      </c>
      <c r="Q20" s="728">
        <f>SUM(Q21:Q25)</f>
        <v>2261.8999999999996</v>
      </c>
      <c r="R20" s="728">
        <f t="shared" ref="R20:T20" si="9">SUM(R21:R25)</f>
        <v>2287.3000000000002</v>
      </c>
      <c r="S20" s="728">
        <f t="shared" si="9"/>
        <v>2269.4</v>
      </c>
      <c r="T20" s="728">
        <f t="shared" si="9"/>
        <v>2267.1999999999998</v>
      </c>
      <c r="U20" s="728">
        <f>SUM(U22:U25)</f>
        <v>2258.3000000000002</v>
      </c>
      <c r="V20" s="728">
        <f>SUM(V21:V25)</f>
        <v>2196.4</v>
      </c>
      <c r="W20" s="728">
        <f>SUM(W21,W22,W24,W25)</f>
        <v>2257.6999999999998</v>
      </c>
      <c r="X20" s="791">
        <f>SUM(X21,X22,X24,X25)</f>
        <v>2265.6</v>
      </c>
      <c r="Y20" s="791">
        <f t="shared" ref="Y20:AG20" si="10">SUM(Y21,Y22,Y24,Y25)</f>
        <v>2284.469094030394</v>
      </c>
      <c r="Z20" s="791">
        <f t="shared" si="10"/>
        <v>2302.9030292296748</v>
      </c>
      <c r="AA20" s="791">
        <f t="shared" si="10"/>
        <v>2324.5256298693171</v>
      </c>
      <c r="AB20" s="791">
        <f t="shared" si="10"/>
        <v>2348.4579698636958</v>
      </c>
      <c r="AC20" s="791">
        <f t="shared" si="10"/>
        <v>2372.5591961534947</v>
      </c>
      <c r="AD20" s="791">
        <f t="shared" si="10"/>
        <v>2396.4249321271354</v>
      </c>
      <c r="AE20" s="791">
        <f t="shared" si="10"/>
        <v>2421.3194378559351</v>
      </c>
      <c r="AF20" s="791">
        <f t="shared" si="10"/>
        <v>2446.4963977966731</v>
      </c>
      <c r="AG20" s="791">
        <f t="shared" si="10"/>
        <v>2381.0429948822953</v>
      </c>
      <c r="AH20" s="912"/>
      <c r="AI20" s="912"/>
      <c r="AJ20" s="912"/>
      <c r="AK20" s="912"/>
      <c r="AL20" s="912"/>
      <c r="AM20" s="912"/>
      <c r="AN20" s="912"/>
      <c r="AO20" s="912"/>
    </row>
    <row r="21" spans="4:55" ht="42" customHeight="1" x14ac:dyDescent="0.35">
      <c r="D21" s="768" t="s">
        <v>830</v>
      </c>
      <c r="E21" s="758"/>
      <c r="F21" s="835"/>
      <c r="G21" s="728"/>
      <c r="H21" s="728"/>
      <c r="I21" s="728"/>
      <c r="J21" s="728"/>
      <c r="K21" s="728"/>
      <c r="L21" s="728"/>
      <c r="M21" s="728"/>
      <c r="N21" s="728"/>
      <c r="O21" s="728"/>
      <c r="P21" s="728"/>
      <c r="Q21" s="361"/>
      <c r="R21" s="361"/>
      <c r="S21" s="361"/>
      <c r="T21" s="361"/>
      <c r="U21" s="361">
        <v>0</v>
      </c>
      <c r="V21" s="361"/>
      <c r="W21" s="361"/>
      <c r="X21" s="303"/>
      <c r="Y21" s="303"/>
      <c r="Z21" s="303"/>
      <c r="AA21" s="303"/>
      <c r="AB21" s="303"/>
      <c r="AC21" s="303"/>
      <c r="AD21" s="303"/>
      <c r="AE21" s="303"/>
      <c r="AF21" s="303"/>
      <c r="AG21" s="303"/>
      <c r="AH21" s="912"/>
      <c r="AI21" s="912"/>
      <c r="AJ21" s="912"/>
      <c r="AK21" s="912"/>
      <c r="AL21" s="912"/>
      <c r="AM21" s="912"/>
      <c r="AN21" s="912"/>
      <c r="AO21" s="912"/>
    </row>
    <row r="22" spans="4:55" x14ac:dyDescent="0.35">
      <c r="D22" s="485" t="s">
        <v>486</v>
      </c>
      <c r="E22" s="49" t="s">
        <v>487</v>
      </c>
      <c r="F22" s="917">
        <f>'Haver Pivoted'!GQ33</f>
        <v>533.1</v>
      </c>
      <c r="G22" s="729">
        <f>'Haver Pivoted'!GR33</f>
        <v>497.6</v>
      </c>
      <c r="H22" s="729">
        <f>'Haver Pivoted'!GS33</f>
        <v>488</v>
      </c>
      <c r="I22" s="729">
        <f>'Haver Pivoted'!GT33</f>
        <v>488.2</v>
      </c>
      <c r="J22" s="729">
        <f>'Haver Pivoted'!GU33</f>
        <v>480.5</v>
      </c>
      <c r="K22" s="729">
        <f>'Haver Pivoted'!GV33</f>
        <v>515.5</v>
      </c>
      <c r="L22" s="729">
        <f>'Haver Pivoted'!GW33</f>
        <v>527.9</v>
      </c>
      <c r="M22" s="729">
        <f>'Haver Pivoted'!GX33</f>
        <v>564.20000000000005</v>
      </c>
      <c r="N22" s="729">
        <f>'Haver Pivoted'!GY33</f>
        <v>585.6</v>
      </c>
      <c r="O22" s="729">
        <f>'Haver Pivoted'!GZ33</f>
        <v>589.79999999999995</v>
      </c>
      <c r="P22" s="729">
        <f>'Haver Pivoted'!HA33</f>
        <v>636.29999999999995</v>
      </c>
      <c r="Q22" s="729">
        <f>'Haver Pivoted'!HB33</f>
        <v>655.9</v>
      </c>
      <c r="R22" s="729">
        <f>'Haver Pivoted'!HC33</f>
        <v>655.1</v>
      </c>
      <c r="S22" s="729">
        <f>'Haver Pivoted'!HD33</f>
        <v>615.20000000000005</v>
      </c>
      <c r="T22" s="787">
        <f>'Haver Pivoted'!HE33</f>
        <v>605.6</v>
      </c>
      <c r="U22" s="787">
        <f>'Haver Pivoted'!HF33</f>
        <v>582.70000000000005</v>
      </c>
      <c r="V22" s="787">
        <f>'Haver Pivoted'!HG33</f>
        <v>528.79999999999995</v>
      </c>
      <c r="W22" s="787">
        <f>'Haver Pivoted'!HH33</f>
        <v>576.6</v>
      </c>
      <c r="X22" s="787">
        <f>'Haver Pivoted'!HI33</f>
        <v>575.1</v>
      </c>
      <c r="Y22" s="792">
        <f t="shared" ref="Y22:AG22" si="11">$U119*Y128*(Y101/$U101)+Y21+Y23</f>
        <v>591.9449746821266</v>
      </c>
      <c r="Z22" s="792">
        <f t="shared" si="11"/>
        <v>597.16324307684454</v>
      </c>
      <c r="AA22" s="792">
        <f t="shared" si="11"/>
        <v>602.45033755350732</v>
      </c>
      <c r="AB22" s="792">
        <f t="shared" si="11"/>
        <v>607.67486286476583</v>
      </c>
      <c r="AC22" s="792">
        <f t="shared" si="11"/>
        <v>612.7022953050008</v>
      </c>
      <c r="AD22" s="792">
        <f t="shared" si="11"/>
        <v>618.18335419441689</v>
      </c>
      <c r="AE22" s="792">
        <f t="shared" si="11"/>
        <v>624.24317786382278</v>
      </c>
      <c r="AF22" s="792">
        <f t="shared" si="11"/>
        <v>631.02254693537793</v>
      </c>
      <c r="AG22" s="792">
        <f t="shared" si="11"/>
        <v>611.13180925335314</v>
      </c>
      <c r="AH22" s="912"/>
      <c r="AI22" s="912"/>
      <c r="AJ22" s="912"/>
      <c r="AK22" s="912"/>
      <c r="AL22" s="912"/>
      <c r="AM22" s="912"/>
      <c r="AN22" s="912"/>
      <c r="AO22" s="912"/>
    </row>
    <row r="23" spans="4:55" x14ac:dyDescent="0.35">
      <c r="D23" s="485" t="s">
        <v>1995</v>
      </c>
      <c r="E23" s="49"/>
      <c r="F23" s="917"/>
      <c r="G23" s="729"/>
      <c r="H23" s="729"/>
      <c r="I23" s="729"/>
      <c r="J23" s="729"/>
      <c r="K23" s="729"/>
      <c r="L23" s="729"/>
      <c r="M23" s="729"/>
      <c r="N23" s="729"/>
      <c r="O23" s="729"/>
      <c r="P23" s="729"/>
      <c r="Q23" s="729"/>
      <c r="R23" s="729"/>
      <c r="S23" s="729"/>
      <c r="T23" s="787"/>
      <c r="U23" s="787"/>
      <c r="V23" s="787"/>
      <c r="W23" s="729">
        <v>20</v>
      </c>
      <c r="X23" s="792">
        <v>20</v>
      </c>
      <c r="Y23" s="792">
        <v>0</v>
      </c>
      <c r="Z23" s="792">
        <v>0</v>
      </c>
      <c r="AA23" s="792">
        <v>0</v>
      </c>
      <c r="AB23" s="792">
        <v>0</v>
      </c>
      <c r="AC23" s="792">
        <v>0</v>
      </c>
      <c r="AD23" s="792">
        <v>0</v>
      </c>
      <c r="AE23" s="792">
        <v>0</v>
      </c>
      <c r="AF23" s="792">
        <v>0</v>
      </c>
      <c r="AG23" s="792">
        <v>0</v>
      </c>
      <c r="AH23" s="912"/>
      <c r="AI23" s="912"/>
      <c r="AJ23" s="912"/>
      <c r="AK23" s="912"/>
      <c r="AL23" s="912"/>
      <c r="AM23" s="912"/>
      <c r="AN23" s="912"/>
      <c r="AO23" s="912"/>
    </row>
    <row r="24" spans="4:55" x14ac:dyDescent="0.35">
      <c r="D24" s="485" t="s">
        <v>483</v>
      </c>
      <c r="E24" s="49" t="s">
        <v>488</v>
      </c>
      <c r="F24" s="917">
        <f>'Haver Pivoted'!GQ36</f>
        <v>20.8</v>
      </c>
      <c r="G24" s="729">
        <f>'Haver Pivoted'!GR36</f>
        <v>20.6</v>
      </c>
      <c r="H24" s="729">
        <f>'Haver Pivoted'!GS36</f>
        <v>20.399999999999999</v>
      </c>
      <c r="I24" s="729">
        <f>'Haver Pivoted'!GT36</f>
        <v>20.3</v>
      </c>
      <c r="J24" s="729">
        <f>'Haver Pivoted'!GU36</f>
        <v>19.3</v>
      </c>
      <c r="K24" s="729">
        <f>'Haver Pivoted'!GV36</f>
        <v>19.899999999999999</v>
      </c>
      <c r="L24" s="729">
        <f>'Haver Pivoted'!GW36</f>
        <v>20.7</v>
      </c>
      <c r="M24" s="729">
        <f>'Haver Pivoted'!GX36</f>
        <v>21.3</v>
      </c>
      <c r="N24" s="729">
        <f>'Haver Pivoted'!GY36</f>
        <v>22</v>
      </c>
      <c r="O24" s="729">
        <f>'Haver Pivoted'!GZ36</f>
        <v>22.6</v>
      </c>
      <c r="P24" s="729">
        <f>'Haver Pivoted'!HA36</f>
        <v>22.9</v>
      </c>
      <c r="Q24" s="729">
        <f>'Haver Pivoted'!HB36</f>
        <v>22.9</v>
      </c>
      <c r="R24" s="729">
        <f>'Haver Pivoted'!HC36</f>
        <v>22.6</v>
      </c>
      <c r="S24" s="729">
        <f>'Haver Pivoted'!HD36</f>
        <v>22.4</v>
      </c>
      <c r="T24" s="787">
        <f>'Haver Pivoted'!HE36</f>
        <v>22</v>
      </c>
      <c r="U24" s="787">
        <f>'Haver Pivoted'!HF36</f>
        <v>21.5</v>
      </c>
      <c r="V24" s="787">
        <f>'Haver Pivoted'!HG36</f>
        <v>21.4</v>
      </c>
      <c r="W24" s="787">
        <f>'Haver Pivoted'!HH36</f>
        <v>21.9</v>
      </c>
      <c r="X24" s="787">
        <f>'Haver Pivoted'!HI36</f>
        <v>22.8</v>
      </c>
      <c r="Y24" s="792">
        <f t="shared" ref="Y24:AC24" si="12">$U120*Y129*(Y102/$U102)</f>
        <v>22.980460149656441</v>
      </c>
      <c r="Z24" s="792">
        <f t="shared" si="12"/>
        <v>23.219175262773902</v>
      </c>
      <c r="AA24" s="792">
        <f t="shared" si="12"/>
        <v>23.458270193096009</v>
      </c>
      <c r="AB24" s="792">
        <f t="shared" si="12"/>
        <v>23.698884392236685</v>
      </c>
      <c r="AC24" s="792">
        <f t="shared" si="12"/>
        <v>23.931142612875238</v>
      </c>
      <c r="AD24" s="792">
        <f t="shared" ref="AD24:AG24" si="13">$U120*AD129*(AD102/$U102)</f>
        <v>24.169477908788057</v>
      </c>
      <c r="AE24" s="792">
        <f t="shared" si="13"/>
        <v>24.412181102554264</v>
      </c>
      <c r="AF24" s="792">
        <f t="shared" si="13"/>
        <v>24.663430183424911</v>
      </c>
      <c r="AG24" s="792">
        <f t="shared" si="13"/>
        <v>24.029895086082142</v>
      </c>
      <c r="AH24" s="912"/>
      <c r="AI24" s="912"/>
      <c r="AJ24" s="912"/>
      <c r="AK24" s="912"/>
      <c r="AL24" s="912"/>
      <c r="AM24" s="912"/>
      <c r="AN24" s="912"/>
      <c r="AO24" s="912"/>
    </row>
    <row r="25" spans="4:55" x14ac:dyDescent="0.35">
      <c r="D25" s="485" t="s">
        <v>484</v>
      </c>
      <c r="E25" s="49" t="s">
        <v>489</v>
      </c>
      <c r="F25" s="917">
        <f>'Haver Pivoted'!GQ34</f>
        <v>1348.8</v>
      </c>
      <c r="G25" s="729">
        <f>'Haver Pivoted'!GR34</f>
        <v>1374.2</v>
      </c>
      <c r="H25" s="729">
        <f>'Haver Pivoted'!GS34</f>
        <v>1376.1</v>
      </c>
      <c r="I25" s="729">
        <f>'Haver Pivoted'!GT34</f>
        <v>1379.4</v>
      </c>
      <c r="J25" s="729">
        <f>'Haver Pivoted'!GU34</f>
        <v>1290.5</v>
      </c>
      <c r="K25" s="729">
        <f>'Haver Pivoted'!GV34</f>
        <v>1385.7</v>
      </c>
      <c r="L25" s="729">
        <f>'Haver Pivoted'!GW34</f>
        <v>1405</v>
      </c>
      <c r="M25" s="729">
        <f>'Haver Pivoted'!GX34</f>
        <v>1420.8</v>
      </c>
      <c r="N25" s="729">
        <f>'Haver Pivoted'!GY34</f>
        <v>1494.6</v>
      </c>
      <c r="O25" s="729">
        <f>'Haver Pivoted'!GZ34</f>
        <v>1503.3</v>
      </c>
      <c r="P25" s="729">
        <f>'Haver Pivoted'!HA34</f>
        <v>1554.5</v>
      </c>
      <c r="Q25" s="729">
        <f>'Haver Pivoted'!HB34</f>
        <v>1583.1</v>
      </c>
      <c r="R25" s="729">
        <f>'Haver Pivoted'!HC34</f>
        <v>1609.6</v>
      </c>
      <c r="S25" s="729">
        <f>'Haver Pivoted'!HD34</f>
        <v>1631.8</v>
      </c>
      <c r="T25" s="787">
        <f>'Haver Pivoted'!HE34</f>
        <v>1639.6</v>
      </c>
      <c r="U25" s="787">
        <f>'Haver Pivoted'!HF34</f>
        <v>1654.1</v>
      </c>
      <c r="V25" s="787">
        <f>'Haver Pivoted'!HG34</f>
        <v>1646.2</v>
      </c>
      <c r="W25" s="787">
        <f>'Haver Pivoted'!HH34</f>
        <v>1659.2</v>
      </c>
      <c r="X25" s="787">
        <f>'Haver Pivoted'!HI34</f>
        <v>1667.7</v>
      </c>
      <c r="Y25" s="792">
        <f t="shared" ref="Y25:AC25" si="14">$U125*Y130*(Y104/$U104)</f>
        <v>1669.5436591986108</v>
      </c>
      <c r="Z25" s="792">
        <f t="shared" si="14"/>
        <v>1682.5206108900561</v>
      </c>
      <c r="AA25" s="792">
        <f t="shared" si="14"/>
        <v>1698.6170221227137</v>
      </c>
      <c r="AB25" s="792">
        <f t="shared" si="14"/>
        <v>1717.0842226066932</v>
      </c>
      <c r="AC25" s="792">
        <f t="shared" si="14"/>
        <v>1735.9257582356186</v>
      </c>
      <c r="AD25" s="792">
        <f t="shared" ref="AD25:AG25" si="15">$U125*AD130*(AD104/$U104)</f>
        <v>1754.0721000239303</v>
      </c>
      <c r="AE25" s="792">
        <f t="shared" si="15"/>
        <v>1772.6640788895581</v>
      </c>
      <c r="AF25" s="792">
        <f t="shared" si="15"/>
        <v>1790.8104206778703</v>
      </c>
      <c r="AG25" s="792">
        <f t="shared" si="15"/>
        <v>1745.8812905428599</v>
      </c>
      <c r="AH25" s="912"/>
      <c r="AI25" s="912"/>
      <c r="AJ25" s="912"/>
      <c r="AK25" s="912"/>
      <c r="AL25" s="912"/>
      <c r="AM25" s="912"/>
      <c r="AN25" s="912"/>
      <c r="AO25" s="912"/>
    </row>
    <row r="26" spans="4:55" ht="14.9" customHeight="1" x14ac:dyDescent="0.35">
      <c r="D26" s="775" t="s">
        <v>485</v>
      </c>
      <c r="E26" s="816" t="s">
        <v>490</v>
      </c>
      <c r="F26" s="836">
        <f>'Haver Pivoted'!GQ35</f>
        <v>74.7</v>
      </c>
      <c r="G26" s="855">
        <f>'Haver Pivoted'!GR35</f>
        <v>74.2</v>
      </c>
      <c r="H26" s="855">
        <f>'Haver Pivoted'!GS35</f>
        <v>71.7</v>
      </c>
      <c r="I26" s="855">
        <f>'Haver Pivoted'!GT35</f>
        <v>65.8</v>
      </c>
      <c r="J26" s="855">
        <f>'Haver Pivoted'!GU35</f>
        <v>63.7</v>
      </c>
      <c r="K26" s="855">
        <f>'Haver Pivoted'!GV35</f>
        <v>79.599999999999994</v>
      </c>
      <c r="L26" s="855">
        <f>'Haver Pivoted'!GW35</f>
        <v>82.3</v>
      </c>
      <c r="M26" s="855">
        <f>'Haver Pivoted'!GX35</f>
        <v>86.5</v>
      </c>
      <c r="N26" s="855">
        <f>'Haver Pivoted'!GY35</f>
        <v>95.3</v>
      </c>
      <c r="O26" s="855">
        <f>'Haver Pivoted'!GZ35</f>
        <v>111.7</v>
      </c>
      <c r="P26" s="855">
        <f>'Haver Pivoted'!HA35</f>
        <v>150.1</v>
      </c>
      <c r="Q26" s="855">
        <f>'Haver Pivoted'!HB35</f>
        <v>184.2</v>
      </c>
      <c r="R26" s="855">
        <f>'Haver Pivoted'!HC35</f>
        <v>143.5</v>
      </c>
      <c r="S26" s="855">
        <f>'Haver Pivoted'!HD35</f>
        <v>146.19999999999999</v>
      </c>
      <c r="T26" s="857">
        <f>'Haver Pivoted'!HE35</f>
        <v>160.5</v>
      </c>
      <c r="U26" s="790">
        <f>'Haver Pivoted'!HF35</f>
        <v>172.5</v>
      </c>
      <c r="V26" s="790">
        <f>'Haver Pivoted'!HG35</f>
        <v>150.69999999999999</v>
      </c>
      <c r="W26" s="790">
        <f>'Haver Pivoted'!HH35</f>
        <v>148.69999999999999</v>
      </c>
      <c r="X26" s="856">
        <f t="shared" ref="X26:AC26" si="16">$U126*X131*(X105/$U105)</f>
        <v>128.90298592625811</v>
      </c>
      <c r="Y26" s="856">
        <f t="shared" si="16"/>
        <v>129.4766557205416</v>
      </c>
      <c r="Z26" s="856">
        <f t="shared" si="16"/>
        <v>130.51913093811052</v>
      </c>
      <c r="AA26" s="856">
        <f t="shared" si="16"/>
        <v>131.81451434455713</v>
      </c>
      <c r="AB26" s="856">
        <f t="shared" si="16"/>
        <v>135.75618099560171</v>
      </c>
      <c r="AC26" s="856">
        <f t="shared" si="16"/>
        <v>140.92537763656472</v>
      </c>
      <c r="AD26" s="856">
        <f t="shared" ref="AD26:AG26" si="17">$U126*AD131*(AD105/$U105)</f>
        <v>145.24949081713166</v>
      </c>
      <c r="AE26" s="856">
        <f t="shared" si="17"/>
        <v>148.76553149177235</v>
      </c>
      <c r="AF26" s="856">
        <f t="shared" si="17"/>
        <v>151.49817363013349</v>
      </c>
      <c r="AG26" s="856">
        <f t="shared" si="17"/>
        <v>136.97137400069684</v>
      </c>
      <c r="AH26" s="912"/>
      <c r="AI26" s="912"/>
      <c r="AJ26" s="912"/>
      <c r="AK26" s="912"/>
      <c r="AL26" s="912"/>
      <c r="AM26" s="912"/>
      <c r="AN26" s="912"/>
      <c r="AO26" s="912"/>
    </row>
    <row r="27" spans="4:55" ht="14.9" customHeight="1" x14ac:dyDescent="0.35">
      <c r="D27" s="724" t="s">
        <v>1998</v>
      </c>
      <c r="E27" s="758"/>
      <c r="F27" s="517">
        <f>F9+F20</f>
        <v>5165.5</v>
      </c>
      <c r="G27" s="517">
        <f t="shared" ref="G27:AG27" si="18">G9+G20</f>
        <v>5180.5</v>
      </c>
      <c r="H27" s="517">
        <f t="shared" si="18"/>
        <v>5222.5</v>
      </c>
      <c r="I27" s="517">
        <f t="shared" si="18"/>
        <v>5292.2</v>
      </c>
      <c r="J27" s="517">
        <f t="shared" si="18"/>
        <v>4935.6000000000004</v>
      </c>
      <c r="K27" s="517">
        <f t="shared" si="18"/>
        <v>5251.6</v>
      </c>
      <c r="L27" s="517">
        <f t="shared" si="18"/>
        <v>5447.3</v>
      </c>
      <c r="M27" s="517">
        <f t="shared" si="18"/>
        <v>5665.2</v>
      </c>
      <c r="N27" s="517">
        <f t="shared" si="18"/>
        <v>5920.8</v>
      </c>
      <c r="O27" s="517">
        <f t="shared" si="18"/>
        <v>6054.6</v>
      </c>
      <c r="P27" s="517">
        <f t="shared" si="18"/>
        <v>6273.4</v>
      </c>
      <c r="Q27" s="517">
        <f t="shared" si="18"/>
        <v>6615.5999999999995</v>
      </c>
      <c r="R27" s="517">
        <f t="shared" si="18"/>
        <v>6660.5</v>
      </c>
      <c r="S27" s="517">
        <f t="shared" si="18"/>
        <v>6693.1</v>
      </c>
      <c r="T27" s="517">
        <f t="shared" si="18"/>
        <v>6654.9</v>
      </c>
      <c r="U27" s="517">
        <f t="shared" si="18"/>
        <v>6374.8</v>
      </c>
      <c r="V27" s="517">
        <f t="shared" si="18"/>
        <v>6325.6</v>
      </c>
      <c r="W27" s="517">
        <f t="shared" si="18"/>
        <v>6407.5</v>
      </c>
      <c r="X27" s="633">
        <f t="shared" si="18"/>
        <v>6447.2999999999993</v>
      </c>
      <c r="Y27" s="633">
        <f t="shared" si="18"/>
        <v>6521.2887823095898</v>
      </c>
      <c r="Z27" s="633">
        <f t="shared" si="18"/>
        <v>6572.9755846975477</v>
      </c>
      <c r="AA27" s="633">
        <f t="shared" si="18"/>
        <v>6628.1512436672201</v>
      </c>
      <c r="AB27" s="633">
        <f t="shared" si="18"/>
        <v>6683.0141269777196</v>
      </c>
      <c r="AC27" s="633">
        <f t="shared" si="18"/>
        <v>6765.654192339106</v>
      </c>
      <c r="AD27" s="633">
        <f t="shared" si="18"/>
        <v>6821.1157448736412</v>
      </c>
      <c r="AE27" s="633">
        <f t="shared" si="18"/>
        <v>6877.8752468507319</v>
      </c>
      <c r="AF27" s="633">
        <f t="shared" si="18"/>
        <v>6935.1889019801947</v>
      </c>
      <c r="AG27" s="633">
        <f t="shared" si="18"/>
        <v>6930.3737386422563</v>
      </c>
    </row>
    <row r="28" spans="4:55" ht="14.9" customHeight="1" x14ac:dyDescent="0.35">
      <c r="D28" s="763"/>
      <c r="E28" s="758"/>
      <c r="F28" s="782"/>
      <c r="G28" s="782"/>
      <c r="H28" s="728"/>
      <c r="I28" s="728"/>
      <c r="J28" s="728"/>
      <c r="K28" s="728"/>
      <c r="L28" s="728"/>
      <c r="AF28" s="448"/>
      <c r="AG28" s="448"/>
      <c r="AH28" s="448"/>
      <c r="AI28" s="448"/>
      <c r="AJ28" s="448"/>
      <c r="AK28" s="448"/>
      <c r="AL28" s="225"/>
      <c r="AM28" s="225"/>
      <c r="AN28" s="225"/>
    </row>
    <row r="29" spans="4:55" ht="14.9" customHeight="1" x14ac:dyDescent="0.35">
      <c r="D29" s="763"/>
      <c r="E29" s="758"/>
      <c r="F29" s="782"/>
      <c r="G29" s="782"/>
      <c r="H29" s="728"/>
      <c r="I29" s="728"/>
      <c r="J29" s="728"/>
      <c r="K29" s="728"/>
      <c r="L29" s="728"/>
      <c r="AH29" s="448"/>
      <c r="AI29" s="448"/>
      <c r="AJ29" s="448"/>
      <c r="AK29" s="448"/>
      <c r="AL29" s="225"/>
      <c r="AM29" s="225"/>
      <c r="AN29" s="225"/>
    </row>
    <row r="30" spans="4:55" ht="14.9" customHeight="1" x14ac:dyDescent="0.35">
      <c r="D30" s="478"/>
      <c r="E30" s="168"/>
      <c r="F30" s="168"/>
      <c r="G30" s="168"/>
      <c r="H30" s="168"/>
      <c r="I30" s="168"/>
      <c r="J30" s="168"/>
      <c r="K30" s="168"/>
      <c r="L30" s="168"/>
      <c r="AH30" s="225"/>
      <c r="AI30" s="225"/>
      <c r="AJ30" s="225"/>
      <c r="AK30" s="225"/>
      <c r="AL30" s="225"/>
      <c r="AM30" s="225"/>
      <c r="AN30" s="225"/>
    </row>
    <row r="31" spans="4:55" ht="14.9" customHeight="1" x14ac:dyDescent="0.35">
      <c r="D31" s="1395" t="s">
        <v>923</v>
      </c>
      <c r="E31" s="1396"/>
      <c r="F31" s="1397"/>
      <c r="G31" s="459">
        <v>2020</v>
      </c>
      <c r="H31" s="459">
        <v>2021</v>
      </c>
      <c r="I31" s="458">
        <v>2022</v>
      </c>
      <c r="J31" s="818">
        <v>2023</v>
      </c>
      <c r="K31" s="818">
        <v>2024</v>
      </c>
      <c r="L31" s="819">
        <v>2025</v>
      </c>
      <c r="M31" s="721">
        <v>2026</v>
      </c>
      <c r="AH31" s="225"/>
      <c r="AI31" s="225"/>
      <c r="AJ31" s="225"/>
      <c r="AK31" s="225"/>
      <c r="AL31" s="225"/>
      <c r="AM31" s="225"/>
      <c r="AN31" s="225"/>
    </row>
    <row r="32" spans="4:55" ht="14.9" customHeight="1" x14ac:dyDescent="0.35">
      <c r="D32" s="767" t="s">
        <v>491</v>
      </c>
      <c r="E32" s="250"/>
      <c r="F32" s="806"/>
      <c r="G32" s="766">
        <f>AVERAGE(H10:K10)</f>
        <v>1719.875</v>
      </c>
      <c r="H32" s="191">
        <f>AVERAGE(L10:O10)</f>
        <v>2049.6750000000002</v>
      </c>
      <c r="I32" s="191">
        <f>AVERAGE(P10:S10)</f>
        <v>2449.1750000000002</v>
      </c>
      <c r="J32" s="191">
        <f t="shared" ref="J32:L34" si="19">I32*J55/I55</f>
        <v>2349.3384668207868</v>
      </c>
      <c r="K32" s="191">
        <f t="shared" si="19"/>
        <v>2302.616886094801</v>
      </c>
      <c r="L32" s="323">
        <f t="shared" si="19"/>
        <v>2341.8927150289969</v>
      </c>
      <c r="M32" t="s">
        <v>906</v>
      </c>
    </row>
    <row r="33" spans="3:33" ht="14.9" customHeight="1" x14ac:dyDescent="0.35">
      <c r="D33" s="805" t="s">
        <v>497</v>
      </c>
      <c r="E33" s="195"/>
      <c r="F33" s="534"/>
      <c r="G33" s="766">
        <f>AVERAGE(H12:K12)</f>
        <v>1424.3</v>
      </c>
      <c r="H33" s="191">
        <f>AVERAGE(L12:O12)</f>
        <v>1507.5250000000001</v>
      </c>
      <c r="I33" s="191">
        <f>AVERAGE(P12:S12)</f>
        <v>1656.6750000000002</v>
      </c>
      <c r="J33" s="191">
        <f t="shared" si="19"/>
        <v>1744.6520019871577</v>
      </c>
      <c r="K33" s="191">
        <f t="shared" si="19"/>
        <v>1823.5043297690775</v>
      </c>
      <c r="L33" s="323">
        <f t="shared" si="19"/>
        <v>1901.535872391182</v>
      </c>
    </row>
    <row r="34" spans="3:33" ht="14.9" customHeight="1" x14ac:dyDescent="0.35">
      <c r="D34" s="805" t="s">
        <v>105</v>
      </c>
      <c r="E34" s="195"/>
      <c r="F34" s="534"/>
      <c r="G34" s="766">
        <f>AVERAGE(H14:K14)</f>
        <v>160.35</v>
      </c>
      <c r="H34" s="191">
        <f>AVERAGE(L14:O14)</f>
        <v>170.32500000000002</v>
      </c>
      <c r="I34" s="191">
        <f>AVERAGE(P14:S14)</f>
        <v>196.72500000000002</v>
      </c>
      <c r="J34" s="191">
        <f t="shared" si="19"/>
        <v>198.8178191489362</v>
      </c>
      <c r="K34" s="191">
        <f t="shared" si="19"/>
        <v>207.18909574468088</v>
      </c>
      <c r="L34" s="323">
        <f t="shared" si="19"/>
        <v>207.18909574468088</v>
      </c>
    </row>
    <row r="35" spans="3:33" ht="14.9" customHeight="1" x14ac:dyDescent="0.35">
      <c r="D35" s="805" t="s">
        <v>258</v>
      </c>
      <c r="E35" s="195"/>
      <c r="F35" s="534"/>
      <c r="G35" s="766">
        <f>AVERAGE(H16:K16)</f>
        <v>217.32499999999999</v>
      </c>
      <c r="H35" s="191">
        <f>AVERAGE(L16:O16)</f>
        <v>266.65000000000003</v>
      </c>
      <c r="I35" s="191">
        <f>AVERAGE(P16:S16)</f>
        <v>351.52499999999998</v>
      </c>
      <c r="J35" s="191">
        <f>I35*J60/I60</f>
        <v>393.31827254176011</v>
      </c>
      <c r="K35" s="191">
        <f>J35*K60/J60</f>
        <v>395.91375283323953</v>
      </c>
      <c r="L35" s="323">
        <f>K35*L60/K60</f>
        <v>404.24874437176805</v>
      </c>
    </row>
    <row r="36" spans="3:33" ht="14.9" customHeight="1" x14ac:dyDescent="0.35">
      <c r="C36" s="35"/>
      <c r="D36" s="805" t="s">
        <v>919</v>
      </c>
      <c r="E36" s="35"/>
      <c r="F36" s="586"/>
      <c r="G36" s="202"/>
      <c r="H36" s="921">
        <f>H32/G32-1+0.021</f>
        <v>0.21275812195653762</v>
      </c>
      <c r="I36" s="921">
        <f>I32/H32-1.05</f>
        <v>0.14490894897971618</v>
      </c>
      <c r="J36" s="921">
        <f>J32/I32-1</f>
        <v>-4.0763331807328274E-2</v>
      </c>
      <c r="K36" s="921">
        <f>K32/J32-1+K37</f>
        <v>3.5112877992752041E-2</v>
      </c>
      <c r="L36" s="921">
        <f>L32/K32-1+L37</f>
        <v>3.7057040262050242E-2</v>
      </c>
      <c r="M36" s="722">
        <f>L36</f>
        <v>3.7057040262050242E-2</v>
      </c>
      <c r="N36" t="s">
        <v>905</v>
      </c>
    </row>
    <row r="37" spans="3:33" ht="14.9" customHeight="1" x14ac:dyDescent="0.35">
      <c r="C37" s="35"/>
      <c r="D37" s="805" t="s">
        <v>1996</v>
      </c>
      <c r="E37" s="35"/>
      <c r="F37" s="586"/>
      <c r="G37" s="202"/>
      <c r="H37" s="921"/>
      <c r="I37" s="921"/>
      <c r="J37" s="921"/>
      <c r="K37" s="921">
        <v>5.5E-2</v>
      </c>
      <c r="L37" s="922">
        <v>0.02</v>
      </c>
    </row>
    <row r="38" spans="3:33" ht="14.9" customHeight="1" x14ac:dyDescent="0.35">
      <c r="C38" s="35"/>
      <c r="D38" s="805" t="s">
        <v>920</v>
      </c>
      <c r="E38" s="35"/>
      <c r="F38" s="586"/>
      <c r="G38" s="202"/>
      <c r="H38" s="921">
        <f>H33/G33-1.03</f>
        <v>2.8432212314821292E-2</v>
      </c>
      <c r="I38" s="921">
        <f>I33/H33-1.013</f>
        <v>8.5936999386411639E-2</v>
      </c>
      <c r="J38" s="731">
        <f>J33/I33-1</f>
        <v>5.3104563047765785E-2</v>
      </c>
      <c r="K38" s="921">
        <f t="shared" ref="K38" si="20">K33/J33-1</f>
        <v>4.5196593757441006E-2</v>
      </c>
      <c r="L38" s="922">
        <f>L33/K33-1</f>
        <v>4.2792079705117114E-2</v>
      </c>
      <c r="M38" t="s">
        <v>907</v>
      </c>
    </row>
    <row r="39" spans="3:33" ht="14.9" customHeight="1" x14ac:dyDescent="0.35">
      <c r="C39" s="35"/>
      <c r="D39" s="805" t="s">
        <v>921</v>
      </c>
      <c r="E39" s="35"/>
      <c r="F39" s="586"/>
      <c r="G39" s="202"/>
      <c r="H39" s="921">
        <f>H34/G34-1</f>
        <v>6.2207670720299424E-2</v>
      </c>
      <c r="I39" s="921">
        <f>I34/H34-1.01</f>
        <v>0.14499779832672832</v>
      </c>
      <c r="J39" s="921">
        <f>J34/I34-1</f>
        <v>1.0638297872340496E-2</v>
      </c>
      <c r="K39" s="921">
        <f t="shared" ref="K39" si="21">K34/J34-1</f>
        <v>4.2105263157894868E-2</v>
      </c>
      <c r="L39" s="922">
        <f>L34/K34-1</f>
        <v>0</v>
      </c>
    </row>
    <row r="40" spans="3:33" ht="14.9" customHeight="1" x14ac:dyDescent="0.35">
      <c r="C40" s="35"/>
      <c r="D40" s="732" t="s">
        <v>922</v>
      </c>
      <c r="E40" s="36"/>
      <c r="F40" s="392"/>
      <c r="G40" s="317"/>
      <c r="H40" s="733">
        <f>H35/G35-1</f>
        <v>0.22696422408834716</v>
      </c>
      <c r="I40" s="733">
        <f>I35/H35-1.103</f>
        <v>0.21530114382148868</v>
      </c>
      <c r="J40" s="733">
        <f>J35/I35-1</f>
        <v>0.11889132363775023</v>
      </c>
      <c r="K40" s="733">
        <f>K35/J35-1</f>
        <v>6.5989313812107042E-3</v>
      </c>
      <c r="L40" s="734">
        <f>L35/K35-1</f>
        <v>2.1052543587793071E-2</v>
      </c>
    </row>
    <row r="41" spans="3:33" ht="14.9" customHeight="1" x14ac:dyDescent="0.35">
      <c r="D41" s="763"/>
      <c r="E41" s="758"/>
      <c r="F41" s="782"/>
      <c r="G41" s="782"/>
      <c r="H41" s="728"/>
      <c r="I41" s="728"/>
      <c r="J41" s="728"/>
      <c r="K41" s="728"/>
      <c r="L41" s="728"/>
    </row>
    <row r="42" spans="3:33" ht="14.9" customHeight="1" x14ac:dyDescent="0.35">
      <c r="D42" s="763"/>
      <c r="E42" s="758"/>
      <c r="F42" s="1398" t="s">
        <v>280</v>
      </c>
      <c r="G42" s="1399"/>
      <c r="H42" s="1399"/>
      <c r="I42" s="1399"/>
      <c r="J42" s="1399"/>
      <c r="K42" s="1399"/>
      <c r="L42" s="1399"/>
      <c r="M42" s="1399"/>
      <c r="N42" s="1399"/>
      <c r="O42" s="1399"/>
      <c r="P42" s="1399"/>
      <c r="Q42" s="1399"/>
      <c r="R42" s="1399"/>
      <c r="S42" s="1399"/>
      <c r="T42" s="1399"/>
      <c r="U42" s="1399"/>
      <c r="V42" s="1400"/>
      <c r="W42" s="1324" t="s">
        <v>281</v>
      </c>
      <c r="X42" s="1325"/>
      <c r="Y42" s="1325"/>
      <c r="Z42" s="1325"/>
      <c r="AA42" s="1325"/>
      <c r="AB42" s="1325"/>
      <c r="AC42" s="1325"/>
      <c r="AD42" s="1325"/>
      <c r="AE42" s="1325"/>
      <c r="AF42" s="1325"/>
      <c r="AG42" s="1325"/>
    </row>
    <row r="43" spans="3:33" ht="14.9" customHeight="1" x14ac:dyDescent="0.35">
      <c r="D43" s="763"/>
      <c r="E43" s="758"/>
      <c r="F43" s="1294">
        <v>2019</v>
      </c>
      <c r="G43" s="1295"/>
      <c r="H43" s="1296"/>
      <c r="I43" s="1295">
        <v>2020</v>
      </c>
      <c r="J43" s="1295"/>
      <c r="K43" s="1295"/>
      <c r="L43" s="1295"/>
      <c r="M43" s="1278">
        <v>2021</v>
      </c>
      <c r="N43" s="1306"/>
      <c r="O43" s="1306"/>
      <c r="P43" s="1306"/>
      <c r="Q43" s="1278">
        <v>2022</v>
      </c>
      <c r="R43" s="1279"/>
      <c r="S43" s="1279"/>
      <c r="T43" s="1307"/>
      <c r="U43" s="251"/>
      <c r="V43" s="251">
        <v>2023</v>
      </c>
      <c r="W43" s="518"/>
      <c r="X43" s="222"/>
      <c r="Y43" s="1303">
        <v>2024</v>
      </c>
      <c r="Z43" s="1315"/>
      <c r="AA43" s="1315"/>
      <c r="AB43" s="1305"/>
      <c r="AC43" s="1303">
        <v>2025</v>
      </c>
      <c r="AD43" s="1315"/>
      <c r="AE43" s="1315"/>
      <c r="AF43" s="1305"/>
      <c r="AG43" s="467">
        <v>2026</v>
      </c>
    </row>
    <row r="44" spans="3:33" ht="14.9" customHeight="1" x14ac:dyDescent="0.35">
      <c r="D44" s="763"/>
      <c r="E44" s="758"/>
      <c r="F44" s="148" t="s">
        <v>284</v>
      </c>
      <c r="G44" s="144" t="s">
        <v>238</v>
      </c>
      <c r="H44" s="145" t="s">
        <v>282</v>
      </c>
      <c r="I44" s="144" t="s">
        <v>283</v>
      </c>
      <c r="J44" s="144" t="s">
        <v>284</v>
      </c>
      <c r="K44" s="144" t="s">
        <v>238</v>
      </c>
      <c r="L44" s="144" t="s">
        <v>282</v>
      </c>
      <c r="M44" s="148" t="s">
        <v>283</v>
      </c>
      <c r="N44" s="144" t="s">
        <v>284</v>
      </c>
      <c r="O44" s="144" t="s">
        <v>238</v>
      </c>
      <c r="P44" s="144" t="s">
        <v>282</v>
      </c>
      <c r="Q44" s="148" t="s">
        <v>283</v>
      </c>
      <c r="R44" s="144" t="s">
        <v>284</v>
      </c>
      <c r="S44" s="144" t="s">
        <v>238</v>
      </c>
      <c r="T44" s="145" t="s">
        <v>282</v>
      </c>
      <c r="U44" s="144" t="s">
        <v>283</v>
      </c>
      <c r="V44" s="249" t="s">
        <v>284</v>
      </c>
      <c r="W44" s="282" t="s">
        <v>238</v>
      </c>
      <c r="X44" s="393" t="s">
        <v>282</v>
      </c>
      <c r="Y44" s="394" t="s">
        <v>283</v>
      </c>
      <c r="Z44" s="290" t="s">
        <v>284</v>
      </c>
      <c r="AA44" s="282" t="s">
        <v>238</v>
      </c>
      <c r="AB44" s="282" t="s">
        <v>282</v>
      </c>
      <c r="AC44" s="231" t="s">
        <v>283</v>
      </c>
      <c r="AD44" s="229" t="s">
        <v>284</v>
      </c>
      <c r="AE44" s="232" t="s">
        <v>238</v>
      </c>
      <c r="AF44" s="232" t="s">
        <v>282</v>
      </c>
      <c r="AG44" s="231" t="s">
        <v>283</v>
      </c>
    </row>
    <row r="45" spans="3:33" ht="14.9" customHeight="1" x14ac:dyDescent="0.35">
      <c r="D45" s="805" t="s">
        <v>919</v>
      </c>
      <c r="E45" s="758"/>
      <c r="F45" s="782"/>
      <c r="G45" s="782"/>
      <c r="H45" s="728"/>
      <c r="I45" s="728"/>
      <c r="J45" s="728"/>
      <c r="K45" s="728"/>
      <c r="L45" s="728"/>
    </row>
    <row r="46" spans="3:33" ht="14.9" customHeight="1" x14ac:dyDescent="0.35">
      <c r="D46" s="805" t="s">
        <v>1996</v>
      </c>
      <c r="E46" s="758"/>
      <c r="F46" s="782"/>
      <c r="G46" s="782"/>
      <c r="H46" s="728"/>
      <c r="I46" s="728"/>
      <c r="J46" s="728"/>
      <c r="K46" s="728"/>
      <c r="L46" s="728"/>
      <c r="M46" s="722">
        <f>H36</f>
        <v>0.21275812195653762</v>
      </c>
      <c r="N46" s="722">
        <f>H36</f>
        <v>0.21275812195653762</v>
      </c>
      <c r="O46" s="722">
        <f>H36</f>
        <v>0.21275812195653762</v>
      </c>
      <c r="P46" s="722">
        <f>H36</f>
        <v>0.21275812195653762</v>
      </c>
      <c r="Q46" s="722">
        <f>I36</f>
        <v>0.14490894897971618</v>
      </c>
      <c r="R46" s="722">
        <f>I36</f>
        <v>0.14490894897971618</v>
      </c>
      <c r="S46" s="722">
        <f>I36</f>
        <v>0.14490894897971618</v>
      </c>
      <c r="T46" s="722">
        <f>I36</f>
        <v>0.14490894897971618</v>
      </c>
      <c r="U46" s="722">
        <f>J36</f>
        <v>-4.0763331807328274E-2</v>
      </c>
      <c r="V46" s="722">
        <f>J36</f>
        <v>-4.0763331807328274E-2</v>
      </c>
      <c r="W46" s="722">
        <f>J36</f>
        <v>-4.0763331807328274E-2</v>
      </c>
      <c r="X46" s="722">
        <f>J36</f>
        <v>-4.0763331807328274E-2</v>
      </c>
      <c r="Y46" s="722">
        <f>K36</f>
        <v>3.5112877992752041E-2</v>
      </c>
      <c r="Z46" s="722">
        <f>K36</f>
        <v>3.5112877992752041E-2</v>
      </c>
      <c r="AA46" s="722">
        <f>K36</f>
        <v>3.5112877992752041E-2</v>
      </c>
      <c r="AB46" s="722">
        <f t="shared" ref="AB46:AC50" si="22">K36</f>
        <v>3.5112877992752041E-2</v>
      </c>
      <c r="AC46" s="722">
        <f t="shared" si="22"/>
        <v>3.7057040262050242E-2</v>
      </c>
      <c r="AD46" s="722">
        <f>L36</f>
        <v>3.7057040262050242E-2</v>
      </c>
      <c r="AE46" s="722">
        <f>L36</f>
        <v>3.7057040262050242E-2</v>
      </c>
      <c r="AF46" s="722">
        <f>L36</f>
        <v>3.7057040262050242E-2</v>
      </c>
      <c r="AG46" s="722">
        <f>L36</f>
        <v>3.7057040262050242E-2</v>
      </c>
    </row>
    <row r="47" spans="3:33" ht="14.9" customHeight="1" x14ac:dyDescent="0.35">
      <c r="D47" s="805" t="s">
        <v>920</v>
      </c>
      <c r="E47" s="758"/>
      <c r="F47" s="782"/>
      <c r="G47" s="782"/>
      <c r="H47" s="728"/>
      <c r="I47" s="728"/>
      <c r="J47" s="728"/>
      <c r="K47" s="728"/>
      <c r="L47" s="728"/>
      <c r="Y47" s="722">
        <f>K37</f>
        <v>5.5E-2</v>
      </c>
      <c r="Z47" s="722">
        <f>K37</f>
        <v>5.5E-2</v>
      </c>
      <c r="AA47" s="722">
        <f>K37</f>
        <v>5.5E-2</v>
      </c>
      <c r="AB47" s="722">
        <f t="shared" si="22"/>
        <v>5.5E-2</v>
      </c>
      <c r="AC47" s="722">
        <f t="shared" si="22"/>
        <v>0.02</v>
      </c>
      <c r="AD47" s="722">
        <f>L37</f>
        <v>0.02</v>
      </c>
      <c r="AE47" s="722">
        <f>L37</f>
        <v>0.02</v>
      </c>
      <c r="AF47" s="722">
        <f>L37</f>
        <v>0.02</v>
      </c>
      <c r="AG47" s="722">
        <f>L37</f>
        <v>0.02</v>
      </c>
    </row>
    <row r="48" spans="3:33" ht="14.9" customHeight="1" x14ac:dyDescent="0.35">
      <c r="D48" s="805" t="s">
        <v>921</v>
      </c>
      <c r="E48" s="758"/>
      <c r="F48" s="782"/>
      <c r="G48" s="782"/>
      <c r="H48" s="728"/>
      <c r="I48" s="728"/>
      <c r="J48" s="728"/>
      <c r="K48" s="728"/>
      <c r="L48" s="728"/>
      <c r="M48" s="722">
        <f>H38</f>
        <v>2.8432212314821292E-2</v>
      </c>
      <c r="N48" s="722">
        <f>H38</f>
        <v>2.8432212314821292E-2</v>
      </c>
      <c r="O48" s="725">
        <f>H38</f>
        <v>2.8432212314821292E-2</v>
      </c>
      <c r="P48" s="722">
        <f t="shared" ref="P48:Q50" si="23">H38</f>
        <v>2.8432212314821292E-2</v>
      </c>
      <c r="Q48" s="722">
        <f t="shared" si="23"/>
        <v>8.5936999386411639E-2</v>
      </c>
      <c r="R48" s="722">
        <f>I38</f>
        <v>8.5936999386411639E-2</v>
      </c>
      <c r="S48" s="722">
        <f>I38</f>
        <v>8.5936999386411639E-2</v>
      </c>
      <c r="T48" s="722">
        <f t="shared" ref="T48:U50" si="24">I38</f>
        <v>8.5936999386411639E-2</v>
      </c>
      <c r="U48" s="725">
        <f t="shared" si="24"/>
        <v>5.3104563047765785E-2</v>
      </c>
      <c r="V48" s="725">
        <f>J38</f>
        <v>5.3104563047765785E-2</v>
      </c>
      <c r="W48" s="725">
        <f>J38</f>
        <v>5.3104563047765785E-2</v>
      </c>
      <c r="X48" s="725">
        <f>J38</f>
        <v>5.3104563047765785E-2</v>
      </c>
      <c r="Y48" s="722">
        <f>K38</f>
        <v>4.5196593757441006E-2</v>
      </c>
      <c r="Z48" s="722">
        <f>K38</f>
        <v>4.5196593757441006E-2</v>
      </c>
      <c r="AA48" s="722">
        <f>K38</f>
        <v>4.5196593757441006E-2</v>
      </c>
      <c r="AB48" s="722">
        <f t="shared" si="22"/>
        <v>4.5196593757441006E-2</v>
      </c>
      <c r="AC48" s="722">
        <f t="shared" si="22"/>
        <v>4.2792079705117114E-2</v>
      </c>
      <c r="AD48" s="722">
        <f>L38</f>
        <v>4.2792079705117114E-2</v>
      </c>
      <c r="AE48" s="722">
        <f>L38</f>
        <v>4.2792079705117114E-2</v>
      </c>
      <c r="AF48" s="722">
        <f>L38</f>
        <v>4.2792079705117114E-2</v>
      </c>
      <c r="AG48" s="722">
        <f>L38</f>
        <v>4.2792079705117114E-2</v>
      </c>
    </row>
    <row r="49" spans="4:40" ht="14.9" customHeight="1" x14ac:dyDescent="0.35">
      <c r="D49" s="732" t="s">
        <v>922</v>
      </c>
      <c r="E49" s="758"/>
      <c r="F49" s="782"/>
      <c r="G49" s="782"/>
      <c r="H49" s="728"/>
      <c r="I49" s="728"/>
      <c r="J49" s="728"/>
      <c r="K49" s="728"/>
      <c r="L49" s="728"/>
      <c r="M49" s="722">
        <f>H39</f>
        <v>6.2207670720299424E-2</v>
      </c>
      <c r="N49" s="722">
        <f>H39</f>
        <v>6.2207670720299424E-2</v>
      </c>
      <c r="O49" s="722">
        <f>H39</f>
        <v>6.2207670720299424E-2</v>
      </c>
      <c r="P49" s="722">
        <f t="shared" si="23"/>
        <v>6.2207670720299424E-2</v>
      </c>
      <c r="Q49" s="722">
        <f t="shared" si="23"/>
        <v>0.14499779832672832</v>
      </c>
      <c r="R49" s="722">
        <f>I39</f>
        <v>0.14499779832672832</v>
      </c>
      <c r="S49" s="722">
        <f>I39</f>
        <v>0.14499779832672832</v>
      </c>
      <c r="T49" s="722">
        <f t="shared" si="24"/>
        <v>0.14499779832672832</v>
      </c>
      <c r="U49" s="722">
        <f t="shared" si="24"/>
        <v>1.0638297872340496E-2</v>
      </c>
      <c r="V49" s="722">
        <f>J39</f>
        <v>1.0638297872340496E-2</v>
      </c>
      <c r="W49" s="722">
        <f>J39</f>
        <v>1.0638297872340496E-2</v>
      </c>
      <c r="X49" s="722">
        <f>J39</f>
        <v>1.0638297872340496E-2</v>
      </c>
      <c r="Y49" s="722">
        <f>K39</f>
        <v>4.2105263157894868E-2</v>
      </c>
      <c r="Z49" s="722">
        <f>K39</f>
        <v>4.2105263157894868E-2</v>
      </c>
      <c r="AA49" s="722">
        <f>K39</f>
        <v>4.2105263157894868E-2</v>
      </c>
      <c r="AB49" s="722">
        <f t="shared" si="22"/>
        <v>4.2105263157894868E-2</v>
      </c>
      <c r="AC49" s="722">
        <f t="shared" si="22"/>
        <v>0</v>
      </c>
      <c r="AD49" s="722">
        <f>L39</f>
        <v>0</v>
      </c>
      <c r="AE49" s="722">
        <f>L39</f>
        <v>0</v>
      </c>
      <c r="AF49" s="722">
        <f>L39</f>
        <v>0</v>
      </c>
      <c r="AG49" s="722">
        <f>L39</f>
        <v>0</v>
      </c>
    </row>
    <row r="50" spans="4:40" ht="14.9" customHeight="1" x14ac:dyDescent="0.35">
      <c r="D50" s="763"/>
      <c r="E50" s="758"/>
      <c r="F50" s="782"/>
      <c r="G50" s="782"/>
      <c r="H50" s="728"/>
      <c r="I50" s="728"/>
      <c r="J50" s="728"/>
      <c r="K50" s="728"/>
      <c r="L50" s="728"/>
      <c r="M50" s="722">
        <f>H40</f>
        <v>0.22696422408834716</v>
      </c>
      <c r="N50" s="722">
        <f>H40</f>
        <v>0.22696422408834716</v>
      </c>
      <c r="O50" s="722">
        <f>H40</f>
        <v>0.22696422408834716</v>
      </c>
      <c r="P50" s="722">
        <f t="shared" si="23"/>
        <v>0.22696422408834716</v>
      </c>
      <c r="Q50" s="722">
        <f t="shared" si="23"/>
        <v>0.21530114382148868</v>
      </c>
      <c r="R50" s="722">
        <f>I40</f>
        <v>0.21530114382148868</v>
      </c>
      <c r="S50" s="722">
        <f>I40</f>
        <v>0.21530114382148868</v>
      </c>
      <c r="T50" s="722">
        <f t="shared" si="24"/>
        <v>0.21530114382148868</v>
      </c>
      <c r="U50" s="722">
        <f t="shared" si="24"/>
        <v>0.11889132363775023</v>
      </c>
      <c r="V50" s="722">
        <f>J40</f>
        <v>0.11889132363775023</v>
      </c>
      <c r="W50" s="722">
        <f>J40</f>
        <v>0.11889132363775023</v>
      </c>
      <c r="X50" s="722">
        <f>J40</f>
        <v>0.11889132363775023</v>
      </c>
      <c r="Y50" s="722">
        <f>K40</f>
        <v>6.5989313812107042E-3</v>
      </c>
      <c r="Z50" s="722">
        <f>K40</f>
        <v>6.5989313812107042E-3</v>
      </c>
      <c r="AA50" s="722">
        <f>K40</f>
        <v>6.5989313812107042E-3</v>
      </c>
      <c r="AB50" s="722">
        <f t="shared" si="22"/>
        <v>6.5989313812107042E-3</v>
      </c>
      <c r="AC50" s="722">
        <f t="shared" si="22"/>
        <v>2.1052543587793071E-2</v>
      </c>
      <c r="AD50" s="722">
        <f>L40</f>
        <v>2.1052543587793071E-2</v>
      </c>
      <c r="AE50" s="722">
        <f>L40</f>
        <v>2.1052543587793071E-2</v>
      </c>
      <c r="AF50" s="722">
        <f>L40</f>
        <v>2.1052543587793071E-2</v>
      </c>
      <c r="AG50" s="722">
        <f>L40</f>
        <v>2.1052543587793071E-2</v>
      </c>
    </row>
    <row r="51" spans="4:40" ht="14.9" customHeight="1" x14ac:dyDescent="0.35">
      <c r="D51" s="763"/>
      <c r="E51" s="758"/>
      <c r="F51" s="782"/>
      <c r="G51" s="782"/>
      <c r="H51" s="728"/>
      <c r="I51" s="728"/>
      <c r="J51" s="841"/>
      <c r="K51" s="728"/>
      <c r="L51" s="728"/>
    </row>
    <row r="52" spans="4:40" ht="14.9" customHeight="1" x14ac:dyDescent="0.35">
      <c r="D52" s="763"/>
      <c r="E52" s="758"/>
      <c r="F52" s="782"/>
      <c r="G52" s="782"/>
      <c r="H52" s="728"/>
      <c r="I52" s="728"/>
      <c r="J52" s="728"/>
      <c r="K52" s="728"/>
      <c r="L52" s="728"/>
    </row>
    <row r="53" spans="4:40" ht="41.9" customHeight="1" x14ac:dyDescent="0.35">
      <c r="F53" s="202"/>
      <c r="G53" s="202"/>
      <c r="H53" s="680"/>
      <c r="I53" s="680"/>
      <c r="J53" s="680"/>
      <c r="K53" s="680"/>
      <c r="L53" s="680"/>
      <c r="M53" s="245"/>
      <c r="N53" s="245"/>
      <c r="AF53" s="680"/>
      <c r="AG53" s="680"/>
      <c r="AH53" s="680"/>
      <c r="AI53" s="680"/>
      <c r="AJ53" s="680"/>
      <c r="AK53" s="680"/>
      <c r="AM53" s="680"/>
      <c r="AN53" s="680"/>
    </row>
    <row r="54" spans="4:40" ht="30.75" customHeight="1" x14ac:dyDescent="0.35">
      <c r="D54" s="896" t="s">
        <v>1903</v>
      </c>
      <c r="E54" s="620">
        <v>2018</v>
      </c>
      <c r="F54" s="897">
        <v>2019</v>
      </c>
      <c r="G54" s="897">
        <v>2020</v>
      </c>
      <c r="H54" s="897">
        <v>2021</v>
      </c>
      <c r="I54" s="898">
        <v>2022</v>
      </c>
      <c r="J54" s="899">
        <v>2023</v>
      </c>
      <c r="K54" s="899">
        <v>2024</v>
      </c>
      <c r="L54" s="900">
        <v>2025</v>
      </c>
      <c r="N54" s="817"/>
      <c r="O54" s="186"/>
    </row>
    <row r="55" spans="4:40" ht="30.75" customHeight="1" x14ac:dyDescent="0.35">
      <c r="D55" s="902" t="s">
        <v>1902</v>
      </c>
      <c r="E55" s="903">
        <v>1683.5</v>
      </c>
      <c r="F55" s="903">
        <v>1717.9</v>
      </c>
      <c r="G55" s="903">
        <v>1609</v>
      </c>
      <c r="H55" s="326">
        <v>2044.377</v>
      </c>
      <c r="I55" s="424">
        <v>2632.145</v>
      </c>
      <c r="J55" s="228">
        <v>2524.85</v>
      </c>
      <c r="K55" s="228">
        <v>2474.6379999999999</v>
      </c>
      <c r="L55" s="228">
        <v>2516.848</v>
      </c>
      <c r="M55" s="826" t="s">
        <v>492</v>
      </c>
      <c r="N55" s="817"/>
      <c r="O55" s="186"/>
    </row>
    <row r="56" spans="4:40" ht="16.5" customHeight="1" x14ac:dyDescent="0.35">
      <c r="D56" s="822" t="s">
        <v>1904</v>
      </c>
      <c r="E56" s="901">
        <v>1170.7</v>
      </c>
      <c r="F56" s="901">
        <v>1243.4000000000001</v>
      </c>
      <c r="G56" s="901">
        <v>1310</v>
      </c>
      <c r="H56" s="845">
        <v>1314.088</v>
      </c>
      <c r="I56" s="191">
        <v>1483.5260000000001</v>
      </c>
      <c r="J56" s="228">
        <v>1562.308</v>
      </c>
      <c r="K56" s="228">
        <v>1632.9190000000001</v>
      </c>
      <c r="L56" s="228">
        <v>1702.7950000000001</v>
      </c>
      <c r="M56" s="826"/>
      <c r="N56" s="812"/>
      <c r="O56" s="771"/>
      <c r="P56" s="809"/>
    </row>
    <row r="57" spans="4:40" x14ac:dyDescent="0.35">
      <c r="D57" s="246" t="s">
        <v>494</v>
      </c>
      <c r="E57" s="845">
        <f t="shared" ref="E57:L57" si="25">E58+E59</f>
        <v>136.30000000000001</v>
      </c>
      <c r="F57" s="845">
        <f t="shared" si="25"/>
        <v>170.6</v>
      </c>
      <c r="G57" s="845">
        <f t="shared" si="25"/>
        <v>156</v>
      </c>
      <c r="H57" s="845">
        <f t="shared" si="25"/>
        <v>155.25900000000001</v>
      </c>
      <c r="I57" s="845">
        <f t="shared" si="25"/>
        <v>188</v>
      </c>
      <c r="J57" s="742">
        <f t="shared" si="25"/>
        <v>190</v>
      </c>
      <c r="K57" s="845">
        <f t="shared" si="25"/>
        <v>198</v>
      </c>
      <c r="L57" s="743">
        <f t="shared" si="25"/>
        <v>198</v>
      </c>
      <c r="N57" s="168"/>
      <c r="P57" s="813"/>
      <c r="Q57" s="813"/>
      <c r="R57" s="813"/>
      <c r="S57" s="813"/>
      <c r="T57" s="813"/>
      <c r="U57" s="813"/>
      <c r="V57" s="813"/>
      <c r="W57" s="813"/>
    </row>
    <row r="58" spans="4:40" x14ac:dyDescent="0.35">
      <c r="D58" s="629" t="s">
        <v>1803</v>
      </c>
      <c r="E58" s="901">
        <v>95</v>
      </c>
      <c r="F58" s="901">
        <v>99.8</v>
      </c>
      <c r="G58" s="901">
        <v>87</v>
      </c>
      <c r="H58" s="845">
        <v>75.274000000000001</v>
      </c>
      <c r="I58" s="906">
        <v>88</v>
      </c>
      <c r="J58" s="907">
        <v>91</v>
      </c>
      <c r="K58" s="906">
        <v>101</v>
      </c>
      <c r="L58" s="908">
        <v>100</v>
      </c>
      <c r="N58" s="168"/>
      <c r="P58" s="813"/>
      <c r="Q58" s="813"/>
      <c r="R58" s="813"/>
      <c r="S58" s="813"/>
      <c r="T58" s="813"/>
      <c r="U58" s="813"/>
      <c r="V58" s="813"/>
      <c r="W58" s="813"/>
    </row>
    <row r="59" spans="4:40" ht="16.5" customHeight="1" x14ac:dyDescent="0.35">
      <c r="D59" s="485" t="s">
        <v>1804</v>
      </c>
      <c r="E59" s="901">
        <v>41.3</v>
      </c>
      <c r="F59" s="901">
        <v>70.8</v>
      </c>
      <c r="G59" s="901">
        <v>69</v>
      </c>
      <c r="H59" s="845">
        <v>79.984999999999999</v>
      </c>
      <c r="I59" s="906">
        <v>100</v>
      </c>
      <c r="J59" s="907">
        <v>99</v>
      </c>
      <c r="K59" s="906">
        <v>97</v>
      </c>
      <c r="L59" s="908">
        <v>98</v>
      </c>
      <c r="M59" s="783"/>
      <c r="N59" s="783"/>
      <c r="O59" s="811"/>
      <c r="P59" s="809"/>
      <c r="Q59" s="809"/>
      <c r="R59" s="809"/>
      <c r="S59" s="809"/>
      <c r="T59" s="809"/>
      <c r="U59" s="809"/>
      <c r="V59" s="809"/>
      <c r="W59" s="809"/>
      <c r="X59" s="783"/>
      <c r="Y59" s="783"/>
      <c r="Z59" s="810"/>
    </row>
    <row r="60" spans="4:40" ht="16.5" customHeight="1" x14ac:dyDescent="0.35">
      <c r="D60" s="904" t="s">
        <v>1905</v>
      </c>
      <c r="E60" s="905">
        <v>204.7</v>
      </c>
      <c r="F60" s="905">
        <v>230.2</v>
      </c>
      <c r="G60" s="905">
        <v>212</v>
      </c>
      <c r="H60" s="753">
        <v>371.83100000000002</v>
      </c>
      <c r="I60" s="450">
        <v>424.86700000000002</v>
      </c>
      <c r="J60" s="228">
        <v>475.38</v>
      </c>
      <c r="K60" s="228">
        <v>478.517</v>
      </c>
      <c r="L60" s="228">
        <v>488.59100000000001</v>
      </c>
      <c r="M60" s="783"/>
      <c r="N60" s="783"/>
      <c r="O60" s="811"/>
      <c r="P60" s="809"/>
      <c r="Q60" s="809"/>
      <c r="R60" s="809"/>
      <c r="S60" s="809"/>
      <c r="T60" s="809"/>
      <c r="U60" s="809"/>
      <c r="V60" s="809"/>
      <c r="W60" s="809"/>
      <c r="X60" s="783"/>
      <c r="Y60" s="783"/>
      <c r="Z60" s="810"/>
    </row>
    <row r="61" spans="4:40" ht="16.5" customHeight="1" x14ac:dyDescent="0.35"/>
    <row r="62" spans="4:40" x14ac:dyDescent="0.35">
      <c r="D62" s="776" t="s">
        <v>495</v>
      </c>
      <c r="E62" s="716">
        <v>2018</v>
      </c>
      <c r="F62" s="717">
        <v>2019</v>
      </c>
      <c r="G62" s="718">
        <v>2020</v>
      </c>
      <c r="H62" s="717">
        <v>2021</v>
      </c>
      <c r="I62" s="717">
        <v>2022</v>
      </c>
      <c r="J62" s="818">
        <v>2023</v>
      </c>
      <c r="K62" s="818">
        <v>2024</v>
      </c>
      <c r="L62" s="819">
        <v>2025</v>
      </c>
      <c r="O62" s="478" t="s">
        <v>496</v>
      </c>
    </row>
    <row r="63" spans="4:40" ht="14.9" customHeight="1" x14ac:dyDescent="0.35">
      <c r="D63" s="778" t="s">
        <v>491</v>
      </c>
      <c r="E63" s="195">
        <v>1622</v>
      </c>
      <c r="F63" s="195">
        <v>1687</v>
      </c>
      <c r="G63" s="773">
        <f t="shared" ref="G63:L66" si="26">G32</f>
        <v>1719.875</v>
      </c>
      <c r="H63" s="773">
        <f t="shared" si="26"/>
        <v>2049.6750000000002</v>
      </c>
      <c r="I63" s="773">
        <f t="shared" si="26"/>
        <v>2449.1750000000002</v>
      </c>
      <c r="J63" s="773">
        <f t="shared" si="26"/>
        <v>2349.3384668207868</v>
      </c>
      <c r="K63" s="773">
        <f t="shared" si="26"/>
        <v>2302.616886094801</v>
      </c>
      <c r="L63" s="773">
        <f t="shared" si="26"/>
        <v>2341.8927150289969</v>
      </c>
    </row>
    <row r="64" spans="4:40" x14ac:dyDescent="0.35">
      <c r="D64" s="778" t="s">
        <v>497</v>
      </c>
      <c r="E64" s="195">
        <v>1332</v>
      </c>
      <c r="F64" s="195">
        <v>1388</v>
      </c>
      <c r="G64" s="773">
        <f t="shared" si="26"/>
        <v>1424.3</v>
      </c>
      <c r="H64" s="773">
        <f t="shared" si="26"/>
        <v>1507.5250000000001</v>
      </c>
      <c r="I64" s="773">
        <f t="shared" si="26"/>
        <v>1656.6750000000002</v>
      </c>
      <c r="J64" s="773">
        <f t="shared" si="26"/>
        <v>1744.6520019871577</v>
      </c>
      <c r="K64" s="773">
        <f t="shared" si="26"/>
        <v>1823.5043297690775</v>
      </c>
      <c r="L64" s="773">
        <f t="shared" si="26"/>
        <v>1901.535872391182</v>
      </c>
      <c r="N64" s="781"/>
    </row>
    <row r="65" spans="4:22" x14ac:dyDescent="0.35">
      <c r="D65" s="778" t="s">
        <v>105</v>
      </c>
      <c r="E65" s="195">
        <v>150</v>
      </c>
      <c r="F65" s="195">
        <v>175</v>
      </c>
      <c r="G65" s="773">
        <f t="shared" si="26"/>
        <v>160.35</v>
      </c>
      <c r="H65" s="773">
        <f t="shared" si="26"/>
        <v>170.32500000000002</v>
      </c>
      <c r="I65" s="773">
        <f t="shared" si="26"/>
        <v>196.72500000000002</v>
      </c>
      <c r="J65" s="773">
        <f t="shared" si="26"/>
        <v>198.8178191489362</v>
      </c>
      <c r="K65" s="773">
        <f t="shared" si="26"/>
        <v>207.18909574468088</v>
      </c>
      <c r="L65" s="773">
        <f t="shared" si="26"/>
        <v>207.18909574468088</v>
      </c>
      <c r="N65" s="781"/>
    </row>
    <row r="66" spans="4:22" x14ac:dyDescent="0.35">
      <c r="D66" s="777" t="s">
        <v>258</v>
      </c>
      <c r="E66" s="528">
        <v>208</v>
      </c>
      <c r="F66" s="528">
        <v>219</v>
      </c>
      <c r="G66" s="840">
        <f t="shared" si="26"/>
        <v>217.32499999999999</v>
      </c>
      <c r="H66" s="840">
        <f t="shared" si="26"/>
        <v>266.65000000000003</v>
      </c>
      <c r="I66" s="840">
        <f t="shared" si="26"/>
        <v>351.52499999999998</v>
      </c>
      <c r="J66" s="840">
        <f t="shared" si="26"/>
        <v>393.31827254176011</v>
      </c>
      <c r="K66" s="840">
        <f t="shared" si="26"/>
        <v>395.91375283323953</v>
      </c>
      <c r="L66" s="840">
        <f t="shared" si="26"/>
        <v>404.24874437176805</v>
      </c>
      <c r="O66" s="1265" t="s">
        <v>900</v>
      </c>
      <c r="P66" s="1265" t="s">
        <v>900</v>
      </c>
      <c r="Q66" s="1265" t="s">
        <v>900</v>
      </c>
      <c r="R66" s="1265" t="s">
        <v>900</v>
      </c>
      <c r="S66" s="1265" t="s">
        <v>900</v>
      </c>
      <c r="T66" s="1265" t="s">
        <v>900</v>
      </c>
      <c r="U66" s="1265" t="s">
        <v>900</v>
      </c>
      <c r="V66" s="1266" t="s">
        <v>900</v>
      </c>
    </row>
    <row r="67" spans="4:22" ht="14.9" customHeight="1" x14ac:dyDescent="0.35">
      <c r="D67" s="227"/>
      <c r="E67" s="195"/>
      <c r="F67" s="195"/>
      <c r="G67" s="195"/>
      <c r="P67" s="1267">
        <v>2022</v>
      </c>
      <c r="Q67" s="1268">
        <v>2022</v>
      </c>
      <c r="R67" s="1268">
        <v>2022</v>
      </c>
      <c r="S67" s="1269">
        <v>2022</v>
      </c>
    </row>
    <row r="68" spans="4:22" ht="17.25" customHeight="1" x14ac:dyDescent="0.35">
      <c r="D68" s="434" t="s">
        <v>499</v>
      </c>
      <c r="E68" s="195"/>
      <c r="F68" s="195"/>
      <c r="G68" s="195"/>
      <c r="P68" s="82" t="s">
        <v>901</v>
      </c>
      <c r="Q68" s="82" t="s">
        <v>902</v>
      </c>
      <c r="R68" s="82" t="s">
        <v>903</v>
      </c>
      <c r="S68" s="82" t="s">
        <v>904</v>
      </c>
      <c r="T68" s="110" t="s">
        <v>918</v>
      </c>
    </row>
    <row r="69" spans="4:22" ht="30" customHeight="1" x14ac:dyDescent="0.35">
      <c r="D69" s="837" t="s">
        <v>500</v>
      </c>
      <c r="E69" s="717">
        <v>2018</v>
      </c>
      <c r="F69" s="717">
        <v>2019</v>
      </c>
      <c r="G69" s="718">
        <v>2020</v>
      </c>
      <c r="H69" s="620">
        <v>2021</v>
      </c>
      <c r="I69" s="621">
        <v>2022</v>
      </c>
      <c r="J69" s="820">
        <v>2023</v>
      </c>
      <c r="K69" s="820">
        <v>2024</v>
      </c>
      <c r="L69" s="821">
        <v>2025</v>
      </c>
      <c r="O69" s="30" t="s">
        <v>498</v>
      </c>
      <c r="P69" s="87">
        <v>2973</v>
      </c>
      <c r="Q69" s="87">
        <v>3062.8</v>
      </c>
      <c r="R69" s="87">
        <v>3085.2</v>
      </c>
      <c r="S69" s="88">
        <v>2106.1999999999998</v>
      </c>
      <c r="T69" s="87">
        <v>3123.2</v>
      </c>
    </row>
    <row r="70" spans="4:22" x14ac:dyDescent="0.35">
      <c r="D70" s="778" t="s">
        <v>491</v>
      </c>
      <c r="E70" s="720">
        <f t="shared" ref="E70:K72" si="27">E63/E55</f>
        <v>0.96346896346896349</v>
      </c>
      <c r="F70" s="720">
        <f t="shared" si="27"/>
        <v>0.98201292275452579</v>
      </c>
      <c r="G70" s="720">
        <f t="shared" si="27"/>
        <v>1.0689092604101926</v>
      </c>
      <c r="H70" s="759">
        <f t="shared" si="27"/>
        <v>1.0025914985347615</v>
      </c>
      <c r="I70" s="760">
        <f t="shared" si="27"/>
        <v>0.93048635238560196</v>
      </c>
      <c r="J70" s="760">
        <f t="shared" si="27"/>
        <v>0.93048635238560184</v>
      </c>
      <c r="K70" s="760">
        <f t="shared" si="27"/>
        <v>0.93048635238560184</v>
      </c>
      <c r="L70" s="761"/>
      <c r="T70" s="186"/>
    </row>
    <row r="71" spans="4:22" x14ac:dyDescent="0.35">
      <c r="D71" s="778" t="s">
        <v>497</v>
      </c>
      <c r="E71" s="720">
        <f t="shared" si="27"/>
        <v>1.1377808148970701</v>
      </c>
      <c r="F71" s="720">
        <f t="shared" si="27"/>
        <v>1.1162940324915553</v>
      </c>
      <c r="G71" s="720">
        <f t="shared" si="27"/>
        <v>1.0872519083969465</v>
      </c>
      <c r="H71" s="735">
        <f t="shared" si="27"/>
        <v>1.1472024704585995</v>
      </c>
      <c r="I71" s="720">
        <f t="shared" si="27"/>
        <v>1.1167145031499279</v>
      </c>
      <c r="J71" s="720">
        <f t="shared" si="27"/>
        <v>1.1167145031499279</v>
      </c>
      <c r="K71" s="720">
        <f t="shared" si="27"/>
        <v>1.1167145031499282</v>
      </c>
      <c r="L71" s="586"/>
    </row>
    <row r="72" spans="4:22" x14ac:dyDescent="0.35">
      <c r="D72" s="778" t="s">
        <v>105</v>
      </c>
      <c r="E72" s="720">
        <f t="shared" si="27"/>
        <v>1.1005135730007336</v>
      </c>
      <c r="F72" s="720">
        <f t="shared" si="27"/>
        <v>1.0257913247362251</v>
      </c>
      <c r="G72" s="720">
        <f t="shared" si="27"/>
        <v>1.0278846153846153</v>
      </c>
      <c r="H72" s="735">
        <f t="shared" si="27"/>
        <v>1.097037852878094</v>
      </c>
      <c r="I72" s="720">
        <f t="shared" si="27"/>
        <v>1.0464095744680852</v>
      </c>
      <c r="J72" s="720">
        <f t="shared" si="27"/>
        <v>1.0464095744680852</v>
      </c>
      <c r="K72" s="720">
        <f t="shared" si="27"/>
        <v>1.0464095744680852</v>
      </c>
      <c r="L72" s="586"/>
    </row>
    <row r="73" spans="4:22" x14ac:dyDescent="0.35">
      <c r="D73" s="777" t="s">
        <v>258</v>
      </c>
      <c r="E73" s="737">
        <f t="shared" ref="E73:K73" si="28">E66/E60</f>
        <v>1.0161211529066927</v>
      </c>
      <c r="F73" s="737">
        <f t="shared" si="28"/>
        <v>0.95134665508253702</v>
      </c>
      <c r="G73" s="737">
        <f t="shared" si="28"/>
        <v>1.0251179245283017</v>
      </c>
      <c r="H73" s="736">
        <f t="shared" si="28"/>
        <v>0.71712686677549753</v>
      </c>
      <c r="I73" s="737">
        <f t="shared" si="28"/>
        <v>0.82737656725516451</v>
      </c>
      <c r="J73" s="737">
        <f t="shared" si="28"/>
        <v>0.82737656725516451</v>
      </c>
      <c r="K73" s="737">
        <f t="shared" si="28"/>
        <v>0.82737656725516451</v>
      </c>
      <c r="L73" s="392"/>
    </row>
    <row r="75" spans="4:22" x14ac:dyDescent="0.35">
      <c r="D75" s="227"/>
      <c r="E75" s="195"/>
      <c r="F75" s="195"/>
      <c r="G75" s="195"/>
    </row>
    <row r="76" spans="4:22" x14ac:dyDescent="0.35">
      <c r="D76" s="202" t="s">
        <v>501</v>
      </c>
    </row>
    <row r="77" spans="4:22" x14ac:dyDescent="0.35">
      <c r="D77" s="574"/>
      <c r="E77" s="620">
        <v>2018</v>
      </c>
      <c r="F77" s="897">
        <v>2019</v>
      </c>
      <c r="G77" s="897">
        <v>2020</v>
      </c>
      <c r="H77" s="919">
        <v>2021</v>
      </c>
      <c r="I77" s="897">
        <v>2022</v>
      </c>
      <c r="J77" s="909">
        <v>2023</v>
      </c>
      <c r="K77" s="909">
        <v>2024</v>
      </c>
      <c r="L77" s="823">
        <v>2025</v>
      </c>
    </row>
    <row r="78" spans="4:22" x14ac:dyDescent="0.35">
      <c r="D78" s="527" t="s">
        <v>1910</v>
      </c>
      <c r="E78" s="326">
        <v>14016.099999999999</v>
      </c>
      <c r="F78" s="326">
        <v>14604.2</v>
      </c>
      <c r="G78" s="326">
        <v>14711.300000000001</v>
      </c>
      <c r="H78" s="786">
        <v>20725.8</v>
      </c>
      <c r="I78" s="677">
        <v>21482.5</v>
      </c>
      <c r="J78" s="411">
        <v>22726.400000000001</v>
      </c>
      <c r="K78" s="411">
        <v>23961.3</v>
      </c>
      <c r="L78" s="411">
        <v>24922.3</v>
      </c>
    </row>
    <row r="79" spans="4:22" x14ac:dyDescent="0.35">
      <c r="D79" s="805" t="s">
        <v>1911</v>
      </c>
      <c r="E79" s="195">
        <v>8804</v>
      </c>
      <c r="F79" s="195">
        <v>9209</v>
      </c>
      <c r="G79" s="845">
        <v>9300</v>
      </c>
      <c r="H79" s="785">
        <v>10082.5</v>
      </c>
      <c r="I79" s="411">
        <v>10994.5</v>
      </c>
      <c r="J79" s="411">
        <v>11602</v>
      </c>
      <c r="K79" s="411">
        <v>12160.7</v>
      </c>
      <c r="L79" s="411">
        <v>12665.5</v>
      </c>
    </row>
    <row r="80" spans="4:22" x14ac:dyDescent="0.35">
      <c r="D80" s="805" t="s">
        <v>1912</v>
      </c>
      <c r="E80" s="195">
        <v>13844</v>
      </c>
      <c r="F80" s="195">
        <v>14403</v>
      </c>
      <c r="G80" s="845">
        <v>14201</v>
      </c>
      <c r="H80" s="785">
        <v>15279.9</v>
      </c>
      <c r="I80" s="411">
        <v>17042.8</v>
      </c>
      <c r="J80" s="411">
        <v>18146.8</v>
      </c>
      <c r="K80" s="411">
        <v>18813</v>
      </c>
      <c r="L80" s="411">
        <v>19578</v>
      </c>
    </row>
    <row r="81" spans="4:25" x14ac:dyDescent="0.35">
      <c r="D81" s="732" t="s">
        <v>1913</v>
      </c>
      <c r="E81" s="753">
        <v>2211</v>
      </c>
      <c r="F81" s="753">
        <v>2243</v>
      </c>
      <c r="G81" s="753">
        <v>2125</v>
      </c>
      <c r="H81" s="910">
        <v>2678.6</v>
      </c>
      <c r="I81" s="807">
        <v>2926.6</v>
      </c>
      <c r="J81" s="411">
        <v>2739.6</v>
      </c>
      <c r="K81" s="411">
        <v>2592.5</v>
      </c>
      <c r="L81" s="411">
        <v>2835.6</v>
      </c>
    </row>
    <row r="83" spans="4:25" x14ac:dyDescent="0.35">
      <c r="D83" s="202" t="s">
        <v>505</v>
      </c>
    </row>
    <row r="84" spans="4:25" x14ac:dyDescent="0.35">
      <c r="D84" s="776" t="s">
        <v>506</v>
      </c>
      <c r="E84" s="621">
        <v>2018</v>
      </c>
      <c r="F84" s="920">
        <v>2019</v>
      </c>
      <c r="G84" s="920">
        <v>2020</v>
      </c>
      <c r="H84" s="919">
        <v>2021</v>
      </c>
      <c r="I84" s="920">
        <v>2022</v>
      </c>
      <c r="J84" s="814">
        <v>2023</v>
      </c>
      <c r="K84" s="814">
        <v>2024</v>
      </c>
      <c r="L84" s="823">
        <v>2025</v>
      </c>
    </row>
    <row r="85" spans="4:25" x14ac:dyDescent="0.35">
      <c r="D85" s="827" t="s">
        <v>491</v>
      </c>
      <c r="E85" s="762">
        <f t="shared" ref="E85:L87" si="29">E55/E78</f>
        <v>0.12011187134794987</v>
      </c>
      <c r="F85" s="745">
        <f t="shared" si="29"/>
        <v>0.11763054463784391</v>
      </c>
      <c r="G85" s="744">
        <f t="shared" si="29"/>
        <v>0.10937170746297063</v>
      </c>
      <c r="H85" s="745">
        <f t="shared" si="29"/>
        <v>9.8639232261239621E-2</v>
      </c>
      <c r="I85" s="745">
        <f t="shared" si="29"/>
        <v>0.12252507855231001</v>
      </c>
      <c r="J85" s="745">
        <f t="shared" si="29"/>
        <v>0.11109766615038016</v>
      </c>
      <c r="K85" s="745">
        <f t="shared" si="29"/>
        <v>0.10327644994219846</v>
      </c>
      <c r="L85" s="744">
        <f t="shared" si="29"/>
        <v>0.10098779005147999</v>
      </c>
    </row>
    <row r="86" spans="4:25" x14ac:dyDescent="0.35">
      <c r="D86" s="827" t="s">
        <v>493</v>
      </c>
      <c r="E86" s="754">
        <f t="shared" si="29"/>
        <v>0.13297364834166289</v>
      </c>
      <c r="F86" s="795">
        <f t="shared" si="29"/>
        <v>0.13502008904332718</v>
      </c>
      <c r="G86" s="844">
        <f t="shared" si="29"/>
        <v>0.14086021505376345</v>
      </c>
      <c r="H86" s="795">
        <f t="shared" si="29"/>
        <v>0.1303335482271262</v>
      </c>
      <c r="I86" s="795">
        <f t="shared" si="29"/>
        <v>0.1349334667333667</v>
      </c>
      <c r="J86" s="795">
        <f t="shared" si="29"/>
        <v>0.13465850715393898</v>
      </c>
      <c r="K86" s="795">
        <f t="shared" si="29"/>
        <v>0.13427837213318311</v>
      </c>
      <c r="L86" s="844">
        <f t="shared" si="29"/>
        <v>0.13444356717066047</v>
      </c>
    </row>
    <row r="87" spans="4:25" x14ac:dyDescent="0.35">
      <c r="D87" s="805" t="s">
        <v>507</v>
      </c>
      <c r="E87" s="754">
        <f t="shared" si="29"/>
        <v>9.8454203987286912E-3</v>
      </c>
      <c r="F87" s="795">
        <f t="shared" si="29"/>
        <v>1.1844754565021176E-2</v>
      </c>
      <c r="G87" s="844">
        <f t="shared" si="29"/>
        <v>1.0985141891416098E-2</v>
      </c>
      <c r="H87" s="795">
        <f t="shared" si="29"/>
        <v>1.016099581803546E-2</v>
      </c>
      <c r="I87" s="795">
        <f t="shared" si="29"/>
        <v>1.1031051235712443E-2</v>
      </c>
      <c r="J87" s="795">
        <f t="shared" si="29"/>
        <v>1.0470165538827783E-2</v>
      </c>
      <c r="K87" s="795">
        <f t="shared" si="29"/>
        <v>1.0524637218944347E-2</v>
      </c>
      <c r="L87" s="844">
        <f t="shared" si="29"/>
        <v>1.0113392583512106E-2</v>
      </c>
    </row>
    <row r="88" spans="4:25" x14ac:dyDescent="0.35">
      <c r="D88" s="828" t="s">
        <v>106</v>
      </c>
      <c r="E88" s="738">
        <f t="shared" ref="E88:L88" si="30">E60/E81</f>
        <v>9.258254183627318E-2</v>
      </c>
      <c r="F88" s="739">
        <f t="shared" si="30"/>
        <v>0.10263040570664288</v>
      </c>
      <c r="G88" s="740">
        <f t="shared" si="30"/>
        <v>9.9764705882352936E-2</v>
      </c>
      <c r="H88" s="739">
        <f t="shared" si="30"/>
        <v>0.13881542596878968</v>
      </c>
      <c r="I88" s="739">
        <f t="shared" si="30"/>
        <v>0.14517426365065264</v>
      </c>
      <c r="J88" s="739">
        <f t="shared" si="30"/>
        <v>0.17352168199737189</v>
      </c>
      <c r="K88" s="739">
        <f t="shared" si="30"/>
        <v>0.18457743490838957</v>
      </c>
      <c r="L88" s="740">
        <f t="shared" si="30"/>
        <v>0.17230603752292284</v>
      </c>
    </row>
    <row r="90" spans="4:25" x14ac:dyDescent="0.35">
      <c r="D90" s="202" t="s">
        <v>508</v>
      </c>
    </row>
    <row r="91" spans="4:25" x14ac:dyDescent="0.35">
      <c r="D91" s="834" t="s">
        <v>352</v>
      </c>
    </row>
    <row r="92" spans="4:25" x14ac:dyDescent="0.35">
      <c r="D92" s="776" t="s">
        <v>509</v>
      </c>
      <c r="E92" s="717">
        <v>2018</v>
      </c>
      <c r="F92" s="916">
        <v>2019</v>
      </c>
      <c r="G92" s="916">
        <v>2020</v>
      </c>
      <c r="H92" s="918">
        <v>2021</v>
      </c>
      <c r="I92" s="916">
        <v>2022</v>
      </c>
      <c r="J92" s="824">
        <v>2023</v>
      </c>
      <c r="K92" s="824">
        <v>2024</v>
      </c>
      <c r="L92" s="825">
        <v>2025</v>
      </c>
    </row>
    <row r="93" spans="4:25" ht="20.25" customHeight="1" x14ac:dyDescent="0.35">
      <c r="D93" s="779" t="s">
        <v>491</v>
      </c>
      <c r="E93" s="762">
        <f t="shared" ref="E93:G96" si="31">E85*E70</f>
        <v>0.11572406018792676</v>
      </c>
      <c r="F93" s="745">
        <f t="shared" si="31"/>
        <v>0.11551471494501581</v>
      </c>
      <c r="G93" s="745">
        <f t="shared" si="31"/>
        <v>0.11690843093404389</v>
      </c>
      <c r="H93" s="762">
        <f>N112</f>
        <v>0.13265203887386032</v>
      </c>
      <c r="I93" s="745">
        <f>H93</f>
        <v>0.13265203887386032</v>
      </c>
      <c r="J93" s="745">
        <f t="shared" ref="J93:L93" si="32">I93</f>
        <v>0.13265203887386032</v>
      </c>
      <c r="K93" s="745">
        <f t="shared" si="32"/>
        <v>0.13265203887386032</v>
      </c>
      <c r="L93" s="744">
        <f t="shared" si="32"/>
        <v>0.13265203887386032</v>
      </c>
      <c r="M93" s="830"/>
      <c r="N93" s="829"/>
      <c r="O93" s="795"/>
      <c r="P93" s="795"/>
      <c r="Q93" s="795"/>
      <c r="R93" s="795"/>
      <c r="S93" s="795"/>
      <c r="T93" s="795"/>
      <c r="U93" s="795"/>
      <c r="V93" s="795"/>
      <c r="W93" s="795"/>
      <c r="X93" s="795"/>
      <c r="Y93" s="795"/>
    </row>
    <row r="94" spans="4:25" ht="18.75" customHeight="1" x14ac:dyDescent="0.35">
      <c r="D94" s="779" t="s">
        <v>493</v>
      </c>
      <c r="E94" s="754">
        <f t="shared" si="31"/>
        <v>0.15129486597001363</v>
      </c>
      <c r="F94" s="795">
        <f t="shared" si="31"/>
        <v>0.15072211966554458</v>
      </c>
      <c r="G94" s="795">
        <f t="shared" si="31"/>
        <v>0.15315053763440861</v>
      </c>
      <c r="H94" s="754">
        <f>N114</f>
        <v>0.14928290766208252</v>
      </c>
      <c r="I94" s="795">
        <f>H94</f>
        <v>0.14928290766208252</v>
      </c>
      <c r="J94" s="795">
        <f>I94</f>
        <v>0.14928290766208252</v>
      </c>
      <c r="K94" s="795">
        <f t="shared" ref="K94:L94" si="33">J94</f>
        <v>0.14928290766208252</v>
      </c>
      <c r="L94" s="844">
        <f t="shared" si="33"/>
        <v>0.14928290766208252</v>
      </c>
      <c r="M94" s="830"/>
      <c r="N94" s="829"/>
      <c r="O94" s="795"/>
      <c r="P94" s="795"/>
      <c r="Q94" s="795"/>
      <c r="R94" s="795"/>
      <c r="S94" s="795"/>
      <c r="T94" s="795"/>
      <c r="U94" s="795"/>
      <c r="V94" s="795"/>
      <c r="W94" s="795"/>
      <c r="X94" s="795"/>
      <c r="Y94" s="795"/>
    </row>
    <row r="95" spans="4:25" ht="19.399999999999999" customHeight="1" x14ac:dyDescent="0.35">
      <c r="D95" s="778" t="s">
        <v>105</v>
      </c>
      <c r="E95" s="754">
        <f t="shared" si="31"/>
        <v>1.0835018780699219E-2</v>
      </c>
      <c r="F95" s="795">
        <f t="shared" si="31"/>
        <v>1.2150246476428523E-2</v>
      </c>
      <c r="G95" s="795">
        <f t="shared" si="31"/>
        <v>1.1291458348003661E-2</v>
      </c>
      <c r="H95" s="754">
        <f>N115</f>
        <v>1.1315975901046335E-2</v>
      </c>
      <c r="I95" s="795">
        <f>AVERAGE($F72:$G72)*I87</f>
        <v>1.1327102258511454E-2</v>
      </c>
      <c r="J95" s="795">
        <f>AVERAGE($F72:$G72)*J87</f>
        <v>1.0751163528086487E-2</v>
      </c>
      <c r="K95" s="795">
        <f>J95</f>
        <v>1.0751163528086487E-2</v>
      </c>
      <c r="L95" s="844">
        <f>K95</f>
        <v>1.0751163528086487E-2</v>
      </c>
      <c r="M95" s="830"/>
      <c r="N95" s="829"/>
      <c r="O95" s="795"/>
      <c r="P95" s="795"/>
      <c r="Q95" s="795"/>
      <c r="R95" s="795"/>
      <c r="S95" s="795"/>
      <c r="T95" s="795"/>
      <c r="U95" s="795"/>
      <c r="V95" s="795"/>
      <c r="W95" s="795"/>
      <c r="X95" s="795"/>
      <c r="Y95" s="795"/>
    </row>
    <row r="96" spans="4:25" ht="19.399999999999999" customHeight="1" x14ac:dyDescent="0.35">
      <c r="D96" s="780" t="s">
        <v>106</v>
      </c>
      <c r="E96" s="738">
        <f t="shared" si="31"/>
        <v>9.4075079149706017E-2</v>
      </c>
      <c r="F96" s="739">
        <f t="shared" si="31"/>
        <v>9.7637093178778417E-2</v>
      </c>
      <c r="G96" s="739">
        <f t="shared" si="31"/>
        <v>0.1022705882352941</v>
      </c>
      <c r="H96" s="738">
        <f>M116</f>
        <v>0.11063848447640764</v>
      </c>
      <c r="I96" s="739">
        <f>N116</f>
        <v>0.10992248062015504</v>
      </c>
      <c r="J96" s="739">
        <f>I96</f>
        <v>0.10992248062015504</v>
      </c>
      <c r="K96" s="739">
        <f>J96</f>
        <v>0.10992248062015504</v>
      </c>
      <c r="L96" s="740">
        <f>K96</f>
        <v>0.10992248062015504</v>
      </c>
      <c r="M96" s="830"/>
      <c r="N96" s="829"/>
      <c r="O96" s="795"/>
      <c r="P96" s="795"/>
      <c r="Q96" s="795"/>
      <c r="R96" s="795"/>
      <c r="S96" s="795"/>
      <c r="T96" s="795"/>
      <c r="U96" s="795"/>
      <c r="V96" s="795"/>
      <c r="W96" s="795"/>
      <c r="X96" s="795"/>
      <c r="Y96" s="795"/>
    </row>
    <row r="97" spans="4:33" x14ac:dyDescent="0.35">
      <c r="E97" s="644"/>
      <c r="F97" s="644"/>
      <c r="G97" s="644"/>
      <c r="H97" s="644"/>
      <c r="I97" s="644"/>
      <c r="J97" s="644"/>
      <c r="K97" s="644"/>
      <c r="L97" s="644"/>
    </row>
    <row r="98" spans="4:33" x14ac:dyDescent="0.35">
      <c r="D98" s="833" t="s">
        <v>365</v>
      </c>
      <c r="E98" s="795"/>
      <c r="F98" s="795"/>
      <c r="G98" s="795"/>
      <c r="H98" s="795"/>
      <c r="I98" s="795"/>
      <c r="J98" s="795"/>
      <c r="K98" s="795"/>
      <c r="L98" s="795"/>
      <c r="M98" s="795"/>
      <c r="N98" s="795"/>
      <c r="O98" s="795"/>
      <c r="P98" s="795"/>
      <c r="Q98" s="795"/>
      <c r="R98" s="795"/>
      <c r="S98" s="795"/>
      <c r="T98" s="795"/>
      <c r="U98" s="795"/>
      <c r="V98" s="795"/>
      <c r="W98" s="795"/>
      <c r="X98" s="795"/>
      <c r="Y98" s="795"/>
    </row>
    <row r="99" spans="4:33" x14ac:dyDescent="0.35">
      <c r="D99" s="1386" t="s">
        <v>1997</v>
      </c>
      <c r="E99" s="1401"/>
      <c r="F99" s="1278">
        <v>2019</v>
      </c>
      <c r="G99" s="1306"/>
      <c r="H99" s="1307"/>
      <c r="I99" s="1278">
        <v>2020</v>
      </c>
      <c r="J99" s="1306"/>
      <c r="K99" s="1306"/>
      <c r="L99" s="1307"/>
      <c r="M99" s="1278">
        <v>2021</v>
      </c>
      <c r="N99" s="1306"/>
      <c r="O99" s="1306"/>
      <c r="P99" s="1306"/>
      <c r="Q99" s="1278">
        <v>2022</v>
      </c>
      <c r="R99" s="1279"/>
      <c r="S99" s="1279"/>
      <c r="T99" s="1307"/>
      <c r="U99" s="251"/>
      <c r="V99" s="251">
        <v>2023</v>
      </c>
      <c r="W99" s="518"/>
      <c r="X99" s="222"/>
      <c r="Y99" s="1303">
        <v>2024</v>
      </c>
      <c r="Z99" s="1315"/>
      <c r="AA99" s="1315"/>
      <c r="AB99" s="1305"/>
      <c r="AC99" s="1303">
        <v>2025</v>
      </c>
      <c r="AD99" s="1315"/>
      <c r="AE99" s="1315"/>
      <c r="AF99" s="1305"/>
      <c r="AG99" s="467">
        <v>2026</v>
      </c>
    </row>
    <row r="100" spans="4:33" x14ac:dyDescent="0.35">
      <c r="D100" s="1402"/>
      <c r="E100" s="1403"/>
      <c r="F100" s="148" t="s">
        <v>284</v>
      </c>
      <c r="G100" s="144" t="s">
        <v>238</v>
      </c>
      <c r="H100" s="145" t="s">
        <v>282</v>
      </c>
      <c r="I100" s="148" t="s">
        <v>283</v>
      </c>
      <c r="J100" s="144" t="s">
        <v>284</v>
      </c>
      <c r="K100" s="144" t="s">
        <v>238</v>
      </c>
      <c r="L100" s="145" t="s">
        <v>282</v>
      </c>
      <c r="M100" s="148" t="s">
        <v>283</v>
      </c>
      <c r="N100" s="144" t="s">
        <v>284</v>
      </c>
      <c r="O100" s="144" t="s">
        <v>238</v>
      </c>
      <c r="P100" s="144" t="s">
        <v>282</v>
      </c>
      <c r="Q100" s="148" t="s">
        <v>283</v>
      </c>
      <c r="R100" s="144" t="s">
        <v>284</v>
      </c>
      <c r="S100" s="144" t="s">
        <v>238</v>
      </c>
      <c r="T100" s="145" t="s">
        <v>282</v>
      </c>
      <c r="U100" s="144" t="s">
        <v>283</v>
      </c>
      <c r="V100" s="249" t="s">
        <v>284</v>
      </c>
      <c r="W100" s="232" t="s">
        <v>238</v>
      </c>
      <c r="X100" s="233" t="s">
        <v>282</v>
      </c>
      <c r="Y100" s="231" t="s">
        <v>283</v>
      </c>
      <c r="Z100" s="229" t="s">
        <v>284</v>
      </c>
      <c r="AA100" s="232" t="s">
        <v>238</v>
      </c>
      <c r="AB100" s="232" t="s">
        <v>282</v>
      </c>
      <c r="AC100" s="231" t="s">
        <v>283</v>
      </c>
      <c r="AD100" s="229" t="s">
        <v>284</v>
      </c>
      <c r="AE100" s="232" t="s">
        <v>238</v>
      </c>
      <c r="AF100" s="232" t="s">
        <v>282</v>
      </c>
      <c r="AG100" s="231" t="s">
        <v>283</v>
      </c>
    </row>
    <row r="101" spans="4:33" x14ac:dyDescent="0.35">
      <c r="D101" s="838" t="s">
        <v>502</v>
      </c>
      <c r="E101" s="911"/>
      <c r="F101" s="326">
        <f t="shared" ref="F101:AC101" si="34">F102+F103</f>
        <v>0</v>
      </c>
      <c r="G101" s="326">
        <f t="shared" si="34"/>
        <v>0</v>
      </c>
      <c r="H101" s="326">
        <f t="shared" si="34"/>
        <v>0</v>
      </c>
      <c r="I101" s="326">
        <f t="shared" si="34"/>
        <v>15134.800000000001</v>
      </c>
      <c r="J101" s="326">
        <f t="shared" si="34"/>
        <v>14265.5</v>
      </c>
      <c r="K101" s="326">
        <f t="shared" si="34"/>
        <v>14943.5</v>
      </c>
      <c r="L101" s="326">
        <f t="shared" si="34"/>
        <v>15319.300000000001</v>
      </c>
      <c r="M101" s="326">
        <f t="shared" si="34"/>
        <v>15357.6</v>
      </c>
      <c r="N101" s="326">
        <f t="shared" si="34"/>
        <v>15825.2</v>
      </c>
      <c r="O101" s="326">
        <f t="shared" si="34"/>
        <v>16160.699999999999</v>
      </c>
      <c r="P101" s="326">
        <f t="shared" si="34"/>
        <v>16536.3</v>
      </c>
      <c r="Q101" s="326">
        <f t="shared" si="34"/>
        <v>16751.7</v>
      </c>
      <c r="R101" s="326">
        <f t="shared" si="34"/>
        <v>16992.3</v>
      </c>
      <c r="S101" s="326">
        <f t="shared" si="34"/>
        <v>17378.2</v>
      </c>
      <c r="T101" s="858">
        <f t="shared" si="34"/>
        <v>17532.599999999999</v>
      </c>
      <c r="U101" s="326">
        <f t="shared" si="34"/>
        <v>17734.099999999999</v>
      </c>
      <c r="V101" s="326">
        <f t="shared" si="34"/>
        <v>18195.3</v>
      </c>
      <c r="W101" s="915">
        <f>W102+W103</f>
        <v>18461.800000000003</v>
      </c>
      <c r="X101" s="915">
        <f t="shared" si="34"/>
        <v>18720.5</v>
      </c>
      <c r="Y101" s="915">
        <f t="shared" si="34"/>
        <v>18921.3</v>
      </c>
      <c r="Z101" s="915">
        <f t="shared" si="34"/>
        <v>19088.099999999999</v>
      </c>
      <c r="AA101" s="915">
        <f t="shared" si="34"/>
        <v>19257.099999999999</v>
      </c>
      <c r="AB101" s="915">
        <f t="shared" si="34"/>
        <v>19424.099999999999</v>
      </c>
      <c r="AC101" s="915">
        <f t="shared" si="34"/>
        <v>19584.8</v>
      </c>
      <c r="AD101" s="915">
        <f t="shared" ref="AD101:AG101" si="35">AD102+AD103</f>
        <v>19760</v>
      </c>
      <c r="AE101" s="915">
        <f t="shared" si="35"/>
        <v>19953.7</v>
      </c>
      <c r="AF101" s="915">
        <f t="shared" si="35"/>
        <v>20170.400000000001</v>
      </c>
      <c r="AG101" s="915">
        <f t="shared" si="35"/>
        <v>19534.599999999999</v>
      </c>
    </row>
    <row r="102" spans="4:33" x14ac:dyDescent="0.35">
      <c r="D102" s="629" t="s">
        <v>1911</v>
      </c>
      <c r="E102" s="567"/>
      <c r="F102" s="845"/>
      <c r="G102" s="845"/>
      <c r="H102" s="845"/>
      <c r="I102" s="411">
        <v>9624.7000000000007</v>
      </c>
      <c r="J102" s="411">
        <v>8995.7000000000007</v>
      </c>
      <c r="K102" s="411">
        <v>9425.4</v>
      </c>
      <c r="L102" s="411">
        <v>9783.7000000000007</v>
      </c>
      <c r="M102" s="411">
        <v>9851.2000000000007</v>
      </c>
      <c r="N102" s="411">
        <v>10138.5</v>
      </c>
      <c r="O102" s="411">
        <v>10422.299999999999</v>
      </c>
      <c r="P102" s="411">
        <v>10748.4</v>
      </c>
      <c r="Q102" s="411">
        <v>10925.5</v>
      </c>
      <c r="R102" s="411">
        <v>11058</v>
      </c>
      <c r="S102" s="411">
        <v>11361</v>
      </c>
      <c r="T102" s="411">
        <v>11413.9</v>
      </c>
      <c r="U102" s="411">
        <v>11543.8</v>
      </c>
      <c r="V102" s="411">
        <v>11645.6</v>
      </c>
      <c r="W102" s="413">
        <v>11804.7</v>
      </c>
      <c r="X102" s="413">
        <v>11963</v>
      </c>
      <c r="Y102" s="413">
        <v>12100.8</v>
      </c>
      <c r="Z102" s="413">
        <v>12226.5</v>
      </c>
      <c r="AA102" s="413">
        <v>12352.4</v>
      </c>
      <c r="AB102" s="413">
        <v>12479.1</v>
      </c>
      <c r="AC102" s="413">
        <v>12601.4</v>
      </c>
      <c r="AD102" s="413">
        <v>12726.9</v>
      </c>
      <c r="AE102" s="413">
        <v>12854.7</v>
      </c>
      <c r="AF102" s="413">
        <v>12987</v>
      </c>
      <c r="AG102" s="413">
        <v>12653.4</v>
      </c>
    </row>
    <row r="103" spans="4:33" x14ac:dyDescent="0.35">
      <c r="D103" s="236" t="s">
        <v>1914</v>
      </c>
      <c r="E103" s="521"/>
      <c r="F103" s="845"/>
      <c r="G103" s="845"/>
      <c r="H103" s="845"/>
      <c r="I103" s="411">
        <v>5510.1</v>
      </c>
      <c r="J103" s="411">
        <v>5269.8</v>
      </c>
      <c r="K103" s="411">
        <v>5518.1</v>
      </c>
      <c r="L103" s="411">
        <v>5535.6</v>
      </c>
      <c r="M103" s="411">
        <v>5506.4</v>
      </c>
      <c r="N103" s="411">
        <v>5686.7</v>
      </c>
      <c r="O103" s="411">
        <v>5738.4</v>
      </c>
      <c r="P103" s="411">
        <v>5787.9</v>
      </c>
      <c r="Q103" s="411">
        <v>5826.2</v>
      </c>
      <c r="R103" s="411">
        <v>5934.3</v>
      </c>
      <c r="S103" s="411">
        <v>6017.2</v>
      </c>
      <c r="T103" s="411">
        <v>6118.7</v>
      </c>
      <c r="U103" s="411">
        <v>6190.3</v>
      </c>
      <c r="V103" s="411">
        <v>6549.7</v>
      </c>
      <c r="W103" s="413">
        <v>6657.1</v>
      </c>
      <c r="X103" s="413">
        <v>6757.5</v>
      </c>
      <c r="Y103" s="413">
        <v>6820.5</v>
      </c>
      <c r="Z103" s="413">
        <v>6861.6</v>
      </c>
      <c r="AA103" s="413">
        <v>6904.7</v>
      </c>
      <c r="AB103" s="413">
        <v>6945</v>
      </c>
      <c r="AC103" s="413">
        <v>6983.4</v>
      </c>
      <c r="AD103" s="413">
        <v>7033.1</v>
      </c>
      <c r="AE103" s="413">
        <v>7099</v>
      </c>
      <c r="AF103" s="413">
        <v>7183.4</v>
      </c>
      <c r="AG103" s="413">
        <v>6881.2</v>
      </c>
    </row>
    <row r="104" spans="4:33" x14ac:dyDescent="0.35">
      <c r="D104" s="236" t="s">
        <v>1912</v>
      </c>
      <c r="E104" s="521"/>
      <c r="F104" s="845"/>
      <c r="G104" s="845"/>
      <c r="H104" s="845"/>
      <c r="I104" s="411">
        <v>14440.2</v>
      </c>
      <c r="J104" s="411">
        <v>13049.8</v>
      </c>
      <c r="K104" s="411">
        <v>14388.7</v>
      </c>
      <c r="L104" s="411">
        <v>14586</v>
      </c>
      <c r="M104" s="411">
        <v>15131.5</v>
      </c>
      <c r="N104" s="411">
        <v>15813.5</v>
      </c>
      <c r="O104" s="411">
        <v>16147.3</v>
      </c>
      <c r="P104" s="411">
        <v>16518</v>
      </c>
      <c r="Q104" s="411">
        <v>16874.8</v>
      </c>
      <c r="R104" s="411">
        <v>17261.3</v>
      </c>
      <c r="S104" s="411">
        <v>17542.7</v>
      </c>
      <c r="T104" s="411">
        <v>17749.900000000001</v>
      </c>
      <c r="U104" s="411">
        <v>18098.7</v>
      </c>
      <c r="V104" s="411">
        <v>18288.3</v>
      </c>
      <c r="W104" s="413">
        <v>18450.099999999999</v>
      </c>
      <c r="X104" s="413">
        <v>18584.099999999999</v>
      </c>
      <c r="Y104" s="413">
        <v>18732.099999999999</v>
      </c>
      <c r="Z104" s="413">
        <v>18877.7</v>
      </c>
      <c r="AA104" s="413">
        <v>19058.3</v>
      </c>
      <c r="AB104" s="413">
        <v>19265.5</v>
      </c>
      <c r="AC104" s="413">
        <v>19476.900000000001</v>
      </c>
      <c r="AD104" s="413">
        <v>19680.5</v>
      </c>
      <c r="AE104" s="413">
        <v>19889.099999999999</v>
      </c>
      <c r="AF104" s="413">
        <v>20092.7</v>
      </c>
      <c r="AG104" s="413">
        <v>19588.599999999999</v>
      </c>
    </row>
    <row r="105" spans="4:33" x14ac:dyDescent="0.35">
      <c r="D105" s="679" t="s">
        <v>1915</v>
      </c>
      <c r="E105" s="544"/>
      <c r="F105" s="544"/>
      <c r="G105" s="544"/>
      <c r="H105" s="753"/>
      <c r="I105" s="807">
        <v>1736.3</v>
      </c>
      <c r="J105" s="807">
        <v>1597.1</v>
      </c>
      <c r="K105" s="807">
        <v>2041.1</v>
      </c>
      <c r="L105" s="807">
        <v>1947.4</v>
      </c>
      <c r="M105" s="807">
        <v>2152.8000000000002</v>
      </c>
      <c r="N105" s="807">
        <v>2407.1</v>
      </c>
      <c r="O105" s="807">
        <v>2431.8000000000002</v>
      </c>
      <c r="P105" s="807">
        <v>2443.1999999999998</v>
      </c>
      <c r="Q105" s="807">
        <v>2432.6999999999998</v>
      </c>
      <c r="R105" s="411">
        <v>2538.9</v>
      </c>
      <c r="S105" s="411">
        <v>2553.1999999999998</v>
      </c>
      <c r="T105" s="411">
        <v>2471.3000000000002</v>
      </c>
      <c r="U105" s="411">
        <v>2336.6</v>
      </c>
      <c r="V105" s="411">
        <v>2174.1</v>
      </c>
      <c r="W105" s="413">
        <v>2141</v>
      </c>
      <c r="X105" s="413">
        <v>2089.6999999999998</v>
      </c>
      <c r="Y105" s="413">
        <v>2099</v>
      </c>
      <c r="Z105" s="413">
        <v>2115.9</v>
      </c>
      <c r="AA105" s="413">
        <v>2136.9</v>
      </c>
      <c r="AB105" s="413">
        <v>2200.8000000000002</v>
      </c>
      <c r="AC105" s="413">
        <v>2284.6</v>
      </c>
      <c r="AD105" s="413">
        <v>2354.6999999999998</v>
      </c>
      <c r="AE105" s="413">
        <v>2411.6999999999998</v>
      </c>
      <c r="AF105" s="413">
        <v>2456</v>
      </c>
      <c r="AG105" s="808">
        <v>2220.5</v>
      </c>
    </row>
    <row r="106" spans="4:33" ht="18.75" customHeight="1" x14ac:dyDescent="0.35"/>
    <row r="107" spans="4:33" x14ac:dyDescent="0.35">
      <c r="D107" s="839"/>
      <c r="E107" s="567"/>
      <c r="F107" s="567"/>
      <c r="G107" s="567"/>
      <c r="H107" s="845"/>
      <c r="I107" s="845"/>
      <c r="J107" s="845"/>
      <c r="K107" s="845"/>
      <c r="L107" s="845"/>
      <c r="M107" s="845"/>
      <c r="N107" s="845"/>
      <c r="O107" s="845"/>
      <c r="P107" s="845"/>
      <c r="Q107" s="845"/>
      <c r="R107" s="845"/>
      <c r="S107" s="845"/>
      <c r="T107" s="845"/>
      <c r="U107" s="845"/>
      <c r="V107" s="845"/>
      <c r="W107" s="845"/>
      <c r="X107" s="845"/>
      <c r="Y107" s="845"/>
      <c r="Z107" s="845"/>
      <c r="AA107" s="845"/>
      <c r="AB107" s="845"/>
      <c r="AC107" s="845"/>
    </row>
    <row r="108" spans="4:33" x14ac:dyDescent="0.35">
      <c r="D108" s="478"/>
      <c r="AC108" s="35"/>
    </row>
    <row r="109" spans="4:33" x14ac:dyDescent="0.35">
      <c r="D109" s="1386" t="s">
        <v>511</v>
      </c>
      <c r="E109" s="1401"/>
      <c r="F109" s="1278">
        <v>2019</v>
      </c>
      <c r="G109" s="1306"/>
      <c r="H109" s="1307"/>
      <c r="I109" s="1306">
        <v>2020</v>
      </c>
      <c r="J109" s="1306"/>
      <c r="K109" s="1306"/>
      <c r="L109" s="1307"/>
      <c r="M109" s="1278">
        <v>2021</v>
      </c>
      <c r="N109" s="1306"/>
      <c r="O109" s="1306"/>
      <c r="P109" s="1306"/>
      <c r="Q109" s="1278">
        <v>2022</v>
      </c>
      <c r="R109" s="1279"/>
      <c r="S109" s="1279"/>
      <c r="T109" s="1307"/>
      <c r="U109" s="251"/>
      <c r="V109" s="251">
        <v>2023</v>
      </c>
      <c r="W109" s="518"/>
      <c r="X109" s="222"/>
      <c r="Y109" s="1303">
        <v>2024</v>
      </c>
      <c r="Z109" s="1315"/>
      <c r="AA109" s="1315"/>
      <c r="AB109" s="1305"/>
      <c r="AC109" s="1303">
        <v>2025</v>
      </c>
      <c r="AD109" s="1315"/>
      <c r="AE109" s="1315"/>
      <c r="AF109" s="1305"/>
      <c r="AG109" s="467">
        <v>2026</v>
      </c>
    </row>
    <row r="110" spans="4:33" x14ac:dyDescent="0.35">
      <c r="D110" s="1402"/>
      <c r="E110" s="1403"/>
      <c r="F110" s="148" t="s">
        <v>284</v>
      </c>
      <c r="G110" s="144" t="s">
        <v>238</v>
      </c>
      <c r="H110" s="145" t="s">
        <v>282</v>
      </c>
      <c r="I110" s="144" t="s">
        <v>283</v>
      </c>
      <c r="J110" s="144" t="s">
        <v>284</v>
      </c>
      <c r="K110" s="144" t="s">
        <v>238</v>
      </c>
      <c r="L110" s="145" t="s">
        <v>282</v>
      </c>
      <c r="M110" s="148" t="s">
        <v>283</v>
      </c>
      <c r="N110" s="144" t="s">
        <v>284</v>
      </c>
      <c r="O110" s="144" t="s">
        <v>238</v>
      </c>
      <c r="P110" s="144" t="s">
        <v>282</v>
      </c>
      <c r="Q110" s="148" t="s">
        <v>283</v>
      </c>
      <c r="R110" s="144" t="s">
        <v>284</v>
      </c>
      <c r="S110" s="144" t="s">
        <v>238</v>
      </c>
      <c r="T110" s="145" t="s">
        <v>282</v>
      </c>
      <c r="U110" s="148" t="s">
        <v>283</v>
      </c>
      <c r="V110" s="249" t="s">
        <v>284</v>
      </c>
      <c r="W110" s="232" t="s">
        <v>238</v>
      </c>
      <c r="X110" s="233" t="s">
        <v>282</v>
      </c>
      <c r="Y110" s="231" t="s">
        <v>283</v>
      </c>
      <c r="Z110" s="229" t="s">
        <v>284</v>
      </c>
      <c r="AA110" s="232" t="s">
        <v>238</v>
      </c>
      <c r="AB110" s="232" t="s">
        <v>282</v>
      </c>
      <c r="AC110" s="231" t="s">
        <v>283</v>
      </c>
      <c r="AD110" s="229" t="s">
        <v>284</v>
      </c>
      <c r="AE110" s="232" t="s">
        <v>238</v>
      </c>
      <c r="AF110" s="232" t="s">
        <v>282</v>
      </c>
      <c r="AG110" s="231" t="s">
        <v>283</v>
      </c>
    </row>
    <row r="111" spans="4:33" x14ac:dyDescent="0.35">
      <c r="D111" s="1408" t="s">
        <v>512</v>
      </c>
      <c r="E111" s="1409"/>
      <c r="F111" s="215"/>
      <c r="G111" s="270"/>
      <c r="H111" s="270"/>
      <c r="I111" s="270"/>
      <c r="J111" s="270"/>
      <c r="K111" s="270"/>
      <c r="L111" s="270"/>
      <c r="M111" s="270"/>
      <c r="N111" s="270"/>
      <c r="O111" s="270"/>
      <c r="P111" s="270"/>
      <c r="Q111" s="270"/>
      <c r="R111" s="270"/>
      <c r="S111" s="270"/>
      <c r="T111" s="250"/>
      <c r="U111" s="270"/>
      <c r="V111" s="270"/>
      <c r="W111" s="250"/>
      <c r="X111" s="250"/>
      <c r="Y111" s="250"/>
      <c r="Z111" s="250"/>
      <c r="AA111" s="250"/>
      <c r="AB111" s="250"/>
      <c r="AC111" s="270"/>
    </row>
    <row r="112" spans="4:33" x14ac:dyDescent="0.35">
      <c r="D112" s="485" t="s">
        <v>482</v>
      </c>
      <c r="F112" s="754"/>
      <c r="G112" s="795"/>
      <c r="H112" s="795">
        <f t="shared" ref="H112:X112" si="36">H10/H119</f>
        <v>0.11759515065945329</v>
      </c>
      <c r="I112" s="795">
        <f t="shared" si="36"/>
        <v>0.11879897315968442</v>
      </c>
      <c r="J112" s="795">
        <f t="shared" si="36"/>
        <v>0.11632832053393799</v>
      </c>
      <c r="K112" s="795">
        <f t="shared" si="36"/>
        <v>0.11840135478408127</v>
      </c>
      <c r="L112" s="795">
        <f t="shared" si="36"/>
        <v>0.12252813966462116</v>
      </c>
      <c r="M112" s="795">
        <f t="shared" si="36"/>
        <v>0.1306605059249549</v>
      </c>
      <c r="N112" s="795">
        <f t="shared" si="36"/>
        <v>0.13265203887386032</v>
      </c>
      <c r="O112" s="795">
        <f t="shared" si="36"/>
        <v>0.1346644712277115</v>
      </c>
      <c r="P112" s="795">
        <f t="shared" si="36"/>
        <v>0.13573367367115458</v>
      </c>
      <c r="Q112" s="795">
        <f t="shared" si="36"/>
        <v>0.1488843620641529</v>
      </c>
      <c r="R112" s="795">
        <f t="shared" si="36"/>
        <v>0.14668284362856288</v>
      </c>
      <c r="S112" s="793">
        <f t="shared" si="36"/>
        <v>0.14459192156637904</v>
      </c>
      <c r="T112" s="793">
        <f t="shared" si="36"/>
        <v>0.14154488043064295</v>
      </c>
      <c r="U112" s="793">
        <f t="shared" si="36"/>
        <v>0.12162546494833289</v>
      </c>
      <c r="V112" s="793">
        <f t="shared" si="36"/>
        <v>0.1199155392367658</v>
      </c>
      <c r="W112" s="793">
        <f t="shared" si="36"/>
        <v>0.11877336181249525</v>
      </c>
      <c r="X112" s="793">
        <f t="shared" si="36"/>
        <v>0.11805940359692492</v>
      </c>
      <c r="Y112" s="794">
        <f t="shared" ref="Y112:AC112" si="37">X112+Y113</f>
        <v>0.11805940359692492</v>
      </c>
      <c r="Z112" s="794">
        <f t="shared" si="37"/>
        <v>0.11805940359692492</v>
      </c>
      <c r="AA112" s="794">
        <f t="shared" si="37"/>
        <v>0.11805940359692492</v>
      </c>
      <c r="AB112" s="794">
        <f t="shared" si="37"/>
        <v>0.11805940359692492</v>
      </c>
      <c r="AC112" s="794">
        <f t="shared" si="37"/>
        <v>0.11805940359692492</v>
      </c>
      <c r="AD112" s="794">
        <f t="shared" ref="AD112" si="38">AC112+AD113</f>
        <v>0.11805940359692492</v>
      </c>
      <c r="AE112" s="794">
        <f t="shared" ref="AE112" si="39">AD112+AE113</f>
        <v>0.11805940359692492</v>
      </c>
      <c r="AF112" s="794">
        <f t="shared" ref="AF112" si="40">AE112+AF113</f>
        <v>0.11805940359692492</v>
      </c>
      <c r="AG112" s="794">
        <f t="shared" ref="AG112" si="41">AF112+AG113</f>
        <v>0.11805940359692492</v>
      </c>
    </row>
    <row r="113" spans="4:33" x14ac:dyDescent="0.35">
      <c r="D113" s="485" t="s">
        <v>895</v>
      </c>
      <c r="F113" s="754"/>
      <c r="G113" s="795"/>
      <c r="H113" s="795"/>
      <c r="I113" s="795"/>
      <c r="J113" s="795"/>
      <c r="K113" s="795"/>
      <c r="L113" s="795"/>
      <c r="M113" s="795"/>
      <c r="N113" s="795"/>
      <c r="O113" s="795"/>
      <c r="P113" s="795"/>
      <c r="Q113" s="795"/>
      <c r="R113" s="795"/>
      <c r="S113" s="793"/>
      <c r="T113" s="793"/>
      <c r="U113" s="793"/>
      <c r="V113" s="793"/>
      <c r="W113" s="794"/>
      <c r="X113" s="794"/>
      <c r="Y113" s="794"/>
      <c r="Z113" s="794"/>
      <c r="AA113" s="794"/>
      <c r="AB113" s="794"/>
      <c r="AC113" s="794"/>
      <c r="AD113" s="794"/>
      <c r="AE113" s="794"/>
      <c r="AF113" s="794"/>
      <c r="AG113" s="794"/>
    </row>
    <row r="114" spans="4:33" x14ac:dyDescent="0.35">
      <c r="D114" s="485" t="s">
        <v>483</v>
      </c>
      <c r="F114" s="754"/>
      <c r="G114" s="795"/>
      <c r="H114" s="795">
        <f t="shared" ref="H114:W114" si="42">H12/H124</f>
        <v>0.15049219029952995</v>
      </c>
      <c r="I114" s="795">
        <f t="shared" si="42"/>
        <v>0.15082140744507519</v>
      </c>
      <c r="J114" s="795">
        <f t="shared" si="42"/>
        <v>0.15364369322346355</v>
      </c>
      <c r="K114" s="795">
        <f t="shared" si="42"/>
        <v>0.15173662969906893</v>
      </c>
      <c r="L114" s="795">
        <f t="shared" si="42"/>
        <v>0.14977874752747813</v>
      </c>
      <c r="M114" s="795">
        <f t="shared" si="42"/>
        <v>0.15013551231746289</v>
      </c>
      <c r="N114" s="795">
        <f t="shared" si="42"/>
        <v>0.14928290766208252</v>
      </c>
      <c r="O114" s="795">
        <f t="shared" si="42"/>
        <v>0.14884645906435542</v>
      </c>
      <c r="P114" s="795">
        <f t="shared" si="42"/>
        <v>0.14893182240386402</v>
      </c>
      <c r="Q114" s="795">
        <f t="shared" si="42"/>
        <v>0.15097091386063236</v>
      </c>
      <c r="R114" s="795">
        <f t="shared" si="42"/>
        <v>0.15155480435454263</v>
      </c>
      <c r="S114" s="793">
        <f t="shared" si="42"/>
        <v>0.15145823735780856</v>
      </c>
      <c r="T114" s="793">
        <f t="shared" si="42"/>
        <v>0.15146328336612525</v>
      </c>
      <c r="U114" s="793">
        <f t="shared" si="42"/>
        <v>0.15183173745240419</v>
      </c>
      <c r="V114" s="793">
        <f t="shared" si="42"/>
        <v>0.1513684174694489</v>
      </c>
      <c r="W114" s="793">
        <f t="shared" si="42"/>
        <v>0.15097254052601977</v>
      </c>
      <c r="X114" s="793">
        <f t="shared" ref="X114" si="43">X12/X124</f>
        <v>0.15073804107792188</v>
      </c>
      <c r="Y114" s="794">
        <f t="shared" ref="Y114:AC114" si="44">X114</f>
        <v>0.15073804107792188</v>
      </c>
      <c r="Z114" s="794">
        <f t="shared" si="44"/>
        <v>0.15073804107792188</v>
      </c>
      <c r="AA114" s="794">
        <f t="shared" si="44"/>
        <v>0.15073804107792188</v>
      </c>
      <c r="AB114" s="794">
        <f t="shared" si="44"/>
        <v>0.15073804107792188</v>
      </c>
      <c r="AC114" s="794">
        <f t="shared" si="44"/>
        <v>0.15073804107792188</v>
      </c>
      <c r="AD114" s="794">
        <f t="shared" ref="AD114:AD115" si="45">AC114</f>
        <v>0.15073804107792188</v>
      </c>
      <c r="AE114" s="794">
        <f t="shared" ref="AE114:AE115" si="46">AD114</f>
        <v>0.15073804107792188</v>
      </c>
      <c r="AF114" s="794">
        <f t="shared" ref="AF114:AF115" si="47">AE114</f>
        <v>0.15073804107792188</v>
      </c>
      <c r="AG114" s="794">
        <f t="shared" ref="AG114:AG115" si="48">AF114</f>
        <v>0.15073804107792188</v>
      </c>
    </row>
    <row r="115" spans="4:33" x14ac:dyDescent="0.35">
      <c r="D115" s="485" t="s">
        <v>484</v>
      </c>
      <c r="F115" s="754"/>
      <c r="G115" s="795"/>
      <c r="H115" s="795">
        <f t="shared" ref="H115:W115" si="49">H14/H125</f>
        <v>1.2114807744750477E-2</v>
      </c>
      <c r="I115" s="795">
        <f t="shared" si="49"/>
        <v>1.2657965466969756E-2</v>
      </c>
      <c r="J115" s="795">
        <f t="shared" si="49"/>
        <v>9.9021178686146908E-3</v>
      </c>
      <c r="K115" s="795">
        <f t="shared" si="49"/>
        <v>1.0383088225121401E-2</v>
      </c>
      <c r="L115" s="795">
        <f t="shared" si="49"/>
        <v>1.0715231518262747E-2</v>
      </c>
      <c r="M115" s="795">
        <f t="shared" si="49"/>
        <v>1.0573214086228536E-2</v>
      </c>
      <c r="N115" s="795">
        <f t="shared" si="49"/>
        <v>1.1315975901046335E-2</v>
      </c>
      <c r="O115" s="795">
        <f t="shared" si="49"/>
        <v>1.1182000724588734E-2</v>
      </c>
      <c r="P115" s="795">
        <f t="shared" si="49"/>
        <v>1.1424674905193142E-2</v>
      </c>
      <c r="Q115" s="795">
        <f t="shared" si="49"/>
        <v>1.1796413514497435E-2</v>
      </c>
      <c r="R115" s="795">
        <f t="shared" si="49"/>
        <v>1.1645066637573143E-2</v>
      </c>
      <c r="S115" s="793">
        <f t="shared" si="49"/>
        <v>1.0868458850273124E-2</v>
      </c>
      <c r="T115" s="793">
        <f t="shared" si="49"/>
        <v>1.0096556343137802E-2</v>
      </c>
      <c r="U115" s="793">
        <f t="shared" si="49"/>
        <v>9.6882252485002412E-3</v>
      </c>
      <c r="V115" s="793">
        <f t="shared" si="49"/>
        <v>9.5227753949725831E-3</v>
      </c>
      <c r="W115" s="793">
        <f t="shared" si="49"/>
        <v>9.1865413956476356E-3</v>
      </c>
      <c r="X115" s="793">
        <f t="shared" ref="X115" si="50">X14/X125</f>
        <v>9.0797909795056145E-3</v>
      </c>
      <c r="Y115" s="794">
        <f t="shared" ref="Y115:AC115" si="51">X115</f>
        <v>9.0797909795056145E-3</v>
      </c>
      <c r="Z115" s="794">
        <f t="shared" si="51"/>
        <v>9.0797909795056145E-3</v>
      </c>
      <c r="AA115" s="794">
        <f t="shared" si="51"/>
        <v>9.0797909795056145E-3</v>
      </c>
      <c r="AB115" s="794">
        <f t="shared" si="51"/>
        <v>9.0797909795056145E-3</v>
      </c>
      <c r="AC115" s="794">
        <f t="shared" si="51"/>
        <v>9.0797909795056145E-3</v>
      </c>
      <c r="AD115" s="794">
        <f t="shared" si="45"/>
        <v>9.0797909795056145E-3</v>
      </c>
      <c r="AE115" s="794">
        <f t="shared" si="46"/>
        <v>9.0797909795056145E-3</v>
      </c>
      <c r="AF115" s="794">
        <f t="shared" si="47"/>
        <v>9.0797909795056145E-3</v>
      </c>
      <c r="AG115" s="794">
        <f t="shared" si="48"/>
        <v>9.0797909795056145E-3</v>
      </c>
    </row>
    <row r="116" spans="4:33" x14ac:dyDescent="0.35">
      <c r="D116" s="384" t="s">
        <v>485</v>
      </c>
      <c r="F116" s="754"/>
      <c r="G116" s="795"/>
      <c r="H116" s="795">
        <f t="shared" ref="H116:W116" si="52">H16/H126</f>
        <v>0.1161666500548191</v>
      </c>
      <c r="I116" s="795">
        <f t="shared" si="52"/>
        <v>0.10825625214114422</v>
      </c>
      <c r="J116" s="795">
        <f t="shared" si="52"/>
        <v>0.12146635053802662</v>
      </c>
      <c r="K116" s="795">
        <f t="shared" si="52"/>
        <v>0.10805604203152365</v>
      </c>
      <c r="L116" s="795">
        <f t="shared" si="52"/>
        <v>0.12181977082928724</v>
      </c>
      <c r="M116" s="795">
        <f t="shared" si="52"/>
        <v>0.11063848447640764</v>
      </c>
      <c r="N116" s="795">
        <f t="shared" si="52"/>
        <v>0.10992248062015504</v>
      </c>
      <c r="O116" s="795">
        <f t="shared" si="52"/>
        <v>0.11010979497068199</v>
      </c>
      <c r="P116" s="795">
        <f t="shared" si="52"/>
        <v>0.11894324853228962</v>
      </c>
      <c r="Q116" s="795">
        <f t="shared" si="52"/>
        <v>0.12663185378590078</v>
      </c>
      <c r="R116" s="793">
        <f t="shared" si="52"/>
        <v>0.13978069387021391</v>
      </c>
      <c r="S116" s="793">
        <f t="shared" si="52"/>
        <v>0.13656105375578498</v>
      </c>
      <c r="T116" s="793">
        <f t="shared" si="52"/>
        <v>0.13593363411439383</v>
      </c>
      <c r="U116" s="793">
        <f t="shared" si="52"/>
        <v>0.14537428453855075</v>
      </c>
      <c r="V116" s="793">
        <f t="shared" si="52"/>
        <v>0.15173062452972161</v>
      </c>
      <c r="W116" s="793">
        <f t="shared" si="52"/>
        <v>0.15157009210240047</v>
      </c>
      <c r="X116" s="793" t="e">
        <f t="shared" ref="X116" si="53">X16/X126</f>
        <v>#DIV/0!</v>
      </c>
      <c r="Y116" s="794" t="e">
        <f t="shared" ref="Y116:AC116" si="54">X116+Y117</f>
        <v>#DIV/0!</v>
      </c>
      <c r="Z116" s="794" t="e">
        <f t="shared" si="54"/>
        <v>#DIV/0!</v>
      </c>
      <c r="AA116" s="794" t="e">
        <f t="shared" si="54"/>
        <v>#DIV/0!</v>
      </c>
      <c r="AB116" s="794" t="e">
        <f t="shared" si="54"/>
        <v>#DIV/0!</v>
      </c>
      <c r="AC116" s="794" t="e">
        <f t="shared" si="54"/>
        <v>#DIV/0!</v>
      </c>
      <c r="AD116" s="794" t="e">
        <f t="shared" ref="AD116" si="55">AC116+AD117</f>
        <v>#DIV/0!</v>
      </c>
      <c r="AE116" s="794" t="e">
        <f t="shared" ref="AE116" si="56">AD116+AE117</f>
        <v>#DIV/0!</v>
      </c>
      <c r="AF116" s="794" t="e">
        <f t="shared" ref="AF116" si="57">AE116+AF117</f>
        <v>#DIV/0!</v>
      </c>
      <c r="AG116" s="794" t="e">
        <f t="shared" ref="AG116" si="58">AF116+AG117</f>
        <v>#DIV/0!</v>
      </c>
    </row>
    <row r="117" spans="4:33" x14ac:dyDescent="0.35">
      <c r="D117" s="384" t="s">
        <v>1808</v>
      </c>
      <c r="F117" s="754"/>
      <c r="G117" s="795"/>
      <c r="H117" s="795"/>
      <c r="I117" s="795"/>
      <c r="J117" s="795"/>
      <c r="K117" s="795"/>
      <c r="L117" s="795"/>
      <c r="M117" s="795"/>
      <c r="N117" s="795"/>
      <c r="O117" s="795"/>
      <c r="P117" s="795"/>
      <c r="Q117" s="795"/>
      <c r="R117" s="795"/>
      <c r="S117" s="795"/>
      <c r="T117" s="795"/>
      <c r="U117" s="795">
        <v>-1.2E-2</v>
      </c>
      <c r="V117" s="795"/>
      <c r="W117" s="794"/>
      <c r="X117" s="794"/>
      <c r="Y117" s="794"/>
      <c r="Z117" s="794"/>
      <c r="AA117" s="794"/>
      <c r="AB117" s="794"/>
      <c r="AC117" s="794"/>
      <c r="AD117" s="794"/>
      <c r="AE117" s="794"/>
      <c r="AF117" s="794"/>
      <c r="AG117" s="794"/>
    </row>
    <row r="118" spans="4:33" x14ac:dyDescent="0.35">
      <c r="D118" s="894" t="s">
        <v>513</v>
      </c>
      <c r="F118" s="237"/>
      <c r="G118" s="195"/>
      <c r="H118" s="195"/>
      <c r="I118" s="195"/>
      <c r="J118" s="195"/>
      <c r="K118" s="195"/>
      <c r="L118" s="195"/>
      <c r="M118" s="195"/>
      <c r="N118" s="195"/>
      <c r="O118" s="195"/>
      <c r="P118" s="195"/>
      <c r="Q118" s="195"/>
      <c r="R118" s="195"/>
      <c r="S118" s="195"/>
      <c r="T118" s="195"/>
      <c r="U118" s="195"/>
      <c r="V118" s="195"/>
      <c r="W118" s="195"/>
      <c r="X118" s="195"/>
      <c r="Y118" s="195"/>
      <c r="Z118" s="195"/>
      <c r="AA118" s="195"/>
      <c r="AB118" s="195"/>
      <c r="AC118" s="195"/>
    </row>
    <row r="119" spans="4:33" ht="14.9" customHeight="1" x14ac:dyDescent="0.35">
      <c r="D119" s="629" t="s">
        <v>514</v>
      </c>
      <c r="F119" s="742">
        <f>SUM(F120:F123)</f>
        <v>14456.2</v>
      </c>
      <c r="G119" s="845">
        <f t="shared" ref="G119:O119" si="59">SUM(G120:G123)</f>
        <v>14559</v>
      </c>
      <c r="H119" s="845">
        <f t="shared" si="59"/>
        <v>14731.900000000001</v>
      </c>
      <c r="I119" s="845">
        <f t="shared" si="59"/>
        <v>14880.6</v>
      </c>
      <c r="J119" s="845">
        <f t="shared" si="59"/>
        <v>14024.100000000002</v>
      </c>
      <c r="K119" s="845">
        <f t="shared" si="59"/>
        <v>14762.500000000002</v>
      </c>
      <c r="L119" s="845">
        <f t="shared" si="59"/>
        <v>15236.499999999998</v>
      </c>
      <c r="M119" s="845">
        <f t="shared" si="59"/>
        <v>15409.400000000001</v>
      </c>
      <c r="N119" s="845">
        <f t="shared" si="59"/>
        <v>15969.600000000002</v>
      </c>
      <c r="O119" s="845">
        <f t="shared" si="59"/>
        <v>16336.9</v>
      </c>
      <c r="P119" s="845">
        <f t="shared" ref="P119:T119" si="60">SUM(P120:P123)</f>
        <v>16689.3</v>
      </c>
      <c r="Q119" s="845">
        <f t="shared" si="60"/>
        <v>16837.900000000001</v>
      </c>
      <c r="R119" s="845">
        <f t="shared" si="60"/>
        <v>17061.3</v>
      </c>
      <c r="S119" s="287">
        <f t="shared" si="60"/>
        <v>17441.5</v>
      </c>
      <c r="T119" s="287">
        <f t="shared" si="60"/>
        <v>17592.3</v>
      </c>
      <c r="U119" s="287">
        <f t="shared" ref="U119:W119" si="61">SUM(U120:U123)</f>
        <v>17932.099999999999</v>
      </c>
      <c r="V119" s="287">
        <f t="shared" si="61"/>
        <v>18138.599999999999</v>
      </c>
      <c r="W119" s="287">
        <f t="shared" si="61"/>
        <v>18352.599999999999</v>
      </c>
      <c r="X119" s="287">
        <f t="shared" ref="X119" si="62">SUM(X120:X123)</f>
        <v>18588.099999999999</v>
      </c>
      <c r="Y119" s="282"/>
      <c r="Z119" s="282"/>
      <c r="AA119" s="282"/>
      <c r="AB119" s="282"/>
      <c r="AC119" s="282"/>
      <c r="AD119" s="282"/>
      <c r="AE119" s="282"/>
      <c r="AF119" s="282"/>
      <c r="AG119" s="282"/>
    </row>
    <row r="120" spans="4:33" x14ac:dyDescent="0.35">
      <c r="D120" s="831" t="s">
        <v>788</v>
      </c>
      <c r="E120" s="202" t="s">
        <v>784</v>
      </c>
      <c r="F120" s="742">
        <f>'Haver Pivoted'!GQ81</f>
        <v>9284.9</v>
      </c>
      <c r="G120" s="845">
        <f>'Haver Pivoted'!GR81</f>
        <v>9340.9</v>
      </c>
      <c r="H120" s="845">
        <f>'Haver Pivoted'!GS81</f>
        <v>9488.2000000000007</v>
      </c>
      <c r="I120" s="845">
        <f>'Haver Pivoted'!GT81</f>
        <v>9635.9</v>
      </c>
      <c r="J120" s="845">
        <f>'Haver Pivoted'!GU81</f>
        <v>9004.6</v>
      </c>
      <c r="K120" s="845">
        <f>'Haver Pivoted'!GV81</f>
        <v>9440.7000000000007</v>
      </c>
      <c r="L120" s="845">
        <f>'Haver Pivoted'!GW81</f>
        <v>9807.7999999999993</v>
      </c>
      <c r="M120" s="845">
        <f>'Haver Pivoted'!GX81</f>
        <v>9888.4</v>
      </c>
      <c r="N120" s="845">
        <f>'Haver Pivoted'!GY81</f>
        <v>10180</v>
      </c>
      <c r="O120" s="845">
        <f>'Haver Pivoted'!GZ81</f>
        <v>10459.1</v>
      </c>
      <c r="P120" s="845">
        <f>'Haver Pivoted'!HA81</f>
        <v>10766</v>
      </c>
      <c r="Q120" s="845">
        <f>'Haver Pivoted'!HB81</f>
        <v>10902.1</v>
      </c>
      <c r="R120" s="845">
        <f>'Haver Pivoted'!HC81</f>
        <v>11004.6</v>
      </c>
      <c r="S120" s="287">
        <f>'Haver Pivoted'!HD81</f>
        <v>11287.6</v>
      </c>
      <c r="T120" s="287">
        <f>'Haver Pivoted'!HE81</f>
        <v>11334.1</v>
      </c>
      <c r="U120" s="287">
        <f>'Haver Pivoted'!HF81</f>
        <v>11581.9</v>
      </c>
      <c r="V120" s="287">
        <f>'Haver Pivoted'!HG81</f>
        <v>11750.8</v>
      </c>
      <c r="W120" s="287">
        <f>'Haver Pivoted'!HH81</f>
        <v>11912.1</v>
      </c>
      <c r="X120" s="287">
        <f>'Haver Pivoted'!HI81</f>
        <v>12045.4</v>
      </c>
      <c r="Y120" s="282"/>
      <c r="Z120" s="282"/>
      <c r="AA120" s="282"/>
      <c r="AB120" s="282"/>
      <c r="AC120" s="282"/>
      <c r="AD120" s="282"/>
      <c r="AE120" s="282"/>
      <c r="AF120" s="282"/>
      <c r="AG120" s="282"/>
    </row>
    <row r="121" spans="4:33" x14ac:dyDescent="0.35">
      <c r="D121" s="831" t="s">
        <v>515</v>
      </c>
      <c r="E121" s="202" t="s">
        <v>785</v>
      </c>
      <c r="F121" s="742">
        <f>'Haver Pivoted'!GQ82</f>
        <v>1533.5</v>
      </c>
      <c r="G121" s="845">
        <f>'Haver Pivoted'!GR82</f>
        <v>1570.1</v>
      </c>
      <c r="H121" s="845">
        <f>'Haver Pivoted'!GS82</f>
        <v>1581.1</v>
      </c>
      <c r="I121" s="845">
        <f>'Haver Pivoted'!GT82</f>
        <v>1577.7</v>
      </c>
      <c r="J121" s="845">
        <f>'Haver Pivoted'!GU82</f>
        <v>1411.5</v>
      </c>
      <c r="K121" s="845">
        <f>'Haver Pivoted'!GV82</f>
        <v>1691.6</v>
      </c>
      <c r="L121" s="845">
        <f>'Haver Pivoted'!GW82</f>
        <v>1654.4</v>
      </c>
      <c r="M121" s="845">
        <f>'Haver Pivoted'!GX82</f>
        <v>1650.2</v>
      </c>
      <c r="N121" s="845">
        <f>'Haver Pivoted'!GY82</f>
        <v>1784.1</v>
      </c>
      <c r="O121" s="845">
        <f>'Haver Pivoted'!GZ82</f>
        <v>1792.8</v>
      </c>
      <c r="P121" s="845">
        <f>'Haver Pivoted'!HA82</f>
        <v>1769.2</v>
      </c>
      <c r="Q121" s="845">
        <f>'Haver Pivoted'!HB82</f>
        <v>1756.4</v>
      </c>
      <c r="R121" s="845">
        <f>'Haver Pivoted'!HC82</f>
        <v>1774.4</v>
      </c>
      <c r="S121" s="287">
        <f>'Haver Pivoted'!HD82</f>
        <v>1807.4</v>
      </c>
      <c r="T121" s="287">
        <f>'Haver Pivoted'!HE82</f>
        <v>1825.3</v>
      </c>
      <c r="U121" s="287">
        <f>'Haver Pivoted'!HF82</f>
        <v>1827.4</v>
      </c>
      <c r="V121" s="287">
        <f>'Haver Pivoted'!HG82</f>
        <v>1824.1</v>
      </c>
      <c r="W121" s="287">
        <f>'Haver Pivoted'!HH82</f>
        <v>1859.6</v>
      </c>
      <c r="X121" s="287">
        <f>'Haver Pivoted'!HI82</f>
        <v>1886.7</v>
      </c>
      <c r="Y121" s="282"/>
      <c r="Z121" s="282"/>
      <c r="AA121" s="282"/>
      <c r="AB121" s="282"/>
      <c r="AC121" s="282"/>
      <c r="AD121" s="282"/>
      <c r="AE121" s="282"/>
      <c r="AF121" s="282"/>
      <c r="AG121" s="282"/>
    </row>
    <row r="122" spans="4:33" x14ac:dyDescent="0.35">
      <c r="D122" s="831" t="s">
        <v>516</v>
      </c>
      <c r="E122" s="202" t="s">
        <v>791</v>
      </c>
      <c r="F122" s="742">
        <f>'Haver Pivoted'!GQ83</f>
        <v>674.7</v>
      </c>
      <c r="G122" s="845">
        <f>'Haver Pivoted'!GR83</f>
        <v>685.7</v>
      </c>
      <c r="H122" s="845">
        <f>'Haver Pivoted'!GS83</f>
        <v>709.8</v>
      </c>
      <c r="I122" s="845">
        <f>'Haver Pivoted'!GT83</f>
        <v>740.9</v>
      </c>
      <c r="J122" s="845">
        <f>'Haver Pivoted'!GU83</f>
        <v>738.2</v>
      </c>
      <c r="K122" s="845">
        <f>'Haver Pivoted'!GV83</f>
        <v>765.2</v>
      </c>
      <c r="L122" s="845">
        <f>'Haver Pivoted'!GW83</f>
        <v>780.3</v>
      </c>
      <c r="M122" s="845">
        <f>'Haver Pivoted'!GX83</f>
        <v>791.6</v>
      </c>
      <c r="N122" s="845">
        <f>'Haver Pivoted'!GY83</f>
        <v>807.2</v>
      </c>
      <c r="O122" s="845">
        <f>'Haver Pivoted'!GZ83</f>
        <v>822.4</v>
      </c>
      <c r="P122" s="845">
        <f>'Haver Pivoted'!HA83</f>
        <v>835.5</v>
      </c>
      <c r="Q122" s="845">
        <f>'Haver Pivoted'!HB83</f>
        <v>837.2</v>
      </c>
      <c r="R122" s="845">
        <f>'Haver Pivoted'!HC83</f>
        <v>875.3</v>
      </c>
      <c r="S122" s="287">
        <f>'Haver Pivoted'!HD83</f>
        <v>893.1</v>
      </c>
      <c r="T122" s="287">
        <f>'Haver Pivoted'!HE83</f>
        <v>907.5</v>
      </c>
      <c r="U122" s="287">
        <f>'Haver Pivoted'!HF83</f>
        <v>945.8</v>
      </c>
      <c r="V122" s="287">
        <f>'Haver Pivoted'!HG83</f>
        <v>961.1</v>
      </c>
      <c r="W122" s="287">
        <f>'Haver Pivoted'!HH83</f>
        <v>974.4</v>
      </c>
      <c r="X122" s="287">
        <f>'Haver Pivoted'!HI83</f>
        <v>986.9</v>
      </c>
      <c r="Y122" s="282"/>
      <c r="Z122" s="282"/>
      <c r="AA122" s="282"/>
      <c r="AB122" s="282"/>
      <c r="AC122" s="282"/>
      <c r="AD122" s="282"/>
      <c r="AE122" s="282"/>
      <c r="AF122" s="282"/>
      <c r="AG122" s="282"/>
    </row>
    <row r="123" spans="4:33" x14ac:dyDescent="0.35">
      <c r="D123" s="831" t="s">
        <v>517</v>
      </c>
      <c r="E123" s="202" t="s">
        <v>787</v>
      </c>
      <c r="F123" s="742">
        <f>'Haver Pivoted'!GQ84</f>
        <v>2963.1</v>
      </c>
      <c r="G123" s="845">
        <f>'Haver Pivoted'!GR84</f>
        <v>2962.3</v>
      </c>
      <c r="H123" s="845">
        <f>'Haver Pivoted'!GS84</f>
        <v>2952.8</v>
      </c>
      <c r="I123" s="845">
        <f>'Haver Pivoted'!GT84</f>
        <v>2926.1</v>
      </c>
      <c r="J123" s="845">
        <f>'Haver Pivoted'!GU84</f>
        <v>2869.8</v>
      </c>
      <c r="K123" s="845">
        <f>'Haver Pivoted'!GV84</f>
        <v>2865</v>
      </c>
      <c r="L123" s="845">
        <f>'Haver Pivoted'!GW84</f>
        <v>2994</v>
      </c>
      <c r="M123" s="845">
        <f>'Haver Pivoted'!GX84</f>
        <v>3079.2</v>
      </c>
      <c r="N123" s="845">
        <f>'Haver Pivoted'!GY84</f>
        <v>3198.3</v>
      </c>
      <c r="O123" s="845">
        <f>'Haver Pivoted'!GZ84</f>
        <v>3262.6</v>
      </c>
      <c r="P123" s="845">
        <f>'Haver Pivoted'!HA84</f>
        <v>3318.6</v>
      </c>
      <c r="Q123" s="845">
        <f>'Haver Pivoted'!HB84</f>
        <v>3342.2</v>
      </c>
      <c r="R123" s="845">
        <f>'Haver Pivoted'!HC84</f>
        <v>3407</v>
      </c>
      <c r="S123" s="287">
        <f>'Haver Pivoted'!HD84</f>
        <v>3453.4</v>
      </c>
      <c r="T123" s="287">
        <f>'Haver Pivoted'!HE84</f>
        <v>3525.4</v>
      </c>
      <c r="U123" s="287">
        <f>'Haver Pivoted'!HF84</f>
        <v>3577</v>
      </c>
      <c r="V123" s="287">
        <f>'Haver Pivoted'!HG84</f>
        <v>3602.6</v>
      </c>
      <c r="W123" s="287">
        <f>'Haver Pivoted'!HH84</f>
        <v>3606.5</v>
      </c>
      <c r="X123" s="287">
        <f>'Haver Pivoted'!HI84</f>
        <v>3669.1</v>
      </c>
      <c r="Y123" s="282"/>
      <c r="Z123" s="282"/>
      <c r="AA123" s="282"/>
      <c r="AB123" s="282"/>
      <c r="AC123" s="282"/>
      <c r="AD123" s="282"/>
      <c r="AE123" s="282"/>
      <c r="AF123" s="282"/>
      <c r="AG123" s="282"/>
    </row>
    <row r="124" spans="4:33" x14ac:dyDescent="0.35">
      <c r="D124" s="629" t="s">
        <v>503</v>
      </c>
      <c r="F124" s="742">
        <f>F120</f>
        <v>9284.9</v>
      </c>
      <c r="G124" s="845">
        <f t="shared" ref="G124:O124" si="63">G120</f>
        <v>9340.9</v>
      </c>
      <c r="H124" s="845">
        <f t="shared" si="63"/>
        <v>9488.2000000000007</v>
      </c>
      <c r="I124" s="845">
        <f t="shared" si="63"/>
        <v>9635.9</v>
      </c>
      <c r="J124" s="845">
        <f t="shared" si="63"/>
        <v>9004.6</v>
      </c>
      <c r="K124" s="845">
        <f t="shared" si="63"/>
        <v>9440.7000000000007</v>
      </c>
      <c r="L124" s="845">
        <f t="shared" si="63"/>
        <v>9807.7999999999993</v>
      </c>
      <c r="M124" s="845">
        <f t="shared" si="63"/>
        <v>9888.4</v>
      </c>
      <c r="N124" s="845">
        <f t="shared" si="63"/>
        <v>10180</v>
      </c>
      <c r="O124" s="845">
        <f t="shared" si="63"/>
        <v>10459.1</v>
      </c>
      <c r="P124" s="845">
        <f t="shared" ref="P124:T124" si="64">P120</f>
        <v>10766</v>
      </c>
      <c r="Q124" s="845">
        <f t="shared" si="64"/>
        <v>10902.1</v>
      </c>
      <c r="R124" s="845">
        <f t="shared" si="64"/>
        <v>11004.6</v>
      </c>
      <c r="S124" s="287">
        <f t="shared" si="64"/>
        <v>11287.6</v>
      </c>
      <c r="T124" s="287">
        <f t="shared" si="64"/>
        <v>11334.1</v>
      </c>
      <c r="U124" s="287">
        <f t="shared" ref="U124:W124" si="65">U120</f>
        <v>11581.9</v>
      </c>
      <c r="V124" s="287">
        <f t="shared" si="65"/>
        <v>11750.8</v>
      </c>
      <c r="W124" s="287">
        <f t="shared" si="65"/>
        <v>11912.1</v>
      </c>
      <c r="X124" s="287">
        <f t="shared" ref="X124" si="66">X120</f>
        <v>12045.4</v>
      </c>
      <c r="Y124" s="282"/>
      <c r="Z124" s="282"/>
      <c r="AA124" s="282"/>
      <c r="AB124" s="282"/>
      <c r="AC124" s="282"/>
      <c r="AD124" s="282"/>
      <c r="AE124" s="282"/>
      <c r="AF124" s="282"/>
      <c r="AG124" s="282"/>
    </row>
    <row r="125" spans="4:33" x14ac:dyDescent="0.35">
      <c r="D125" s="629" t="s">
        <v>504</v>
      </c>
      <c r="E125" s="202" t="s">
        <v>521</v>
      </c>
      <c r="F125" s="742">
        <f>'Haver Pivoted'!GQ5</f>
        <v>14336.8</v>
      </c>
      <c r="G125" s="845">
        <f>'Haver Pivoted'!GR5</f>
        <v>14517.7</v>
      </c>
      <c r="H125" s="845">
        <f>'Haver Pivoted'!GS5</f>
        <v>14668</v>
      </c>
      <c r="I125" s="845">
        <f>'Haver Pivoted'!GT5</f>
        <v>14473.1</v>
      </c>
      <c r="J125" s="845">
        <f>'Haver Pivoted'!GU5</f>
        <v>13168.9</v>
      </c>
      <c r="K125" s="845">
        <f>'Haver Pivoted'!GV5</f>
        <v>14456.2</v>
      </c>
      <c r="L125" s="845">
        <f>'Haver Pivoted'!GW5</f>
        <v>14726.7</v>
      </c>
      <c r="M125" s="845">
        <f>'Haver Pivoted'!GX5</f>
        <v>15217.7</v>
      </c>
      <c r="N125" s="845">
        <f>'Haver Pivoted'!GY5</f>
        <v>15950.9</v>
      </c>
      <c r="O125" s="845">
        <f>'Haver Pivoted'!GZ5</f>
        <v>16285.1</v>
      </c>
      <c r="P125" s="845">
        <f>'Haver Pivoted'!HA5</f>
        <v>16718.2</v>
      </c>
      <c r="Q125" s="845">
        <f>'Haver Pivoted'!HB5</f>
        <v>17030.599999999999</v>
      </c>
      <c r="R125" s="845">
        <f>'Haver Pivoted'!HC5</f>
        <v>17415.099999999999</v>
      </c>
      <c r="S125" s="287">
        <f>'Haver Pivoted'!HD5</f>
        <v>17684.2</v>
      </c>
      <c r="T125" s="287">
        <f>'Haver Pivoted'!HE5</f>
        <v>17917</v>
      </c>
      <c r="U125" s="287">
        <f>'Haver Pivoted'!HF5</f>
        <v>18269.599999999999</v>
      </c>
      <c r="V125" s="287">
        <f>'Haver Pivoted'!HG5</f>
        <v>18419</v>
      </c>
      <c r="W125" s="287">
        <f>'Haver Pivoted'!HH5</f>
        <v>18679.5</v>
      </c>
      <c r="X125" s="287">
        <f>'Haver Pivoted'!HI5</f>
        <v>18888.099999999999</v>
      </c>
      <c r="Y125" s="282"/>
      <c r="Z125" s="282"/>
      <c r="AA125" s="282"/>
      <c r="AB125" s="282"/>
      <c r="AC125" s="282"/>
      <c r="AD125" s="282"/>
      <c r="AE125" s="282"/>
      <c r="AF125" s="282"/>
      <c r="AG125" s="282"/>
    </row>
    <row r="126" spans="4:33" x14ac:dyDescent="0.35">
      <c r="D126" s="629" t="s">
        <v>518</v>
      </c>
      <c r="E126" s="202" t="s">
        <v>786</v>
      </c>
      <c r="F126" s="742">
        <f>'Haver Pivoted'!GQ85</f>
        <v>1896.6</v>
      </c>
      <c r="G126" s="845">
        <f>'Haver Pivoted'!GR85</f>
        <v>1975</v>
      </c>
      <c r="H126" s="845">
        <f>'Haver Pivoted'!GS85</f>
        <v>2006.6</v>
      </c>
      <c r="I126" s="845">
        <f>'Haver Pivoted'!GT85</f>
        <v>1751.4</v>
      </c>
      <c r="J126" s="845">
        <f>'Haver Pivoted'!GU85</f>
        <v>1644.9</v>
      </c>
      <c r="K126" s="845">
        <f>'Haver Pivoted'!GV85</f>
        <v>2284</v>
      </c>
      <c r="L126" s="845">
        <f>'Haver Pivoted'!GW85</f>
        <v>2059.6</v>
      </c>
      <c r="M126" s="845">
        <f>'Haver Pivoted'!GX85</f>
        <v>2280.4</v>
      </c>
      <c r="N126" s="845">
        <f>'Haver Pivoted'!GY85</f>
        <v>2580</v>
      </c>
      <c r="O126" s="845">
        <f>'Haver Pivoted'!GZ85</f>
        <v>2541.1</v>
      </c>
      <c r="P126" s="845">
        <f>'Haver Pivoted'!HA85</f>
        <v>2555</v>
      </c>
      <c r="Q126" s="845">
        <f>'Haver Pivoted'!HB85</f>
        <v>2604.4</v>
      </c>
      <c r="R126" s="287">
        <f>'Haver Pivoted'!HC85</f>
        <v>2781.5</v>
      </c>
      <c r="S126" s="287">
        <f>'Haver Pivoted'!HD85</f>
        <v>2809</v>
      </c>
      <c r="T126" s="287">
        <f>'Haver Pivoted'!HE85</f>
        <v>2748.4</v>
      </c>
      <c r="U126" s="287">
        <f>'Haver Pivoted'!HF85</f>
        <v>2673.1</v>
      </c>
      <c r="V126" s="287">
        <f>'Haver Pivoted'!HG85</f>
        <v>2658</v>
      </c>
      <c r="W126" s="287">
        <f>'Haver Pivoted'!HH85</f>
        <v>2757.8</v>
      </c>
      <c r="X126" s="287">
        <f>'Haver Pivoted'!HI85</f>
        <v>0</v>
      </c>
      <c r="Y126" s="282"/>
      <c r="Z126" s="282"/>
      <c r="AA126" s="282"/>
      <c r="AB126" s="282"/>
      <c r="AC126" s="282"/>
      <c r="AD126" s="282"/>
      <c r="AE126" s="282"/>
      <c r="AF126" s="282"/>
      <c r="AG126" s="282"/>
    </row>
    <row r="127" spans="4:33" x14ac:dyDescent="0.35">
      <c r="D127" s="894" t="s">
        <v>519</v>
      </c>
      <c r="F127" s="237"/>
      <c r="G127" s="195"/>
      <c r="H127" s="195"/>
      <c r="I127" s="195"/>
      <c r="J127" s="195"/>
      <c r="K127" s="195"/>
      <c r="L127" s="195"/>
      <c r="M127" s="195"/>
      <c r="N127" s="195"/>
      <c r="O127" s="195"/>
      <c r="P127" s="195"/>
      <c r="Q127" s="195"/>
      <c r="R127" s="195"/>
      <c r="S127" s="195"/>
      <c r="T127" s="195"/>
      <c r="U127" s="195"/>
      <c r="V127" s="195"/>
      <c r="W127" s="195"/>
      <c r="X127" s="195"/>
      <c r="Y127" s="195"/>
      <c r="Z127" s="195"/>
      <c r="AA127" s="195"/>
      <c r="AB127" s="195"/>
      <c r="AC127" s="195"/>
      <c r="AD127" s="195"/>
      <c r="AE127" s="195"/>
      <c r="AF127" s="195"/>
      <c r="AG127" s="195"/>
    </row>
    <row r="128" spans="4:33" x14ac:dyDescent="0.35">
      <c r="D128" s="805" t="s">
        <v>486</v>
      </c>
      <c r="F128" s="754">
        <f t="shared" ref="F128:W128" si="67">F22/F119</f>
        <v>3.6876910944784937E-2</v>
      </c>
      <c r="G128" s="795">
        <f t="shared" si="67"/>
        <v>3.4178171577718248E-2</v>
      </c>
      <c r="H128" s="795">
        <f t="shared" si="67"/>
        <v>3.3125394551958669E-2</v>
      </c>
      <c r="I128" s="795">
        <f t="shared" si="67"/>
        <v>3.2807816889103933E-2</v>
      </c>
      <c r="J128" s="795">
        <f t="shared" si="67"/>
        <v>3.4262448214145647E-2</v>
      </c>
      <c r="K128" s="795">
        <f t="shared" si="67"/>
        <v>3.4919559695173574E-2</v>
      </c>
      <c r="L128" s="795">
        <f t="shared" si="67"/>
        <v>3.4647064614576839E-2</v>
      </c>
      <c r="M128" s="795">
        <f t="shared" si="67"/>
        <v>3.6614014822121559E-2</v>
      </c>
      <c r="N128" s="795">
        <f t="shared" si="67"/>
        <v>3.6669672377517282E-2</v>
      </c>
      <c r="O128" s="795">
        <f t="shared" si="67"/>
        <v>3.6102320513683742E-2</v>
      </c>
      <c r="P128" s="795">
        <f t="shared" si="67"/>
        <v>3.8126224587010836E-2</v>
      </c>
      <c r="Q128" s="795">
        <f t="shared" si="67"/>
        <v>3.8953788774134537E-2</v>
      </c>
      <c r="R128" s="795">
        <f t="shared" si="67"/>
        <v>3.8396839631212161E-2</v>
      </c>
      <c r="S128" s="793">
        <f t="shared" si="67"/>
        <v>3.5272195625376257E-2</v>
      </c>
      <c r="T128" s="793">
        <f t="shared" si="67"/>
        <v>3.4424151475361382E-2</v>
      </c>
      <c r="U128" s="751">
        <f t="shared" si="67"/>
        <v>3.2494799828240981E-2</v>
      </c>
      <c r="V128" s="751">
        <f t="shared" si="67"/>
        <v>2.9153297387891016E-2</v>
      </c>
      <c r="W128" s="751">
        <f t="shared" si="67"/>
        <v>3.1417891742859326E-2</v>
      </c>
      <c r="X128" s="751">
        <f t="shared" ref="X128" si="68">X22/X119</f>
        <v>3.0939149240643209E-2</v>
      </c>
      <c r="Y128" s="794">
        <f t="shared" ref="Y128:AC130" si="69">X128</f>
        <v>3.0939149240643209E-2</v>
      </c>
      <c r="Z128" s="794">
        <f t="shared" si="69"/>
        <v>3.0939149240643209E-2</v>
      </c>
      <c r="AA128" s="794">
        <f t="shared" si="69"/>
        <v>3.0939149240643209E-2</v>
      </c>
      <c r="AB128" s="794">
        <f t="shared" si="69"/>
        <v>3.0939149240643209E-2</v>
      </c>
      <c r="AC128" s="794">
        <f t="shared" si="69"/>
        <v>3.0939149240643209E-2</v>
      </c>
      <c r="AD128" s="794">
        <f t="shared" ref="AD128:AD131" si="70">AC128</f>
        <v>3.0939149240643209E-2</v>
      </c>
      <c r="AE128" s="794">
        <f t="shared" ref="AE128:AE131" si="71">AD128</f>
        <v>3.0939149240643209E-2</v>
      </c>
      <c r="AF128" s="794">
        <f t="shared" ref="AF128:AF131" si="72">AE128</f>
        <v>3.0939149240643209E-2</v>
      </c>
      <c r="AG128" s="794">
        <f t="shared" ref="AG128:AG131" si="73">AF128</f>
        <v>3.0939149240643209E-2</v>
      </c>
    </row>
    <row r="129" spans="4:33" x14ac:dyDescent="0.35">
      <c r="D129" s="805" t="s">
        <v>483</v>
      </c>
      <c r="F129" s="754">
        <f t="shared" ref="F129:W129" si="74">F24/F124</f>
        <v>2.240196447996209E-3</v>
      </c>
      <c r="G129" s="795">
        <f t="shared" si="74"/>
        <v>2.2053549443843742E-3</v>
      </c>
      <c r="H129" s="795">
        <f t="shared" si="74"/>
        <v>2.1500389958053158E-3</v>
      </c>
      <c r="I129" s="795">
        <f t="shared" si="74"/>
        <v>2.106705133926255E-3</v>
      </c>
      <c r="J129" s="795">
        <f t="shared" si="74"/>
        <v>2.1433489549785665E-3</v>
      </c>
      <c r="K129" s="795">
        <f t="shared" si="74"/>
        <v>2.1078945417183047E-3</v>
      </c>
      <c r="L129" s="795">
        <f t="shared" si="74"/>
        <v>2.1105650604620811E-3</v>
      </c>
      <c r="M129" s="795">
        <f t="shared" si="74"/>
        <v>2.1540390760891553E-3</v>
      </c>
      <c r="N129" s="795">
        <f t="shared" si="74"/>
        <v>2.1611001964636544E-3</v>
      </c>
      <c r="O129" s="795">
        <f t="shared" si="74"/>
        <v>2.1607977741870715E-3</v>
      </c>
      <c r="P129" s="795">
        <f t="shared" si="74"/>
        <v>2.1270666914360021E-3</v>
      </c>
      <c r="Q129" s="795">
        <f t="shared" si="74"/>
        <v>2.1005127452509149E-3</v>
      </c>
      <c r="R129" s="795">
        <f t="shared" si="74"/>
        <v>2.0536866401323086E-3</v>
      </c>
      <c r="S129" s="793">
        <f t="shared" si="74"/>
        <v>1.9844785428257557E-3</v>
      </c>
      <c r="T129" s="793">
        <f t="shared" si="74"/>
        <v>1.9410451645918069E-3</v>
      </c>
      <c r="U129" s="751">
        <f t="shared" si="74"/>
        <v>1.8563448138906398E-3</v>
      </c>
      <c r="V129" s="751">
        <f t="shared" si="74"/>
        <v>1.8211526023760084E-3</v>
      </c>
      <c r="W129" s="751">
        <f t="shared" si="74"/>
        <v>1.8384667690835366E-3</v>
      </c>
      <c r="X129" s="751">
        <f t="shared" ref="X129" si="75">X24/X124</f>
        <v>1.8928387600245739E-3</v>
      </c>
      <c r="Y129" s="794">
        <f t="shared" si="69"/>
        <v>1.8928387600245739E-3</v>
      </c>
      <c r="Z129" s="794">
        <f t="shared" si="69"/>
        <v>1.8928387600245739E-3</v>
      </c>
      <c r="AA129" s="794">
        <f t="shared" si="69"/>
        <v>1.8928387600245739E-3</v>
      </c>
      <c r="AB129" s="794">
        <f t="shared" si="69"/>
        <v>1.8928387600245739E-3</v>
      </c>
      <c r="AC129" s="794">
        <f t="shared" si="69"/>
        <v>1.8928387600245739E-3</v>
      </c>
      <c r="AD129" s="794">
        <f t="shared" si="70"/>
        <v>1.8928387600245739E-3</v>
      </c>
      <c r="AE129" s="794">
        <f t="shared" si="71"/>
        <v>1.8928387600245739E-3</v>
      </c>
      <c r="AF129" s="794">
        <f t="shared" si="72"/>
        <v>1.8928387600245739E-3</v>
      </c>
      <c r="AG129" s="794">
        <f t="shared" si="73"/>
        <v>1.8928387600245739E-3</v>
      </c>
    </row>
    <row r="130" spans="4:33" x14ac:dyDescent="0.35">
      <c r="D130" s="805" t="s">
        <v>484</v>
      </c>
      <c r="F130" s="754">
        <f t="shared" ref="F130:W130" si="76">F25/F125</f>
        <v>9.4079571452485911E-2</v>
      </c>
      <c r="G130" s="795">
        <f t="shared" si="76"/>
        <v>9.4656867134601211E-2</v>
      </c>
      <c r="H130" s="795">
        <f t="shared" si="76"/>
        <v>9.381647122988819E-2</v>
      </c>
      <c r="I130" s="795">
        <f t="shared" si="76"/>
        <v>9.5307846971277754E-2</v>
      </c>
      <c r="J130" s="795">
        <f t="shared" si="76"/>
        <v>9.7996036115393093E-2</v>
      </c>
      <c r="K130" s="795">
        <f t="shared" si="76"/>
        <v>9.5855065646573784E-2</v>
      </c>
      <c r="L130" s="795">
        <f t="shared" si="76"/>
        <v>9.5404944760197466E-2</v>
      </c>
      <c r="M130" s="795">
        <f t="shared" si="76"/>
        <v>9.3364963167890017E-2</v>
      </c>
      <c r="N130" s="795">
        <f t="shared" si="76"/>
        <v>9.3700042003899461E-2</v>
      </c>
      <c r="O130" s="795">
        <f t="shared" si="76"/>
        <v>9.2311376657189692E-2</v>
      </c>
      <c r="P130" s="795">
        <f t="shared" si="76"/>
        <v>9.298249811582586E-2</v>
      </c>
      <c r="Q130" s="795">
        <f t="shared" si="76"/>
        <v>9.2956208236938218E-2</v>
      </c>
      <c r="R130" s="795">
        <f t="shared" si="76"/>
        <v>9.2425538756596287E-2</v>
      </c>
      <c r="S130" s="793">
        <f t="shared" si="76"/>
        <v>9.2274459687178373E-2</v>
      </c>
      <c r="T130" s="793">
        <f t="shared" si="76"/>
        <v>9.1510855611988615E-2</v>
      </c>
      <c r="U130" s="751">
        <f t="shared" si="76"/>
        <v>9.0538380697990112E-2</v>
      </c>
      <c r="V130" s="751">
        <f t="shared" si="76"/>
        <v>8.9375101797057391E-2</v>
      </c>
      <c r="W130" s="751">
        <f t="shared" si="76"/>
        <v>8.8824647340667584E-2</v>
      </c>
      <c r="X130" s="751">
        <f t="shared" ref="X130" si="77">X25/X125</f>
        <v>8.8293687559892212E-2</v>
      </c>
      <c r="Y130" s="794">
        <f t="shared" si="69"/>
        <v>8.8293687559892212E-2</v>
      </c>
      <c r="Z130" s="794">
        <f t="shared" si="69"/>
        <v>8.8293687559892212E-2</v>
      </c>
      <c r="AA130" s="794">
        <f t="shared" si="69"/>
        <v>8.8293687559892212E-2</v>
      </c>
      <c r="AB130" s="794">
        <f t="shared" si="69"/>
        <v>8.8293687559892212E-2</v>
      </c>
      <c r="AC130" s="794">
        <f t="shared" si="69"/>
        <v>8.8293687559892212E-2</v>
      </c>
      <c r="AD130" s="794">
        <f t="shared" si="70"/>
        <v>8.8293687559892212E-2</v>
      </c>
      <c r="AE130" s="794">
        <f t="shared" si="71"/>
        <v>8.8293687559892212E-2</v>
      </c>
      <c r="AF130" s="794">
        <f t="shared" si="72"/>
        <v>8.8293687559892212E-2</v>
      </c>
      <c r="AG130" s="794">
        <f t="shared" si="73"/>
        <v>8.8293687559892212E-2</v>
      </c>
    </row>
    <row r="131" spans="4:33" x14ac:dyDescent="0.35">
      <c r="D131" s="732" t="s">
        <v>520</v>
      </c>
      <c r="E131" s="317"/>
      <c r="F131" s="738">
        <f t="shared" ref="F131:W131" si="78">F26/F126</f>
        <v>3.9386270167668463E-2</v>
      </c>
      <c r="G131" s="739">
        <f t="shared" si="78"/>
        <v>3.7569620253164557E-2</v>
      </c>
      <c r="H131" s="739">
        <f t="shared" si="78"/>
        <v>3.5732084122396097E-2</v>
      </c>
      <c r="I131" s="739">
        <f t="shared" si="78"/>
        <v>3.7569944044764186E-2</v>
      </c>
      <c r="J131" s="739">
        <f t="shared" si="78"/>
        <v>3.8725758404766247E-2</v>
      </c>
      <c r="K131" s="739">
        <f t="shared" si="78"/>
        <v>3.4851138353765319E-2</v>
      </c>
      <c r="L131" s="739">
        <f t="shared" si="78"/>
        <v>3.99592153816275E-2</v>
      </c>
      <c r="M131" s="739">
        <f t="shared" si="78"/>
        <v>3.7931941764602697E-2</v>
      </c>
      <c r="N131" s="739">
        <f t="shared" si="78"/>
        <v>3.6937984496124031E-2</v>
      </c>
      <c r="O131" s="739">
        <f t="shared" si="78"/>
        <v>4.3957341308881979E-2</v>
      </c>
      <c r="P131" s="739">
        <f t="shared" si="78"/>
        <v>5.8747553816046967E-2</v>
      </c>
      <c r="Q131" s="739">
        <f t="shared" si="78"/>
        <v>7.0726462908923357E-2</v>
      </c>
      <c r="R131" s="752">
        <f t="shared" si="78"/>
        <v>5.1590868236563003E-2</v>
      </c>
      <c r="S131" s="752">
        <f t="shared" si="78"/>
        <v>5.2046991812032747E-2</v>
      </c>
      <c r="T131" s="859">
        <f t="shared" si="78"/>
        <v>5.8397613156745742E-2</v>
      </c>
      <c r="U131" s="796">
        <f t="shared" si="78"/>
        <v>6.4531816991507993E-2</v>
      </c>
      <c r="V131" s="796">
        <f t="shared" si="78"/>
        <v>5.6696764484574863E-2</v>
      </c>
      <c r="W131" s="796">
        <f t="shared" si="78"/>
        <v>5.3919791137863507E-2</v>
      </c>
      <c r="X131" s="749">
        <f>W131</f>
        <v>5.3919791137863507E-2</v>
      </c>
      <c r="Y131" s="749">
        <f t="shared" ref="Y131:AC131" si="79">X131</f>
        <v>5.3919791137863507E-2</v>
      </c>
      <c r="Z131" s="749">
        <f t="shared" si="79"/>
        <v>5.3919791137863507E-2</v>
      </c>
      <c r="AA131" s="749">
        <f t="shared" si="79"/>
        <v>5.3919791137863507E-2</v>
      </c>
      <c r="AB131" s="749">
        <f t="shared" si="79"/>
        <v>5.3919791137863507E-2</v>
      </c>
      <c r="AC131" s="794">
        <f t="shared" si="79"/>
        <v>5.3919791137863507E-2</v>
      </c>
      <c r="AD131" s="794">
        <f t="shared" si="70"/>
        <v>5.3919791137863507E-2</v>
      </c>
      <c r="AE131" s="794">
        <f t="shared" si="71"/>
        <v>5.3919791137863507E-2</v>
      </c>
      <c r="AF131" s="794">
        <f t="shared" si="72"/>
        <v>5.3919791137863507E-2</v>
      </c>
      <c r="AG131" s="794">
        <f t="shared" si="73"/>
        <v>5.3919791137863507E-2</v>
      </c>
    </row>
    <row r="135" spans="4:33" x14ac:dyDescent="0.35">
      <c r="D135" s="1404" t="s">
        <v>1710</v>
      </c>
      <c r="E135" s="1404"/>
      <c r="F135" s="1404"/>
      <c r="G135" s="1404"/>
      <c r="H135" s="1404"/>
      <c r="I135" s="1404"/>
      <c r="J135" s="1404"/>
      <c r="K135" s="1404"/>
      <c r="L135" s="1404"/>
      <c r="M135" s="1404"/>
      <c r="N135" s="1404"/>
      <c r="O135" s="1404"/>
      <c r="P135" s="1404"/>
      <c r="Q135" s="1404"/>
      <c r="R135" s="1404"/>
      <c r="S135" s="1404"/>
      <c r="T135" s="1404"/>
      <c r="U135" s="1404"/>
      <c r="V135" s="1404"/>
      <c r="W135" s="1404"/>
      <c r="X135" s="1404"/>
      <c r="Y135" s="1404"/>
      <c r="Z135" s="1404"/>
      <c r="AA135" s="1404"/>
      <c r="AB135" s="1404"/>
      <c r="AC135" s="1404"/>
    </row>
    <row r="136" spans="4:33" x14ac:dyDescent="0.35">
      <c r="D136" s="895" t="s">
        <v>1703</v>
      </c>
      <c r="E136" s="404"/>
      <c r="F136" s="250"/>
      <c r="G136" s="250"/>
      <c r="H136" s="250"/>
      <c r="I136" s="250"/>
      <c r="J136" s="250"/>
      <c r="K136" s="250"/>
      <c r="L136" s="250"/>
      <c r="M136" s="250"/>
      <c r="N136" s="250"/>
      <c r="O136" s="250"/>
      <c r="P136" s="250"/>
      <c r="Q136" s="250"/>
      <c r="R136" s="250"/>
      <c r="S136" s="806"/>
      <c r="T136" s="250"/>
      <c r="U136" s="254"/>
      <c r="V136" s="254"/>
      <c r="W136" s="254"/>
      <c r="X136" s="254"/>
      <c r="Y136" s="254"/>
      <c r="Z136" s="254"/>
      <c r="AA136" s="254"/>
      <c r="AB136" s="254"/>
      <c r="AC136" s="182"/>
    </row>
    <row r="137" spans="4:33" x14ac:dyDescent="0.35">
      <c r="D137" s="860" t="s">
        <v>514</v>
      </c>
      <c r="E137" s="861"/>
      <c r="F137" s="862"/>
      <c r="G137" s="862">
        <f>(G119/F119)^4-1</f>
        <v>2.8749393280061097E-2</v>
      </c>
      <c r="H137" s="862">
        <f t="shared" ref="H137:S137" si="80">(H119/G119)^4-1</f>
        <v>4.835619208374009E-2</v>
      </c>
      <c r="I137" s="862">
        <f t="shared" si="80"/>
        <v>4.0990394317915957E-2</v>
      </c>
      <c r="J137" s="862">
        <f t="shared" si="80"/>
        <v>-0.21110677102287756</v>
      </c>
      <c r="K137" s="862">
        <f t="shared" si="80"/>
        <v>0.22783396531706446</v>
      </c>
      <c r="L137" s="862">
        <f t="shared" si="80"/>
        <v>0.13475269153096958</v>
      </c>
      <c r="M137" s="862">
        <f t="shared" si="80"/>
        <v>4.6169492161351133E-2</v>
      </c>
      <c r="N137" s="862">
        <f t="shared" si="80"/>
        <v>0.15354153816413141</v>
      </c>
      <c r="O137" s="862">
        <f t="shared" si="80"/>
        <v>9.5222733313579777E-2</v>
      </c>
      <c r="P137" s="862">
        <f t="shared" si="80"/>
        <v>8.911535984386032E-2</v>
      </c>
      <c r="Q137" s="862">
        <f t="shared" si="80"/>
        <v>3.6094141365687449E-2</v>
      </c>
      <c r="R137" s="862">
        <f t="shared" si="80"/>
        <v>5.413631344975145E-2</v>
      </c>
      <c r="S137" s="862">
        <f t="shared" si="80"/>
        <v>9.2161469921289818E-2</v>
      </c>
      <c r="T137" s="863"/>
      <c r="U137" s="282"/>
      <c r="V137" s="282"/>
      <c r="W137" s="282"/>
      <c r="X137" s="282"/>
      <c r="Y137" s="282"/>
      <c r="Z137" s="282"/>
      <c r="AA137" s="282"/>
      <c r="AB137" s="282"/>
      <c r="AC137" s="393"/>
    </row>
    <row r="138" spans="4:33" x14ac:dyDescent="0.35">
      <c r="D138" s="864" t="s">
        <v>788</v>
      </c>
      <c r="E138" s="865"/>
      <c r="F138" s="862"/>
      <c r="G138" s="862">
        <f t="shared" ref="G138:S138" si="81">(G120/F120)^4-1</f>
        <v>2.4344330774321188E-2</v>
      </c>
      <c r="H138" s="862">
        <f t="shared" si="81"/>
        <v>6.458521711215659E-2</v>
      </c>
      <c r="I138" s="862">
        <f t="shared" si="81"/>
        <v>6.3735896602801656E-2</v>
      </c>
      <c r="J138" s="862">
        <f t="shared" si="81"/>
        <v>-0.23741446237196107</v>
      </c>
      <c r="K138" s="862">
        <f t="shared" si="81"/>
        <v>0.20825635125685005</v>
      </c>
      <c r="L138" s="862">
        <f t="shared" si="81"/>
        <v>0.16484895945116618</v>
      </c>
      <c r="M138" s="862">
        <f t="shared" si="81"/>
        <v>3.3279228577432596E-2</v>
      </c>
      <c r="N138" s="862">
        <f t="shared" si="81"/>
        <v>0.12327736678651791</v>
      </c>
      <c r="O138" s="862">
        <f t="shared" si="81"/>
        <v>0.11425899665317862</v>
      </c>
      <c r="P138" s="862">
        <f t="shared" si="81"/>
        <v>0.12263929791752348</v>
      </c>
      <c r="Q138" s="862">
        <f t="shared" si="81"/>
        <v>5.1533573038161862E-2</v>
      </c>
      <c r="R138" s="862">
        <f t="shared" si="81"/>
        <v>3.8141135194219355E-2</v>
      </c>
      <c r="S138" s="862">
        <f t="shared" si="81"/>
        <v>0.10690257689405547</v>
      </c>
      <c r="T138" s="863"/>
      <c r="U138" s="282"/>
      <c r="V138" s="282"/>
      <c r="W138" s="282"/>
      <c r="X138" s="282"/>
      <c r="Y138" s="282"/>
      <c r="Z138" s="282"/>
      <c r="AA138" s="282"/>
      <c r="AB138" s="282"/>
      <c r="AC138" s="393"/>
    </row>
    <row r="139" spans="4:33" x14ac:dyDescent="0.35">
      <c r="D139" s="864" t="s">
        <v>515</v>
      </c>
      <c r="E139" s="865"/>
      <c r="F139" s="862"/>
      <c r="G139" s="862">
        <f t="shared" ref="G139:S139" si="82">(G121/F121)^4-1</f>
        <v>9.8940383820250055E-2</v>
      </c>
      <c r="H139" s="862">
        <f t="shared" si="82"/>
        <v>2.8319568411775409E-2</v>
      </c>
      <c r="I139" s="862">
        <f t="shared" si="82"/>
        <v>-8.5739008681605666E-3</v>
      </c>
      <c r="J139" s="862">
        <f t="shared" si="82"/>
        <v>-0.35934262816006057</v>
      </c>
      <c r="K139" s="862">
        <f t="shared" si="82"/>
        <v>1.0628477511227197</v>
      </c>
      <c r="L139" s="862">
        <f t="shared" si="82"/>
        <v>-8.510473536398655E-2</v>
      </c>
      <c r="M139" s="862">
        <f t="shared" si="82"/>
        <v>-1.0116134762455764E-2</v>
      </c>
      <c r="N139" s="862">
        <f t="shared" si="82"/>
        <v>0.36625083933278457</v>
      </c>
      <c r="O139" s="862">
        <f t="shared" si="82"/>
        <v>1.9648773635073002E-2</v>
      </c>
      <c r="P139" s="862">
        <f t="shared" si="82"/>
        <v>-5.1624450555260104E-2</v>
      </c>
      <c r="Q139" s="862">
        <f t="shared" si="82"/>
        <v>-2.8627082405951798E-2</v>
      </c>
      <c r="R139" s="862">
        <f t="shared" si="82"/>
        <v>4.1627414399892038E-2</v>
      </c>
      <c r="S139" s="862">
        <f t="shared" si="82"/>
        <v>7.6492470624414111E-2</v>
      </c>
      <c r="T139" s="863"/>
      <c r="U139" s="282"/>
      <c r="V139" s="282"/>
      <c r="W139" s="282"/>
      <c r="X139" s="282"/>
      <c r="Y139" s="282"/>
      <c r="Z139" s="282"/>
      <c r="AA139" s="282"/>
      <c r="AB139" s="282"/>
      <c r="AC139" s="393"/>
    </row>
    <row r="140" spans="4:33" x14ac:dyDescent="0.35">
      <c r="D140" s="864" t="s">
        <v>516</v>
      </c>
      <c r="E140" s="865"/>
      <c r="F140" s="862"/>
      <c r="G140" s="862">
        <f t="shared" ref="G140:S140" si="83">(G122/F122)^4-1</f>
        <v>6.6826407149440659E-2</v>
      </c>
      <c r="H140" s="862">
        <f t="shared" si="83"/>
        <v>0.14817313810277866</v>
      </c>
      <c r="I140" s="862">
        <f t="shared" si="83"/>
        <v>0.18711939115613641</v>
      </c>
      <c r="J140" s="862">
        <f t="shared" si="83"/>
        <v>-1.4497377499696595E-2</v>
      </c>
      <c r="K140" s="862">
        <f t="shared" si="83"/>
        <v>0.15452590504057984</v>
      </c>
      <c r="L140" s="862">
        <f t="shared" si="83"/>
        <v>8.1300944253331897E-2</v>
      </c>
      <c r="M140" s="862">
        <f t="shared" si="83"/>
        <v>5.9196932796567792E-2</v>
      </c>
      <c r="N140" s="862">
        <f t="shared" si="83"/>
        <v>8.1188632132453531E-2</v>
      </c>
      <c r="O140" s="862">
        <f t="shared" si="83"/>
        <v>7.7476467280115147E-2</v>
      </c>
      <c r="P140" s="862">
        <f t="shared" si="83"/>
        <v>6.5254580521259653E-2</v>
      </c>
      <c r="Q140" s="862">
        <f t="shared" si="83"/>
        <v>8.1637129935556718E-3</v>
      </c>
      <c r="R140" s="862">
        <f t="shared" si="83"/>
        <v>0.19484297690017338</v>
      </c>
      <c r="S140" s="862">
        <f t="shared" si="83"/>
        <v>8.3858639128562951E-2</v>
      </c>
      <c r="T140" s="863"/>
      <c r="U140" s="282"/>
      <c r="V140" s="282"/>
      <c r="W140" s="282"/>
      <c r="X140" s="282"/>
      <c r="Y140" s="282"/>
      <c r="Z140" s="282"/>
      <c r="AA140" s="282"/>
      <c r="AB140" s="282"/>
      <c r="AC140" s="393"/>
    </row>
    <row r="141" spans="4:33" x14ac:dyDescent="0.35">
      <c r="D141" s="864" t="s">
        <v>517</v>
      </c>
      <c r="E141" s="865"/>
      <c r="F141" s="862"/>
      <c r="G141" s="862">
        <f t="shared" ref="G141:S141" si="84">(G123/F123)^4-1</f>
        <v>-1.0795127714819941E-3</v>
      </c>
      <c r="H141" s="862">
        <f t="shared" si="84"/>
        <v>-1.2766294214684004E-2</v>
      </c>
      <c r="I141" s="862">
        <f t="shared" si="84"/>
        <v>-3.568143513043176E-2</v>
      </c>
      <c r="J141" s="862">
        <f t="shared" si="84"/>
        <v>-7.4769653961980542E-2</v>
      </c>
      <c r="K141" s="862">
        <f t="shared" si="84"/>
        <v>-6.6735950541658706E-3</v>
      </c>
      <c r="L141" s="862">
        <f t="shared" si="84"/>
        <v>0.19263809895026496</v>
      </c>
      <c r="M141" s="862">
        <f t="shared" si="84"/>
        <v>0.11877926392131299</v>
      </c>
      <c r="N141" s="862">
        <f t="shared" si="84"/>
        <v>0.16392554515507163</v>
      </c>
      <c r="O141" s="862">
        <f t="shared" si="84"/>
        <v>8.2875517920269814E-2</v>
      </c>
      <c r="P141" s="862">
        <f t="shared" si="84"/>
        <v>7.0444876940621848E-2</v>
      </c>
      <c r="Q141" s="862">
        <f t="shared" si="84"/>
        <v>2.8750606091571207E-2</v>
      </c>
      <c r="R141" s="862">
        <f t="shared" si="84"/>
        <v>7.9838468306118182E-2</v>
      </c>
      <c r="S141" s="862">
        <f t="shared" si="84"/>
        <v>5.559908334102559E-2</v>
      </c>
      <c r="T141" s="863"/>
      <c r="U141" s="282"/>
      <c r="V141" s="282"/>
      <c r="W141" s="282"/>
      <c r="X141" s="282"/>
      <c r="Y141" s="282"/>
      <c r="Z141" s="282"/>
      <c r="AA141" s="282"/>
      <c r="AB141" s="282"/>
      <c r="AC141" s="393"/>
    </row>
    <row r="142" spans="4:33" x14ac:dyDescent="0.35">
      <c r="D142" s="860" t="s">
        <v>503</v>
      </c>
      <c r="E142" s="861"/>
      <c r="F142" s="862"/>
      <c r="G142" s="862">
        <f t="shared" ref="G142:S142" si="85">(G124/F124)^4-1</f>
        <v>2.4344330774321188E-2</v>
      </c>
      <c r="H142" s="862">
        <f t="shared" si="85"/>
        <v>6.458521711215659E-2</v>
      </c>
      <c r="I142" s="862">
        <f t="shared" si="85"/>
        <v>6.3735896602801656E-2</v>
      </c>
      <c r="J142" s="862">
        <f t="shared" si="85"/>
        <v>-0.23741446237196107</v>
      </c>
      <c r="K142" s="862">
        <f t="shared" si="85"/>
        <v>0.20825635125685005</v>
      </c>
      <c r="L142" s="862">
        <f t="shared" si="85"/>
        <v>0.16484895945116618</v>
      </c>
      <c r="M142" s="862">
        <f t="shared" si="85"/>
        <v>3.3279228577432596E-2</v>
      </c>
      <c r="N142" s="862">
        <f t="shared" si="85"/>
        <v>0.12327736678651791</v>
      </c>
      <c r="O142" s="862">
        <f t="shared" si="85"/>
        <v>0.11425899665317862</v>
      </c>
      <c r="P142" s="862">
        <f t="shared" si="85"/>
        <v>0.12263929791752348</v>
      </c>
      <c r="Q142" s="862">
        <f t="shared" si="85"/>
        <v>5.1533573038161862E-2</v>
      </c>
      <c r="R142" s="862">
        <f t="shared" si="85"/>
        <v>3.8141135194219355E-2</v>
      </c>
      <c r="S142" s="862">
        <f t="shared" si="85"/>
        <v>0.10690257689405547</v>
      </c>
      <c r="T142" s="863"/>
      <c r="U142" s="282"/>
      <c r="V142" s="282"/>
      <c r="W142" s="282"/>
      <c r="X142" s="282"/>
      <c r="Y142" s="282"/>
      <c r="Z142" s="282"/>
      <c r="AA142" s="282"/>
      <c r="AB142" s="282"/>
      <c r="AC142" s="393"/>
    </row>
    <row r="143" spans="4:33" x14ac:dyDescent="0.35">
      <c r="D143" s="860" t="s">
        <v>504</v>
      </c>
      <c r="E143" s="865"/>
      <c r="F143" s="862"/>
      <c r="G143" s="862">
        <f t="shared" ref="G143:S143" si="86">(G125/F125)^4-1</f>
        <v>5.143483996947551E-2</v>
      </c>
      <c r="H143" s="862">
        <f t="shared" si="86"/>
        <v>4.2059061110245599E-2</v>
      </c>
      <c r="I143" s="862">
        <f t="shared" si="86"/>
        <v>-5.2099731854827525E-2</v>
      </c>
      <c r="J143" s="862">
        <f t="shared" si="86"/>
        <v>-0.31458793015184205</v>
      </c>
      <c r="K143" s="862">
        <f t="shared" si="86"/>
        <v>0.45217378617217441</v>
      </c>
      <c r="L143" s="862">
        <f t="shared" si="86"/>
        <v>7.697387214774043E-2</v>
      </c>
      <c r="M143" s="862">
        <f t="shared" si="86"/>
        <v>0.14018234924805895</v>
      </c>
      <c r="N143" s="862">
        <f t="shared" si="86"/>
        <v>0.2071040207465018</v>
      </c>
      <c r="O143" s="862">
        <f t="shared" si="86"/>
        <v>8.6478031973165059E-2</v>
      </c>
      <c r="P143" s="862">
        <f t="shared" si="86"/>
        <v>0.11069891254354447</v>
      </c>
      <c r="Q143" s="862">
        <f t="shared" si="86"/>
        <v>7.6866159166873782E-2</v>
      </c>
      <c r="R143" s="862">
        <f t="shared" si="86"/>
        <v>9.3412653381198307E-2</v>
      </c>
      <c r="S143" s="862">
        <f t="shared" si="86"/>
        <v>6.3255851262993046E-2</v>
      </c>
      <c r="T143" s="863"/>
      <c r="U143" s="282"/>
      <c r="V143" s="282"/>
      <c r="W143" s="282"/>
      <c r="X143" s="282"/>
      <c r="Y143" s="282"/>
      <c r="Z143" s="282"/>
      <c r="AA143" s="282"/>
      <c r="AB143" s="282"/>
      <c r="AC143" s="393"/>
    </row>
    <row r="144" spans="4:33" x14ac:dyDescent="0.35">
      <c r="D144" s="866" t="s">
        <v>518</v>
      </c>
      <c r="E144" s="867"/>
      <c r="F144" s="868"/>
      <c r="G144" s="868">
        <f t="shared" ref="G144:S144" si="87">(G126/F126)^4-1</f>
        <v>0.1758865286082909</v>
      </c>
      <c r="H144" s="868">
        <f t="shared" si="87"/>
        <v>6.5552449536000035E-2</v>
      </c>
      <c r="I144" s="868">
        <f t="shared" si="87"/>
        <v>-0.41963909421919576</v>
      </c>
      <c r="J144" s="868">
        <f t="shared" si="87"/>
        <v>-0.22193367207862924</v>
      </c>
      <c r="K144" s="868">
        <f t="shared" si="87"/>
        <v>2.7172895933690313</v>
      </c>
      <c r="L144" s="868">
        <f t="shared" si="87"/>
        <v>-0.33877824443000826</v>
      </c>
      <c r="M144" s="868">
        <f t="shared" si="87"/>
        <v>0.50283948391983824</v>
      </c>
      <c r="N144" s="868">
        <f t="shared" si="87"/>
        <v>0.63845566586397662</v>
      </c>
      <c r="O144" s="868">
        <f t="shared" si="87"/>
        <v>-5.8959746681685132E-2</v>
      </c>
      <c r="P144" s="868">
        <f t="shared" si="87"/>
        <v>2.206047378184639E-2</v>
      </c>
      <c r="Q144" s="868">
        <f t="shared" si="87"/>
        <v>7.9610572291598736E-2</v>
      </c>
      <c r="R144" s="868">
        <f t="shared" si="87"/>
        <v>0.30102460615002213</v>
      </c>
      <c r="S144" s="868">
        <f t="shared" si="87"/>
        <v>4.0137369361875175E-2</v>
      </c>
      <c r="T144" s="869"/>
      <c r="U144" s="232"/>
      <c r="V144" s="232"/>
      <c r="W144" s="232"/>
      <c r="X144" s="232"/>
      <c r="Y144" s="232"/>
      <c r="Z144" s="232"/>
      <c r="AA144" s="232"/>
      <c r="AB144" s="232"/>
      <c r="AC144" s="233"/>
    </row>
    <row r="147" spans="3:30" x14ac:dyDescent="0.35">
      <c r="D147" s="1404" t="s">
        <v>1711</v>
      </c>
      <c r="E147" s="1404"/>
      <c r="F147" s="1404"/>
      <c r="G147" s="1404"/>
      <c r="H147" s="1404"/>
      <c r="I147" s="1404"/>
      <c r="J147" s="1404"/>
      <c r="K147" s="1404"/>
      <c r="L147" s="1404"/>
      <c r="M147" s="1404"/>
      <c r="N147" s="1404"/>
      <c r="O147" s="1404"/>
      <c r="P147" s="1404"/>
      <c r="Q147" s="1405"/>
      <c r="R147" s="1405"/>
      <c r="S147" s="1405"/>
      <c r="T147" s="1405"/>
      <c r="U147" s="1404"/>
      <c r="V147" s="1404"/>
      <c r="W147" s="1404"/>
      <c r="X147" s="1404"/>
      <c r="Y147" s="1404"/>
      <c r="Z147" s="1404"/>
      <c r="AA147" s="1404"/>
      <c r="AB147" s="1404"/>
      <c r="AC147" s="1404"/>
    </row>
    <row r="148" spans="3:30" x14ac:dyDescent="0.35">
      <c r="D148" s="1386" t="s">
        <v>899</v>
      </c>
      <c r="E148" s="1401"/>
      <c r="F148" s="1278">
        <v>2019</v>
      </c>
      <c r="G148" s="1306"/>
      <c r="H148" s="1307"/>
      <c r="I148" s="1278">
        <v>2020</v>
      </c>
      <c r="J148" s="1306"/>
      <c r="K148" s="1306"/>
      <c r="L148" s="1307"/>
      <c r="M148" s="1278">
        <v>2021</v>
      </c>
      <c r="N148" s="1306"/>
      <c r="O148" s="1306"/>
      <c r="P148" s="1306"/>
      <c r="Q148" s="1278">
        <v>2022</v>
      </c>
      <c r="R148" s="1279"/>
      <c r="S148" s="1279"/>
      <c r="T148" s="1307"/>
      <c r="U148" s="258"/>
      <c r="V148" s="522">
        <v>2023</v>
      </c>
      <c r="W148" s="518"/>
      <c r="X148" s="222"/>
      <c r="Y148" s="1303">
        <v>2024</v>
      </c>
      <c r="Z148" s="1315"/>
      <c r="AA148" s="1315"/>
      <c r="AB148" s="1305"/>
      <c r="AC148" s="213">
        <v>2025</v>
      </c>
    </row>
    <row r="149" spans="3:30" x14ac:dyDescent="0.35">
      <c r="D149" s="1406"/>
      <c r="E149" s="1407"/>
      <c r="F149" s="148" t="s">
        <v>284</v>
      </c>
      <c r="G149" s="144" t="s">
        <v>238</v>
      </c>
      <c r="H149" s="145" t="s">
        <v>282</v>
      </c>
      <c r="I149" s="148" t="s">
        <v>283</v>
      </c>
      <c r="J149" s="144" t="s">
        <v>284</v>
      </c>
      <c r="K149" s="144" t="s">
        <v>238</v>
      </c>
      <c r="L149" s="145" t="s">
        <v>282</v>
      </c>
      <c r="M149" s="148" t="s">
        <v>283</v>
      </c>
      <c r="N149" s="144" t="s">
        <v>284</v>
      </c>
      <c r="O149" s="144" t="s">
        <v>238</v>
      </c>
      <c r="P149" s="144" t="s">
        <v>282</v>
      </c>
      <c r="Q149" s="148" t="s">
        <v>283</v>
      </c>
      <c r="R149" s="144" t="s">
        <v>284</v>
      </c>
      <c r="S149" s="144" t="s">
        <v>238</v>
      </c>
      <c r="T149" s="145" t="s">
        <v>282</v>
      </c>
      <c r="U149" s="145" t="s">
        <v>283</v>
      </c>
      <c r="V149" s="249" t="s">
        <v>284</v>
      </c>
      <c r="W149" s="232" t="s">
        <v>238</v>
      </c>
      <c r="X149" s="233" t="s">
        <v>282</v>
      </c>
      <c r="Y149" s="231" t="s">
        <v>283</v>
      </c>
      <c r="Z149" s="229" t="s">
        <v>284</v>
      </c>
      <c r="AA149" s="232" t="s">
        <v>238</v>
      </c>
      <c r="AB149" s="232" t="s">
        <v>282</v>
      </c>
      <c r="AC149" s="893" t="s">
        <v>283</v>
      </c>
    </row>
    <row r="150" spans="3:30" x14ac:dyDescent="0.35">
      <c r="D150" s="870" t="s">
        <v>502</v>
      </c>
      <c r="E150" s="871"/>
      <c r="F150" s="872">
        <f>F152+F154</f>
        <v>14660.3</v>
      </c>
      <c r="G150" s="873">
        <f t="shared" ref="G150:P150" si="88">G152+G154</f>
        <v>14748</v>
      </c>
      <c r="H150" s="873">
        <f t="shared" si="88"/>
        <v>14896.1</v>
      </c>
      <c r="I150" s="873">
        <f t="shared" si="88"/>
        <v>5492.6</v>
      </c>
      <c r="J150" s="873">
        <f t="shared" si="88"/>
        <v>14127</v>
      </c>
      <c r="K150" s="873">
        <f t="shared" si="88"/>
        <v>14803.099999999999</v>
      </c>
      <c r="L150" s="873">
        <f t="shared" si="88"/>
        <v>15014.2</v>
      </c>
      <c r="M150" s="873">
        <f t="shared" si="88"/>
        <v>15152.900000000001</v>
      </c>
      <c r="N150" s="873">
        <f t="shared" si="88"/>
        <v>15654.4</v>
      </c>
      <c r="O150" s="873">
        <f t="shared" si="88"/>
        <v>15799.3</v>
      </c>
      <c r="P150" s="873">
        <f t="shared" si="88"/>
        <v>15983.8</v>
      </c>
      <c r="Q150" s="873">
        <f>Q152+Q154</f>
        <v>16571.400000000001</v>
      </c>
      <c r="R150" s="873">
        <f t="shared" ref="R150:S150" si="89">R152+R154</f>
        <v>16848</v>
      </c>
      <c r="S150" s="873">
        <f t="shared" si="89"/>
        <v>17094.3</v>
      </c>
      <c r="T150" s="874">
        <f>S150*(1+T162)^(1/4)</f>
        <v>17246.177635198121</v>
      </c>
      <c r="U150" s="797">
        <f t="shared" ref="U150:AC150" si="90">T150*(1+U162)^(1/4)</f>
        <v>17444.385818439194</v>
      </c>
      <c r="V150" s="797">
        <f t="shared" si="90"/>
        <v>17898.051397152754</v>
      </c>
      <c r="W150" s="832">
        <f t="shared" si="90"/>
        <v>18160.197704019985</v>
      </c>
      <c r="X150" s="832">
        <f t="shared" si="90"/>
        <v>18414.671436052067</v>
      </c>
      <c r="Y150" s="832">
        <f t="shared" si="90"/>
        <v>18612.191054884857</v>
      </c>
      <c r="Z150" s="832">
        <f t="shared" si="90"/>
        <v>18776.266116743969</v>
      </c>
      <c r="AA150" s="832">
        <f t="shared" si="90"/>
        <v>18942.505238171965</v>
      </c>
      <c r="AB150" s="832">
        <f t="shared" si="90"/>
        <v>19106.777032719157</v>
      </c>
      <c r="AC150" s="914">
        <f t="shared" si="90"/>
        <v>19264.851747591816</v>
      </c>
    </row>
    <row r="151" spans="3:30" x14ac:dyDescent="0.35">
      <c r="D151" s="860"/>
      <c r="E151" s="875"/>
      <c r="F151" s="876"/>
      <c r="G151" s="877"/>
      <c r="H151" s="877"/>
      <c r="I151" s="877"/>
      <c r="J151" s="877"/>
      <c r="K151" s="877"/>
      <c r="L151" s="877"/>
      <c r="M151" s="877"/>
      <c r="N151" s="877"/>
      <c r="O151" s="877"/>
      <c r="P151" s="877"/>
      <c r="Q151" s="877"/>
      <c r="R151" s="877"/>
      <c r="S151" s="877"/>
      <c r="T151" s="878"/>
      <c r="U151" s="798"/>
      <c r="V151" s="798"/>
      <c r="W151" s="913"/>
      <c r="X151" s="913"/>
      <c r="Y151" s="913"/>
      <c r="Z151" s="913"/>
      <c r="AA151" s="913"/>
      <c r="AB151" s="913"/>
      <c r="AC151" s="741"/>
    </row>
    <row r="152" spans="3:30" x14ac:dyDescent="0.35">
      <c r="D152" s="879" t="s">
        <v>503</v>
      </c>
      <c r="E152" s="880"/>
      <c r="F152" s="876">
        <v>9274.9</v>
      </c>
      <c r="G152" s="877">
        <v>9311.2999999999993</v>
      </c>
      <c r="H152" s="877">
        <v>9422.5</v>
      </c>
      <c r="I152" s="877">
        <v>0</v>
      </c>
      <c r="J152" s="877">
        <v>8908.7999999999993</v>
      </c>
      <c r="K152" s="877">
        <v>9343.2999999999993</v>
      </c>
      <c r="L152" s="877">
        <v>9546</v>
      </c>
      <c r="M152" s="877">
        <v>9702.2000000000007</v>
      </c>
      <c r="N152" s="877">
        <v>9950.4</v>
      </c>
      <c r="O152" s="877">
        <v>10175.1</v>
      </c>
      <c r="P152" s="877">
        <v>10336.6</v>
      </c>
      <c r="Q152" s="877">
        <v>10995.9</v>
      </c>
      <c r="R152" s="877">
        <v>11172.6</v>
      </c>
      <c r="S152" s="877">
        <v>11320.4</v>
      </c>
      <c r="T152" s="878">
        <f>S152*(1+T164)^(1/4)</f>
        <v>11373.110955021564</v>
      </c>
      <c r="U152" s="798">
        <f t="shared" ref="U152:AC152" si="91">T152*(1+U164)^(1/4)</f>
        <v>11502.546740603819</v>
      </c>
      <c r="V152" s="798">
        <f t="shared" si="91"/>
        <v>11603.98294516328</v>
      </c>
      <c r="W152" s="913">
        <f t="shared" si="91"/>
        <v>11762.514380776343</v>
      </c>
      <c r="X152" s="913">
        <f t="shared" si="91"/>
        <v>11920.248675292671</v>
      </c>
      <c r="Y152" s="913">
        <f t="shared" si="91"/>
        <v>12057.556229205178</v>
      </c>
      <c r="Z152" s="913">
        <f t="shared" si="91"/>
        <v>12182.807024029578</v>
      </c>
      <c r="AA152" s="913">
        <f t="shared" si="91"/>
        <v>12308.257104128161</v>
      </c>
      <c r="AB152" s="913">
        <f t="shared" si="91"/>
        <v>12434.504325323478</v>
      </c>
      <c r="AC152" s="741">
        <f t="shared" si="91"/>
        <v>12556.367270486755</v>
      </c>
    </row>
    <row r="153" spans="3:30" x14ac:dyDescent="0.35">
      <c r="D153" s="879"/>
      <c r="E153" s="880"/>
      <c r="F153" s="876"/>
      <c r="G153" s="877"/>
      <c r="H153" s="877"/>
      <c r="I153" s="877"/>
      <c r="J153" s="877"/>
      <c r="K153" s="877"/>
      <c r="L153" s="877"/>
      <c r="M153" s="877"/>
      <c r="N153" s="877"/>
      <c r="O153" s="877"/>
      <c r="P153" s="877"/>
      <c r="Q153" s="877"/>
      <c r="R153" s="877"/>
      <c r="S153" s="877"/>
      <c r="T153" s="878"/>
      <c r="U153" s="798"/>
      <c r="V153" s="798"/>
      <c r="W153" s="913"/>
      <c r="X153" s="913"/>
      <c r="Y153" s="913"/>
      <c r="Z153" s="913"/>
      <c r="AA153" s="913"/>
      <c r="AB153" s="913"/>
      <c r="AC153" s="741"/>
    </row>
    <row r="154" spans="3:30" x14ac:dyDescent="0.35">
      <c r="D154" s="879" t="s">
        <v>898</v>
      </c>
      <c r="E154" s="880"/>
      <c r="F154" s="876">
        <v>5385.4</v>
      </c>
      <c r="G154" s="877">
        <v>5436.7</v>
      </c>
      <c r="H154" s="877">
        <v>5473.6</v>
      </c>
      <c r="I154" s="877">
        <v>5492.6</v>
      </c>
      <c r="J154" s="877">
        <v>5218.2</v>
      </c>
      <c r="K154" s="877">
        <v>5459.8</v>
      </c>
      <c r="L154" s="877">
        <v>5468.2</v>
      </c>
      <c r="M154" s="877">
        <v>5450.7</v>
      </c>
      <c r="N154" s="877">
        <v>5704</v>
      </c>
      <c r="O154" s="877">
        <v>5624.2</v>
      </c>
      <c r="P154" s="877">
        <v>5647.2</v>
      </c>
      <c r="Q154" s="877">
        <v>5575.5</v>
      </c>
      <c r="R154" s="877">
        <v>5675.4</v>
      </c>
      <c r="S154" s="877">
        <v>5773.9</v>
      </c>
      <c r="T154" s="878">
        <f t="shared" ref="T154:AC154" si="92">S154*(1+T166)^(1/4)</f>
        <v>5871.2959399720803</v>
      </c>
      <c r="U154" s="798">
        <f t="shared" si="92"/>
        <v>5940.0008592036174</v>
      </c>
      <c r="V154" s="798">
        <f t="shared" si="92"/>
        <v>6284.8688476367752</v>
      </c>
      <c r="W154" s="913">
        <f t="shared" si="92"/>
        <v>6387.9262264840791</v>
      </c>
      <c r="X154" s="913">
        <f t="shared" si="92"/>
        <v>6484.266643953998</v>
      </c>
      <c r="Y154" s="913">
        <f t="shared" si="92"/>
        <v>6544.7192963504622</v>
      </c>
      <c r="Z154" s="913">
        <f t="shared" si="92"/>
        <v>6584.1574552948223</v>
      </c>
      <c r="AA154" s="913">
        <f t="shared" si="92"/>
        <v>6625.5147460612907</v>
      </c>
      <c r="AB154" s="913">
        <f t="shared" si="92"/>
        <v>6664.1852522768058</v>
      </c>
      <c r="AC154" s="741">
        <f t="shared" si="92"/>
        <v>6701.0325832613171</v>
      </c>
    </row>
    <row r="155" spans="3:30" x14ac:dyDescent="0.35">
      <c r="D155" s="879"/>
      <c r="E155" s="880"/>
      <c r="F155" s="876"/>
      <c r="G155" s="877"/>
      <c r="H155" s="877"/>
      <c r="I155" s="877"/>
      <c r="J155" s="877"/>
      <c r="K155" s="877"/>
      <c r="L155" s="877"/>
      <c r="M155" s="877"/>
      <c r="N155" s="877"/>
      <c r="O155" s="877"/>
      <c r="P155" s="877"/>
      <c r="Q155" s="877"/>
      <c r="R155" s="877"/>
      <c r="S155" s="877"/>
      <c r="T155" s="878"/>
      <c r="U155" s="798"/>
      <c r="V155" s="798"/>
      <c r="W155" s="913"/>
      <c r="X155" s="913"/>
      <c r="Y155" s="913"/>
      <c r="Z155" s="913"/>
      <c r="AA155" s="913"/>
      <c r="AB155" s="913"/>
      <c r="AC155" s="741"/>
    </row>
    <row r="156" spans="3:30" x14ac:dyDescent="0.35">
      <c r="D156" s="881" t="s">
        <v>504</v>
      </c>
      <c r="E156" s="880"/>
      <c r="F156" s="882"/>
      <c r="G156" s="880"/>
      <c r="H156" s="877"/>
      <c r="I156" s="877"/>
      <c r="J156" s="877"/>
      <c r="K156" s="877"/>
      <c r="L156" s="877"/>
      <c r="M156" s="877">
        <v>15041</v>
      </c>
      <c r="N156" s="877">
        <v>15551</v>
      </c>
      <c r="O156" s="877">
        <v>15824</v>
      </c>
      <c r="P156" s="877">
        <v>16056</v>
      </c>
      <c r="Q156" s="877">
        <v>16690.7</v>
      </c>
      <c r="R156" s="877">
        <v>16993</v>
      </c>
      <c r="S156" s="877">
        <v>17251.3</v>
      </c>
      <c r="T156" s="878">
        <f t="shared" ref="T156:AC156" si="93">S156*(1+T168)^(1/4)</f>
        <v>17455.058221938471</v>
      </c>
      <c r="U156" s="798">
        <f t="shared" si="93"/>
        <v>17798.064340722922</v>
      </c>
      <c r="V156" s="798">
        <f t="shared" si="93"/>
        <v>17984.514914465846</v>
      </c>
      <c r="W156" s="913">
        <f t="shared" si="93"/>
        <v>18143.627271172623</v>
      </c>
      <c r="X156" s="913">
        <f t="shared" si="93"/>
        <v>18275.401410843253</v>
      </c>
      <c r="Y156" s="913">
        <f t="shared" si="93"/>
        <v>18420.942997942162</v>
      </c>
      <c r="Z156" s="913">
        <f t="shared" si="93"/>
        <v>18564.124451196225</v>
      </c>
      <c r="AA156" s="913">
        <f t="shared" si="93"/>
        <v>18741.72452302097</v>
      </c>
      <c r="AB156" s="913">
        <f t="shared" si="93"/>
        <v>18945.482744959441</v>
      </c>
      <c r="AC156" s="741">
        <f t="shared" si="93"/>
        <v>19153.371201126396</v>
      </c>
    </row>
    <row r="157" spans="3:30" x14ac:dyDescent="0.35">
      <c r="D157" s="881"/>
      <c r="E157" s="880"/>
      <c r="F157" s="882"/>
      <c r="G157" s="880"/>
      <c r="H157" s="877"/>
      <c r="I157" s="877"/>
      <c r="J157" s="877"/>
      <c r="K157" s="877"/>
      <c r="L157" s="877"/>
      <c r="M157" s="877"/>
      <c r="N157" s="877"/>
      <c r="O157" s="877"/>
      <c r="P157" s="877"/>
      <c r="Q157" s="877"/>
      <c r="R157" s="877"/>
      <c r="S157" s="877"/>
      <c r="T157" s="878"/>
      <c r="U157" s="798"/>
      <c r="V157" s="798"/>
      <c r="W157" s="913"/>
      <c r="X157" s="913"/>
      <c r="Y157" s="913"/>
      <c r="Z157" s="913"/>
      <c r="AA157" s="913"/>
      <c r="AB157" s="913"/>
      <c r="AC157" s="741"/>
    </row>
    <row r="158" spans="3:30" x14ac:dyDescent="0.35">
      <c r="C158" s="35"/>
      <c r="D158" s="883" t="s">
        <v>510</v>
      </c>
      <c r="E158" s="884"/>
      <c r="F158" s="885"/>
      <c r="G158" s="884"/>
      <c r="H158" s="886"/>
      <c r="I158" s="886"/>
      <c r="J158" s="886"/>
      <c r="K158" s="886"/>
      <c r="L158" s="886"/>
      <c r="M158" s="886">
        <v>1874</v>
      </c>
      <c r="N158" s="886">
        <v>2307</v>
      </c>
      <c r="O158" s="886">
        <v>2443</v>
      </c>
      <c r="P158" s="886">
        <v>2460</v>
      </c>
      <c r="Q158" s="886">
        <v>2329.5</v>
      </c>
      <c r="R158" s="886">
        <v>2420.1999999999998</v>
      </c>
      <c r="S158" s="886">
        <v>2468.6999999999998</v>
      </c>
      <c r="T158" s="887">
        <f t="shared" ref="T158:AC158" si="94">S158*(1+T170)^(1/4)</f>
        <v>2389.5105397148677</v>
      </c>
      <c r="U158" s="799">
        <f t="shared" si="94"/>
        <v>2259.2685336048876</v>
      </c>
      <c r="V158" s="799">
        <f t="shared" si="94"/>
        <v>2102.1465885947041</v>
      </c>
      <c r="W158" s="755">
        <f t="shared" si="94"/>
        <v>2070.1420570264759</v>
      </c>
      <c r="X158" s="755">
        <f t="shared" si="94"/>
        <v>2020.5398676171071</v>
      </c>
      <c r="Y158" s="755">
        <f t="shared" si="94"/>
        <v>2029.5320773930746</v>
      </c>
      <c r="Z158" s="755">
        <f t="shared" si="94"/>
        <v>2045.8727596741337</v>
      </c>
      <c r="AA158" s="755">
        <f t="shared" si="94"/>
        <v>2066.1777494908347</v>
      </c>
      <c r="AB158" s="755">
        <f t="shared" si="94"/>
        <v>2127.9629327902235</v>
      </c>
      <c r="AC158" s="756">
        <f t="shared" si="94"/>
        <v>2208.9895112016284</v>
      </c>
      <c r="AD158" s="35"/>
    </row>
    <row r="159" spans="3:30" ht="14.9" customHeight="1" x14ac:dyDescent="0.35">
      <c r="C159" s="35"/>
      <c r="D159" s="195"/>
      <c r="E159" s="521"/>
      <c r="F159" s="521"/>
      <c r="G159" s="521"/>
      <c r="H159" s="845"/>
      <c r="I159" s="845"/>
      <c r="J159" s="845"/>
      <c r="K159" s="845"/>
      <c r="L159" s="845"/>
      <c r="M159" s="845"/>
      <c r="N159" s="845"/>
      <c r="O159" s="845"/>
      <c r="P159" s="845"/>
      <c r="Q159" s="845"/>
      <c r="R159" s="845"/>
      <c r="S159" s="845"/>
      <c r="T159" s="845"/>
      <c r="U159" s="845"/>
      <c r="V159" s="845"/>
      <c r="W159" s="845"/>
      <c r="X159" s="845"/>
      <c r="Y159" s="845"/>
      <c r="Z159" s="845"/>
      <c r="AA159" s="845"/>
      <c r="AB159" s="845"/>
      <c r="AC159" s="845"/>
      <c r="AD159" s="35"/>
    </row>
    <row r="160" spans="3:30" x14ac:dyDescent="0.35">
      <c r="C160" s="35"/>
      <c r="D160" s="1386" t="s">
        <v>899</v>
      </c>
      <c r="E160" s="1401"/>
      <c r="F160" s="1278">
        <v>2019</v>
      </c>
      <c r="G160" s="1306"/>
      <c r="H160" s="1307"/>
      <c r="I160" s="1278">
        <v>2020</v>
      </c>
      <c r="J160" s="1306"/>
      <c r="K160" s="1306"/>
      <c r="L160" s="1307"/>
      <c r="M160" s="1278">
        <v>2021</v>
      </c>
      <c r="N160" s="1306"/>
      <c r="O160" s="1306"/>
      <c r="P160" s="1279"/>
      <c r="Q160" s="1278">
        <v>2022</v>
      </c>
      <c r="R160" s="1279"/>
      <c r="S160" s="1279"/>
      <c r="T160" s="1307"/>
      <c r="U160" s="258"/>
      <c r="V160" s="522">
        <v>2023</v>
      </c>
      <c r="W160" s="518"/>
      <c r="X160" s="222"/>
      <c r="Y160" s="1303">
        <v>2024</v>
      </c>
      <c r="Z160" s="1315"/>
      <c r="AA160" s="1315"/>
      <c r="AB160" s="1305"/>
      <c r="AC160" s="213">
        <v>2025</v>
      </c>
      <c r="AD160" s="35"/>
    </row>
    <row r="161" spans="3:30" x14ac:dyDescent="0.35">
      <c r="C161" s="35"/>
      <c r="D161" s="1406"/>
      <c r="E161" s="1407"/>
      <c r="F161" s="148" t="s">
        <v>284</v>
      </c>
      <c r="G161" s="144" t="s">
        <v>238</v>
      </c>
      <c r="H161" s="145" t="s">
        <v>282</v>
      </c>
      <c r="I161" s="148" t="s">
        <v>283</v>
      </c>
      <c r="J161" s="144" t="s">
        <v>284</v>
      </c>
      <c r="K161" s="144" t="s">
        <v>238</v>
      </c>
      <c r="L161" s="145" t="s">
        <v>282</v>
      </c>
      <c r="M161" s="148" t="s">
        <v>283</v>
      </c>
      <c r="N161" s="144" t="s">
        <v>284</v>
      </c>
      <c r="O161" s="144" t="s">
        <v>238</v>
      </c>
      <c r="P161" s="144" t="s">
        <v>282</v>
      </c>
      <c r="Q161" s="148" t="s">
        <v>283</v>
      </c>
      <c r="R161" s="144" t="s">
        <v>284</v>
      </c>
      <c r="S161" s="144" t="s">
        <v>238</v>
      </c>
      <c r="T161" s="145" t="s">
        <v>282</v>
      </c>
      <c r="U161" s="145" t="s">
        <v>283</v>
      </c>
      <c r="V161" s="249" t="s">
        <v>284</v>
      </c>
      <c r="W161" s="232" t="s">
        <v>238</v>
      </c>
      <c r="X161" s="233" t="s">
        <v>282</v>
      </c>
      <c r="Y161" s="231" t="s">
        <v>283</v>
      </c>
      <c r="Z161" s="229" t="s">
        <v>284</v>
      </c>
      <c r="AA161" s="232" t="s">
        <v>238</v>
      </c>
      <c r="AB161" s="232" t="s">
        <v>282</v>
      </c>
      <c r="AC161" s="893" t="s">
        <v>283</v>
      </c>
      <c r="AD161" s="35"/>
    </row>
    <row r="162" spans="3:30" ht="27.65" customHeight="1" x14ac:dyDescent="0.35">
      <c r="C162" s="35"/>
      <c r="D162" s="870" t="s">
        <v>502</v>
      </c>
      <c r="E162" s="871"/>
      <c r="F162" s="888"/>
      <c r="G162" s="889" t="e">
        <f t="shared" ref="G162:AC162" si="95">(G101/F101)^4-1</f>
        <v>#DIV/0!</v>
      </c>
      <c r="H162" s="889" t="e">
        <f t="shared" si="95"/>
        <v>#DIV/0!</v>
      </c>
      <c r="I162" s="889" t="e">
        <f t="shared" si="95"/>
        <v>#DIV/0!</v>
      </c>
      <c r="J162" s="889">
        <f t="shared" si="95"/>
        <v>-0.21070155504838917</v>
      </c>
      <c r="K162" s="889">
        <f t="shared" si="95"/>
        <v>0.20409656990320446</v>
      </c>
      <c r="L162" s="889">
        <f t="shared" si="95"/>
        <v>0.10445079655049061</v>
      </c>
      <c r="M162" s="889">
        <f t="shared" si="95"/>
        <v>1.0038022914703681E-2</v>
      </c>
      <c r="N162" s="889">
        <f t="shared" si="95"/>
        <v>0.12746591651095995</v>
      </c>
      <c r="O162" s="889">
        <f t="shared" si="95"/>
        <v>8.7536504987418162E-2</v>
      </c>
      <c r="P162" s="889">
        <f t="shared" si="95"/>
        <v>9.6257802203331799E-2</v>
      </c>
      <c r="Q162" s="889">
        <f t="shared" si="95"/>
        <v>5.3130466022335732E-2</v>
      </c>
      <c r="R162" s="889">
        <f t="shared" si="95"/>
        <v>5.8700506146537323E-2</v>
      </c>
      <c r="S162" s="889">
        <f t="shared" si="95"/>
        <v>9.398280632424294E-2</v>
      </c>
      <c r="T162" s="890">
        <f t="shared" si="95"/>
        <v>3.6015216844350384E-2</v>
      </c>
      <c r="U162" s="800">
        <f t="shared" si="95"/>
        <v>4.6770111369924594E-2</v>
      </c>
      <c r="V162" s="800">
        <f t="shared" si="95"/>
        <v>0.10815438646887898</v>
      </c>
      <c r="W162" s="746">
        <f t="shared" si="95"/>
        <v>5.9886316608233736E-2</v>
      </c>
      <c r="X162" s="746">
        <f t="shared" si="95"/>
        <v>5.7240054728939782E-2</v>
      </c>
      <c r="Y162" s="746">
        <f t="shared" si="95"/>
        <v>4.3600095836367592E-2</v>
      </c>
      <c r="Z162" s="746">
        <f t="shared" si="95"/>
        <v>3.5730868295082985E-2</v>
      </c>
      <c r="AA162" s="746">
        <f t="shared" si="95"/>
        <v>3.5887843350856929E-2</v>
      </c>
      <c r="AB162" s="746">
        <f t="shared" si="95"/>
        <v>3.5142353560449591E-2</v>
      </c>
      <c r="AC162" s="747">
        <f t="shared" si="95"/>
        <v>3.3505857894001512E-2</v>
      </c>
      <c r="AD162" s="35"/>
    </row>
    <row r="163" spans="3:30" ht="27.65" customHeight="1" x14ac:dyDescent="0.35">
      <c r="C163" s="35"/>
      <c r="D163" s="860"/>
      <c r="E163" s="875"/>
      <c r="F163" s="842"/>
      <c r="G163" s="862"/>
      <c r="H163" s="862"/>
      <c r="I163" s="862"/>
      <c r="J163" s="862"/>
      <c r="K163" s="862"/>
      <c r="L163" s="862"/>
      <c r="M163" s="862"/>
      <c r="N163" s="862"/>
      <c r="O163" s="862"/>
      <c r="P163" s="862"/>
      <c r="Q163" s="862"/>
      <c r="R163" s="862"/>
      <c r="S163" s="862"/>
      <c r="T163" s="891"/>
      <c r="U163" s="801"/>
      <c r="V163" s="801"/>
      <c r="W163" s="794"/>
      <c r="X163" s="794"/>
      <c r="Y163" s="794"/>
      <c r="Z163" s="794"/>
      <c r="AA163" s="794"/>
      <c r="AB163" s="794"/>
      <c r="AC163" s="748"/>
      <c r="AD163" s="35"/>
    </row>
    <row r="164" spans="3:30" ht="27.65" customHeight="1" x14ac:dyDescent="0.35">
      <c r="C164" s="35"/>
      <c r="D164" s="879" t="s">
        <v>503</v>
      </c>
      <c r="E164" s="880"/>
      <c r="F164" s="842"/>
      <c r="G164" s="862" t="e">
        <f t="shared" ref="G164:AC164" si="96">(G102/F102)^4-1</f>
        <v>#DIV/0!</v>
      </c>
      <c r="H164" s="862" t="e">
        <f t="shared" si="96"/>
        <v>#DIV/0!</v>
      </c>
      <c r="I164" s="862" t="e">
        <f t="shared" si="96"/>
        <v>#DIV/0!</v>
      </c>
      <c r="J164" s="862">
        <f t="shared" si="96"/>
        <v>-0.23688314079507089</v>
      </c>
      <c r="K164" s="862">
        <f t="shared" si="96"/>
        <v>0.20520050761606656</v>
      </c>
      <c r="L164" s="862">
        <f t="shared" si="96"/>
        <v>0.16094955415161705</v>
      </c>
      <c r="M164" s="862">
        <f t="shared" si="96"/>
        <v>2.7883833548878467E-2</v>
      </c>
      <c r="N164" s="862">
        <f t="shared" si="96"/>
        <v>0.12185900162885499</v>
      </c>
      <c r="O164" s="862">
        <f t="shared" si="96"/>
        <v>0.11675899119493027</v>
      </c>
      <c r="P164" s="862">
        <f t="shared" si="96"/>
        <v>0.13115208751063179</v>
      </c>
      <c r="Q164" s="862">
        <f t="shared" si="96"/>
        <v>6.7554374316260324E-2</v>
      </c>
      <c r="R164" s="862">
        <f t="shared" si="96"/>
        <v>4.9399992962044781E-2</v>
      </c>
      <c r="S164" s="862">
        <f t="shared" si="96"/>
        <v>0.11419164362440171</v>
      </c>
      <c r="T164" s="891">
        <f t="shared" si="96"/>
        <v>1.8755610983373527E-2</v>
      </c>
      <c r="U164" s="801">
        <f t="shared" si="96"/>
        <v>4.6306497741153141E-2</v>
      </c>
      <c r="V164" s="801">
        <f t="shared" si="96"/>
        <v>3.5743700464633932E-2</v>
      </c>
      <c r="W164" s="794">
        <f t="shared" si="96"/>
        <v>5.5777353897908499E-2</v>
      </c>
      <c r="X164" s="794">
        <f t="shared" si="96"/>
        <v>5.4728284731995203E-2</v>
      </c>
      <c r="Y164" s="794">
        <f t="shared" si="96"/>
        <v>4.68776336185317E-2</v>
      </c>
      <c r="Z164" s="794">
        <f t="shared" si="96"/>
        <v>4.2202898268900668E-2</v>
      </c>
      <c r="AA164" s="794">
        <f t="shared" si="96"/>
        <v>4.1829805803689446E-2</v>
      </c>
      <c r="AB164" s="794">
        <f t="shared" si="96"/>
        <v>4.1664042288244163E-2</v>
      </c>
      <c r="AC164" s="748">
        <f t="shared" si="96"/>
        <v>3.9781604844907115E-2</v>
      </c>
      <c r="AD164" s="35"/>
    </row>
    <row r="165" spans="3:30" ht="27.65" customHeight="1" x14ac:dyDescent="0.35">
      <c r="C165" s="35"/>
      <c r="D165" s="879"/>
      <c r="E165" s="880"/>
      <c r="F165" s="842"/>
      <c r="G165" s="862"/>
      <c r="H165" s="862"/>
      <c r="I165" s="862"/>
      <c r="J165" s="862"/>
      <c r="K165" s="862"/>
      <c r="L165" s="862"/>
      <c r="M165" s="862"/>
      <c r="N165" s="862"/>
      <c r="O165" s="862"/>
      <c r="P165" s="862"/>
      <c r="Q165" s="862"/>
      <c r="R165" s="862"/>
      <c r="S165" s="862"/>
      <c r="T165" s="891"/>
      <c r="U165" s="801"/>
      <c r="V165" s="801"/>
      <c r="W165" s="794"/>
      <c r="X165" s="794"/>
      <c r="Y165" s="794"/>
      <c r="Z165" s="794"/>
      <c r="AA165" s="794"/>
      <c r="AB165" s="794"/>
      <c r="AC165" s="748"/>
      <c r="AD165" s="35"/>
    </row>
    <row r="166" spans="3:30" x14ac:dyDescent="0.35">
      <c r="C166" s="35"/>
      <c r="D166" s="879" t="s">
        <v>898</v>
      </c>
      <c r="E166" s="880"/>
      <c r="F166" s="842"/>
      <c r="G166" s="862" t="e">
        <f t="shared" ref="G166:AC166" si="97">(G103/F103)^4-1</f>
        <v>#DIV/0!</v>
      </c>
      <c r="H166" s="862" t="e">
        <f t="shared" si="97"/>
        <v>#DIV/0!</v>
      </c>
      <c r="I166" s="862" t="e">
        <f t="shared" si="97"/>
        <v>#DIV/0!</v>
      </c>
      <c r="J166" s="862">
        <f t="shared" si="97"/>
        <v>-0.16336002849894693</v>
      </c>
      <c r="K166" s="862">
        <f t="shared" si="97"/>
        <v>0.20221386896849047</v>
      </c>
      <c r="L166" s="862">
        <f t="shared" si="97"/>
        <v>1.2745999464862878E-2</v>
      </c>
      <c r="M166" s="862">
        <f t="shared" si="97"/>
        <v>-2.0933426342402583E-2</v>
      </c>
      <c r="N166" s="862">
        <f t="shared" si="97"/>
        <v>0.13754934573019617</v>
      </c>
      <c r="O166" s="862">
        <f t="shared" si="97"/>
        <v>3.6864487370476651E-2</v>
      </c>
      <c r="P166" s="862">
        <f t="shared" si="97"/>
        <v>3.4953421847994104E-2</v>
      </c>
      <c r="Q166" s="862">
        <f t="shared" si="97"/>
        <v>2.6732902126662683E-2</v>
      </c>
      <c r="R166" s="862">
        <f t="shared" si="97"/>
        <v>7.630767003118466E-2</v>
      </c>
      <c r="S166" s="862">
        <f t="shared" si="97"/>
        <v>5.7060383532544501E-2</v>
      </c>
      <c r="T166" s="891">
        <f t="shared" si="97"/>
        <v>6.919976262663563E-2</v>
      </c>
      <c r="U166" s="801">
        <f t="shared" si="97"/>
        <v>4.7635353812047754E-2</v>
      </c>
      <c r="V166" s="801">
        <f t="shared" si="97"/>
        <v>0.25325326844262142</v>
      </c>
      <c r="W166" s="794">
        <f t="shared" si="97"/>
        <v>6.7221805983130212E-2</v>
      </c>
      <c r="X166" s="794">
        <f t="shared" si="97"/>
        <v>6.1705077578776413E-2</v>
      </c>
      <c r="Y166" s="794">
        <f t="shared" si="97"/>
        <v>3.7816653895769159E-2</v>
      </c>
      <c r="Z166" s="794">
        <f t="shared" si="97"/>
        <v>2.4322553809932312E-2</v>
      </c>
      <c r="AA166" s="794">
        <f t="shared" si="97"/>
        <v>2.5363059005292676E-2</v>
      </c>
      <c r="AB166" s="794">
        <f t="shared" si="97"/>
        <v>2.3551608368691967E-2</v>
      </c>
      <c r="AC166" s="748">
        <f t="shared" si="97"/>
        <v>2.2300737251676583E-2</v>
      </c>
      <c r="AD166" s="35"/>
    </row>
    <row r="167" spans="3:30" x14ac:dyDescent="0.35">
      <c r="C167" s="35"/>
      <c r="D167" s="879"/>
      <c r="E167" s="880"/>
      <c r="F167" s="842"/>
      <c r="G167" s="862"/>
      <c r="H167" s="862"/>
      <c r="I167" s="862"/>
      <c r="J167" s="862"/>
      <c r="K167" s="862"/>
      <c r="L167" s="862"/>
      <c r="M167" s="862"/>
      <c r="N167" s="862"/>
      <c r="O167" s="862"/>
      <c r="P167" s="862"/>
      <c r="Q167" s="862"/>
      <c r="R167" s="862"/>
      <c r="S167" s="862"/>
      <c r="T167" s="891"/>
      <c r="U167" s="801"/>
      <c r="V167" s="801"/>
      <c r="W167" s="794"/>
      <c r="X167" s="794"/>
      <c r="Y167" s="794"/>
      <c r="Z167" s="794"/>
      <c r="AA167" s="794"/>
      <c r="AB167" s="794"/>
      <c r="AC167" s="748"/>
      <c r="AD167" s="35"/>
    </row>
    <row r="168" spans="3:30" x14ac:dyDescent="0.35">
      <c r="C168" s="35"/>
      <c r="D168" s="881" t="s">
        <v>504</v>
      </c>
      <c r="E168" s="880"/>
      <c r="F168" s="842"/>
      <c r="G168" s="862"/>
      <c r="H168" s="862"/>
      <c r="I168" s="862"/>
      <c r="J168" s="862"/>
      <c r="K168" s="862"/>
      <c r="L168" s="862"/>
      <c r="M168" s="862"/>
      <c r="N168" s="862">
        <f t="shared" ref="N168:AC168" si="98">(N104/M104)^4-1</f>
        <v>0.1928451879925992</v>
      </c>
      <c r="O168" s="862">
        <f t="shared" si="98"/>
        <v>8.7145430326741824E-2</v>
      </c>
      <c r="P168" s="862">
        <f t="shared" si="98"/>
        <v>9.5040522503139657E-2</v>
      </c>
      <c r="Q168" s="862">
        <f t="shared" si="98"/>
        <v>8.9242780231497676E-2</v>
      </c>
      <c r="R168" s="862">
        <f t="shared" si="98"/>
        <v>9.481178927373124E-2</v>
      </c>
      <c r="S168" s="862">
        <f t="shared" si="98"/>
        <v>6.6821460633025076E-2</v>
      </c>
      <c r="T168" s="891">
        <f t="shared" si="98"/>
        <v>4.8088357104759449E-2</v>
      </c>
      <c r="U168" s="801">
        <f t="shared" si="98"/>
        <v>8.0950689022084577E-2</v>
      </c>
      <c r="V168" s="801">
        <f t="shared" si="98"/>
        <v>4.2566638549292213E-2</v>
      </c>
      <c r="W168" s="794">
        <f t="shared" si="98"/>
        <v>3.58611581585071E-2</v>
      </c>
      <c r="X168" s="794">
        <f t="shared" si="98"/>
        <v>2.9369360741057893E-2</v>
      </c>
      <c r="Y168" s="794">
        <f t="shared" si="98"/>
        <v>3.2237744758009335E-2</v>
      </c>
      <c r="Z168" s="794">
        <f t="shared" si="98"/>
        <v>3.1455391126937293E-2</v>
      </c>
      <c r="AA168" s="794">
        <f t="shared" si="98"/>
        <v>3.8820031410361722E-2</v>
      </c>
      <c r="AB168" s="794">
        <f t="shared" si="98"/>
        <v>4.4201958177369161E-2</v>
      </c>
      <c r="AC168" s="748">
        <f t="shared" si="98"/>
        <v>4.4619668645542676E-2</v>
      </c>
      <c r="AD168" s="35"/>
    </row>
    <row r="169" spans="3:30" x14ac:dyDescent="0.35">
      <c r="C169" s="35"/>
      <c r="D169" s="881"/>
      <c r="E169" s="880"/>
      <c r="F169" s="842"/>
      <c r="G169" s="862"/>
      <c r="H169" s="862"/>
      <c r="I169" s="862"/>
      <c r="J169" s="862"/>
      <c r="K169" s="862"/>
      <c r="L169" s="862"/>
      <c r="M169" s="862"/>
      <c r="N169" s="862"/>
      <c r="O169" s="862"/>
      <c r="P169" s="862"/>
      <c r="Q169" s="862"/>
      <c r="R169" s="862"/>
      <c r="S169" s="862"/>
      <c r="T169" s="891"/>
      <c r="U169" s="801"/>
      <c r="V169" s="801"/>
      <c r="W169" s="794"/>
      <c r="X169" s="794"/>
      <c r="Y169" s="794"/>
      <c r="Z169" s="794"/>
      <c r="AA169" s="794"/>
      <c r="AB169" s="794"/>
      <c r="AC169" s="748"/>
      <c r="AD169" s="35"/>
    </row>
    <row r="170" spans="3:30" x14ac:dyDescent="0.35">
      <c r="D170" s="883" t="s">
        <v>510</v>
      </c>
      <c r="E170" s="884"/>
      <c r="F170" s="843"/>
      <c r="G170" s="868"/>
      <c r="H170" s="868"/>
      <c r="I170" s="868"/>
      <c r="J170" s="868"/>
      <c r="K170" s="868"/>
      <c r="L170" s="868"/>
      <c r="M170" s="868"/>
      <c r="N170" s="868">
        <f t="shared" ref="N170:AC170" si="99">(N105/M105)^4-1</f>
        <v>0.56301012914725668</v>
      </c>
      <c r="O170" s="868">
        <f t="shared" si="99"/>
        <v>4.1681341019436546E-2</v>
      </c>
      <c r="P170" s="868">
        <f t="shared" si="99"/>
        <v>1.8883812263239985E-2</v>
      </c>
      <c r="Q170" s="868">
        <f t="shared" si="99"/>
        <v>-1.7080068525602621E-2</v>
      </c>
      <c r="R170" s="868">
        <f t="shared" si="99"/>
        <v>0.18639186970056576</v>
      </c>
      <c r="S170" s="868">
        <f t="shared" si="99"/>
        <v>2.2720498509915421E-2</v>
      </c>
      <c r="T170" s="892">
        <f t="shared" si="99"/>
        <v>-0.12226678397343893</v>
      </c>
      <c r="U170" s="802">
        <f t="shared" si="99"/>
        <v>-0.20083655061109373</v>
      </c>
      <c r="V170" s="802">
        <f t="shared" si="99"/>
        <v>-0.25048457555050185</v>
      </c>
      <c r="W170" s="749">
        <f t="shared" si="99"/>
        <v>-5.9522077539718499E-2</v>
      </c>
      <c r="X170" s="749">
        <f t="shared" si="99"/>
        <v>-9.2453049791576647E-2</v>
      </c>
      <c r="Y170" s="749">
        <f t="shared" si="99"/>
        <v>1.7920787625758772E-2</v>
      </c>
      <c r="Z170" s="749">
        <f t="shared" si="99"/>
        <v>3.2596859644131282E-2</v>
      </c>
      <c r="AA170" s="749">
        <f t="shared" si="99"/>
        <v>4.0294355332935572E-2</v>
      </c>
      <c r="AB170" s="749">
        <f t="shared" si="99"/>
        <v>0.12508546294334977</v>
      </c>
      <c r="AC170" s="750">
        <f t="shared" si="99"/>
        <v>0.16123035601060676</v>
      </c>
    </row>
    <row r="171" spans="3:30" x14ac:dyDescent="0.35">
      <c r="D171" s="195"/>
      <c r="E171" s="521"/>
      <c r="G171" s="521"/>
      <c r="H171" s="845"/>
      <c r="I171" s="845"/>
      <c r="J171" s="845"/>
      <c r="K171" s="845"/>
      <c r="L171" s="845"/>
      <c r="M171" s="845"/>
      <c r="N171" s="845"/>
      <c r="O171" s="845"/>
      <c r="P171" s="845"/>
      <c r="Q171" s="845"/>
      <c r="R171" s="845"/>
      <c r="S171" s="845"/>
      <c r="T171" s="845"/>
      <c r="U171" s="845"/>
      <c r="V171" s="845"/>
      <c r="W171" s="845"/>
      <c r="X171" s="845"/>
      <c r="Y171" s="845"/>
      <c r="Z171" s="845"/>
      <c r="AA171" s="845"/>
      <c r="AB171" s="845"/>
      <c r="AC171" s="845"/>
    </row>
    <row r="172" spans="3:30" ht="14.9" customHeight="1" x14ac:dyDescent="0.35"/>
    <row r="173" spans="3:30" ht="14.9" customHeight="1" x14ac:dyDescent="0.35"/>
    <row r="174" spans="3:30" ht="14.9" customHeight="1" x14ac:dyDescent="0.35"/>
  </sheetData>
  <mergeCells count="51">
    <mergeCell ref="Q148:T148"/>
    <mergeCell ref="Q160:T160"/>
    <mergeCell ref="F148:H148"/>
    <mergeCell ref="Q109:T109"/>
    <mergeCell ref="Y160:AB160"/>
    <mergeCell ref="Y148:AB148"/>
    <mergeCell ref="D135:AC135"/>
    <mergeCell ref="D147:AC147"/>
    <mergeCell ref="D160:E161"/>
    <mergeCell ref="F160:H160"/>
    <mergeCell ref="I160:L160"/>
    <mergeCell ref="M160:P160"/>
    <mergeCell ref="I148:L148"/>
    <mergeCell ref="M148:P148"/>
    <mergeCell ref="D148:E149"/>
    <mergeCell ref="D111:E111"/>
    <mergeCell ref="D109:E110"/>
    <mergeCell ref="Y43:AB43"/>
    <mergeCell ref="D99:E100"/>
    <mergeCell ref="F99:H99"/>
    <mergeCell ref="I99:L99"/>
    <mergeCell ref="M109:P109"/>
    <mergeCell ref="F109:H109"/>
    <mergeCell ref="I109:L109"/>
    <mergeCell ref="AC99:AF99"/>
    <mergeCell ref="AC109:AF109"/>
    <mergeCell ref="Y109:AB109"/>
    <mergeCell ref="O66:V66"/>
    <mergeCell ref="P67:S67"/>
    <mergeCell ref="Q99:T99"/>
    <mergeCell ref="M99:P99"/>
    <mergeCell ref="Y99:AB99"/>
    <mergeCell ref="D1:AC1"/>
    <mergeCell ref="D2:AC3"/>
    <mergeCell ref="AC6:AF6"/>
    <mergeCell ref="F6:H6"/>
    <mergeCell ref="I6:L6"/>
    <mergeCell ref="W5:AG5"/>
    <mergeCell ref="Q6:T6"/>
    <mergeCell ref="Y6:AB6"/>
    <mergeCell ref="AC43:AF43"/>
    <mergeCell ref="D5:E7"/>
    <mergeCell ref="M6:P6"/>
    <mergeCell ref="D31:F31"/>
    <mergeCell ref="F5:V5"/>
    <mergeCell ref="F42:V42"/>
    <mergeCell ref="W42:AG42"/>
    <mergeCell ref="F43:H43"/>
    <mergeCell ref="M43:P43"/>
    <mergeCell ref="Q43:T43"/>
    <mergeCell ref="I43:L43"/>
  </mergeCells>
  <pageMargins left="0.7" right="0.7" top="0.75" bottom="0.75" header="0.3" footer="0.3"/>
  <pageSetup orientation="portrait"/>
  <drawing r:id="rId1"/>
  <legacy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1:AV83"/>
  <sheetViews>
    <sheetView topLeftCell="A37" zoomScale="91" zoomScaleNormal="91" workbookViewId="0">
      <pane xSplit="3" ySplit="3" topLeftCell="S61" activePane="bottomRight" state="frozen"/>
      <selection activeCell="A37" sqref="A37"/>
      <selection pane="topRight" activeCell="D37" sqref="D37"/>
      <selection pane="bottomLeft" activeCell="A40" sqref="A40"/>
      <selection pane="bottomRight" activeCell="W45" sqref="W45:X49"/>
    </sheetView>
  </sheetViews>
  <sheetFormatPr defaultColWidth="10.90625" defaultRowHeight="14.5" x14ac:dyDescent="0.35"/>
  <cols>
    <col min="2" max="2" width="26.453125" customWidth="1"/>
    <col min="3" max="3" width="13.1796875" customWidth="1"/>
    <col min="20" max="29" width="11.54296875" customWidth="1"/>
    <col min="30" max="32" width="12.1796875" customWidth="1"/>
  </cols>
  <sheetData>
    <row r="1" spans="2:32" x14ac:dyDescent="0.35">
      <c r="B1" s="1292" t="s">
        <v>1712</v>
      </c>
      <c r="C1" s="1292"/>
      <c r="D1" s="1292"/>
      <c r="E1" s="1292"/>
      <c r="F1" s="1292"/>
      <c r="G1" s="1292"/>
      <c r="H1" s="1292"/>
      <c r="I1" s="1292"/>
      <c r="J1" s="1292"/>
      <c r="K1" s="1292"/>
      <c r="L1" s="1292"/>
      <c r="M1" s="1292"/>
      <c r="N1" s="1292"/>
      <c r="O1" s="1292"/>
      <c r="P1" s="1292"/>
      <c r="Q1" s="1292"/>
      <c r="R1" s="1292"/>
      <c r="S1" s="1292"/>
      <c r="T1" s="1292"/>
      <c r="U1" s="1292"/>
      <c r="V1" s="1292"/>
      <c r="W1" s="1292"/>
      <c r="X1" s="1292"/>
      <c r="Y1" s="1292"/>
      <c r="Z1" s="1292"/>
      <c r="AA1" s="1292"/>
      <c r="AB1" s="1292"/>
      <c r="AC1" s="1292"/>
    </row>
    <row r="2" spans="2:32" x14ac:dyDescent="0.35">
      <c r="B2" s="1330" t="s">
        <v>1713</v>
      </c>
      <c r="C2" s="1330"/>
      <c r="D2" s="1330"/>
      <c r="E2" s="1330"/>
      <c r="F2" s="1330"/>
      <c r="G2" s="1330"/>
      <c r="H2" s="1330"/>
      <c r="I2" s="1330"/>
      <c r="J2" s="1330"/>
      <c r="K2" s="1330"/>
      <c r="L2" s="1330"/>
      <c r="M2" s="1330"/>
      <c r="N2" s="1330"/>
      <c r="O2" s="1330"/>
      <c r="P2" s="1330"/>
      <c r="Q2" s="1330"/>
      <c r="R2" s="1330"/>
      <c r="S2" s="1330"/>
      <c r="T2" s="1330"/>
      <c r="U2" s="1330"/>
      <c r="V2" s="1330"/>
      <c r="W2" s="1330"/>
      <c r="X2" s="1330"/>
      <c r="Y2" s="1330"/>
      <c r="Z2" s="1330"/>
      <c r="AA2" s="1330"/>
      <c r="AB2" s="1330"/>
      <c r="AC2" s="1330"/>
    </row>
    <row r="3" spans="2:32" x14ac:dyDescent="0.35">
      <c r="B3" s="1330"/>
      <c r="C3" s="1330"/>
      <c r="D3" s="1330"/>
      <c r="E3" s="1330"/>
      <c r="F3" s="1330"/>
      <c r="G3" s="1330"/>
      <c r="H3" s="1330"/>
      <c r="I3" s="1330"/>
      <c r="J3" s="1330"/>
      <c r="K3" s="1330"/>
      <c r="L3" s="1330"/>
      <c r="M3" s="1330"/>
      <c r="N3" s="1330"/>
      <c r="O3" s="1330"/>
      <c r="P3" s="1330"/>
      <c r="Q3" s="1330"/>
      <c r="R3" s="1330"/>
      <c r="S3" s="1330"/>
      <c r="T3" s="1330"/>
      <c r="U3" s="1330"/>
      <c r="V3" s="1330"/>
      <c r="W3" s="1330"/>
      <c r="X3" s="1330"/>
      <c r="Y3" s="1330"/>
      <c r="Z3" s="1330"/>
      <c r="AA3" s="1330"/>
      <c r="AB3" s="1330"/>
      <c r="AC3" s="1330"/>
    </row>
    <row r="4" spans="2:32" x14ac:dyDescent="0.35">
      <c r="B4" s="1330"/>
      <c r="C4" s="1330"/>
      <c r="D4" s="1330"/>
      <c r="E4" s="1330"/>
      <c r="F4" s="1330"/>
      <c r="G4" s="1330"/>
      <c r="H4" s="1330"/>
      <c r="I4" s="1330"/>
      <c r="J4" s="1330"/>
      <c r="K4" s="1330"/>
      <c r="L4" s="1330"/>
      <c r="M4" s="1330"/>
      <c r="N4" s="1330"/>
      <c r="O4" s="1330"/>
      <c r="P4" s="1330"/>
      <c r="Q4" s="1330"/>
      <c r="R4" s="1330"/>
      <c r="S4" s="1330"/>
      <c r="T4" s="1330"/>
      <c r="U4" s="1330"/>
      <c r="V4" s="1330"/>
      <c r="W4" s="1330"/>
      <c r="X4" s="1330"/>
      <c r="Y4" s="1330"/>
      <c r="Z4" s="1330"/>
      <c r="AA4" s="1330"/>
      <c r="AB4" s="1330"/>
      <c r="AC4" s="1330"/>
    </row>
    <row r="5" spans="2:32" x14ac:dyDescent="0.35">
      <c r="B5" s="209"/>
      <c r="C5" s="209"/>
      <c r="D5" s="209"/>
      <c r="E5" s="209"/>
      <c r="F5" s="209"/>
      <c r="G5" s="209"/>
      <c r="H5" s="209"/>
      <c r="I5" s="209"/>
      <c r="J5" s="209"/>
      <c r="K5" s="209"/>
      <c r="L5" s="209"/>
      <c r="M5" s="209"/>
      <c r="N5" s="209"/>
      <c r="O5" s="209"/>
      <c r="P5" s="209"/>
      <c r="Q5" s="209"/>
      <c r="R5" s="209"/>
      <c r="S5" s="209"/>
      <c r="T5" s="209"/>
      <c r="U5" s="209"/>
      <c r="V5" s="209"/>
      <c r="W5" s="209"/>
      <c r="X5" s="209"/>
      <c r="Y5" s="209"/>
      <c r="Z5" s="209"/>
      <c r="AA5" s="209"/>
      <c r="AB5" s="209"/>
      <c r="AC5" s="209"/>
    </row>
    <row r="6" spans="2:32" x14ac:dyDescent="0.35">
      <c r="B6" s="35"/>
      <c r="C6" s="926"/>
      <c r="D6" s="924"/>
      <c r="E6" s="924"/>
      <c r="F6" s="924"/>
      <c r="G6" s="924"/>
      <c r="H6" s="924"/>
      <c r="I6" s="924"/>
      <c r="J6" s="924"/>
      <c r="K6" s="924"/>
      <c r="L6" s="924"/>
      <c r="M6" s="924"/>
      <c r="N6" s="924"/>
      <c r="O6" s="924"/>
      <c r="P6" s="924"/>
      <c r="Q6" s="924"/>
      <c r="R6" s="924"/>
      <c r="S6" s="924"/>
      <c r="T6" s="924"/>
      <c r="U6" s="924"/>
      <c r="V6" s="924"/>
      <c r="W6" s="924"/>
      <c r="X6" s="924"/>
      <c r="Y6" s="924"/>
      <c r="Z6" s="924"/>
      <c r="AA6" s="924"/>
      <c r="AB6" s="924"/>
      <c r="AC6" s="924"/>
      <c r="AD6" s="924"/>
      <c r="AE6" s="924"/>
      <c r="AF6" s="924"/>
    </row>
    <row r="7" spans="2:32" ht="14.5" customHeight="1" x14ac:dyDescent="0.35">
      <c r="B7" s="1413" t="s">
        <v>1738</v>
      </c>
      <c r="C7" s="1413"/>
      <c r="D7" s="1413"/>
      <c r="E7" s="1413"/>
      <c r="F7" s="1413"/>
      <c r="G7" s="209"/>
      <c r="H7" s="209"/>
      <c r="I7" s="209"/>
      <c r="J7" s="209"/>
      <c r="K7" s="209"/>
      <c r="L7" s="209"/>
      <c r="M7" s="209"/>
      <c r="N7" s="209"/>
      <c r="O7" s="209"/>
      <c r="P7" s="209"/>
      <c r="Q7" s="209"/>
      <c r="R7" s="209"/>
      <c r="S7" s="209"/>
      <c r="T7" s="622"/>
      <c r="U7" s="622"/>
      <c r="V7" s="209"/>
      <c r="W7" s="209"/>
      <c r="X7" s="209"/>
      <c r="Y7" s="209"/>
      <c r="Z7" s="209"/>
      <c r="AA7" s="209"/>
      <c r="AB7" s="209"/>
      <c r="AC7" s="209"/>
    </row>
    <row r="8" spans="2:32" x14ac:dyDescent="0.35">
      <c r="B8" s="1297" t="s">
        <v>1727</v>
      </c>
      <c r="C8" s="1298"/>
      <c r="D8" s="1301" t="s">
        <v>280</v>
      </c>
      <c r="E8" s="1313"/>
      <c r="F8" s="1313"/>
      <c r="G8" s="1313"/>
      <c r="H8" s="1313"/>
      <c r="I8" s="1313"/>
      <c r="J8" s="1313"/>
      <c r="K8" s="1313"/>
      <c r="L8" s="1313"/>
      <c r="M8" s="1313"/>
      <c r="N8" s="1313"/>
      <c r="O8" s="1313"/>
      <c r="P8" s="1313"/>
      <c r="Q8" s="1313"/>
      <c r="R8" s="1313"/>
      <c r="S8" s="1313"/>
      <c r="T8" s="1313"/>
      <c r="U8" s="1313"/>
      <c r="V8" s="1313"/>
      <c r="W8" s="1311" t="s">
        <v>1798</v>
      </c>
      <c r="X8" s="1311"/>
      <c r="Y8" s="1311"/>
      <c r="Z8" s="1311"/>
      <c r="AA8" s="1311"/>
      <c r="AB8" s="1311"/>
      <c r="AC8" s="1311"/>
      <c r="AD8" s="1311"/>
      <c r="AE8" s="1311"/>
      <c r="AF8" s="1342"/>
    </row>
    <row r="9" spans="2:32" x14ac:dyDescent="0.35">
      <c r="B9" s="1299"/>
      <c r="C9" s="1300"/>
      <c r="D9" s="148">
        <v>2018</v>
      </c>
      <c r="E9" s="1294">
        <v>2019</v>
      </c>
      <c r="F9" s="1295"/>
      <c r="G9" s="1295"/>
      <c r="H9" s="1296"/>
      <c r="I9" s="1294">
        <v>2020</v>
      </c>
      <c r="J9" s="1295"/>
      <c r="K9" s="1295"/>
      <c r="L9" s="1295"/>
      <c r="M9" s="1294">
        <v>2021</v>
      </c>
      <c r="N9" s="1295"/>
      <c r="O9" s="1295"/>
      <c r="P9" s="1295"/>
      <c r="Q9" s="1322">
        <v>2022</v>
      </c>
      <c r="R9" s="1384"/>
      <c r="S9" s="522"/>
      <c r="T9" s="258"/>
      <c r="U9" s="201"/>
      <c r="V9" s="522">
        <v>2023</v>
      </c>
      <c r="W9" s="253"/>
      <c r="X9" s="253"/>
      <c r="Y9" s="1303">
        <v>2024</v>
      </c>
      <c r="Z9" s="1304"/>
      <c r="AA9" s="1304"/>
      <c r="AB9" s="1305"/>
      <c r="AC9" s="1303">
        <v>2025</v>
      </c>
      <c r="AD9" s="1304"/>
      <c r="AE9" s="1304"/>
      <c r="AF9" s="1305"/>
    </row>
    <row r="10" spans="2:32" x14ac:dyDescent="0.35">
      <c r="B10" s="1301"/>
      <c r="C10" s="1302"/>
      <c r="D10" s="148" t="s">
        <v>282</v>
      </c>
      <c r="E10" s="148" t="s">
        <v>283</v>
      </c>
      <c r="F10" s="144" t="s">
        <v>284</v>
      </c>
      <c r="G10" s="144" t="s">
        <v>238</v>
      </c>
      <c r="H10" s="145" t="s">
        <v>282</v>
      </c>
      <c r="I10" s="144" t="s">
        <v>283</v>
      </c>
      <c r="J10" s="144" t="s">
        <v>284</v>
      </c>
      <c r="K10" s="144" t="s">
        <v>238</v>
      </c>
      <c r="L10" s="144" t="s">
        <v>282</v>
      </c>
      <c r="M10" s="148" t="s">
        <v>283</v>
      </c>
      <c r="N10" s="144" t="s">
        <v>284</v>
      </c>
      <c r="O10" s="144" t="s">
        <v>238</v>
      </c>
      <c r="P10" s="144" t="s">
        <v>282</v>
      </c>
      <c r="Q10" s="148" t="s">
        <v>283</v>
      </c>
      <c r="R10" s="144" t="s">
        <v>284</v>
      </c>
      <c r="S10" s="144" t="s">
        <v>238</v>
      </c>
      <c r="T10" s="145" t="s">
        <v>282</v>
      </c>
      <c r="U10" s="148" t="s">
        <v>283</v>
      </c>
      <c r="V10" s="144" t="s">
        <v>284</v>
      </c>
      <c r="W10" s="282" t="s">
        <v>238</v>
      </c>
      <c r="X10" s="282" t="s">
        <v>282</v>
      </c>
      <c r="Y10" s="394" t="s">
        <v>283</v>
      </c>
      <c r="Z10" s="290" t="s">
        <v>284</v>
      </c>
      <c r="AA10" s="282" t="s">
        <v>238</v>
      </c>
      <c r="AB10" s="393" t="s">
        <v>282</v>
      </c>
      <c r="AC10" s="893" t="s">
        <v>283</v>
      </c>
      <c r="AD10" s="282" t="s">
        <v>284</v>
      </c>
      <c r="AE10" s="282" t="s">
        <v>238</v>
      </c>
      <c r="AF10" s="393" t="s">
        <v>282</v>
      </c>
    </row>
    <row r="11" spans="2:32" x14ac:dyDescent="0.35">
      <c r="B11" s="1414" t="s">
        <v>1737</v>
      </c>
      <c r="C11" s="1415"/>
      <c r="D11" s="1415"/>
      <c r="E11" s="1415"/>
      <c r="F11" s="1415"/>
      <c r="G11" s="1415"/>
      <c r="H11" s="1415"/>
      <c r="I11" s="1415"/>
      <c r="J11" s="1415"/>
      <c r="K11" s="1415"/>
      <c r="L11" s="1415"/>
      <c r="M11" s="1415"/>
      <c r="N11" s="1415"/>
      <c r="O11" s="1415"/>
      <c r="P11" s="1415"/>
      <c r="Q11" s="1415"/>
      <c r="R11" s="1415"/>
      <c r="S11" s="1415"/>
      <c r="T11" s="1415"/>
      <c r="U11" s="1415"/>
      <c r="V11" s="1415"/>
      <c r="W11" s="1415"/>
      <c r="X11" s="1415"/>
      <c r="Y11" s="1415"/>
      <c r="Z11" s="1415"/>
      <c r="AA11" s="1415"/>
      <c r="AB11" s="1415"/>
      <c r="AC11" s="1415"/>
      <c r="AD11" s="1415"/>
      <c r="AE11" s="1415"/>
      <c r="AF11" s="1416"/>
    </row>
    <row r="12" spans="2:32" x14ac:dyDescent="0.35">
      <c r="B12" s="936" t="s">
        <v>1716</v>
      </c>
      <c r="C12" s="937"/>
      <c r="D12" s="931">
        <f t="shared" ref="D12:S12" si="0">D45</f>
        <v>1.5264497223703488E-2</v>
      </c>
      <c r="E12" s="931">
        <f t="shared" si="0"/>
        <v>9.1895436648135043E-3</v>
      </c>
      <c r="F12" s="931">
        <f t="shared" si="0"/>
        <v>2.1359335668051704E-2</v>
      </c>
      <c r="G12" s="931">
        <f t="shared" si="0"/>
        <v>9.7821561759856568E-3</v>
      </c>
      <c r="H12" s="931">
        <f t="shared" si="0"/>
        <v>1.5756743276972518E-2</v>
      </c>
      <c r="I12" s="931">
        <f t="shared" si="0"/>
        <v>1.2975809403218186E-2</v>
      </c>
      <c r="J12" s="931">
        <f t="shared" si="0"/>
        <v>-1.727886877748519E-2</v>
      </c>
      <c r="K12" s="931">
        <f t="shared" si="0"/>
        <v>3.3383553321530757E-2</v>
      </c>
      <c r="L12" s="931">
        <f t="shared" si="0"/>
        <v>2.0146820681233191E-2</v>
      </c>
      <c r="M12" s="931">
        <f t="shared" si="0"/>
        <v>4.7725552632172041E-2</v>
      </c>
      <c r="N12" s="931">
        <f t="shared" si="0"/>
        <v>6.2593648340676156E-2</v>
      </c>
      <c r="O12" s="931">
        <f t="shared" si="0"/>
        <v>5.6496850547917088E-2</v>
      </c>
      <c r="P12" s="931">
        <f t="shared" si="0"/>
        <v>6.7608172830647684E-2</v>
      </c>
      <c r="Q12" s="931">
        <f t="shared" si="0"/>
        <v>7.6571358087944352E-2</v>
      </c>
      <c r="R12" s="931">
        <f t="shared" si="0"/>
        <v>7.1828427694202057E-2</v>
      </c>
      <c r="S12" s="931">
        <f t="shared" si="0"/>
        <v>4.6758931657381764E-2</v>
      </c>
      <c r="T12" s="955">
        <f>T45</f>
        <v>4.1448566443352153E-2</v>
      </c>
      <c r="U12" s="931">
        <f>U45+U13</f>
        <v>4.1651997755371317E-2</v>
      </c>
      <c r="V12" s="931">
        <f t="shared" ref="V12:AF12" si="1">V45+V13</f>
        <v>2.4870541532459711E-2</v>
      </c>
      <c r="W12" s="931">
        <f t="shared" si="1"/>
        <v>2.5905176927918383E-2</v>
      </c>
      <c r="X12" s="931">
        <f t="shared" si="1"/>
        <v>1.6590383013570742E-2</v>
      </c>
      <c r="Y12" s="931">
        <f t="shared" si="1"/>
        <v>2.8091398638267373E-2</v>
      </c>
      <c r="Z12" s="931">
        <f t="shared" si="1"/>
        <v>2.4757720383034698E-2</v>
      </c>
      <c r="AA12" s="931">
        <f t="shared" si="1"/>
        <v>2.5292162721610056E-2</v>
      </c>
      <c r="AB12" s="931">
        <f t="shared" si="1"/>
        <v>2.4263189998973589E-2</v>
      </c>
      <c r="AC12" s="931">
        <f t="shared" si="1"/>
        <v>2.3060157044477725E-2</v>
      </c>
      <c r="AD12" s="931">
        <f t="shared" si="1"/>
        <v>2.2597540056138454E-2</v>
      </c>
      <c r="AE12" s="931">
        <f t="shared" si="1"/>
        <v>2.2203025255892905E-2</v>
      </c>
      <c r="AF12" s="929">
        <f t="shared" si="1"/>
        <v>2.2106187865342131E-2</v>
      </c>
    </row>
    <row r="13" spans="2:32" x14ac:dyDescent="0.35">
      <c r="B13" s="943" t="s">
        <v>1793</v>
      </c>
      <c r="C13" s="938"/>
      <c r="D13" s="939"/>
      <c r="E13" s="940"/>
      <c r="F13" s="940"/>
      <c r="G13" s="940"/>
      <c r="H13" s="940"/>
      <c r="I13" s="940"/>
      <c r="J13" s="940"/>
      <c r="K13" s="940"/>
      <c r="L13" s="940"/>
      <c r="M13" s="940"/>
      <c r="N13" s="940"/>
      <c r="O13" s="940"/>
      <c r="P13" s="940"/>
      <c r="Q13" s="940"/>
      <c r="R13" s="940"/>
      <c r="S13" s="940"/>
      <c r="T13" s="940"/>
      <c r="U13" s="940"/>
      <c r="V13" s="940"/>
      <c r="W13" s="940"/>
      <c r="X13" s="940"/>
      <c r="Y13" s="940"/>
      <c r="Z13" s="940"/>
      <c r="AA13" s="940"/>
      <c r="AB13" s="940"/>
      <c r="AC13" s="940"/>
      <c r="AD13" s="940"/>
      <c r="AE13" s="940"/>
      <c r="AF13" s="941"/>
    </row>
    <row r="14" spans="2:32" x14ac:dyDescent="0.35">
      <c r="B14" s="707" t="s">
        <v>1717</v>
      </c>
      <c r="C14" s="937"/>
      <c r="D14" s="924">
        <f t="shared" ref="D14:S14" si="2">D46</f>
        <v>2.9477765289275926E-2</v>
      </c>
      <c r="E14" s="924">
        <f t="shared" si="2"/>
        <v>4.2202135370129845E-2</v>
      </c>
      <c r="F14" s="924">
        <f t="shared" si="2"/>
        <v>-2.3704834981612466E-2</v>
      </c>
      <c r="G14" s="924">
        <f t="shared" si="2"/>
        <v>6.4629467492742787E-3</v>
      </c>
      <c r="H14" s="924">
        <f t="shared" si="2"/>
        <v>1.3942439977386201E-2</v>
      </c>
      <c r="I14" s="924">
        <f t="shared" si="2"/>
        <v>1.2621468504538935E-2</v>
      </c>
      <c r="J14" s="924">
        <f t="shared" si="2"/>
        <v>9.5192305533120525E-4</v>
      </c>
      <c r="K14" s="924">
        <f t="shared" si="2"/>
        <v>2.3028813031033213E-2</v>
      </c>
      <c r="L14" s="924">
        <f t="shared" si="2"/>
        <v>2.9378026710950689E-2</v>
      </c>
      <c r="M14" s="924">
        <f t="shared" si="2"/>
        <v>3.4124335135575334E-2</v>
      </c>
      <c r="N14" s="924">
        <f t="shared" si="2"/>
        <v>3.9538213787325915E-2</v>
      </c>
      <c r="O14" s="924">
        <f t="shared" si="2"/>
        <v>4.1165152093425528E-2</v>
      </c>
      <c r="P14" s="924">
        <f t="shared" si="2"/>
        <v>4.6364460300687638E-2</v>
      </c>
      <c r="Q14" s="924">
        <f t="shared" si="2"/>
        <v>7.2410998904413937E-2</v>
      </c>
      <c r="R14" s="924">
        <f t="shared" si="2"/>
        <v>6.8511037124212137E-2</v>
      </c>
      <c r="S14" s="924">
        <f t="shared" si="2"/>
        <v>4.8282007704063767E-2</v>
      </c>
      <c r="T14" s="924">
        <f>T46</f>
        <v>4.093597497107293E-2</v>
      </c>
      <c r="U14" s="924">
        <f>U46+U15</f>
        <v>4.1330736826713066E-2</v>
      </c>
      <c r="V14" s="924">
        <f t="shared" ref="V14:AF14" si="3">V46+V15</f>
        <v>2.0643513935327373E-2</v>
      </c>
      <c r="W14" s="924">
        <f t="shared" si="3"/>
        <v>3.9726565698527727E-2</v>
      </c>
      <c r="X14" s="924">
        <f t="shared" si="3"/>
        <v>3.7622788012312114E-2</v>
      </c>
      <c r="Y14" s="924">
        <f t="shared" si="3"/>
        <v>2.9177415019928876E-2</v>
      </c>
      <c r="Z14" s="924">
        <f t="shared" si="3"/>
        <v>2.6899993160794278E-2</v>
      </c>
      <c r="AA14" s="924">
        <f t="shared" si="3"/>
        <v>2.7881138243015302E-2</v>
      </c>
      <c r="AB14" s="924">
        <f t="shared" si="3"/>
        <v>2.6848543864137264E-2</v>
      </c>
      <c r="AC14" s="924">
        <f t="shared" si="3"/>
        <v>2.5377349311315189E-2</v>
      </c>
      <c r="AD14" s="924">
        <f t="shared" si="3"/>
        <v>2.471868460464699E-2</v>
      </c>
      <c r="AE14" s="924">
        <f t="shared" si="3"/>
        <v>2.4677734219933578E-2</v>
      </c>
      <c r="AF14" s="957">
        <f t="shared" si="3"/>
        <v>2.4460901868401885E-2</v>
      </c>
    </row>
    <row r="15" spans="2:32" x14ac:dyDescent="0.35">
      <c r="B15" s="153" t="s">
        <v>1794</v>
      </c>
      <c r="C15" s="938"/>
      <c r="D15" s="939"/>
      <c r="E15" s="940"/>
      <c r="F15" s="940"/>
      <c r="G15" s="940"/>
      <c r="H15" s="940"/>
      <c r="I15" s="940"/>
      <c r="J15" s="940"/>
      <c r="K15" s="940"/>
      <c r="L15" s="940"/>
      <c r="M15" s="940"/>
      <c r="N15" s="940"/>
      <c r="O15" s="940"/>
      <c r="P15" s="940"/>
      <c r="Q15" s="940"/>
      <c r="R15" s="940"/>
      <c r="S15" s="940"/>
      <c r="T15" s="940"/>
      <c r="U15" s="940"/>
      <c r="V15" s="940"/>
      <c r="W15" s="940"/>
      <c r="X15" s="940"/>
      <c r="Y15" s="940"/>
      <c r="Z15" s="940"/>
      <c r="AA15" s="940"/>
      <c r="AB15" s="940"/>
      <c r="AC15" s="940"/>
      <c r="AD15" s="940"/>
      <c r="AE15" s="940"/>
      <c r="AF15" s="941"/>
    </row>
    <row r="16" spans="2:32" x14ac:dyDescent="0.35">
      <c r="B16" s="707" t="s">
        <v>1718</v>
      </c>
      <c r="C16" s="937"/>
      <c r="D16" s="924">
        <f t="shared" ref="D16:T16" si="4">D47</f>
        <v>1.7606158659444704E-2</v>
      </c>
      <c r="E16" s="924">
        <f t="shared" si="4"/>
        <v>-1.7151418638734928E-2</v>
      </c>
      <c r="F16" s="924">
        <f t="shared" si="4"/>
        <v>2.7663740902592604E-2</v>
      </c>
      <c r="G16" s="924">
        <f t="shared" si="4"/>
        <v>1.5104723907904294E-2</v>
      </c>
      <c r="H16" s="924">
        <f t="shared" si="4"/>
        <v>2.4480958799653285E-2</v>
      </c>
      <c r="I16" s="924">
        <f t="shared" si="4"/>
        <v>5.2574904831641067E-2</v>
      </c>
      <c r="J16" s="924">
        <f t="shared" si="4"/>
        <v>-8.4277759405785302E-3</v>
      </c>
      <c r="K16" s="924">
        <f t="shared" si="4"/>
        <v>4.907445416510936E-2</v>
      </c>
      <c r="L16" s="924">
        <f t="shared" si="4"/>
        <v>5.0954864858178572E-2</v>
      </c>
      <c r="M16" s="924">
        <f t="shared" si="4"/>
        <v>9.2354867824980369E-2</v>
      </c>
      <c r="N16" s="924">
        <f t="shared" si="4"/>
        <v>7.5885854631137173E-2</v>
      </c>
      <c r="O16" s="924">
        <f t="shared" si="4"/>
        <v>6.4839018796936099E-2</v>
      </c>
      <c r="P16" s="924">
        <f t="shared" si="4"/>
        <v>7.8606616627874493E-2</v>
      </c>
      <c r="Q16" s="924">
        <f t="shared" si="4"/>
        <v>9.0996244334734522E-2</v>
      </c>
      <c r="R16" s="924">
        <f t="shared" si="4"/>
        <v>0.13763433325959551</v>
      </c>
      <c r="S16" s="924">
        <f t="shared" si="4"/>
        <v>1.6839709416048398E-2</v>
      </c>
      <c r="T16" s="924">
        <f t="shared" si="4"/>
        <v>2.7352303497218955E-2</v>
      </c>
      <c r="U16" s="925">
        <f>U47+U17</f>
        <v>-6.3056175150344451E-5</v>
      </c>
      <c r="V16" s="924">
        <f t="shared" ref="V16:AF16" si="5">V47+V17</f>
        <v>-2.8662130748749126E-2</v>
      </c>
      <c r="W16" s="924">
        <f t="shared" si="5"/>
        <v>5.7410273514926002E-2</v>
      </c>
      <c r="X16" s="924">
        <f t="shared" si="5"/>
        <v>8.5776073670338349E-3</v>
      </c>
      <c r="Y16" s="924">
        <f t="shared" si="5"/>
        <v>3.3343974071288418E-2</v>
      </c>
      <c r="Z16" s="924">
        <f t="shared" si="5"/>
        <v>3.0704031449066083E-2</v>
      </c>
      <c r="AA16" s="924">
        <f t="shared" si="5"/>
        <v>2.9455855111519602E-2</v>
      </c>
      <c r="AB16" s="924">
        <f t="shared" si="5"/>
        <v>2.8801828876449553E-2</v>
      </c>
      <c r="AC16" s="924">
        <f t="shared" si="5"/>
        <v>2.9396483903845194E-2</v>
      </c>
      <c r="AD16" s="924">
        <f t="shared" si="5"/>
        <v>2.8870369964724807E-2</v>
      </c>
      <c r="AE16" s="924">
        <f t="shared" si="5"/>
        <v>2.8486629635257943E-2</v>
      </c>
      <c r="AF16" s="957">
        <f t="shared" si="5"/>
        <v>2.8185592071407362E-2</v>
      </c>
    </row>
    <row r="17" spans="2:33" x14ac:dyDescent="0.35">
      <c r="B17" s="153" t="s">
        <v>1795</v>
      </c>
      <c r="C17" s="938"/>
      <c r="D17" s="939"/>
      <c r="E17" s="940"/>
      <c r="F17" s="940"/>
      <c r="G17" s="940"/>
      <c r="H17" s="940"/>
      <c r="I17" s="940"/>
      <c r="J17" s="940"/>
      <c r="K17" s="940"/>
      <c r="L17" s="940"/>
      <c r="M17" s="940"/>
      <c r="N17" s="940"/>
      <c r="O17" s="940"/>
      <c r="P17" s="940"/>
      <c r="Q17" s="940"/>
      <c r="R17" s="940"/>
      <c r="S17" s="940"/>
      <c r="T17" s="940"/>
      <c r="U17" s="940"/>
      <c r="V17" s="940"/>
      <c r="W17" s="940"/>
      <c r="X17" s="940"/>
      <c r="Y17" s="940"/>
      <c r="Z17" s="940"/>
      <c r="AA17" s="940"/>
      <c r="AB17" s="940"/>
      <c r="AC17" s="940"/>
      <c r="AD17" s="940"/>
      <c r="AE17" s="940"/>
      <c r="AF17" s="941"/>
    </row>
    <row r="18" spans="2:33" x14ac:dyDescent="0.35">
      <c r="B18" s="707" t="s">
        <v>1719</v>
      </c>
      <c r="C18" s="937"/>
      <c r="D18" s="924">
        <f t="shared" ref="D18:T18" si="6">D48</f>
        <v>1.2331231439726587E-2</v>
      </c>
      <c r="E18" s="924">
        <f t="shared" si="6"/>
        <v>-2.4548871147293649E-2</v>
      </c>
      <c r="F18" s="924">
        <f t="shared" si="6"/>
        <v>2.4115177005201271E-2</v>
      </c>
      <c r="G18" s="924">
        <f t="shared" si="6"/>
        <v>1.4753974603383124E-2</v>
      </c>
      <c r="H18" s="924">
        <f t="shared" si="6"/>
        <v>2.894174832740215E-2</v>
      </c>
      <c r="I18" s="924">
        <f t="shared" si="6"/>
        <v>6.2522667611889737E-2</v>
      </c>
      <c r="J18" s="924">
        <f t="shared" si="6"/>
        <v>-7.4240991087901609E-3</v>
      </c>
      <c r="K18" s="924">
        <f t="shared" si="6"/>
        <v>5.0929448665746779E-2</v>
      </c>
      <c r="L18" s="924">
        <f t="shared" si="6"/>
        <v>5.7456046457014187E-2</v>
      </c>
      <c r="M18" s="924">
        <f t="shared" si="6"/>
        <v>9.8185028225247883E-2</v>
      </c>
      <c r="N18" s="924">
        <f t="shared" si="6"/>
        <v>7.1275335420445396E-2</v>
      </c>
      <c r="O18" s="924">
        <f t="shared" si="6"/>
        <v>6.0639425152128945E-2</v>
      </c>
      <c r="P18" s="924">
        <f t="shared" si="6"/>
        <v>7.3083340350689641E-2</v>
      </c>
      <c r="Q18" s="924">
        <f t="shared" si="6"/>
        <v>8.7536929602414215E-2</v>
      </c>
      <c r="R18" s="924">
        <f t="shared" si="6"/>
        <v>0.14059958977185572</v>
      </c>
      <c r="S18" s="924">
        <f t="shared" si="6"/>
        <v>5.1674533625485353E-3</v>
      </c>
      <c r="T18" s="924">
        <f t="shared" si="6"/>
        <v>2.4708021569921135E-2</v>
      </c>
      <c r="U18" s="925">
        <f>U48+U19</f>
        <v>-1.0701402735953436E-2</v>
      </c>
      <c r="V18" s="924">
        <f t="shared" ref="V18:AF18" si="7">V48+V19</f>
        <v>-3.5605877057299118E-2</v>
      </c>
      <c r="W18" s="924">
        <f t="shared" si="7"/>
        <v>6.8186173678186135E-2</v>
      </c>
      <c r="X18" s="924">
        <f t="shared" si="7"/>
        <v>8.3609936619060132E-3</v>
      </c>
      <c r="Y18" s="924">
        <f t="shared" si="7"/>
        <v>3.3343974071288418E-2</v>
      </c>
      <c r="Z18" s="924">
        <f t="shared" si="7"/>
        <v>3.0704031449066083E-2</v>
      </c>
      <c r="AA18" s="924">
        <f t="shared" si="7"/>
        <v>2.9455855111519602E-2</v>
      </c>
      <c r="AB18" s="924">
        <f t="shared" si="7"/>
        <v>2.8801828876449553E-2</v>
      </c>
      <c r="AC18" s="924">
        <f t="shared" si="7"/>
        <v>2.9396483903845194E-2</v>
      </c>
      <c r="AD18" s="924">
        <f t="shared" si="7"/>
        <v>2.8870369964724807E-2</v>
      </c>
      <c r="AE18" s="924">
        <f t="shared" si="7"/>
        <v>2.8486629635257943E-2</v>
      </c>
      <c r="AF18" s="957">
        <f t="shared" si="7"/>
        <v>2.8185592071407362E-2</v>
      </c>
    </row>
    <row r="19" spans="2:33" x14ac:dyDescent="0.35">
      <c r="B19" s="153" t="s">
        <v>1796</v>
      </c>
      <c r="C19" s="938"/>
      <c r="D19" s="939"/>
      <c r="E19" s="940"/>
      <c r="F19" s="940"/>
      <c r="G19" s="940"/>
      <c r="H19" s="940"/>
      <c r="I19" s="940"/>
      <c r="J19" s="940"/>
      <c r="K19" s="940"/>
      <c r="L19" s="940"/>
      <c r="M19" s="940"/>
      <c r="N19" s="940"/>
      <c r="O19" s="940"/>
      <c r="P19" s="940"/>
      <c r="Q19" s="940"/>
      <c r="R19" s="940"/>
      <c r="S19" s="940"/>
      <c r="T19" s="940"/>
      <c r="U19" s="940"/>
      <c r="V19" s="940"/>
      <c r="W19" s="940"/>
      <c r="X19" s="940"/>
      <c r="Y19" s="940"/>
      <c r="Z19" s="940"/>
      <c r="AA19" s="940"/>
      <c r="AB19" s="940"/>
      <c r="AC19" s="940"/>
      <c r="AD19" s="940"/>
      <c r="AE19" s="940"/>
      <c r="AF19" s="941"/>
      <c r="AG19" s="942"/>
    </row>
    <row r="20" spans="2:33" x14ac:dyDescent="0.35">
      <c r="B20" s="707" t="s">
        <v>1720</v>
      </c>
      <c r="C20" s="937"/>
      <c r="D20" s="924">
        <f t="shared" ref="D20:T20" si="8">D49</f>
        <v>4.0962242441666019E-2</v>
      </c>
      <c r="E20" s="924">
        <f t="shared" si="8"/>
        <v>1.5719050974356552E-2</v>
      </c>
      <c r="F20" s="924">
        <f t="shared" si="8"/>
        <v>4.3088224053848823E-2</v>
      </c>
      <c r="G20" s="924">
        <f t="shared" si="8"/>
        <v>1.6823112159823461E-2</v>
      </c>
      <c r="H20" s="924">
        <f t="shared" si="8"/>
        <v>5.3982501773912617E-3</v>
      </c>
      <c r="I20" s="924">
        <f t="shared" si="8"/>
        <v>9.7871671399678561E-3</v>
      </c>
      <c r="J20" s="924">
        <f t="shared" si="8"/>
        <v>-1.264897125361697E-2</v>
      </c>
      <c r="K20" s="924">
        <f t="shared" si="8"/>
        <v>4.0611329344794056E-2</v>
      </c>
      <c r="L20" s="924">
        <f t="shared" si="8"/>
        <v>2.1607225299700827E-2</v>
      </c>
      <c r="M20" s="924">
        <f t="shared" si="8"/>
        <v>6.5587978667649205E-2</v>
      </c>
      <c r="N20" s="924">
        <f t="shared" si="8"/>
        <v>9.6562691223789132E-2</v>
      </c>
      <c r="O20" s="924">
        <f t="shared" si="8"/>
        <v>8.4807929469169041E-2</v>
      </c>
      <c r="P20" s="924">
        <f t="shared" si="8"/>
        <v>0.1057724485451752</v>
      </c>
      <c r="Q20" s="924">
        <f t="shared" si="8"/>
        <v>0.10808480173082224</v>
      </c>
      <c r="R20" s="924">
        <f t="shared" si="8"/>
        <v>0.12258858608776269</v>
      </c>
      <c r="S20" s="924">
        <f t="shared" si="8"/>
        <v>7.7728691252704651E-2</v>
      </c>
      <c r="T20" s="924">
        <f t="shared" si="8"/>
        <v>4.0349668009795225E-2</v>
      </c>
      <c r="U20" s="924">
        <f>U49+U21</f>
        <v>5.1960248713186719E-2</v>
      </c>
      <c r="V20" s="924">
        <f t="shared" ref="V20:AF20" si="9">V49+V21</f>
        <v>3.571644947314212E-3</v>
      </c>
      <c r="W20" s="924">
        <f t="shared" si="9"/>
        <v>1.126058576943012E-2</v>
      </c>
      <c r="X20" s="924">
        <f t="shared" si="9"/>
        <v>9.5000620757308418E-3</v>
      </c>
      <c r="Y20" s="924">
        <f t="shared" si="9"/>
        <v>3.3343974071288418E-2</v>
      </c>
      <c r="Z20" s="924">
        <f t="shared" si="9"/>
        <v>3.0704031449066083E-2</v>
      </c>
      <c r="AA20" s="924">
        <f t="shared" si="9"/>
        <v>2.9455855111519602E-2</v>
      </c>
      <c r="AB20" s="924">
        <f t="shared" si="9"/>
        <v>2.8801828876449553E-2</v>
      </c>
      <c r="AC20" s="924">
        <f t="shared" si="9"/>
        <v>2.9396483903845194E-2</v>
      </c>
      <c r="AD20" s="924">
        <f t="shared" si="9"/>
        <v>2.8870369964724807E-2</v>
      </c>
      <c r="AE20" s="924">
        <f t="shared" si="9"/>
        <v>2.8486629635257943E-2</v>
      </c>
      <c r="AF20" s="957">
        <f t="shared" si="9"/>
        <v>2.8185592071407362E-2</v>
      </c>
    </row>
    <row r="21" spans="2:33" x14ac:dyDescent="0.35">
      <c r="B21" s="153" t="s">
        <v>1797</v>
      </c>
      <c r="C21" s="938"/>
      <c r="D21" s="959"/>
      <c r="E21" s="959"/>
      <c r="F21" s="959"/>
      <c r="G21" s="959"/>
      <c r="H21" s="959"/>
      <c r="I21" s="959"/>
      <c r="J21" s="959"/>
      <c r="K21" s="959"/>
      <c r="L21" s="959"/>
      <c r="M21" s="959"/>
      <c r="N21" s="959"/>
      <c r="O21" s="959"/>
      <c r="P21" s="959"/>
      <c r="Q21" s="959"/>
      <c r="R21" s="959"/>
      <c r="S21" s="959"/>
      <c r="T21" s="959"/>
      <c r="U21" s="959"/>
      <c r="V21" s="959"/>
      <c r="W21" s="959"/>
      <c r="X21" s="959"/>
      <c r="Y21" s="959"/>
      <c r="Z21" s="959"/>
      <c r="AA21" s="959"/>
      <c r="AB21" s="959"/>
      <c r="AC21" s="959"/>
      <c r="AD21" s="959"/>
      <c r="AE21" s="959"/>
      <c r="AF21" s="960"/>
    </row>
    <row r="22" spans="2:33" x14ac:dyDescent="0.35">
      <c r="B22" s="1410" t="s">
        <v>1741</v>
      </c>
      <c r="C22" s="1411"/>
      <c r="D22" s="1411"/>
      <c r="E22" s="1411"/>
      <c r="F22" s="1411"/>
      <c r="G22" s="1411"/>
      <c r="H22" s="1411"/>
      <c r="I22" s="1411"/>
      <c r="J22" s="1411"/>
      <c r="K22" s="1411"/>
      <c r="L22" s="1411"/>
      <c r="M22" s="1411"/>
      <c r="N22" s="1411"/>
      <c r="O22" s="1411"/>
      <c r="P22" s="1411"/>
      <c r="Q22" s="1411"/>
      <c r="R22" s="1411"/>
      <c r="S22" s="1411"/>
      <c r="T22" s="1411"/>
      <c r="U22" s="1411"/>
      <c r="V22" s="1411"/>
      <c r="W22" s="1411"/>
      <c r="X22" s="1411"/>
      <c r="Y22" s="1411"/>
      <c r="Z22" s="1411"/>
      <c r="AA22" s="1411"/>
      <c r="AB22" s="1411"/>
      <c r="AC22" s="1411"/>
      <c r="AD22" s="1411"/>
      <c r="AE22" s="1411"/>
      <c r="AF22" s="1412"/>
    </row>
    <row r="23" spans="2:33" x14ac:dyDescent="0.35">
      <c r="B23" s="978" t="s">
        <v>1716</v>
      </c>
      <c r="C23" s="932"/>
      <c r="D23" s="976">
        <f t="shared" ref="D23:AF23" si="10">(D12+1)^0.25-1</f>
        <v>3.7944725878693575E-3</v>
      </c>
      <c r="E23" s="976">
        <f t="shared" si="10"/>
        <v>2.2895111163072634E-3</v>
      </c>
      <c r="F23" s="976">
        <f t="shared" si="10"/>
        <v>5.2975883822428127E-3</v>
      </c>
      <c r="G23" s="976">
        <f t="shared" si="10"/>
        <v>2.4366189012010597E-3</v>
      </c>
      <c r="H23" s="976">
        <f t="shared" si="10"/>
        <v>3.9161216891407946E-3</v>
      </c>
      <c r="I23" s="976">
        <f t="shared" si="10"/>
        <v>3.2282859338970127E-3</v>
      </c>
      <c r="J23" s="976">
        <f t="shared" si="10"/>
        <v>-4.347992644805343E-3</v>
      </c>
      <c r="K23" s="976">
        <f t="shared" si="10"/>
        <v>8.2433966256900693E-3</v>
      </c>
      <c r="L23" s="976">
        <f t="shared" si="10"/>
        <v>4.9990936757648985E-3</v>
      </c>
      <c r="M23" s="976">
        <f t="shared" si="10"/>
        <v>1.1723607643602252E-2</v>
      </c>
      <c r="N23" s="976">
        <f t="shared" si="10"/>
        <v>1.5293963106832509E-2</v>
      </c>
      <c r="O23" s="976">
        <f t="shared" si="10"/>
        <v>1.3834466952535873E-2</v>
      </c>
      <c r="P23" s="976">
        <f t="shared" si="10"/>
        <v>1.6489676860671709E-2</v>
      </c>
      <c r="Q23" s="976">
        <f t="shared" si="10"/>
        <v>1.8616496583388598E-2</v>
      </c>
      <c r="R23" s="976">
        <f t="shared" si="10"/>
        <v>1.7492737036710837E-2</v>
      </c>
      <c r="S23" s="977">
        <f t="shared" si="10"/>
        <v>1.1490175380914902E-2</v>
      </c>
      <c r="T23" s="976">
        <f t="shared" si="10"/>
        <v>1.0204867199863132E-2</v>
      </c>
      <c r="U23" s="976">
        <f t="shared" si="10"/>
        <v>1.0254195668004451E-2</v>
      </c>
      <c r="V23" s="976">
        <f t="shared" si="10"/>
        <v>6.1604740631469035E-3</v>
      </c>
      <c r="W23" s="976">
        <f t="shared" si="10"/>
        <v>6.4143147512578658E-3</v>
      </c>
      <c r="X23" s="976">
        <f t="shared" si="10"/>
        <v>4.1220388365588168E-3</v>
      </c>
      <c r="Y23" s="976">
        <f t="shared" si="10"/>
        <v>6.9500583978272523E-3</v>
      </c>
      <c r="Z23" s="976">
        <f t="shared" si="10"/>
        <v>6.132782549199689E-3</v>
      </c>
      <c r="AA23" s="976">
        <f t="shared" si="10"/>
        <v>6.263939117848949E-3</v>
      </c>
      <c r="AB23" s="976">
        <f t="shared" si="10"/>
        <v>6.011374998392105E-3</v>
      </c>
      <c r="AC23" s="976">
        <f t="shared" si="10"/>
        <v>5.7158459107606863E-3</v>
      </c>
      <c r="AD23" s="976">
        <f t="shared" si="10"/>
        <v>5.6021331079985082E-3</v>
      </c>
      <c r="AE23" s="976">
        <f t="shared" si="10"/>
        <v>5.5051295661012745E-3</v>
      </c>
      <c r="AF23" s="977">
        <f t="shared" si="10"/>
        <v>5.4813148370724818E-3</v>
      </c>
    </row>
    <row r="24" spans="2:33" x14ac:dyDescent="0.35">
      <c r="B24" s="842" t="s">
        <v>1717</v>
      </c>
      <c r="C24" s="932"/>
      <c r="D24" s="976">
        <f t="shared" ref="D24:AF24" si="11">(D14+1)^0.25-1</f>
        <v>7.2893513350869021E-3</v>
      </c>
      <c r="E24" s="976">
        <f t="shared" si="11"/>
        <v>1.0387558056620838E-2</v>
      </c>
      <c r="F24" s="976">
        <f t="shared" si="11"/>
        <v>-5.979629205767889E-3</v>
      </c>
      <c r="G24" s="976">
        <f t="shared" si="11"/>
        <v>1.6118354776502031E-3</v>
      </c>
      <c r="H24" s="976">
        <f t="shared" si="11"/>
        <v>3.4675325919326649E-3</v>
      </c>
      <c r="I24" s="976">
        <f t="shared" si="11"/>
        <v>3.1405416241085948E-3</v>
      </c>
      <c r="J24" s="976">
        <f t="shared" si="11"/>
        <v>2.3789585870903629E-4</v>
      </c>
      <c r="K24" s="976">
        <f t="shared" si="11"/>
        <v>5.7081426655123391E-3</v>
      </c>
      <c r="L24" s="976">
        <f t="shared" si="11"/>
        <v>7.2649532224040581E-3</v>
      </c>
      <c r="M24" s="976">
        <f t="shared" si="11"/>
        <v>8.4240380913027657E-3</v>
      </c>
      <c r="N24" s="976">
        <f t="shared" si="11"/>
        <v>9.7412877870699521E-3</v>
      </c>
      <c r="O24" s="976">
        <f t="shared" si="11"/>
        <v>1.013613222164822E-2</v>
      </c>
      <c r="P24" s="976">
        <f t="shared" si="11"/>
        <v>1.1394866831624384E-2</v>
      </c>
      <c r="Q24" s="976">
        <f t="shared" si="11"/>
        <v>1.763096839425482E-2</v>
      </c>
      <c r="R24" s="976">
        <f t="shared" si="11"/>
        <v>1.6704517227919435E-2</v>
      </c>
      <c r="S24" s="977">
        <f t="shared" si="11"/>
        <v>1.1857914438035966E-2</v>
      </c>
      <c r="T24" s="976">
        <f t="shared" si="11"/>
        <v>1.0080540848179664E-2</v>
      </c>
      <c r="U24" s="976">
        <f t="shared" si="11"/>
        <v>1.0176292312289226E-2</v>
      </c>
      <c r="V24" s="976">
        <f t="shared" si="11"/>
        <v>5.1214008637083808E-3</v>
      </c>
      <c r="W24" s="976">
        <f t="shared" si="11"/>
        <v>9.7870229456920033E-3</v>
      </c>
      <c r="X24" s="976">
        <f t="shared" si="11"/>
        <v>9.2758353664121884E-3</v>
      </c>
      <c r="Y24" s="976">
        <f t="shared" si="11"/>
        <v>7.215874096539121E-3</v>
      </c>
      <c r="Z24" s="976">
        <f t="shared" si="11"/>
        <v>6.6582050868881915E-3</v>
      </c>
      <c r="AA24" s="976">
        <f t="shared" si="11"/>
        <v>6.898570281810068E-3</v>
      </c>
      <c r="AB24" s="976">
        <f t="shared" si="11"/>
        <v>6.6455960621367716E-3</v>
      </c>
      <c r="AC24" s="976">
        <f t="shared" si="11"/>
        <v>6.2848398732100463E-3</v>
      </c>
      <c r="AD24" s="976">
        <f t="shared" si="11"/>
        <v>6.1232008362259727E-3</v>
      </c>
      <c r="AE24" s="976">
        <f t="shared" si="11"/>
        <v>6.1131488702046433E-3</v>
      </c>
      <c r="AF24" s="977">
        <f t="shared" si="11"/>
        <v>6.0599186724319409E-3</v>
      </c>
    </row>
    <row r="25" spans="2:33" x14ac:dyDescent="0.35">
      <c r="B25" s="842" t="s">
        <v>1718</v>
      </c>
      <c r="C25" s="932"/>
      <c r="D25" s="976">
        <f t="shared" ref="D25:AF25" si="12">(D16+1)^0.25-1</f>
        <v>4.372774229274734E-3</v>
      </c>
      <c r="E25" s="976">
        <f t="shared" si="12"/>
        <v>-4.3157124252592993E-3</v>
      </c>
      <c r="F25" s="976">
        <f t="shared" si="12"/>
        <v>6.8453261793151032E-3</v>
      </c>
      <c r="G25" s="976">
        <f t="shared" si="12"/>
        <v>3.754978190783298E-3</v>
      </c>
      <c r="H25" s="976">
        <f t="shared" si="12"/>
        <v>6.0648428053204917E-3</v>
      </c>
      <c r="I25" s="976">
        <f t="shared" si="12"/>
        <v>1.2892260887528373E-2</v>
      </c>
      <c r="J25" s="976">
        <f t="shared" si="12"/>
        <v>-2.1136357315681975E-3</v>
      </c>
      <c r="K25" s="976">
        <f t="shared" si="12"/>
        <v>1.2049088189663992E-2</v>
      </c>
      <c r="L25" s="976">
        <f t="shared" si="12"/>
        <v>1.2502294841197026E-2</v>
      </c>
      <c r="M25" s="976">
        <f t="shared" si="12"/>
        <v>2.2329604177621309E-2</v>
      </c>
      <c r="N25" s="976">
        <f t="shared" si="12"/>
        <v>1.8454307630913824E-2</v>
      </c>
      <c r="O25" s="976">
        <f t="shared" si="12"/>
        <v>1.5829893944934836E-2</v>
      </c>
      <c r="P25" s="976">
        <f t="shared" si="12"/>
        <v>1.9097579373242857E-2</v>
      </c>
      <c r="Q25" s="976">
        <f t="shared" si="12"/>
        <v>2.2011573528917028E-2</v>
      </c>
      <c r="R25" s="976">
        <f t="shared" si="12"/>
        <v>3.2763005209490714E-2</v>
      </c>
      <c r="S25" s="977">
        <f t="shared" si="12"/>
        <v>4.1836002868755884E-3</v>
      </c>
      <c r="T25" s="976">
        <f t="shared" si="12"/>
        <v>6.7690354322897939E-3</v>
      </c>
      <c r="U25" s="976">
        <f t="shared" si="12"/>
        <v>-1.5764416558927685E-5</v>
      </c>
      <c r="V25" s="976">
        <f t="shared" si="12"/>
        <v>-7.2438636041176618E-3</v>
      </c>
      <c r="W25" s="976">
        <f t="shared" si="12"/>
        <v>1.4053530453285834E-2</v>
      </c>
      <c r="X25" s="976">
        <f t="shared" si="12"/>
        <v>2.137538463947708E-3</v>
      </c>
      <c r="Y25" s="976">
        <f t="shared" si="12"/>
        <v>8.2337423954825795E-3</v>
      </c>
      <c r="Z25" s="976">
        <f t="shared" si="12"/>
        <v>7.58917652918778E-3</v>
      </c>
      <c r="AA25" s="976">
        <f t="shared" si="12"/>
        <v>7.2839918058120734E-3</v>
      </c>
      <c r="AB25" s="976">
        <f t="shared" si="12"/>
        <v>7.123968633533817E-3</v>
      </c>
      <c r="AC25" s="976">
        <f t="shared" si="12"/>
        <v>7.2694683660272652E-3</v>
      </c>
      <c r="AD25" s="976">
        <f t="shared" si="12"/>
        <v>7.1407424296099364E-3</v>
      </c>
      <c r="AE25" s="976">
        <f t="shared" si="12"/>
        <v>7.0468203480871239E-3</v>
      </c>
      <c r="AF25" s="977">
        <f t="shared" si="12"/>
        <v>6.9731217228798936E-3</v>
      </c>
    </row>
    <row r="26" spans="2:33" x14ac:dyDescent="0.35">
      <c r="B26" s="842" t="s">
        <v>1719</v>
      </c>
      <c r="C26" s="932"/>
      <c r="D26" s="976">
        <f t="shared" ref="D26:AF26" si="13">(D18+1)^0.25-1</f>
        <v>3.0686539854383188E-3</v>
      </c>
      <c r="E26" s="976">
        <f t="shared" si="13"/>
        <v>-6.1945389248865279E-3</v>
      </c>
      <c r="F26" s="976">
        <f t="shared" si="13"/>
        <v>5.9750291581421866E-3</v>
      </c>
      <c r="G26" s="976">
        <f t="shared" si="13"/>
        <v>3.6682600473261218E-3</v>
      </c>
      <c r="H26" s="976">
        <f t="shared" si="13"/>
        <v>7.1582096900950631E-3</v>
      </c>
      <c r="I26" s="976">
        <f t="shared" si="13"/>
        <v>1.5277007398772247E-2</v>
      </c>
      <c r="J26" s="976">
        <f t="shared" si="13"/>
        <v>-1.8612145119172308E-3</v>
      </c>
      <c r="K26" s="976">
        <f t="shared" si="13"/>
        <v>1.2496173220895468E-2</v>
      </c>
      <c r="L26" s="976">
        <f t="shared" si="13"/>
        <v>1.4064504306395387E-2</v>
      </c>
      <c r="M26" s="976">
        <f t="shared" si="13"/>
        <v>2.3690987124463492E-2</v>
      </c>
      <c r="N26" s="976">
        <f t="shared" si="13"/>
        <v>1.7361448228990994E-2</v>
      </c>
      <c r="O26" s="976">
        <f t="shared" si="13"/>
        <v>1.48268323153804E-2</v>
      </c>
      <c r="P26" s="976">
        <f t="shared" si="13"/>
        <v>1.7790430270233415E-2</v>
      </c>
      <c r="Q26" s="976">
        <f t="shared" si="13"/>
        <v>2.1200463655148161E-2</v>
      </c>
      <c r="R26" s="976">
        <f t="shared" si="13"/>
        <v>3.3435325470068555E-2</v>
      </c>
      <c r="S26" s="977">
        <f t="shared" si="13"/>
        <v>1.2893674936129695E-3</v>
      </c>
      <c r="T26" s="976">
        <f t="shared" si="13"/>
        <v>6.1205834426294459E-3</v>
      </c>
      <c r="U26" s="976">
        <f t="shared" si="13"/>
        <v>-2.6861544538810955E-3</v>
      </c>
      <c r="V26" s="976">
        <f t="shared" si="13"/>
        <v>-9.0228542004990864E-3</v>
      </c>
      <c r="W26" s="976">
        <f t="shared" si="13"/>
        <v>1.6627230287139527E-2</v>
      </c>
      <c r="X26" s="976">
        <f t="shared" si="13"/>
        <v>2.0837264892747953E-3</v>
      </c>
      <c r="Y26" s="976">
        <f t="shared" si="13"/>
        <v>8.2337423954825795E-3</v>
      </c>
      <c r="Z26" s="976">
        <f t="shared" si="13"/>
        <v>7.58917652918778E-3</v>
      </c>
      <c r="AA26" s="976">
        <f t="shared" si="13"/>
        <v>7.2839918058120734E-3</v>
      </c>
      <c r="AB26" s="976">
        <f t="shared" si="13"/>
        <v>7.123968633533817E-3</v>
      </c>
      <c r="AC26" s="976">
        <f t="shared" si="13"/>
        <v>7.2694683660272652E-3</v>
      </c>
      <c r="AD26" s="976">
        <f t="shared" si="13"/>
        <v>7.1407424296099364E-3</v>
      </c>
      <c r="AE26" s="976">
        <f t="shared" si="13"/>
        <v>7.0468203480871239E-3</v>
      </c>
      <c r="AF26" s="977">
        <f t="shared" si="13"/>
        <v>6.9731217228798936E-3</v>
      </c>
    </row>
    <row r="27" spans="2:33" x14ac:dyDescent="0.35">
      <c r="B27" s="843" t="s">
        <v>1720</v>
      </c>
      <c r="C27" s="933"/>
      <c r="D27" s="934">
        <f t="shared" ref="D27:AF27" si="14">(D20+1)^0.25-1</f>
        <v>1.0086913000375342E-2</v>
      </c>
      <c r="E27" s="934">
        <f t="shared" si="14"/>
        <v>3.9068083281719179E-3</v>
      </c>
      <c r="F27" s="934">
        <f t="shared" si="14"/>
        <v>1.0602249537278619E-2</v>
      </c>
      <c r="G27" s="934">
        <f t="shared" si="14"/>
        <v>4.1795025922308771E-3</v>
      </c>
      <c r="H27" s="934">
        <f t="shared" si="14"/>
        <v>1.3468391369007016E-3</v>
      </c>
      <c r="I27" s="934">
        <f t="shared" si="14"/>
        <v>2.4378625269705356E-3</v>
      </c>
      <c r="J27" s="934">
        <f t="shared" si="14"/>
        <v>-3.1773541305604169E-3</v>
      </c>
      <c r="K27" s="934">
        <f t="shared" si="14"/>
        <v>1.0001776016302033E-2</v>
      </c>
      <c r="L27" s="934">
        <f t="shared" si="14"/>
        <v>5.3585806702389771E-3</v>
      </c>
      <c r="M27" s="934">
        <f t="shared" si="14"/>
        <v>1.6008469115345703E-2</v>
      </c>
      <c r="N27" s="934">
        <f t="shared" si="14"/>
        <v>2.3312705560438074E-2</v>
      </c>
      <c r="O27" s="934">
        <f t="shared" si="14"/>
        <v>2.0559225088983668E-2</v>
      </c>
      <c r="P27" s="934">
        <f t="shared" si="14"/>
        <v>2.5454608550805169E-2</v>
      </c>
      <c r="Q27" s="934">
        <f t="shared" si="14"/>
        <v>2.5990287483713903E-2</v>
      </c>
      <c r="R27" s="934">
        <f t="shared" si="14"/>
        <v>2.9331244330832007E-2</v>
      </c>
      <c r="S27" s="935">
        <f t="shared" si="14"/>
        <v>1.8890143959239714E-2</v>
      </c>
      <c r="T27" s="934">
        <f t="shared" si="14"/>
        <v>9.9382788850888026E-3</v>
      </c>
      <c r="U27" s="934">
        <f t="shared" si="14"/>
        <v>1.2744357682815677E-2</v>
      </c>
      <c r="V27" s="934">
        <f t="shared" si="14"/>
        <v>8.917177866949455E-4</v>
      </c>
      <c r="W27" s="934">
        <f t="shared" si="14"/>
        <v>2.8033363542803169E-3</v>
      </c>
      <c r="X27" s="934">
        <f t="shared" si="14"/>
        <v>2.3666010553968775E-3</v>
      </c>
      <c r="Y27" s="934">
        <f t="shared" si="14"/>
        <v>8.2337423954825795E-3</v>
      </c>
      <c r="Z27" s="934">
        <f t="shared" si="14"/>
        <v>7.58917652918778E-3</v>
      </c>
      <c r="AA27" s="934">
        <f t="shared" si="14"/>
        <v>7.2839918058120734E-3</v>
      </c>
      <c r="AB27" s="934">
        <f t="shared" si="14"/>
        <v>7.123968633533817E-3</v>
      </c>
      <c r="AC27" s="934">
        <f t="shared" si="14"/>
        <v>7.2694683660272652E-3</v>
      </c>
      <c r="AD27" s="934">
        <f t="shared" si="14"/>
        <v>7.1407424296099364E-3</v>
      </c>
      <c r="AE27" s="934">
        <f t="shared" si="14"/>
        <v>7.0468203480871239E-3</v>
      </c>
      <c r="AF27" s="935">
        <f t="shared" si="14"/>
        <v>6.9731217228798936E-3</v>
      </c>
    </row>
    <row r="28" spans="2:33" x14ac:dyDescent="0.35">
      <c r="B28" s="35"/>
      <c r="C28" s="926"/>
      <c r="D28" s="924"/>
      <c r="E28" s="924"/>
      <c r="F28" s="924"/>
      <c r="G28" s="924"/>
      <c r="H28" s="924"/>
      <c r="I28" s="924"/>
      <c r="J28" s="924"/>
      <c r="K28" s="924"/>
      <c r="L28" s="924"/>
      <c r="M28" s="924"/>
      <c r="N28" s="924"/>
      <c r="O28" s="924"/>
      <c r="P28" s="924"/>
      <c r="Q28" s="924"/>
      <c r="R28" s="924"/>
      <c r="S28" s="924"/>
      <c r="T28" s="924"/>
      <c r="U28" s="924"/>
      <c r="V28" s="924"/>
      <c r="W28" s="924"/>
      <c r="X28" s="924"/>
      <c r="Y28" s="924"/>
      <c r="Z28" s="924"/>
      <c r="AA28" s="924"/>
      <c r="AB28" s="924"/>
      <c r="AC28" s="924"/>
      <c r="AD28" s="924"/>
      <c r="AE28" s="924"/>
      <c r="AF28" s="924"/>
    </row>
    <row r="29" spans="2:33" x14ac:dyDescent="0.35">
      <c r="B29" s="35"/>
      <c r="C29" s="926"/>
      <c r="D29" s="924"/>
      <c r="E29" s="924"/>
      <c r="F29" s="924"/>
      <c r="G29" s="924"/>
      <c r="H29" s="924"/>
      <c r="I29" s="924"/>
      <c r="J29" s="924"/>
      <c r="K29" s="924"/>
      <c r="L29" s="924"/>
      <c r="M29" s="924"/>
      <c r="N29" s="924"/>
      <c r="O29" s="924"/>
      <c r="P29" s="924"/>
      <c r="Q29" s="73"/>
      <c r="R29" s="924"/>
      <c r="S29" s="924"/>
      <c r="T29" s="924"/>
      <c r="U29" s="924"/>
      <c r="V29" s="924"/>
      <c r="W29" s="924"/>
      <c r="X29" s="924"/>
      <c r="Y29" s="924"/>
      <c r="Z29" s="924"/>
      <c r="AA29" s="924"/>
      <c r="AB29" s="924"/>
      <c r="AC29" s="924"/>
      <c r="AD29" s="924"/>
      <c r="AE29" s="924"/>
      <c r="AF29" s="924"/>
    </row>
    <row r="30" spans="2:33" x14ac:dyDescent="0.35">
      <c r="B30" s="35"/>
      <c r="C30" s="926"/>
      <c r="D30" s="924"/>
      <c r="E30" s="924"/>
      <c r="F30" s="924"/>
      <c r="G30" s="924"/>
      <c r="H30" s="924"/>
      <c r="I30" s="924"/>
      <c r="J30" s="924"/>
      <c r="K30" s="924"/>
      <c r="L30" s="924"/>
      <c r="M30" s="924"/>
      <c r="N30" s="924"/>
      <c r="O30" s="924"/>
      <c r="P30" s="924"/>
      <c r="Q30" s="73"/>
      <c r="R30" s="924"/>
      <c r="S30" s="924"/>
      <c r="T30" s="924"/>
      <c r="U30" s="924"/>
      <c r="V30" s="924"/>
      <c r="W30" s="924"/>
      <c r="X30" s="924"/>
      <c r="Y30" s="924"/>
      <c r="Z30" s="924"/>
      <c r="AA30" s="924"/>
      <c r="AB30" s="924"/>
      <c r="AC30" s="924"/>
      <c r="AD30" s="924"/>
      <c r="AE30" s="924"/>
      <c r="AF30" s="924"/>
    </row>
    <row r="31" spans="2:33" x14ac:dyDescent="0.35">
      <c r="B31" s="35"/>
      <c r="C31" s="926"/>
      <c r="D31" s="924"/>
      <c r="E31" s="924"/>
      <c r="F31" s="924"/>
      <c r="G31" s="924"/>
      <c r="H31" s="924"/>
      <c r="I31" s="924"/>
      <c r="J31" s="924"/>
      <c r="K31" s="924"/>
      <c r="L31" s="924"/>
      <c r="M31" s="924"/>
      <c r="N31" s="924"/>
      <c r="O31" s="924"/>
      <c r="P31" s="924"/>
      <c r="Q31" s="35"/>
      <c r="R31" s="924"/>
      <c r="S31" s="924"/>
      <c r="T31" s="924"/>
      <c r="U31" s="924"/>
      <c r="V31" s="924"/>
      <c r="W31" s="924"/>
      <c r="X31" s="924"/>
      <c r="Y31" s="924"/>
      <c r="Z31" s="924"/>
      <c r="AA31" s="924"/>
      <c r="AB31" s="924"/>
      <c r="AC31" s="924"/>
      <c r="AD31" s="924"/>
      <c r="AE31" s="924"/>
      <c r="AF31" s="924"/>
    </row>
    <row r="32" spans="2:33" x14ac:dyDescent="0.35">
      <c r="B32" s="35"/>
      <c r="C32" s="926"/>
      <c r="D32" s="924"/>
      <c r="E32" s="924"/>
      <c r="F32" s="924"/>
      <c r="G32" s="924"/>
      <c r="H32" s="924"/>
      <c r="I32" s="924"/>
      <c r="J32" s="924"/>
      <c r="K32" s="924"/>
      <c r="L32" s="924"/>
      <c r="M32" s="924"/>
      <c r="N32" s="924"/>
      <c r="O32" s="924"/>
      <c r="P32" s="924"/>
      <c r="Q32" s="35"/>
      <c r="R32" s="924"/>
      <c r="S32" s="924"/>
      <c r="T32" s="924"/>
      <c r="U32" s="924"/>
      <c r="V32" s="924"/>
      <c r="W32" s="924"/>
      <c r="X32" s="924"/>
      <c r="Y32" s="924"/>
      <c r="Z32" s="924"/>
      <c r="AA32" s="924"/>
      <c r="AB32" s="924"/>
      <c r="AC32" s="924"/>
      <c r="AD32" s="924"/>
      <c r="AE32" s="924"/>
      <c r="AF32" s="924"/>
    </row>
    <row r="33" spans="2:33" x14ac:dyDescent="0.35">
      <c r="B33" s="35"/>
      <c r="C33" s="926"/>
      <c r="D33" s="924"/>
      <c r="E33" s="924"/>
      <c r="F33" s="924"/>
      <c r="G33" s="924"/>
      <c r="H33" s="924"/>
      <c r="I33" s="924"/>
      <c r="J33" s="924"/>
      <c r="K33" s="924"/>
      <c r="L33" s="924"/>
      <c r="M33" s="924"/>
      <c r="N33" s="924"/>
      <c r="O33" s="924"/>
      <c r="P33" s="924"/>
      <c r="Q33" s="35"/>
      <c r="R33" s="924"/>
      <c r="S33" s="924"/>
      <c r="T33" s="924"/>
      <c r="U33" s="924"/>
      <c r="V33" s="924"/>
      <c r="W33" s="924"/>
      <c r="X33" s="924"/>
      <c r="Y33" s="924"/>
      <c r="Z33" s="924"/>
      <c r="AA33" s="924"/>
      <c r="AB33" s="924"/>
      <c r="AC33" s="924"/>
      <c r="AD33" s="924"/>
      <c r="AE33" s="924"/>
      <c r="AF33" s="924"/>
    </row>
    <row r="34" spans="2:33" x14ac:dyDescent="0.35">
      <c r="B34" s="35"/>
      <c r="C34" s="926"/>
      <c r="D34" s="924"/>
      <c r="E34" s="924"/>
      <c r="F34" s="924"/>
      <c r="G34" s="924"/>
      <c r="H34" s="924"/>
      <c r="I34" s="924"/>
      <c r="J34" s="924"/>
      <c r="K34" s="924"/>
      <c r="L34" s="924"/>
      <c r="M34" s="924"/>
      <c r="N34" s="924"/>
      <c r="O34" s="924"/>
      <c r="P34" s="924"/>
      <c r="Q34" s="35"/>
      <c r="R34" s="924"/>
      <c r="S34" s="924"/>
      <c r="T34" s="924"/>
      <c r="U34" s="924"/>
      <c r="V34" s="924"/>
      <c r="W34" s="924"/>
      <c r="X34" s="924"/>
      <c r="Y34" s="924"/>
      <c r="Z34" s="924"/>
      <c r="AA34" s="924"/>
      <c r="AB34" s="924"/>
      <c r="AC34" s="924"/>
      <c r="AD34" s="924"/>
      <c r="AE34" s="924"/>
      <c r="AF34" s="924"/>
    </row>
    <row r="35" spans="2:33" x14ac:dyDescent="0.35">
      <c r="B35" s="35"/>
      <c r="C35" s="926"/>
      <c r="D35" s="924"/>
      <c r="E35" s="924"/>
      <c r="F35" s="924"/>
      <c r="G35" s="924"/>
      <c r="H35" s="924"/>
      <c r="I35" s="924"/>
      <c r="J35" s="924"/>
      <c r="K35" s="924"/>
      <c r="L35" s="924"/>
      <c r="M35" s="924"/>
      <c r="N35" s="924"/>
      <c r="O35" s="924"/>
      <c r="P35" s="924"/>
      <c r="Q35" s="35"/>
      <c r="R35" s="924"/>
      <c r="S35" s="924"/>
      <c r="T35" s="924"/>
      <c r="U35" s="924"/>
      <c r="V35" s="924"/>
      <c r="W35" s="924"/>
      <c r="X35" s="924"/>
      <c r="Y35" s="924"/>
      <c r="Z35" s="924"/>
      <c r="AA35" s="924"/>
      <c r="AB35" s="924"/>
      <c r="AC35" s="924"/>
      <c r="AD35" s="924"/>
      <c r="AE35" s="924"/>
      <c r="AF35" s="924"/>
    </row>
    <row r="36" spans="2:33" x14ac:dyDescent="0.35">
      <c r="B36" s="35"/>
      <c r="C36" s="926"/>
      <c r="D36" s="924"/>
      <c r="E36" s="924"/>
      <c r="F36" s="924"/>
      <c r="G36" s="924"/>
      <c r="H36" s="924"/>
      <c r="I36" s="924"/>
      <c r="J36" s="924"/>
      <c r="K36" s="924"/>
      <c r="L36" s="924"/>
      <c r="M36" s="924"/>
      <c r="N36" s="924"/>
      <c r="O36" s="924"/>
      <c r="P36" s="924"/>
      <c r="Q36" s="35"/>
      <c r="R36" s="924"/>
      <c r="S36" s="924"/>
      <c r="T36" s="924"/>
      <c r="U36" s="924"/>
      <c r="V36" s="924"/>
      <c r="W36" s="924"/>
      <c r="X36" s="924"/>
      <c r="Y36" s="924"/>
      <c r="Z36" s="924"/>
      <c r="AA36" s="924"/>
      <c r="AB36" s="924"/>
      <c r="AC36" s="924"/>
      <c r="AD36" s="924"/>
      <c r="AE36" s="924"/>
      <c r="AF36" s="924"/>
    </row>
    <row r="37" spans="2:33" x14ac:dyDescent="0.35">
      <c r="B37" s="35"/>
      <c r="C37" s="926"/>
      <c r="D37" s="924"/>
      <c r="E37" s="924"/>
      <c r="F37" s="924"/>
      <c r="G37" s="924"/>
      <c r="H37" s="924"/>
      <c r="I37" s="924"/>
      <c r="J37" s="924"/>
      <c r="K37" s="924"/>
      <c r="L37" s="924"/>
      <c r="M37" s="924"/>
      <c r="N37" s="924"/>
      <c r="O37" s="924"/>
      <c r="P37" s="924"/>
      <c r="Q37" s="35"/>
      <c r="R37" s="924"/>
      <c r="S37" s="924"/>
      <c r="T37" s="924"/>
      <c r="U37" s="924"/>
      <c r="V37" s="924"/>
      <c r="W37" s="924"/>
      <c r="X37" s="924"/>
      <c r="Y37" s="924"/>
      <c r="Z37" s="924"/>
      <c r="AA37" s="924"/>
      <c r="AB37" s="924"/>
      <c r="AC37" s="924"/>
      <c r="AD37" s="924"/>
      <c r="AE37" s="924"/>
      <c r="AF37" s="924"/>
    </row>
    <row r="38" spans="2:33" x14ac:dyDescent="0.35">
      <c r="B38" s="35"/>
      <c r="C38" s="926"/>
      <c r="D38" s="924"/>
      <c r="E38" s="924"/>
      <c r="F38" s="924"/>
      <c r="G38" s="924"/>
      <c r="H38" s="924"/>
      <c r="I38" s="924"/>
      <c r="J38" s="924"/>
      <c r="K38" s="924"/>
      <c r="L38" s="924"/>
      <c r="M38" s="924"/>
      <c r="N38" s="924"/>
      <c r="O38" s="924"/>
      <c r="P38" s="924"/>
      <c r="Q38" s="35"/>
      <c r="R38" s="924"/>
      <c r="S38" s="924"/>
      <c r="T38" s="924"/>
      <c r="U38" s="924"/>
      <c r="V38" s="924"/>
      <c r="W38" s="924"/>
      <c r="X38" s="924"/>
      <c r="Y38" s="924"/>
      <c r="Z38" s="924"/>
      <c r="AA38" s="924"/>
      <c r="AB38" s="924"/>
      <c r="AC38" s="924"/>
      <c r="AD38" s="924"/>
      <c r="AE38" s="924"/>
      <c r="AF38" s="924"/>
    </row>
    <row r="39" spans="2:33" x14ac:dyDescent="0.35">
      <c r="B39" s="35"/>
      <c r="C39" s="926"/>
      <c r="D39" s="924"/>
      <c r="E39" s="924"/>
      <c r="F39" s="924"/>
      <c r="G39" s="924"/>
      <c r="H39" s="924"/>
      <c r="I39" s="924"/>
      <c r="J39" s="924"/>
      <c r="K39" s="924"/>
      <c r="L39" s="924"/>
      <c r="M39" s="924"/>
      <c r="N39" s="924"/>
      <c r="O39" s="924"/>
      <c r="P39" s="924"/>
      <c r="Q39" s="924"/>
      <c r="R39" s="924"/>
      <c r="S39" s="924"/>
      <c r="T39" s="924"/>
      <c r="U39" s="924"/>
      <c r="V39" s="924"/>
      <c r="W39" s="924"/>
      <c r="X39" s="924"/>
      <c r="Y39" s="924"/>
      <c r="Z39" s="924"/>
      <c r="AA39" s="924"/>
      <c r="AB39" s="924"/>
      <c r="AC39" s="924"/>
      <c r="AD39" s="924"/>
      <c r="AE39" s="924"/>
      <c r="AF39" s="924"/>
    </row>
    <row r="40" spans="2:33" x14ac:dyDescent="0.35">
      <c r="B40" s="35"/>
      <c r="C40" s="926"/>
      <c r="D40" s="924"/>
      <c r="E40" s="924"/>
      <c r="F40" s="924"/>
      <c r="G40" s="924"/>
      <c r="H40" s="924"/>
      <c r="I40" s="924"/>
      <c r="J40" s="924"/>
      <c r="K40" s="924"/>
      <c r="L40" s="924"/>
      <c r="M40" s="924"/>
      <c r="N40" s="924"/>
      <c r="O40" s="924"/>
      <c r="P40" s="924"/>
      <c r="Q40" s="924"/>
      <c r="R40" s="924"/>
      <c r="S40" s="924"/>
      <c r="T40" s="924"/>
      <c r="U40" s="924"/>
      <c r="V40" s="924"/>
      <c r="W40" s="924"/>
      <c r="X40" s="924"/>
      <c r="Y40" s="924"/>
      <c r="Z40" s="924"/>
      <c r="AA40" s="924"/>
      <c r="AB40" s="924"/>
      <c r="AC40" s="924"/>
      <c r="AD40" s="924"/>
      <c r="AE40" s="924"/>
      <c r="AF40" s="924"/>
    </row>
    <row r="41" spans="2:33" x14ac:dyDescent="0.35">
      <c r="B41" s="928" t="s">
        <v>1886</v>
      </c>
      <c r="C41" s="928"/>
      <c r="D41" s="209"/>
      <c r="E41" s="209"/>
      <c r="F41" s="209"/>
      <c r="G41" s="209"/>
      <c r="H41" s="209"/>
      <c r="I41" s="209"/>
      <c r="J41" s="209"/>
      <c r="K41" s="209"/>
      <c r="L41" s="209"/>
      <c r="M41" s="209"/>
      <c r="N41" s="209"/>
      <c r="O41" s="209"/>
      <c r="P41" s="209"/>
      <c r="Q41" s="209"/>
      <c r="R41" s="209"/>
      <c r="S41" s="209"/>
      <c r="T41" s="209"/>
      <c r="U41" s="209"/>
      <c r="V41" s="209"/>
      <c r="W41" s="209"/>
      <c r="X41" s="209"/>
      <c r="Y41" s="209"/>
      <c r="Z41" s="209"/>
      <c r="AA41" s="209"/>
      <c r="AB41" s="209"/>
      <c r="AC41" s="209"/>
    </row>
    <row r="42" spans="2:33" x14ac:dyDescent="0.35">
      <c r="B42" s="1297" t="s">
        <v>1715</v>
      </c>
      <c r="C42" s="1298"/>
      <c r="D42" s="1360" t="s">
        <v>1739</v>
      </c>
      <c r="E42" s="1361"/>
      <c r="F42" s="1361"/>
      <c r="G42" s="1361"/>
      <c r="H42" s="1361"/>
      <c r="I42" s="1361"/>
      <c r="J42" s="1361"/>
      <c r="K42" s="1361"/>
      <c r="L42" s="1361"/>
      <c r="M42" s="1361"/>
      <c r="N42" s="1361"/>
      <c r="O42" s="1361"/>
      <c r="P42" s="1361"/>
      <c r="Q42" s="1361"/>
      <c r="R42" s="1361"/>
      <c r="S42" s="1361"/>
      <c r="T42" s="1361"/>
      <c r="U42" s="1361"/>
      <c r="V42" s="1361"/>
      <c r="W42" s="1327" t="s">
        <v>1790</v>
      </c>
      <c r="X42" s="1327"/>
      <c r="Y42" s="1327"/>
      <c r="Z42" s="1327"/>
      <c r="AA42" s="1327"/>
      <c r="AB42" s="1327"/>
      <c r="AC42" s="1327"/>
      <c r="AD42" s="1327"/>
      <c r="AE42" s="1327"/>
      <c r="AF42" s="1327"/>
      <c r="AG42" s="1327"/>
    </row>
    <row r="43" spans="2:33" x14ac:dyDescent="0.35">
      <c r="B43" s="1299"/>
      <c r="C43" s="1300"/>
      <c r="D43" s="148">
        <v>2018</v>
      </c>
      <c r="E43" s="1294">
        <v>2019</v>
      </c>
      <c r="F43" s="1295"/>
      <c r="G43" s="1295"/>
      <c r="H43" s="1296"/>
      <c r="I43" s="1294">
        <v>2020</v>
      </c>
      <c r="J43" s="1295"/>
      <c r="K43" s="1295"/>
      <c r="L43" s="1295"/>
      <c r="M43" s="1294">
        <v>2021</v>
      </c>
      <c r="N43" s="1295"/>
      <c r="O43" s="1295"/>
      <c r="P43" s="1295"/>
      <c r="Q43" s="1278">
        <v>2022</v>
      </c>
      <c r="R43" s="1279"/>
      <c r="S43" s="1279"/>
      <c r="T43" s="1307"/>
      <c r="U43" s="201"/>
      <c r="V43" s="522">
        <v>2023</v>
      </c>
      <c r="W43" s="253"/>
      <c r="X43" s="253"/>
      <c r="Y43" s="1303">
        <v>2024</v>
      </c>
      <c r="Z43" s="1304"/>
      <c r="AA43" s="1304"/>
      <c r="AB43" s="1305"/>
      <c r="AC43" s="1303">
        <v>2025</v>
      </c>
      <c r="AD43" s="1304"/>
      <c r="AE43" s="1304"/>
      <c r="AF43" s="1304"/>
      <c r="AG43" s="213">
        <v>2026</v>
      </c>
    </row>
    <row r="44" spans="2:33" x14ac:dyDescent="0.35">
      <c r="B44" s="1301"/>
      <c r="C44" s="1302"/>
      <c r="D44" s="148" t="s">
        <v>282</v>
      </c>
      <c r="E44" s="148" t="s">
        <v>283</v>
      </c>
      <c r="F44" s="144" t="s">
        <v>284</v>
      </c>
      <c r="G44" s="144" t="s">
        <v>238</v>
      </c>
      <c r="H44" s="145" t="s">
        <v>282</v>
      </c>
      <c r="I44" s="144" t="s">
        <v>283</v>
      </c>
      <c r="J44" s="144" t="s">
        <v>284</v>
      </c>
      <c r="K44" s="144" t="s">
        <v>238</v>
      </c>
      <c r="L44" s="144" t="s">
        <v>282</v>
      </c>
      <c r="M44" s="148" t="s">
        <v>283</v>
      </c>
      <c r="N44" s="144" t="s">
        <v>284</v>
      </c>
      <c r="O44" s="144" t="s">
        <v>238</v>
      </c>
      <c r="P44" s="144" t="s">
        <v>282</v>
      </c>
      <c r="Q44" s="148" t="s">
        <v>283</v>
      </c>
      <c r="R44" s="144" t="s">
        <v>284</v>
      </c>
      <c r="S44" s="144" t="s">
        <v>238</v>
      </c>
      <c r="T44" s="145" t="s">
        <v>282</v>
      </c>
      <c r="U44" s="148" t="s">
        <v>283</v>
      </c>
      <c r="V44" s="144" t="s">
        <v>284</v>
      </c>
      <c r="W44" s="282" t="s">
        <v>238</v>
      </c>
      <c r="X44" s="282" t="s">
        <v>282</v>
      </c>
      <c r="Y44" s="394" t="s">
        <v>283</v>
      </c>
      <c r="Z44" s="290" t="s">
        <v>284</v>
      </c>
      <c r="AA44" s="282" t="s">
        <v>238</v>
      </c>
      <c r="AB44" s="393" t="s">
        <v>282</v>
      </c>
      <c r="AC44" s="231" t="s">
        <v>283</v>
      </c>
      <c r="AD44" s="282" t="s">
        <v>284</v>
      </c>
      <c r="AE44" s="282" t="s">
        <v>238</v>
      </c>
      <c r="AF44" s="282" t="s">
        <v>282</v>
      </c>
      <c r="AG44" s="234" t="s">
        <v>283</v>
      </c>
    </row>
    <row r="45" spans="2:33" x14ac:dyDescent="0.35">
      <c r="B45" s="936" t="s">
        <v>1716</v>
      </c>
      <c r="C45" s="952" t="s">
        <v>1704</v>
      </c>
      <c r="D45" s="946">
        <f>('Haver Pivoted'!GO76+1)^4-1</f>
        <v>1.5264497223703488E-2</v>
      </c>
      <c r="E45" s="931">
        <f>('Haver Pivoted'!GP76+1)^4-1</f>
        <v>9.1895436648135043E-3</v>
      </c>
      <c r="F45" s="931">
        <f>('Haver Pivoted'!GQ76+1)^4-1</f>
        <v>2.1359335668051704E-2</v>
      </c>
      <c r="G45" s="931">
        <f>('Haver Pivoted'!GR76+1)^4-1</f>
        <v>9.7821561759856568E-3</v>
      </c>
      <c r="H45" s="931">
        <f>('Haver Pivoted'!GS76+1)^4-1</f>
        <v>1.5756743276972518E-2</v>
      </c>
      <c r="I45" s="931">
        <f>('Haver Pivoted'!GT76+1)^4-1</f>
        <v>1.2975809403218186E-2</v>
      </c>
      <c r="J45" s="931">
        <f>('Haver Pivoted'!GU76+1)^4-1</f>
        <v>-1.727886877748519E-2</v>
      </c>
      <c r="K45" s="931">
        <f>('Haver Pivoted'!GV76+1)^4-1</f>
        <v>3.3383553321530757E-2</v>
      </c>
      <c r="L45" s="931">
        <f>('Haver Pivoted'!GW76+1)^4-1</f>
        <v>2.0146820681233191E-2</v>
      </c>
      <c r="M45" s="931">
        <f>('Haver Pivoted'!GX76+1)^4-1</f>
        <v>4.7725552632172041E-2</v>
      </c>
      <c r="N45" s="931">
        <f>('Haver Pivoted'!GY76+1)^4-1</f>
        <v>6.2593648340676156E-2</v>
      </c>
      <c r="O45" s="931">
        <f>('Haver Pivoted'!GZ76+1)^4-1</f>
        <v>5.6496850547917088E-2</v>
      </c>
      <c r="P45" s="931">
        <f>('Haver Pivoted'!HA76+1)^4-1</f>
        <v>6.7608172830647684E-2</v>
      </c>
      <c r="Q45" s="931">
        <f>('Haver Pivoted'!HB76+1)^4-1</f>
        <v>7.6571358087944352E-2</v>
      </c>
      <c r="R45" s="931">
        <f>('Haver Pivoted'!HC76+1)^4-1</f>
        <v>7.1828427694202057E-2</v>
      </c>
      <c r="S45" s="947">
        <f>('Haver Pivoted'!HD76+1)^4-1</f>
        <v>4.6758931657381764E-2</v>
      </c>
      <c r="T45" s="930">
        <f>('Haver Pivoted'!HE76+1)^4-1</f>
        <v>4.1448566443352153E-2</v>
      </c>
      <c r="U45" s="947">
        <f>('Haver Pivoted'!HF76+1)^4-1</f>
        <v>4.1651997755371317E-2</v>
      </c>
      <c r="V45" s="947">
        <f>('Haver Pivoted'!HG76+1)^4-1</f>
        <v>2.4870541532459711E-2</v>
      </c>
      <c r="W45" s="947">
        <f>('Haver Pivoted'!HH76+1)^4-1</f>
        <v>2.5905176927918383E-2</v>
      </c>
      <c r="X45" s="947">
        <f>('Haver Pivoted'!HI76+1)^4-1</f>
        <v>1.6590383013570742E-2</v>
      </c>
      <c r="Y45" s="955">
        <f t="shared" ref="Y45:AF45" si="15">(Y68/X68)^4-1</f>
        <v>2.8091398638267373E-2</v>
      </c>
      <c r="Z45" s="955">
        <f t="shared" si="15"/>
        <v>2.4757720383034698E-2</v>
      </c>
      <c r="AA45" s="955">
        <f t="shared" si="15"/>
        <v>2.5292162721610056E-2</v>
      </c>
      <c r="AB45" s="955">
        <f t="shared" si="15"/>
        <v>2.4263189998973589E-2</v>
      </c>
      <c r="AC45" s="931">
        <f t="shared" si="15"/>
        <v>2.3060157044477725E-2</v>
      </c>
      <c r="AD45" s="931">
        <f t="shared" si="15"/>
        <v>2.2597540056138454E-2</v>
      </c>
      <c r="AE45" s="931">
        <f t="shared" si="15"/>
        <v>2.2203025255892905E-2</v>
      </c>
      <c r="AF45" s="931">
        <f t="shared" si="15"/>
        <v>2.2106187865342131E-2</v>
      </c>
    </row>
    <row r="46" spans="2:33" x14ac:dyDescent="0.35">
      <c r="B46" s="47" t="s">
        <v>1717</v>
      </c>
      <c r="C46" s="926" t="s">
        <v>1705</v>
      </c>
      <c r="D46" s="956">
        <f>('Haver Pivoted'!GO77+1)^4-1</f>
        <v>2.9477765289275926E-2</v>
      </c>
      <c r="E46" s="924">
        <f>('Haver Pivoted'!GP77+1)^4-1</f>
        <v>4.2202135370129845E-2</v>
      </c>
      <c r="F46" s="924">
        <f>('Haver Pivoted'!GQ77+1)^4-1</f>
        <v>-2.3704834981612466E-2</v>
      </c>
      <c r="G46" s="924">
        <f>('Haver Pivoted'!GR77+1)^4-1</f>
        <v>6.4629467492742787E-3</v>
      </c>
      <c r="H46" s="924">
        <f>('Haver Pivoted'!GS77+1)^4-1</f>
        <v>1.3942439977386201E-2</v>
      </c>
      <c r="I46" s="924">
        <f>('Haver Pivoted'!GT77+1)^4-1</f>
        <v>1.2621468504538935E-2</v>
      </c>
      <c r="J46" s="924">
        <f>('Haver Pivoted'!GU77+1)^4-1</f>
        <v>9.5192305533120525E-4</v>
      </c>
      <c r="K46" s="924">
        <f>('Haver Pivoted'!GV77+1)^4-1</f>
        <v>2.3028813031033213E-2</v>
      </c>
      <c r="L46" s="924">
        <f>('Haver Pivoted'!GW77+1)^4-1</f>
        <v>2.9378026710950689E-2</v>
      </c>
      <c r="M46" s="924">
        <f>('Haver Pivoted'!GX77+1)^4-1</f>
        <v>3.4124335135575334E-2</v>
      </c>
      <c r="N46" s="924">
        <f>('Haver Pivoted'!GY77+1)^4-1</f>
        <v>3.9538213787325915E-2</v>
      </c>
      <c r="O46" s="924">
        <f>('Haver Pivoted'!GZ77+1)^4-1</f>
        <v>4.1165152093425528E-2</v>
      </c>
      <c r="P46" s="924">
        <f>('Haver Pivoted'!HA77+1)^4-1</f>
        <v>4.6364460300687638E-2</v>
      </c>
      <c r="Q46" s="924">
        <f>('Haver Pivoted'!HB77+1)^4-1</f>
        <v>7.2410998904413937E-2</v>
      </c>
      <c r="R46" s="924">
        <f>('Haver Pivoted'!HC77+1)^4-1</f>
        <v>6.8511037124212137E-2</v>
      </c>
      <c r="S46" s="927">
        <f>('Haver Pivoted'!HD77+1)^4-1</f>
        <v>4.8282007704063767E-2</v>
      </c>
      <c r="T46" s="927">
        <f>('Haver Pivoted'!HE77+1)^4-1</f>
        <v>4.093597497107293E-2</v>
      </c>
      <c r="U46" s="927">
        <f>('Haver Pivoted'!HF77+1)^4-1</f>
        <v>4.1330736826713066E-2</v>
      </c>
      <c r="V46" s="927">
        <f>('Haver Pivoted'!HG77+1)^4-1</f>
        <v>2.0643513935327373E-2</v>
      </c>
      <c r="W46" s="927">
        <f>('Haver Pivoted'!HH77+1)^4-1</f>
        <v>3.9726565698527727E-2</v>
      </c>
      <c r="X46" s="927">
        <f>('Haver Pivoted'!HI77+1)^4-1</f>
        <v>3.7622788012312114E-2</v>
      </c>
      <c r="Y46" s="924">
        <f t="shared" ref="Y46:AF46" si="16">(Y69/X69)^4-1</f>
        <v>2.9177415019928876E-2</v>
      </c>
      <c r="Z46" s="924">
        <f t="shared" si="16"/>
        <v>2.6899993160794278E-2</v>
      </c>
      <c r="AA46" s="924">
        <f t="shared" si="16"/>
        <v>2.7881138243015302E-2</v>
      </c>
      <c r="AB46" s="924">
        <f t="shared" si="16"/>
        <v>2.6848543864137264E-2</v>
      </c>
      <c r="AC46" s="924">
        <f t="shared" si="16"/>
        <v>2.5377349311315189E-2</v>
      </c>
      <c r="AD46" s="924">
        <f t="shared" si="16"/>
        <v>2.471868460464699E-2</v>
      </c>
      <c r="AE46" s="924">
        <f t="shared" si="16"/>
        <v>2.4677734219933578E-2</v>
      </c>
      <c r="AF46" s="924">
        <f t="shared" si="16"/>
        <v>2.4460901868401885E-2</v>
      </c>
    </row>
    <row r="47" spans="2:33" x14ac:dyDescent="0.35">
      <c r="B47" s="47" t="s">
        <v>1718</v>
      </c>
      <c r="C47" s="926" t="s">
        <v>1706</v>
      </c>
      <c r="D47" s="956">
        <f>('Haver Pivoted'!GO78+1)^4-1</f>
        <v>1.7606158659444704E-2</v>
      </c>
      <c r="E47" s="924">
        <f>('Haver Pivoted'!GP78+1)^4-1</f>
        <v>-1.7151418638734928E-2</v>
      </c>
      <c r="F47" s="924">
        <f>('Haver Pivoted'!GQ78+1)^4-1</f>
        <v>2.7663740902592604E-2</v>
      </c>
      <c r="G47" s="924">
        <f>('Haver Pivoted'!GR78+1)^4-1</f>
        <v>1.5104723907904294E-2</v>
      </c>
      <c r="H47" s="924">
        <f>('Haver Pivoted'!GS78+1)^4-1</f>
        <v>2.4480958799653285E-2</v>
      </c>
      <c r="I47" s="924">
        <f>('Haver Pivoted'!GT78+1)^4-1</f>
        <v>5.2574904831641067E-2</v>
      </c>
      <c r="J47" s="924">
        <f>('Haver Pivoted'!GU78+1)^4-1</f>
        <v>-8.4277759405785302E-3</v>
      </c>
      <c r="K47" s="924">
        <f>('Haver Pivoted'!GV78+1)^4-1</f>
        <v>4.907445416510936E-2</v>
      </c>
      <c r="L47" s="924">
        <f>('Haver Pivoted'!GW78+1)^4-1</f>
        <v>5.0954864858178572E-2</v>
      </c>
      <c r="M47" s="924">
        <f>('Haver Pivoted'!GX78+1)^4-1</f>
        <v>9.2354867824980369E-2</v>
      </c>
      <c r="N47" s="924">
        <f>('Haver Pivoted'!GY78+1)^4-1</f>
        <v>7.5885854631137173E-2</v>
      </c>
      <c r="O47" s="924">
        <f>('Haver Pivoted'!GZ78+1)^4-1</f>
        <v>6.4839018796936099E-2</v>
      </c>
      <c r="P47" s="924">
        <f>('Haver Pivoted'!HA78+1)^4-1</f>
        <v>7.8606616627874493E-2</v>
      </c>
      <c r="Q47" s="924">
        <f>('Haver Pivoted'!HB78+1)^4-1</f>
        <v>9.0996244334734522E-2</v>
      </c>
      <c r="R47" s="924">
        <f>('Haver Pivoted'!HC78+1)^4-1</f>
        <v>0.13763433325959551</v>
      </c>
      <c r="S47" s="927">
        <f>('Haver Pivoted'!HD78+1)^4-1</f>
        <v>1.6839709416048398E-2</v>
      </c>
      <c r="T47" s="927">
        <f>('Haver Pivoted'!HE78+1)^4-1</f>
        <v>2.7352303497218955E-2</v>
      </c>
      <c r="U47" s="927">
        <f>('Haver Pivoted'!HF78+1)^4-1</f>
        <v>-6.3056175150344451E-5</v>
      </c>
      <c r="V47" s="927">
        <f>('Haver Pivoted'!HG78+1)^4-1</f>
        <v>-2.8662130748749126E-2</v>
      </c>
      <c r="W47" s="927">
        <f>('Haver Pivoted'!HH78+1)^4-1</f>
        <v>5.7410273514926002E-2</v>
      </c>
      <c r="X47" s="927">
        <f>('Haver Pivoted'!HI78+1)^4-1</f>
        <v>8.5776073670338349E-3</v>
      </c>
      <c r="Y47" s="924">
        <f t="shared" ref="Y47:AF47" si="17">(Y70/X70)^4-1</f>
        <v>3.3343974071288418E-2</v>
      </c>
      <c r="Z47" s="924">
        <f t="shared" si="17"/>
        <v>3.0704031449066083E-2</v>
      </c>
      <c r="AA47" s="924">
        <f t="shared" si="17"/>
        <v>2.9455855111519602E-2</v>
      </c>
      <c r="AB47" s="924">
        <f t="shared" si="17"/>
        <v>2.8801828876449553E-2</v>
      </c>
      <c r="AC47" s="924">
        <f t="shared" si="17"/>
        <v>2.9396483903845194E-2</v>
      </c>
      <c r="AD47" s="924">
        <f t="shared" si="17"/>
        <v>2.8870369964724807E-2</v>
      </c>
      <c r="AE47" s="924">
        <f t="shared" si="17"/>
        <v>2.8486629635257943E-2</v>
      </c>
      <c r="AF47" s="924">
        <f t="shared" si="17"/>
        <v>2.8185592071407362E-2</v>
      </c>
    </row>
    <row r="48" spans="2:33" x14ac:dyDescent="0.35">
      <c r="B48" s="47" t="s">
        <v>1719</v>
      </c>
      <c r="C48" s="926" t="s">
        <v>1707</v>
      </c>
      <c r="D48" s="956">
        <f>('Haver Pivoted'!GO79+1)^4-1</f>
        <v>1.2331231439726587E-2</v>
      </c>
      <c r="E48" s="924">
        <f>('Haver Pivoted'!GP79+1)^4-1</f>
        <v>-2.4548871147293649E-2</v>
      </c>
      <c r="F48" s="924">
        <f>('Haver Pivoted'!GQ79+1)^4-1</f>
        <v>2.4115177005201271E-2</v>
      </c>
      <c r="G48" s="924">
        <f>('Haver Pivoted'!GR79+1)^4-1</f>
        <v>1.4753974603383124E-2</v>
      </c>
      <c r="H48" s="924">
        <f>('Haver Pivoted'!GS79+1)^4-1</f>
        <v>2.894174832740215E-2</v>
      </c>
      <c r="I48" s="924">
        <f>('Haver Pivoted'!GT79+1)^4-1</f>
        <v>6.2522667611889737E-2</v>
      </c>
      <c r="J48" s="924">
        <f>('Haver Pivoted'!GU79+1)^4-1</f>
        <v>-7.4240991087901609E-3</v>
      </c>
      <c r="K48" s="924">
        <f>('Haver Pivoted'!GV79+1)^4-1</f>
        <v>5.0929448665746779E-2</v>
      </c>
      <c r="L48" s="924">
        <f>('Haver Pivoted'!GW79+1)^4-1</f>
        <v>5.7456046457014187E-2</v>
      </c>
      <c r="M48" s="924">
        <f>('Haver Pivoted'!GX79+1)^4-1</f>
        <v>9.8185028225247883E-2</v>
      </c>
      <c r="N48" s="924">
        <f>('Haver Pivoted'!GY79+1)^4-1</f>
        <v>7.1275335420445396E-2</v>
      </c>
      <c r="O48" s="924">
        <f>('Haver Pivoted'!GZ79+1)^4-1</f>
        <v>6.0639425152128945E-2</v>
      </c>
      <c r="P48" s="924">
        <f>('Haver Pivoted'!HA79+1)^4-1</f>
        <v>7.3083340350689641E-2</v>
      </c>
      <c r="Q48" s="924">
        <f>('Haver Pivoted'!HB79+1)^4-1</f>
        <v>8.7536929602414215E-2</v>
      </c>
      <c r="R48" s="924">
        <f>('Haver Pivoted'!HC79+1)^4-1</f>
        <v>0.14059958977185572</v>
      </c>
      <c r="S48" s="927">
        <f>('Haver Pivoted'!HD79+1)^4-1</f>
        <v>5.1674533625485353E-3</v>
      </c>
      <c r="T48" s="927">
        <f>('Haver Pivoted'!HE79+1)^4-1</f>
        <v>2.4708021569921135E-2</v>
      </c>
      <c r="U48" s="927">
        <f>('Haver Pivoted'!HF79+1)^4-1</f>
        <v>-1.0701402735953436E-2</v>
      </c>
      <c r="V48" s="927">
        <f>('Haver Pivoted'!HG79+1)^4-1</f>
        <v>-3.5605877057299118E-2</v>
      </c>
      <c r="W48" s="927">
        <f>('Haver Pivoted'!HH79+1)^4-1</f>
        <v>6.8186173678186135E-2</v>
      </c>
      <c r="X48" s="927">
        <f>('Haver Pivoted'!HI79+1)^4-1</f>
        <v>8.3609936619060132E-3</v>
      </c>
      <c r="Y48" s="924">
        <f t="shared" ref="Y48:AF49" si="18">Y47</f>
        <v>3.3343974071288418E-2</v>
      </c>
      <c r="Z48" s="924">
        <f t="shared" si="18"/>
        <v>3.0704031449066083E-2</v>
      </c>
      <c r="AA48" s="924">
        <f t="shared" si="18"/>
        <v>2.9455855111519602E-2</v>
      </c>
      <c r="AB48" s="924">
        <f t="shared" si="18"/>
        <v>2.8801828876449553E-2</v>
      </c>
      <c r="AC48" s="924">
        <f t="shared" si="18"/>
        <v>2.9396483903845194E-2</v>
      </c>
      <c r="AD48" s="924">
        <f t="shared" si="18"/>
        <v>2.8870369964724807E-2</v>
      </c>
      <c r="AE48" s="924">
        <f t="shared" si="18"/>
        <v>2.8486629635257943E-2</v>
      </c>
      <c r="AF48" s="924">
        <f t="shared" si="18"/>
        <v>2.8185592071407362E-2</v>
      </c>
    </row>
    <row r="49" spans="2:41" x14ac:dyDescent="0.35">
      <c r="B49" s="153" t="s">
        <v>1720</v>
      </c>
      <c r="C49" s="953" t="s">
        <v>1708</v>
      </c>
      <c r="D49" s="958">
        <f>('Haver Pivoted'!GO80+1)^4-1</f>
        <v>4.0962242441666019E-2</v>
      </c>
      <c r="E49" s="959">
        <f>('Haver Pivoted'!GP80+1)^4-1</f>
        <v>1.5719050974356552E-2</v>
      </c>
      <c r="F49" s="959">
        <f>('Haver Pivoted'!GQ80+1)^4-1</f>
        <v>4.3088224053848823E-2</v>
      </c>
      <c r="G49" s="959">
        <f>('Haver Pivoted'!GR80+1)^4-1</f>
        <v>1.6823112159823461E-2</v>
      </c>
      <c r="H49" s="959">
        <f>('Haver Pivoted'!GS80+1)^4-1</f>
        <v>5.3982501773912617E-3</v>
      </c>
      <c r="I49" s="959">
        <f>('Haver Pivoted'!GT80+1)^4-1</f>
        <v>9.7871671399678561E-3</v>
      </c>
      <c r="J49" s="959">
        <f>('Haver Pivoted'!GU80+1)^4-1</f>
        <v>-1.264897125361697E-2</v>
      </c>
      <c r="K49" s="959">
        <f>('Haver Pivoted'!GV80+1)^4-1</f>
        <v>4.0611329344794056E-2</v>
      </c>
      <c r="L49" s="959">
        <f>('Haver Pivoted'!GW80+1)^4-1</f>
        <v>2.1607225299700827E-2</v>
      </c>
      <c r="M49" s="959">
        <f>('Haver Pivoted'!GX80+1)^4-1</f>
        <v>6.5587978667649205E-2</v>
      </c>
      <c r="N49" s="959">
        <f>('Haver Pivoted'!GY80+1)^4-1</f>
        <v>9.6562691223789132E-2</v>
      </c>
      <c r="O49" s="959">
        <f>('Haver Pivoted'!GZ80+1)^4-1</f>
        <v>8.4807929469169041E-2</v>
      </c>
      <c r="P49" s="959">
        <f>('Haver Pivoted'!HA80+1)^4-1</f>
        <v>0.1057724485451752</v>
      </c>
      <c r="Q49" s="959">
        <f>('Haver Pivoted'!HB80+1)^4-1</f>
        <v>0.10808480173082224</v>
      </c>
      <c r="R49" s="959">
        <f>('Haver Pivoted'!HC80+1)^4-1</f>
        <v>0.12258858608776269</v>
      </c>
      <c r="S49" s="945">
        <f>('Haver Pivoted'!HD80+1)^4-1</f>
        <v>7.7728691252704651E-2</v>
      </c>
      <c r="T49" s="945">
        <f>('Haver Pivoted'!HE80+1)^4-1</f>
        <v>4.0349668009795225E-2</v>
      </c>
      <c r="U49" s="945">
        <f>('Haver Pivoted'!HF80+1)^4-1</f>
        <v>5.1960248713186719E-2</v>
      </c>
      <c r="V49" s="945">
        <f>('Haver Pivoted'!HG80+1)^4-1</f>
        <v>3.571644947314212E-3</v>
      </c>
      <c r="W49" s="945">
        <f>('Haver Pivoted'!HH80+1)^4-1</f>
        <v>1.126058576943012E-2</v>
      </c>
      <c r="X49" s="945">
        <f>('Haver Pivoted'!HI80+1)^4-1</f>
        <v>9.5000620757308418E-3</v>
      </c>
      <c r="Y49" s="959">
        <f t="shared" si="18"/>
        <v>3.3343974071288418E-2</v>
      </c>
      <c r="Z49" s="959">
        <f t="shared" si="18"/>
        <v>3.0704031449066083E-2</v>
      </c>
      <c r="AA49" s="959">
        <f t="shared" si="18"/>
        <v>2.9455855111519602E-2</v>
      </c>
      <c r="AB49" s="959">
        <f t="shared" si="18"/>
        <v>2.8801828876449553E-2</v>
      </c>
      <c r="AC49" s="959">
        <f t="shared" si="18"/>
        <v>2.9396483903845194E-2</v>
      </c>
      <c r="AD49" s="959">
        <f t="shared" si="18"/>
        <v>2.8870369964724807E-2</v>
      </c>
      <c r="AE49" s="959">
        <f t="shared" si="18"/>
        <v>2.8486629635257943E-2</v>
      </c>
      <c r="AF49" s="959">
        <f t="shared" si="18"/>
        <v>2.8185592071407362E-2</v>
      </c>
    </row>
    <row r="50" spans="2:41" x14ac:dyDescent="0.35">
      <c r="B50" s="35"/>
      <c r="C50" s="926"/>
      <c r="D50" s="924"/>
      <c r="E50" s="924"/>
      <c r="F50" s="924"/>
      <c r="G50" s="924"/>
      <c r="H50" s="924"/>
      <c r="I50" s="924"/>
      <c r="J50" s="924"/>
      <c r="K50" s="924"/>
      <c r="L50" s="924"/>
      <c r="M50" s="924"/>
      <c r="N50" s="924"/>
      <c r="O50" s="924"/>
      <c r="P50" s="924"/>
      <c r="Q50" s="924"/>
      <c r="R50" s="924"/>
      <c r="S50" s="927"/>
      <c r="T50" s="927"/>
      <c r="U50" s="927"/>
      <c r="V50" s="927"/>
      <c r="W50" s="927"/>
      <c r="X50" s="924"/>
      <c r="AB50" s="924"/>
      <c r="AC50" s="924"/>
      <c r="AD50" s="924"/>
      <c r="AE50" s="924"/>
      <c r="AF50" s="924"/>
    </row>
    <row r="51" spans="2:41" x14ac:dyDescent="0.35">
      <c r="B51" s="35"/>
      <c r="C51" s="926"/>
      <c r="D51" s="924"/>
      <c r="E51" s="924"/>
      <c r="F51" s="924"/>
      <c r="G51" s="924"/>
      <c r="H51" s="924"/>
      <c r="I51" s="924"/>
      <c r="J51" s="924"/>
      <c r="K51" s="924"/>
      <c r="L51" s="924"/>
      <c r="M51" s="924"/>
      <c r="N51" s="924"/>
      <c r="O51" s="924"/>
      <c r="P51" s="924"/>
      <c r="Q51" s="924"/>
      <c r="R51" s="924"/>
      <c r="S51" s="927"/>
      <c r="T51" s="927"/>
      <c r="U51" s="927"/>
      <c r="V51" s="927"/>
      <c r="W51" s="927"/>
      <c r="X51" s="924"/>
      <c r="AB51" s="924"/>
      <c r="AC51" s="924"/>
      <c r="AD51" s="924"/>
      <c r="AE51" s="924"/>
      <c r="AF51" s="924"/>
    </row>
    <row r="52" spans="2:41" x14ac:dyDescent="0.35">
      <c r="B52" s="35"/>
      <c r="C52" s="926"/>
      <c r="D52" s="924"/>
      <c r="E52" s="924"/>
      <c r="F52" s="924"/>
      <c r="G52" s="924"/>
      <c r="H52" s="924"/>
      <c r="I52" s="924"/>
      <c r="J52" s="924"/>
      <c r="K52" s="924"/>
      <c r="L52" s="924"/>
      <c r="M52" s="924"/>
      <c r="N52" s="924"/>
      <c r="O52" s="924"/>
      <c r="P52" s="924"/>
      <c r="Q52" s="924"/>
      <c r="R52" s="924"/>
      <c r="S52" s="927"/>
      <c r="T52" s="927"/>
      <c r="U52" s="927"/>
      <c r="V52" s="927"/>
      <c r="W52" s="927"/>
      <c r="X52" s="924"/>
      <c r="AB52" s="924"/>
      <c r="AC52" s="924"/>
      <c r="AD52" s="924"/>
      <c r="AE52" s="924"/>
      <c r="AF52" s="924"/>
    </row>
    <row r="53" spans="2:41" x14ac:dyDescent="0.35">
      <c r="B53" s="35"/>
      <c r="C53" s="926"/>
      <c r="D53" s="924"/>
      <c r="E53" s="924"/>
      <c r="F53" s="924"/>
      <c r="G53" s="924"/>
      <c r="H53" s="924"/>
      <c r="I53" s="924"/>
      <c r="J53" s="924"/>
      <c r="K53" s="924"/>
      <c r="L53" s="924"/>
      <c r="M53" s="924"/>
      <c r="N53" s="924"/>
      <c r="O53" s="924"/>
      <c r="P53" s="924"/>
      <c r="Q53" s="924"/>
      <c r="R53" s="924"/>
      <c r="S53" s="927"/>
      <c r="T53" s="927"/>
      <c r="U53" s="927"/>
      <c r="V53" s="927"/>
      <c r="W53" s="927"/>
      <c r="X53" s="924"/>
      <c r="AB53" s="924"/>
      <c r="AC53" s="924"/>
      <c r="AD53" s="924"/>
      <c r="AE53" s="924"/>
      <c r="AF53" s="924"/>
    </row>
    <row r="54" spans="2:41" x14ac:dyDescent="0.35">
      <c r="B54" s="35"/>
      <c r="C54" s="926"/>
      <c r="D54" s="924"/>
      <c r="E54" s="924"/>
      <c r="F54" s="924"/>
      <c r="G54" s="924"/>
      <c r="H54" s="924"/>
      <c r="I54" s="924"/>
      <c r="J54" s="924"/>
      <c r="K54" s="924"/>
      <c r="L54" s="924"/>
      <c r="M54" s="924"/>
      <c r="N54" s="924"/>
      <c r="O54" s="924"/>
      <c r="P54" s="924"/>
      <c r="Q54" s="924"/>
      <c r="R54" s="924"/>
      <c r="S54" s="927"/>
      <c r="T54" s="927"/>
      <c r="U54" s="927"/>
      <c r="V54" s="927"/>
      <c r="W54" s="927"/>
      <c r="X54" s="924"/>
      <c r="AB54" s="924"/>
      <c r="AC54" s="924"/>
      <c r="AD54" s="924"/>
      <c r="AE54" s="924"/>
      <c r="AF54" s="924"/>
    </row>
    <row r="55" spans="2:41" x14ac:dyDescent="0.35">
      <c r="B55" s="35"/>
      <c r="C55" s="926"/>
      <c r="D55" s="924"/>
      <c r="E55" s="924"/>
      <c r="F55" s="924"/>
      <c r="G55" s="924"/>
      <c r="H55" s="924"/>
      <c r="I55" s="924"/>
      <c r="J55" s="924"/>
      <c r="K55" s="924"/>
      <c r="L55" s="924"/>
      <c r="M55" s="924"/>
      <c r="N55" s="924"/>
      <c r="O55" s="924"/>
      <c r="P55" s="924"/>
      <c r="Q55" s="924"/>
      <c r="R55" s="924"/>
      <c r="S55" s="927"/>
      <c r="T55" s="927"/>
      <c r="U55" s="927"/>
      <c r="V55" s="927"/>
      <c r="W55" s="927"/>
      <c r="X55" s="924"/>
      <c r="AB55" s="924"/>
      <c r="AC55" s="924"/>
      <c r="AD55" s="924"/>
      <c r="AE55" s="924"/>
      <c r="AF55" s="924"/>
    </row>
    <row r="56" spans="2:41" x14ac:dyDescent="0.35">
      <c r="B56" s="35"/>
      <c r="C56" s="926"/>
      <c r="D56" s="924"/>
      <c r="E56" s="924"/>
      <c r="F56" s="924"/>
      <c r="G56" s="924"/>
      <c r="H56" s="924"/>
      <c r="I56" s="924"/>
      <c r="J56" s="924"/>
      <c r="K56" s="924"/>
      <c r="L56" s="924"/>
      <c r="M56" s="924"/>
      <c r="N56" s="924"/>
      <c r="O56" s="924"/>
      <c r="P56" s="924"/>
      <c r="Q56" s="924"/>
      <c r="R56" s="924"/>
      <c r="S56" s="927"/>
      <c r="T56" s="927"/>
      <c r="U56" s="927"/>
      <c r="V56" s="927"/>
      <c r="W56" s="927"/>
      <c r="X56" s="924"/>
      <c r="AB56" s="924"/>
      <c r="AC56" s="924"/>
      <c r="AD56" s="924"/>
      <c r="AE56" s="924"/>
      <c r="AF56" s="924"/>
    </row>
    <row r="57" spans="2:41" x14ac:dyDescent="0.35">
      <c r="B57" s="35"/>
      <c r="C57" s="926"/>
      <c r="D57" s="924"/>
      <c r="E57" s="924"/>
      <c r="F57" s="924"/>
      <c r="G57" s="924"/>
      <c r="H57" s="924"/>
      <c r="I57" s="924"/>
      <c r="J57" s="924"/>
      <c r="K57" s="924"/>
      <c r="L57" s="924"/>
      <c r="M57" s="924"/>
      <c r="N57" s="924"/>
      <c r="O57" s="924"/>
      <c r="P57" s="924"/>
      <c r="Q57" s="924"/>
      <c r="R57" s="924"/>
      <c r="S57" s="924"/>
      <c r="T57" s="924"/>
      <c r="U57" s="924"/>
      <c r="V57" s="924"/>
      <c r="W57" s="924"/>
      <c r="X57" s="924"/>
      <c r="Y57" s="924"/>
      <c r="Z57" s="924"/>
      <c r="AA57" s="924"/>
      <c r="AB57" s="924"/>
      <c r="AC57" s="924"/>
      <c r="AD57" s="924"/>
      <c r="AE57" s="924"/>
      <c r="AF57" s="924"/>
    </row>
    <row r="58" spans="2:41" ht="14.5" customHeight="1" x14ac:dyDescent="0.35">
      <c r="B58" s="1388" t="s">
        <v>1740</v>
      </c>
      <c r="C58" s="1388"/>
      <c r="D58" s="1388"/>
      <c r="E58" s="1388"/>
      <c r="F58" s="209"/>
      <c r="G58" s="209"/>
      <c r="H58" s="209"/>
      <c r="I58" s="209"/>
      <c r="J58" s="209"/>
      <c r="K58" s="209"/>
      <c r="L58" s="209"/>
      <c r="M58" s="209"/>
      <c r="N58" s="209"/>
      <c r="O58" s="209"/>
      <c r="P58" s="209"/>
      <c r="Q58" s="209"/>
      <c r="R58" s="209"/>
      <c r="S58" s="209"/>
      <c r="T58" s="209"/>
      <c r="U58" s="209"/>
      <c r="V58" s="209"/>
      <c r="W58" s="209"/>
      <c r="X58" s="209"/>
      <c r="Y58" s="209"/>
      <c r="Z58" s="209"/>
      <c r="AA58" s="209"/>
      <c r="AB58" s="209"/>
      <c r="AC58" s="209"/>
    </row>
    <row r="59" spans="2:41" ht="30" customHeight="1" x14ac:dyDescent="0.35">
      <c r="B59" s="971" t="s">
        <v>1916</v>
      </c>
      <c r="C59" s="944"/>
      <c r="D59" s="142">
        <v>2018</v>
      </c>
      <c r="E59" s="1278">
        <v>2019</v>
      </c>
      <c r="F59" s="1279"/>
      <c r="G59" s="1279"/>
      <c r="H59" s="1307"/>
      <c r="I59" s="1278">
        <v>2020</v>
      </c>
      <c r="J59" s="1279"/>
      <c r="K59" s="1279"/>
      <c r="L59" s="1279"/>
      <c r="M59" s="1278">
        <v>2021</v>
      </c>
      <c r="N59" s="1279"/>
      <c r="O59" s="1279"/>
      <c r="P59" s="1279"/>
      <c r="Q59" s="1322">
        <v>2022</v>
      </c>
      <c r="R59" s="1323"/>
      <c r="S59" s="251"/>
      <c r="T59" s="258"/>
      <c r="U59" s="201"/>
      <c r="V59" s="522">
        <v>2023</v>
      </c>
      <c r="W59" s="253"/>
      <c r="X59" s="253"/>
      <c r="Y59" s="1303">
        <v>2024</v>
      </c>
      <c r="Z59" s="1304"/>
      <c r="AA59" s="1304"/>
      <c r="AB59" s="1305"/>
      <c r="AC59" s="1303">
        <v>2025</v>
      </c>
      <c r="AD59" s="1304"/>
      <c r="AE59" s="1304"/>
      <c r="AF59" s="1305"/>
      <c r="AG59" s="213">
        <v>2026</v>
      </c>
    </row>
    <row r="60" spans="2:41" x14ac:dyDescent="0.35">
      <c r="B60" s="961"/>
      <c r="C60" s="202"/>
      <c r="D60" s="148" t="s">
        <v>282</v>
      </c>
      <c r="E60" s="148" t="s">
        <v>283</v>
      </c>
      <c r="F60" s="144" t="s">
        <v>284</v>
      </c>
      <c r="G60" s="144" t="s">
        <v>238</v>
      </c>
      <c r="H60" s="145" t="s">
        <v>282</v>
      </c>
      <c r="I60" s="144" t="s">
        <v>283</v>
      </c>
      <c r="J60" s="144" t="s">
        <v>284</v>
      </c>
      <c r="K60" s="144" t="s">
        <v>238</v>
      </c>
      <c r="L60" s="144" t="s">
        <v>282</v>
      </c>
      <c r="M60" s="148" t="s">
        <v>283</v>
      </c>
      <c r="N60" s="144" t="s">
        <v>284</v>
      </c>
      <c r="O60" s="144" t="s">
        <v>238</v>
      </c>
      <c r="P60" s="144" t="s">
        <v>282</v>
      </c>
      <c r="Q60" s="148" t="s">
        <v>283</v>
      </c>
      <c r="R60" s="144" t="s">
        <v>284</v>
      </c>
      <c r="S60" s="144" t="s">
        <v>238</v>
      </c>
      <c r="T60" s="145" t="s">
        <v>282</v>
      </c>
      <c r="U60" s="148" t="s">
        <v>283</v>
      </c>
      <c r="V60" s="144" t="s">
        <v>284</v>
      </c>
      <c r="W60" s="282" t="s">
        <v>238</v>
      </c>
      <c r="X60" s="282" t="s">
        <v>282</v>
      </c>
      <c r="Y60" s="394" t="s">
        <v>283</v>
      </c>
      <c r="Z60" s="290" t="s">
        <v>284</v>
      </c>
      <c r="AA60" s="282" t="s">
        <v>238</v>
      </c>
      <c r="AB60" s="393" t="s">
        <v>282</v>
      </c>
      <c r="AC60" s="394" t="s">
        <v>283</v>
      </c>
      <c r="AD60" s="282" t="s">
        <v>284</v>
      </c>
      <c r="AE60" s="282" t="s">
        <v>238</v>
      </c>
      <c r="AF60" s="393" t="s">
        <v>282</v>
      </c>
      <c r="AG60" s="234" t="s">
        <v>283</v>
      </c>
    </row>
    <row r="61" spans="2:41" ht="28.5" customHeight="1" x14ac:dyDescent="0.35">
      <c r="B61" s="443" t="s">
        <v>1917</v>
      </c>
      <c r="C61" s="35" t="s">
        <v>1722</v>
      </c>
      <c r="D61" s="195"/>
      <c r="E61" s="195"/>
      <c r="F61" s="195"/>
      <c r="G61" s="195"/>
      <c r="H61" s="195"/>
      <c r="I61" s="195"/>
      <c r="J61" s="195"/>
      <c r="K61" s="195"/>
      <c r="L61" s="195"/>
      <c r="M61" s="195"/>
      <c r="N61" s="195"/>
      <c r="O61" s="195"/>
      <c r="P61" s="195"/>
      <c r="Q61" s="195"/>
      <c r="R61" s="195"/>
      <c r="S61" s="411">
        <v>17542.7</v>
      </c>
      <c r="T61" s="411">
        <v>17749.900000000001</v>
      </c>
      <c r="U61" s="411">
        <v>18098.7</v>
      </c>
      <c r="V61" s="411">
        <v>18288.3</v>
      </c>
      <c r="W61" s="411">
        <v>18450.099999999999</v>
      </c>
      <c r="X61" s="411">
        <v>18584.099999999999</v>
      </c>
      <c r="Y61" s="411">
        <v>18732.099999999999</v>
      </c>
      <c r="Z61" s="411">
        <v>18877.7</v>
      </c>
      <c r="AA61" s="411">
        <v>19058.3</v>
      </c>
      <c r="AB61" s="411">
        <v>19265.5</v>
      </c>
      <c r="AC61" s="411">
        <v>19476.900000000001</v>
      </c>
      <c r="AD61" s="411">
        <v>19680.5</v>
      </c>
      <c r="AE61" s="411">
        <v>19889.099999999999</v>
      </c>
      <c r="AF61" s="411">
        <v>20092.7</v>
      </c>
    </row>
    <row r="62" spans="2:41" ht="26.25" customHeight="1" x14ac:dyDescent="0.35">
      <c r="B62" s="962" t="s">
        <v>1805</v>
      </c>
      <c r="C62" s="35" t="s">
        <v>1723</v>
      </c>
      <c r="D62" s="47"/>
      <c r="E62" s="35"/>
      <c r="F62" s="35"/>
      <c r="G62" s="35"/>
      <c r="H62" s="35"/>
      <c r="I62" s="35"/>
      <c r="J62" s="35"/>
      <c r="K62" s="35"/>
      <c r="L62" s="35"/>
      <c r="M62" s="35"/>
      <c r="N62" s="35"/>
      <c r="O62" s="35"/>
      <c r="P62" s="35"/>
      <c r="Q62" s="35"/>
      <c r="R62" s="35"/>
      <c r="S62" s="411">
        <v>1657.1</v>
      </c>
      <c r="T62" s="411">
        <v>1693.8</v>
      </c>
      <c r="U62" s="411">
        <v>1739.9</v>
      </c>
      <c r="V62" s="411">
        <v>1748.3</v>
      </c>
      <c r="W62" s="411">
        <v>1760.1</v>
      </c>
      <c r="X62" s="411">
        <v>1773.6</v>
      </c>
      <c r="Y62" s="411">
        <v>1785.5</v>
      </c>
      <c r="Z62" s="411">
        <v>1803.2</v>
      </c>
      <c r="AA62" s="411">
        <v>1817.2</v>
      </c>
      <c r="AB62" s="411">
        <v>1829.8</v>
      </c>
      <c r="AC62" s="411">
        <v>1841.3</v>
      </c>
      <c r="AD62" s="411">
        <v>1853.9</v>
      </c>
      <c r="AE62" s="411">
        <v>1867.1</v>
      </c>
      <c r="AF62" s="411">
        <v>1881.5</v>
      </c>
      <c r="AG62" s="965"/>
      <c r="AH62" s="965"/>
      <c r="AI62" s="965"/>
      <c r="AJ62" s="965"/>
      <c r="AK62" s="965"/>
      <c r="AL62" s="965"/>
      <c r="AM62" s="965"/>
      <c r="AN62" s="965"/>
      <c r="AO62" s="965"/>
    </row>
    <row r="63" spans="2:41" ht="26.25" customHeight="1" x14ac:dyDescent="0.35">
      <c r="B63" s="962" t="s">
        <v>1806</v>
      </c>
      <c r="C63" s="35" t="s">
        <v>1723</v>
      </c>
      <c r="D63" s="47"/>
      <c r="E63" s="35"/>
      <c r="F63" s="35"/>
      <c r="G63" s="35"/>
      <c r="H63" s="35"/>
      <c r="I63" s="35"/>
      <c r="J63" s="35"/>
      <c r="K63" s="35"/>
      <c r="L63" s="35"/>
      <c r="M63" s="35"/>
      <c r="N63" s="35"/>
      <c r="O63" s="35"/>
      <c r="P63" s="35"/>
      <c r="Q63" s="35"/>
      <c r="R63" s="35"/>
      <c r="S63" s="411">
        <v>2836</v>
      </c>
      <c r="T63" s="411">
        <v>2881.6</v>
      </c>
      <c r="U63" s="411">
        <v>2914.9</v>
      </c>
      <c r="V63" s="411">
        <v>2937.5</v>
      </c>
      <c r="W63" s="411">
        <v>2965.6</v>
      </c>
      <c r="X63" s="411">
        <v>2999.3</v>
      </c>
      <c r="Y63" s="411">
        <v>3033.6</v>
      </c>
      <c r="Z63" s="411">
        <v>3065</v>
      </c>
      <c r="AA63" s="411">
        <v>3094.6</v>
      </c>
      <c r="AB63" s="411">
        <v>3122.8</v>
      </c>
      <c r="AC63" s="411">
        <v>3151.7</v>
      </c>
      <c r="AD63" s="411">
        <v>3180.3</v>
      </c>
      <c r="AE63" s="411">
        <v>3208.1</v>
      </c>
      <c r="AF63" s="411">
        <v>3236.5</v>
      </c>
      <c r="AG63" s="966"/>
      <c r="AH63" s="966"/>
      <c r="AI63" s="966"/>
      <c r="AJ63" s="966"/>
      <c r="AK63" s="966"/>
      <c r="AL63" s="966"/>
      <c r="AM63" s="966"/>
      <c r="AN63" s="966"/>
      <c r="AO63" s="966"/>
    </row>
    <row r="64" spans="2:41" ht="26.25" customHeight="1" x14ac:dyDescent="0.35">
      <c r="B64" s="962" t="s">
        <v>1918</v>
      </c>
      <c r="C64" s="35" t="s">
        <v>1724</v>
      </c>
      <c r="D64" s="47"/>
      <c r="E64" s="35"/>
      <c r="F64" s="35"/>
      <c r="G64" s="35"/>
      <c r="H64" s="35"/>
      <c r="I64" s="35"/>
      <c r="J64" s="35"/>
      <c r="K64" s="35"/>
      <c r="L64" s="35"/>
      <c r="M64" s="35"/>
      <c r="N64" s="35"/>
      <c r="O64" s="35"/>
      <c r="P64" s="35"/>
      <c r="Q64" s="35"/>
      <c r="R64" s="35"/>
      <c r="S64" s="411">
        <v>14178.6</v>
      </c>
      <c r="T64" s="411">
        <v>14214.9</v>
      </c>
      <c r="U64" s="411">
        <v>14346.6</v>
      </c>
      <c r="V64" s="411">
        <v>14387.1</v>
      </c>
      <c r="W64" s="411">
        <v>14407.4</v>
      </c>
      <c r="X64" s="411">
        <v>14402.9</v>
      </c>
      <c r="Y64" s="411">
        <v>14417.4</v>
      </c>
      <c r="Z64" s="411">
        <v>14440.9</v>
      </c>
      <c r="AA64" s="411">
        <v>14488.3</v>
      </c>
      <c r="AB64" s="411">
        <v>14558.3</v>
      </c>
      <c r="AC64" s="411">
        <v>14634.4</v>
      </c>
      <c r="AD64" s="411">
        <v>14705</v>
      </c>
      <c r="AE64" s="411">
        <v>14779.5</v>
      </c>
      <c r="AF64" s="411">
        <v>14849.4</v>
      </c>
      <c r="AG64" s="966"/>
      <c r="AH64" s="966"/>
      <c r="AI64" s="966"/>
      <c r="AJ64" s="966"/>
      <c r="AK64" s="966"/>
      <c r="AL64" s="966"/>
      <c r="AM64" s="966"/>
      <c r="AN64" s="966"/>
      <c r="AO64" s="966"/>
    </row>
    <row r="65" spans="2:48" ht="26.25" customHeight="1" x14ac:dyDescent="0.35">
      <c r="B65" s="962" t="s">
        <v>1805</v>
      </c>
      <c r="C65" s="35" t="s">
        <v>1725</v>
      </c>
      <c r="D65" s="47"/>
      <c r="E65" s="35"/>
      <c r="F65" s="35"/>
      <c r="G65" s="35"/>
      <c r="H65" s="35"/>
      <c r="I65" s="35"/>
      <c r="J65" s="35"/>
      <c r="K65" s="35"/>
      <c r="L65" s="35"/>
      <c r="M65" s="35"/>
      <c r="N65" s="35"/>
      <c r="O65" s="35"/>
      <c r="P65" s="35"/>
      <c r="Q65" s="35"/>
      <c r="R65" s="35"/>
      <c r="S65" s="411">
        <v>1353.7</v>
      </c>
      <c r="T65" s="411">
        <v>1373</v>
      </c>
      <c r="U65" s="411">
        <v>1398.2</v>
      </c>
      <c r="V65" s="411">
        <v>1393.9</v>
      </c>
      <c r="W65" s="411">
        <v>1391.7</v>
      </c>
      <c r="X65" s="411">
        <v>1392.4</v>
      </c>
      <c r="Y65" s="411">
        <v>1391.7</v>
      </c>
      <c r="Z65" s="411">
        <v>1396.2</v>
      </c>
      <c r="AA65" s="411">
        <v>1397.4</v>
      </c>
      <c r="AB65" s="411">
        <v>1397.8</v>
      </c>
      <c r="AC65" s="411">
        <v>1397.8</v>
      </c>
      <c r="AD65" s="411">
        <v>1398.8</v>
      </c>
      <c r="AE65" s="411">
        <v>1400.2</v>
      </c>
      <c r="AF65" s="411">
        <v>1402.5</v>
      </c>
      <c r="AG65" s="966"/>
      <c r="AH65" s="966"/>
      <c r="AI65" s="966"/>
      <c r="AJ65" s="966"/>
      <c r="AK65" s="966"/>
      <c r="AL65" s="966"/>
      <c r="AM65" s="966"/>
      <c r="AN65" s="966"/>
      <c r="AO65" s="966"/>
    </row>
    <row r="66" spans="2:48" ht="26.15" customHeight="1" x14ac:dyDescent="0.35">
      <c r="B66" s="962" t="s">
        <v>1807</v>
      </c>
      <c r="C66" s="36" t="s">
        <v>1726</v>
      </c>
      <c r="D66" s="47"/>
      <c r="E66" s="35"/>
      <c r="F66" s="35"/>
      <c r="G66" s="35"/>
      <c r="H66" s="35"/>
      <c r="I66" s="35"/>
      <c r="J66" s="35"/>
      <c r="K66" s="35"/>
      <c r="L66" s="35"/>
      <c r="M66" s="35"/>
      <c r="N66" s="35"/>
      <c r="O66" s="35"/>
      <c r="P66" s="35"/>
      <c r="Q66" s="35"/>
      <c r="R66" s="35"/>
      <c r="S66" s="411">
        <v>2056.5</v>
      </c>
      <c r="T66" s="411">
        <v>2069.8000000000002</v>
      </c>
      <c r="U66" s="411">
        <v>2089.1999999999998</v>
      </c>
      <c r="V66" s="411">
        <v>2094.9</v>
      </c>
      <c r="W66" s="411">
        <v>2101.6</v>
      </c>
      <c r="X66" s="411">
        <v>2109.5</v>
      </c>
      <c r="Y66" s="411">
        <v>2116.1999999999998</v>
      </c>
      <c r="Z66" s="411">
        <v>2122</v>
      </c>
      <c r="AA66" s="411">
        <v>2127</v>
      </c>
      <c r="AB66" s="411">
        <v>2131.1999999999998</v>
      </c>
      <c r="AC66" s="411">
        <v>2135.4</v>
      </c>
      <c r="AD66" s="411">
        <v>2139.5</v>
      </c>
      <c r="AE66" s="411">
        <v>2143.1</v>
      </c>
      <c r="AF66" s="411">
        <v>2147.1</v>
      </c>
      <c r="AG66" s="966"/>
      <c r="AH66" s="966"/>
      <c r="AI66" s="966"/>
      <c r="AJ66" s="966"/>
      <c r="AK66" s="966"/>
      <c r="AL66" s="966"/>
      <c r="AM66" s="966"/>
      <c r="AN66" s="966"/>
      <c r="AO66" s="966"/>
    </row>
    <row r="67" spans="2:48" x14ac:dyDescent="0.35">
      <c r="B67" s="972"/>
      <c r="C67" s="973"/>
      <c r="D67" s="948"/>
      <c r="E67" s="948"/>
      <c r="F67" s="948"/>
      <c r="G67" s="948"/>
      <c r="H67" s="948"/>
      <c r="I67" s="948"/>
      <c r="J67" s="948"/>
      <c r="K67" s="948"/>
      <c r="L67" s="948"/>
      <c r="M67" s="948"/>
      <c r="N67" s="948"/>
      <c r="O67" s="948"/>
      <c r="P67" s="948"/>
      <c r="Q67" s="948"/>
      <c r="R67" s="948"/>
      <c r="S67" s="948"/>
      <c r="T67" s="949" t="s">
        <v>1712</v>
      </c>
      <c r="U67" s="974"/>
      <c r="V67" s="974"/>
      <c r="W67" s="974"/>
      <c r="X67" s="974"/>
      <c r="Y67" s="974"/>
      <c r="Z67" s="974"/>
      <c r="AA67" s="974"/>
      <c r="AB67" s="974"/>
      <c r="AC67" s="974"/>
      <c r="AD67" s="974"/>
      <c r="AE67" s="974"/>
      <c r="AF67" s="975"/>
      <c r="AG67" s="202"/>
      <c r="AH67" s="202"/>
      <c r="AI67" s="202"/>
      <c r="AJ67" s="202"/>
      <c r="AK67" s="202"/>
      <c r="AL67" s="202"/>
      <c r="AM67" s="202"/>
      <c r="AN67" s="202"/>
      <c r="AO67" s="202"/>
      <c r="AP67" s="35"/>
      <c r="AQ67" s="35"/>
      <c r="AR67" s="35"/>
      <c r="AS67" s="35"/>
      <c r="AT67" s="35"/>
      <c r="AU67" s="35"/>
      <c r="AV67" s="35"/>
    </row>
    <row r="68" spans="2:48" x14ac:dyDescent="0.35">
      <c r="B68" s="936" t="s">
        <v>1716</v>
      </c>
      <c r="C68" s="404"/>
      <c r="D68" s="405"/>
      <c r="E68" s="405"/>
      <c r="F68" s="405"/>
      <c r="G68" s="405"/>
      <c r="H68" s="405"/>
      <c r="I68" s="405"/>
      <c r="J68" s="405"/>
      <c r="K68" s="405"/>
      <c r="L68" s="405"/>
      <c r="M68" s="405"/>
      <c r="N68" s="405"/>
      <c r="O68" s="405"/>
      <c r="P68" s="405"/>
      <c r="Q68" s="405"/>
      <c r="R68" s="405"/>
      <c r="S68" s="968">
        <f t="shared" ref="S68:AF68" si="19">S61/S64</f>
        <v>1.2372660206226285</v>
      </c>
      <c r="T68" s="968">
        <f t="shared" si="19"/>
        <v>1.248682720244251</v>
      </c>
      <c r="U68" s="968">
        <f t="shared" si="19"/>
        <v>1.2615323491280164</v>
      </c>
      <c r="V68" s="968">
        <f t="shared" si="19"/>
        <v>1.2711595804574931</v>
      </c>
      <c r="W68" s="968">
        <f t="shared" si="19"/>
        <v>1.2805988589197217</v>
      </c>
      <c r="X68" s="968">
        <f t="shared" si="19"/>
        <v>1.2903026473835131</v>
      </c>
      <c r="Y68" s="968">
        <f t="shared" si="19"/>
        <v>1.2992703261336995</v>
      </c>
      <c r="Z68" s="968">
        <f t="shared" si="19"/>
        <v>1.3072384685165053</v>
      </c>
      <c r="AA68" s="968">
        <f t="shared" si="19"/>
        <v>1.3154269306958029</v>
      </c>
      <c r="AB68" s="968">
        <f t="shared" si="19"/>
        <v>1.3233344552591992</v>
      </c>
      <c r="AC68" s="968">
        <f t="shared" si="19"/>
        <v>1.3308984310938612</v>
      </c>
      <c r="AD68" s="968">
        <f t="shared" si="19"/>
        <v>1.3383543012580754</v>
      </c>
      <c r="AE68" s="968">
        <f t="shared" si="19"/>
        <v>1.3457221150918501</v>
      </c>
      <c r="AF68" s="950">
        <f t="shared" si="19"/>
        <v>1.3530984416878797</v>
      </c>
      <c r="AG68" s="965"/>
      <c r="AH68" s="965"/>
      <c r="AI68" s="965"/>
      <c r="AJ68" s="965"/>
      <c r="AK68" s="965"/>
      <c r="AL68" s="965"/>
      <c r="AM68" s="965"/>
      <c r="AN68" s="965"/>
      <c r="AO68" s="965"/>
    </row>
    <row r="69" spans="2:48" x14ac:dyDescent="0.35">
      <c r="B69" s="47" t="s">
        <v>1717</v>
      </c>
      <c r="C69" s="152"/>
      <c r="D69" s="35"/>
      <c r="E69" s="35"/>
      <c r="F69" s="35"/>
      <c r="G69" s="35"/>
      <c r="H69" s="35"/>
      <c r="I69" s="35"/>
      <c r="J69" s="35"/>
      <c r="K69" s="35"/>
      <c r="L69" s="35"/>
      <c r="M69" s="35"/>
      <c r="N69" s="35"/>
      <c r="O69" s="35"/>
      <c r="P69" s="35"/>
      <c r="Q69" s="35"/>
      <c r="R69" s="35"/>
      <c r="S69" s="964">
        <f t="shared" ref="S69:AF69" si="20">S62/S65</f>
        <v>1.2241264681982713</v>
      </c>
      <c r="T69" s="964">
        <f t="shared" si="20"/>
        <v>1.2336489439184268</v>
      </c>
      <c r="U69" s="964">
        <f t="shared" si="20"/>
        <v>1.2443856386783008</v>
      </c>
      <c r="V69" s="964">
        <f t="shared" si="20"/>
        <v>1.2542506636057105</v>
      </c>
      <c r="W69" s="964">
        <f t="shared" si="20"/>
        <v>1.2647122224617373</v>
      </c>
      <c r="X69" s="964">
        <f t="shared" si="20"/>
        <v>1.2737719046251075</v>
      </c>
      <c r="Y69" s="964">
        <f t="shared" si="20"/>
        <v>1.2829632823165911</v>
      </c>
      <c r="Z69" s="964">
        <f t="shared" si="20"/>
        <v>1.2915055149692021</v>
      </c>
      <c r="AA69" s="964">
        <f t="shared" si="20"/>
        <v>1.3004150565335624</v>
      </c>
      <c r="AB69" s="964">
        <f t="shared" si="20"/>
        <v>1.3090570897124052</v>
      </c>
      <c r="AC69" s="964">
        <f t="shared" si="20"/>
        <v>1.3172843039061382</v>
      </c>
      <c r="AD69" s="964">
        <f t="shared" si="20"/>
        <v>1.3253503002573637</v>
      </c>
      <c r="AE69" s="964">
        <f t="shared" si="20"/>
        <v>1.3334523639480074</v>
      </c>
      <c r="AF69" s="969">
        <f t="shared" si="20"/>
        <v>1.3415329768270945</v>
      </c>
      <c r="AG69" s="966"/>
      <c r="AH69" s="966"/>
      <c r="AI69" s="966"/>
      <c r="AJ69" s="966"/>
      <c r="AK69" s="966"/>
      <c r="AL69" s="966"/>
      <c r="AM69" s="966"/>
      <c r="AN69" s="966"/>
      <c r="AO69" s="966"/>
    </row>
    <row r="70" spans="2:48" x14ac:dyDescent="0.35">
      <c r="B70" s="153" t="s">
        <v>1718</v>
      </c>
      <c r="C70" s="154"/>
      <c r="D70" s="36"/>
      <c r="E70" s="36"/>
      <c r="F70" s="36"/>
      <c r="G70" s="36"/>
      <c r="H70" s="36"/>
      <c r="I70" s="36"/>
      <c r="J70" s="36"/>
      <c r="K70" s="36"/>
      <c r="L70" s="36"/>
      <c r="M70" s="36"/>
      <c r="N70" s="36"/>
      <c r="O70" s="36"/>
      <c r="P70" s="36"/>
      <c r="Q70" s="36"/>
      <c r="R70" s="36"/>
      <c r="S70" s="967">
        <f t="shared" ref="S70:AF70" si="21">S63/S66</f>
        <v>1.3790420617554098</v>
      </c>
      <c r="T70" s="967">
        <f t="shared" si="21"/>
        <v>1.3922118079041452</v>
      </c>
      <c r="U70" s="967">
        <f t="shared" si="21"/>
        <v>1.3952230518858895</v>
      </c>
      <c r="V70" s="967">
        <f t="shared" si="21"/>
        <v>1.4022149028593249</v>
      </c>
      <c r="W70" s="967">
        <f t="shared" si="21"/>
        <v>1.4111153406928054</v>
      </c>
      <c r="X70" s="967">
        <f t="shared" si="21"/>
        <v>1.4218061151931738</v>
      </c>
      <c r="Y70" s="967">
        <f t="shared" si="21"/>
        <v>1.4335129004819962</v>
      </c>
      <c r="Z70" s="967">
        <f t="shared" si="21"/>
        <v>1.444392082940622</v>
      </c>
      <c r="AA70" s="967">
        <f t="shared" si="21"/>
        <v>1.4549130230371414</v>
      </c>
      <c r="AB70" s="967">
        <f t="shared" si="21"/>
        <v>1.4652777777777779</v>
      </c>
      <c r="AC70" s="967">
        <f t="shared" si="21"/>
        <v>1.4759295682307763</v>
      </c>
      <c r="AD70" s="967">
        <f t="shared" si="21"/>
        <v>1.4864688011217575</v>
      </c>
      <c r="AE70" s="967">
        <f t="shared" si="21"/>
        <v>1.4969436797162989</v>
      </c>
      <c r="AF70" s="970">
        <f t="shared" si="21"/>
        <v>1.5073820502072564</v>
      </c>
      <c r="AG70" s="966"/>
      <c r="AH70" s="966"/>
      <c r="AI70" s="966"/>
      <c r="AJ70" s="966"/>
      <c r="AK70" s="966"/>
      <c r="AL70" s="966"/>
      <c r="AM70" s="966"/>
      <c r="AN70" s="966"/>
      <c r="AO70" s="966"/>
    </row>
    <row r="71" spans="2:48" x14ac:dyDescent="0.35">
      <c r="B71" s="963"/>
      <c r="C71" s="963"/>
      <c r="D71" s="202"/>
      <c r="E71" s="202"/>
      <c r="F71" s="202"/>
      <c r="G71" s="202"/>
      <c r="H71" s="202"/>
      <c r="I71" s="202"/>
      <c r="J71" s="202"/>
      <c r="K71" s="202"/>
      <c r="L71" s="202"/>
      <c r="M71" s="202"/>
      <c r="N71" s="202"/>
      <c r="O71" s="202"/>
      <c r="P71" s="202"/>
      <c r="Q71" s="202"/>
      <c r="R71" s="202"/>
      <c r="S71" s="202"/>
      <c r="T71" s="202"/>
      <c r="U71" s="202"/>
      <c r="V71" s="202"/>
      <c r="W71" s="202"/>
      <c r="X71" s="202"/>
      <c r="Y71" s="202"/>
      <c r="Z71" s="35"/>
      <c r="AA71" s="35"/>
      <c r="AB71" s="35"/>
      <c r="AC71" s="35"/>
      <c r="AD71" s="35"/>
      <c r="AE71" s="35"/>
      <c r="AF71" s="35"/>
    </row>
    <row r="72" spans="2:48" x14ac:dyDescent="0.35">
      <c r="B72" s="963"/>
      <c r="C72" s="963"/>
      <c r="D72" s="202"/>
      <c r="E72" s="202"/>
      <c r="F72" s="202"/>
      <c r="G72" s="202"/>
      <c r="H72" s="202"/>
      <c r="I72" s="202"/>
      <c r="J72" s="202"/>
      <c r="K72" s="202"/>
      <c r="L72" s="202"/>
      <c r="M72" s="202"/>
      <c r="N72" s="202"/>
      <c r="O72" s="202"/>
      <c r="P72" s="202"/>
      <c r="Q72" s="202"/>
      <c r="R72" s="202"/>
      <c r="S72" s="202"/>
      <c r="T72" s="731"/>
      <c r="U72" s="731"/>
      <c r="V72" s="731"/>
      <c r="W72" s="731"/>
      <c r="X72" s="731"/>
      <c r="Y72" s="731"/>
      <c r="Z72" s="731"/>
      <c r="AA72" s="731"/>
      <c r="AB72" s="731"/>
      <c r="AC72" s="731"/>
      <c r="AD72" s="731"/>
      <c r="AE72" s="731"/>
      <c r="AF72" s="731"/>
    </row>
    <row r="74" spans="2:48" x14ac:dyDescent="0.35">
      <c r="C74" s="30"/>
      <c r="D74" s="951"/>
      <c r="E74" s="951"/>
      <c r="F74" s="951"/>
      <c r="G74" s="951"/>
    </row>
    <row r="78" spans="2:48" x14ac:dyDescent="0.35">
      <c r="C78" s="14"/>
      <c r="D78" s="76"/>
      <c r="E78" s="76"/>
      <c r="F78" s="76"/>
      <c r="G78" s="76"/>
      <c r="H78" s="76"/>
      <c r="I78" s="76"/>
      <c r="J78" s="76"/>
      <c r="K78" s="76"/>
      <c r="L78" s="76"/>
      <c r="M78" s="76"/>
    </row>
    <row r="79" spans="2:48" x14ac:dyDescent="0.35">
      <c r="C79" s="30"/>
      <c r="D79" s="954"/>
      <c r="E79" s="954"/>
      <c r="F79" s="954"/>
      <c r="G79" s="954"/>
      <c r="H79" s="954"/>
      <c r="I79" s="954"/>
      <c r="J79" s="954"/>
      <c r="K79" s="954"/>
      <c r="L79" s="954"/>
      <c r="M79" s="954"/>
    </row>
    <row r="80" spans="2:48" x14ac:dyDescent="0.35">
      <c r="C80" s="951"/>
      <c r="D80" s="954"/>
      <c r="E80" s="954"/>
      <c r="F80" s="954"/>
      <c r="G80" s="954"/>
      <c r="H80" s="954"/>
      <c r="I80" s="954"/>
      <c r="J80" s="954"/>
      <c r="K80" s="954"/>
      <c r="L80" s="954"/>
      <c r="M80" s="954"/>
    </row>
    <row r="81" spans="3:13" x14ac:dyDescent="0.35">
      <c r="C81" s="951"/>
      <c r="D81" s="954"/>
      <c r="E81" s="954"/>
      <c r="F81" s="954"/>
      <c r="G81" s="954"/>
      <c r="H81" s="954"/>
      <c r="I81" s="954"/>
      <c r="J81" s="954"/>
      <c r="K81" s="954"/>
      <c r="L81" s="954"/>
      <c r="M81" s="954"/>
    </row>
    <row r="82" spans="3:13" x14ac:dyDescent="0.35">
      <c r="C82" s="951"/>
      <c r="D82" s="954"/>
      <c r="E82" s="954"/>
      <c r="F82" s="954"/>
      <c r="G82" s="954"/>
      <c r="H82" s="954"/>
      <c r="I82" s="954"/>
      <c r="J82" s="954"/>
      <c r="K82" s="954"/>
      <c r="L82" s="954"/>
      <c r="M82" s="954"/>
    </row>
    <row r="83" spans="3:13" x14ac:dyDescent="0.35">
      <c r="C83" s="951"/>
      <c r="D83" s="954"/>
      <c r="E83" s="954"/>
      <c r="F83" s="954"/>
      <c r="G83" s="954"/>
      <c r="H83" s="954"/>
      <c r="I83" s="954"/>
      <c r="J83" s="954"/>
      <c r="K83" s="954"/>
      <c r="L83" s="954"/>
      <c r="M83" s="954"/>
    </row>
  </sheetData>
  <mergeCells count="30">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 ref="Y59:AB59"/>
    <mergeCell ref="AC43:AF43"/>
    <mergeCell ref="Y9:AB9"/>
    <mergeCell ref="Y43:AB43"/>
    <mergeCell ref="B58:E58"/>
    <mergeCell ref="Q59:R59"/>
    <mergeCell ref="M9:P9"/>
    <mergeCell ref="Q9:R9"/>
    <mergeCell ref="E59:H59"/>
    <mergeCell ref="I59:L59"/>
    <mergeCell ref="M59:P59"/>
    <mergeCell ref="E9:H9"/>
    <mergeCell ref="I9:L9"/>
    <mergeCell ref="B22:AF22"/>
    <mergeCell ref="AC59:AF59"/>
    <mergeCell ref="W42:AG42"/>
  </mergeCells>
  <pageMargins left="0.7" right="0.7" top="0.75" bottom="0.75" header="0.3" footer="0.3"/>
  <pageSetup paperSize="9" orientation="portrait" horizontalDpi="300" verticalDpi="300"/>
  <drawing r:id="rId1"/>
  <legacy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G1:AC73"/>
  <sheetViews>
    <sheetView topLeftCell="G1" zoomScale="61" zoomScaleNormal="143" workbookViewId="0">
      <selection activeCell="AB52" sqref="AB52"/>
    </sheetView>
  </sheetViews>
  <sheetFormatPr defaultColWidth="10.9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292" t="s">
        <v>316</v>
      </c>
      <c r="I1" s="1292"/>
      <c r="J1" s="1292"/>
      <c r="K1" s="1292"/>
      <c r="L1" s="1292"/>
      <c r="M1" s="1292"/>
      <c r="N1" s="1292"/>
      <c r="O1" s="1292"/>
      <c r="P1" s="1292"/>
      <c r="Q1" s="1292"/>
      <c r="R1" s="1292"/>
      <c r="S1" s="1292"/>
    </row>
    <row r="2" spans="8:22" x14ac:dyDescent="0.35">
      <c r="H2" s="1330" t="s">
        <v>317</v>
      </c>
      <c r="I2" s="1330"/>
      <c r="J2" s="1330"/>
      <c r="K2" s="1330"/>
      <c r="L2" s="1330"/>
      <c r="M2" s="1330"/>
      <c r="N2" s="1330"/>
      <c r="O2" s="1330"/>
      <c r="P2" s="1330"/>
      <c r="Q2" s="1330"/>
      <c r="R2" s="1330"/>
      <c r="S2" s="1330"/>
    </row>
    <row r="3" spans="8:22" x14ac:dyDescent="0.35">
      <c r="H3" s="1330"/>
      <c r="I3" s="1330"/>
      <c r="J3" s="1330"/>
      <c r="K3" s="1330"/>
      <c r="L3" s="1330"/>
      <c r="M3" s="1330"/>
      <c r="N3" s="1330"/>
      <c r="O3" s="1330"/>
      <c r="P3" s="1330"/>
      <c r="Q3" s="1330"/>
      <c r="R3" s="1330"/>
      <c r="S3" s="1330"/>
    </row>
    <row r="4" spans="8:22" x14ac:dyDescent="0.35">
      <c r="H4" s="1330"/>
      <c r="I4" s="1330"/>
      <c r="J4" s="1330"/>
      <c r="K4" s="1330"/>
      <c r="L4" s="1330"/>
      <c r="M4" s="1330"/>
      <c r="N4" s="1330"/>
      <c r="O4" s="1330"/>
      <c r="P4" s="1330"/>
      <c r="Q4" s="1330"/>
      <c r="R4" s="1330"/>
      <c r="S4" s="1330"/>
    </row>
    <row r="5" spans="8:22" ht="54.75" customHeight="1" x14ac:dyDescent="0.35">
      <c r="H5" s="1330"/>
      <c r="I5" s="1330"/>
      <c r="J5" s="1330"/>
      <c r="K5" s="1330"/>
      <c r="L5" s="1330"/>
      <c r="M5" s="1330"/>
      <c r="N5" s="1330"/>
      <c r="O5" s="1330"/>
      <c r="P5" s="1330"/>
      <c r="Q5" s="1330"/>
      <c r="R5" s="1330"/>
      <c r="S5" s="1330"/>
    </row>
    <row r="6" spans="8:22" x14ac:dyDescent="0.35">
      <c r="H6" s="434"/>
      <c r="I6" s="434"/>
      <c r="J6" s="434"/>
      <c r="K6" s="434"/>
      <c r="L6" s="434"/>
      <c r="M6" s="434"/>
      <c r="N6" s="434"/>
      <c r="O6" s="434"/>
      <c r="P6" s="434"/>
      <c r="Q6" s="434"/>
      <c r="R6" s="434"/>
      <c r="S6" s="434"/>
    </row>
    <row r="7" spans="8:22" x14ac:dyDescent="0.35">
      <c r="H7" s="986" t="s">
        <v>318</v>
      </c>
    </row>
    <row r="8" spans="8:22" ht="16.399999999999999" customHeight="1" x14ac:dyDescent="0.35"/>
    <row r="9" spans="8:22" ht="15.75" customHeight="1" x14ac:dyDescent="0.35">
      <c r="L9" s="1278">
        <v>2020</v>
      </c>
      <c r="M9" s="1306"/>
      <c r="N9" s="1306"/>
      <c r="O9" s="522">
        <v>2021</v>
      </c>
      <c r="P9" s="522"/>
      <c r="Q9" s="522"/>
      <c r="R9" s="297"/>
    </row>
    <row r="10" spans="8:22" ht="41.9" customHeight="1" x14ac:dyDescent="0.35">
      <c r="H10" s="980" t="s">
        <v>319</v>
      </c>
      <c r="I10" s="980" t="s">
        <v>320</v>
      </c>
      <c r="J10" s="981" t="s">
        <v>321</v>
      </c>
      <c r="K10" s="190"/>
      <c r="L10" s="993" t="s">
        <v>284</v>
      </c>
      <c r="M10" s="994" t="s">
        <v>238</v>
      </c>
      <c r="N10" s="994" t="s">
        <v>282</v>
      </c>
      <c r="O10" s="994" t="s">
        <v>283</v>
      </c>
      <c r="P10" s="994" t="s">
        <v>284</v>
      </c>
      <c r="Q10" s="994" t="s">
        <v>238</v>
      </c>
      <c r="R10" s="979" t="s">
        <v>282</v>
      </c>
      <c r="S10" s="434" t="s">
        <v>322</v>
      </c>
      <c r="T10" s="190"/>
      <c r="U10" s="190"/>
      <c r="V10" s="190"/>
    </row>
    <row r="11" spans="8:22" x14ac:dyDescent="0.35">
      <c r="H11" s="982">
        <v>43934</v>
      </c>
      <c r="I11" s="195">
        <v>248</v>
      </c>
      <c r="J11" s="534">
        <f>I11</f>
        <v>248</v>
      </c>
      <c r="K11" s="195"/>
      <c r="L11" s="735">
        <f>S11/26*J11</f>
        <v>95.384615384615387</v>
      </c>
      <c r="M11" s="720">
        <f>13/26*J11</f>
        <v>124</v>
      </c>
      <c r="N11" s="720">
        <f>J11-SUM(L11:M11)</f>
        <v>28.615384615384613</v>
      </c>
      <c r="O11" s="720"/>
      <c r="P11" s="720"/>
      <c r="Q11" s="720"/>
      <c r="R11" s="991"/>
      <c r="S11" s="195">
        <v>10</v>
      </c>
      <c r="T11" s="195"/>
      <c r="U11" s="988"/>
      <c r="V11" s="195"/>
    </row>
    <row r="12" spans="8:22" x14ac:dyDescent="0.35">
      <c r="H12" s="989">
        <v>43937</v>
      </c>
      <c r="I12" s="195">
        <v>342</v>
      </c>
      <c r="J12" s="534">
        <f>I12-I11</f>
        <v>94</v>
      </c>
      <c r="K12" s="195"/>
      <c r="L12" s="735">
        <f t="shared" ref="L12:L20" si="0">S12/26*J12</f>
        <v>36.153846153846153</v>
      </c>
      <c r="M12" s="720">
        <f t="shared" ref="M12:M20" si="1">13/26*J12</f>
        <v>47</v>
      </c>
      <c r="N12" s="720">
        <f t="shared" ref="N12:N21" si="2">J12-SUM(L12:M12)</f>
        <v>10.84615384615384</v>
      </c>
      <c r="O12" s="720"/>
      <c r="P12" s="720"/>
      <c r="Q12" s="720"/>
      <c r="R12" s="991"/>
      <c r="S12" s="195">
        <v>10</v>
      </c>
      <c r="T12" s="195"/>
      <c r="U12" s="195"/>
      <c r="V12" s="195"/>
    </row>
    <row r="13" spans="8:22" x14ac:dyDescent="0.35">
      <c r="H13" s="989">
        <v>43952</v>
      </c>
      <c r="I13" s="195">
        <v>518</v>
      </c>
      <c r="J13" s="534">
        <f>I13-I12</f>
        <v>176</v>
      </c>
      <c r="K13" s="195"/>
      <c r="L13" s="735">
        <f t="shared" si="0"/>
        <v>54.15384615384616</v>
      </c>
      <c r="M13" s="720">
        <f t="shared" si="1"/>
        <v>88</v>
      </c>
      <c r="N13" s="720">
        <f t="shared" si="2"/>
        <v>33.84615384615384</v>
      </c>
      <c r="O13" s="720"/>
      <c r="P13" s="720"/>
      <c r="Q13" s="720"/>
      <c r="R13" s="991"/>
      <c r="S13" s="195">
        <v>8</v>
      </c>
      <c r="T13" s="195"/>
      <c r="U13" s="195"/>
      <c r="V13" s="195"/>
    </row>
    <row r="14" spans="8:22" x14ac:dyDescent="0.35">
      <c r="H14" s="989">
        <v>43959</v>
      </c>
      <c r="I14" s="195">
        <v>531</v>
      </c>
      <c r="J14" s="534">
        <f t="shared" ref="J14:J45" si="3">I14-I13</f>
        <v>13</v>
      </c>
      <c r="K14" s="195"/>
      <c r="L14" s="735">
        <f t="shared" si="0"/>
        <v>3.5</v>
      </c>
      <c r="M14" s="720">
        <f t="shared" si="1"/>
        <v>6.5</v>
      </c>
      <c r="N14" s="720">
        <f t="shared" si="2"/>
        <v>3</v>
      </c>
      <c r="O14" s="720"/>
      <c r="P14" s="720"/>
      <c r="Q14" s="720"/>
      <c r="R14" s="991"/>
      <c r="S14" s="195">
        <f t="shared" ref="S14:S20" si="4">S13-1</f>
        <v>7</v>
      </c>
      <c r="T14" s="195"/>
      <c r="U14" s="195"/>
      <c r="V14" s="195"/>
    </row>
    <row r="15" spans="8:22" x14ac:dyDescent="0.35">
      <c r="H15" s="989">
        <v>43967</v>
      </c>
      <c r="I15" s="195">
        <v>513</v>
      </c>
      <c r="J15" s="534">
        <f t="shared" si="3"/>
        <v>-18</v>
      </c>
      <c r="K15" s="195"/>
      <c r="L15" s="735">
        <f t="shared" ref="L15:L17" si="5">S15/26*J15</f>
        <v>-4.1538461538461542</v>
      </c>
      <c r="M15" s="720">
        <f t="shared" ref="M15:M17" si="6">13/26*J15</f>
        <v>-9</v>
      </c>
      <c r="N15" s="720">
        <f t="shared" ref="N15:N17" si="7">J15-SUM(L15:M15)</f>
        <v>-4.8461538461538467</v>
      </c>
      <c r="O15" s="720"/>
      <c r="P15" s="720"/>
      <c r="Q15" s="720"/>
      <c r="R15" s="991"/>
      <c r="S15" s="195">
        <f t="shared" si="4"/>
        <v>6</v>
      </c>
      <c r="T15" s="195"/>
      <c r="U15" s="195"/>
      <c r="V15" s="195"/>
    </row>
    <row r="16" spans="8:22" x14ac:dyDescent="0.35">
      <c r="H16" s="989">
        <v>43974</v>
      </c>
      <c r="I16" s="195">
        <v>511</v>
      </c>
      <c r="J16" s="534">
        <f t="shared" si="3"/>
        <v>-2</v>
      </c>
      <c r="K16" s="195"/>
      <c r="L16" s="735">
        <f t="shared" si="5"/>
        <v>-0.38461538461538464</v>
      </c>
      <c r="M16" s="720">
        <f t="shared" si="6"/>
        <v>-1</v>
      </c>
      <c r="N16" s="720">
        <f t="shared" si="7"/>
        <v>-0.61538461538461542</v>
      </c>
      <c r="O16" s="720"/>
      <c r="P16" s="720"/>
      <c r="Q16" s="720"/>
      <c r="R16" s="991"/>
      <c r="S16" s="195">
        <f t="shared" si="4"/>
        <v>5</v>
      </c>
      <c r="T16" s="195"/>
      <c r="U16" s="195"/>
      <c r="V16" s="195"/>
    </row>
    <row r="17" spans="8:22" x14ac:dyDescent="0.35">
      <c r="H17" s="989">
        <v>43981</v>
      </c>
      <c r="I17" s="195">
        <v>510</v>
      </c>
      <c r="J17" s="534">
        <f t="shared" si="3"/>
        <v>-1</v>
      </c>
      <c r="K17" s="195"/>
      <c r="L17" s="735">
        <f t="shared" si="5"/>
        <v>-0.15384615384615385</v>
      </c>
      <c r="M17" s="720">
        <f t="shared" si="6"/>
        <v>-0.5</v>
      </c>
      <c r="N17" s="720">
        <f t="shared" si="7"/>
        <v>-0.34615384615384615</v>
      </c>
      <c r="O17" s="720"/>
      <c r="P17" s="720"/>
      <c r="Q17" s="720"/>
      <c r="R17" s="991"/>
      <c r="S17" s="195">
        <f t="shared" si="4"/>
        <v>4</v>
      </c>
      <c r="T17" s="195"/>
      <c r="U17" s="195"/>
      <c r="V17" s="195"/>
    </row>
    <row r="18" spans="8:22" x14ac:dyDescent="0.35">
      <c r="H18" s="989">
        <v>43988</v>
      </c>
      <c r="I18" s="195">
        <v>511</v>
      </c>
      <c r="J18" s="534">
        <f t="shared" si="3"/>
        <v>1</v>
      </c>
      <c r="K18" s="195"/>
      <c r="L18" s="735">
        <f t="shared" si="0"/>
        <v>0.11538461538461539</v>
      </c>
      <c r="M18" s="720">
        <f t="shared" si="1"/>
        <v>0.5</v>
      </c>
      <c r="N18" s="720">
        <f t="shared" si="2"/>
        <v>0.38461538461538458</v>
      </c>
      <c r="O18" s="720"/>
      <c r="P18" s="720"/>
      <c r="Q18" s="720"/>
      <c r="R18" s="991"/>
      <c r="S18" s="195">
        <f t="shared" si="4"/>
        <v>3</v>
      </c>
      <c r="T18" s="195"/>
      <c r="U18" s="195"/>
      <c r="V18" s="195"/>
    </row>
    <row r="19" spans="8:22" x14ac:dyDescent="0.35">
      <c r="H19" s="989">
        <v>43994</v>
      </c>
      <c r="I19" s="195">
        <v>512</v>
      </c>
      <c r="J19" s="534">
        <f t="shared" si="3"/>
        <v>1</v>
      </c>
      <c r="K19" s="195"/>
      <c r="L19" s="735">
        <f t="shared" si="0"/>
        <v>7.6923076923076927E-2</v>
      </c>
      <c r="M19" s="720">
        <f t="shared" si="1"/>
        <v>0.5</v>
      </c>
      <c r="N19" s="720">
        <f t="shared" si="2"/>
        <v>0.42307692307692313</v>
      </c>
      <c r="O19" s="720"/>
      <c r="P19" s="720"/>
      <c r="Q19" s="720"/>
      <c r="R19" s="991"/>
      <c r="S19" s="195">
        <f t="shared" si="4"/>
        <v>2</v>
      </c>
      <c r="T19" s="195"/>
      <c r="U19" s="195"/>
      <c r="V19" s="195"/>
    </row>
    <row r="20" spans="8:22" x14ac:dyDescent="0.35">
      <c r="H20" s="989">
        <v>44002</v>
      </c>
      <c r="I20" s="195">
        <v>515</v>
      </c>
      <c r="J20" s="534">
        <f t="shared" si="3"/>
        <v>3</v>
      </c>
      <c r="K20" s="195"/>
      <c r="L20" s="735">
        <f t="shared" si="0"/>
        <v>0.11538461538461539</v>
      </c>
      <c r="M20" s="720">
        <f t="shared" si="1"/>
        <v>1.5</v>
      </c>
      <c r="N20" s="720">
        <f t="shared" si="2"/>
        <v>1.3846153846153846</v>
      </c>
      <c r="O20" s="720"/>
      <c r="P20" s="720"/>
      <c r="Q20" s="720"/>
      <c r="R20" s="991"/>
      <c r="S20" s="195">
        <f t="shared" si="4"/>
        <v>1</v>
      </c>
      <c r="T20" s="195"/>
      <c r="U20" s="195"/>
      <c r="V20" s="195"/>
    </row>
    <row r="21" spans="8:22" x14ac:dyDescent="0.35">
      <c r="H21" s="989">
        <v>44009</v>
      </c>
      <c r="I21" s="195">
        <v>519</v>
      </c>
      <c r="J21" s="534">
        <f t="shared" si="3"/>
        <v>4</v>
      </c>
      <c r="K21" s="195"/>
      <c r="L21" s="735"/>
      <c r="M21" s="720">
        <f>S21/26*J21</f>
        <v>2</v>
      </c>
      <c r="N21" s="720">
        <f t="shared" si="2"/>
        <v>2</v>
      </c>
      <c r="O21" s="720"/>
      <c r="P21" s="720"/>
      <c r="Q21" s="720"/>
      <c r="R21" s="991"/>
      <c r="S21" s="195">
        <v>13</v>
      </c>
      <c r="T21" s="195"/>
      <c r="U21" s="195"/>
      <c r="V21" s="195"/>
    </row>
    <row r="22" spans="8:22" x14ac:dyDescent="0.35">
      <c r="H22" s="989">
        <v>44012</v>
      </c>
      <c r="I22" s="195">
        <v>521</v>
      </c>
      <c r="J22" s="534">
        <f t="shared" si="3"/>
        <v>2</v>
      </c>
      <c r="K22" s="195"/>
      <c r="L22" s="735"/>
      <c r="M22" s="720">
        <f t="shared" ref="M22:M26" si="8">S22/26*J22</f>
        <v>1</v>
      </c>
      <c r="N22" s="720">
        <f>J22-SUM(L22:M22)</f>
        <v>1</v>
      </c>
      <c r="O22" s="720"/>
      <c r="P22" s="720"/>
      <c r="Q22" s="720"/>
      <c r="R22" s="991"/>
      <c r="S22" s="195">
        <v>13</v>
      </c>
      <c r="T22" s="195"/>
      <c r="U22" s="195"/>
      <c r="V22" s="195"/>
    </row>
    <row r="23" spans="8:22" x14ac:dyDescent="0.35">
      <c r="H23" s="989">
        <v>44029</v>
      </c>
      <c r="I23" s="195">
        <v>518</v>
      </c>
      <c r="J23" s="534">
        <f t="shared" si="3"/>
        <v>-3</v>
      </c>
      <c r="K23" s="195"/>
      <c r="L23" s="735"/>
      <c r="M23" s="720">
        <f t="shared" ref="M23" si="9">S23/26*J23</f>
        <v>-1.153846153846154</v>
      </c>
      <c r="N23" s="720">
        <f t="shared" ref="N23" si="10">13/26*J23</f>
        <v>-1.5</v>
      </c>
      <c r="O23" s="720">
        <f t="shared" ref="O23" si="11">J23-N23-M23</f>
        <v>-0.34615384615384603</v>
      </c>
      <c r="P23" s="720"/>
      <c r="Q23" s="720"/>
      <c r="R23" s="991"/>
      <c r="S23" s="195">
        <f>S22-3</f>
        <v>10</v>
      </c>
      <c r="T23" s="195"/>
      <c r="U23" s="195"/>
      <c r="V23" s="195"/>
    </row>
    <row r="24" spans="8:22" x14ac:dyDescent="0.35">
      <c r="H24" s="989">
        <v>44036</v>
      </c>
      <c r="I24" s="195">
        <v>520</v>
      </c>
      <c r="J24" s="534">
        <f t="shared" si="3"/>
        <v>2</v>
      </c>
      <c r="K24" s="195"/>
      <c r="L24" s="735"/>
      <c r="M24" s="720">
        <f t="shared" si="8"/>
        <v>0.69230769230769229</v>
      </c>
      <c r="N24" s="720">
        <f t="shared" ref="N24:N26" si="12">13/26*J24</f>
        <v>1</v>
      </c>
      <c r="O24" s="720">
        <f t="shared" ref="O24:O26" si="13">J24-N24-M24</f>
        <v>0.30769230769230771</v>
      </c>
      <c r="P24" s="720"/>
      <c r="Q24" s="720"/>
      <c r="R24" s="991"/>
      <c r="S24" s="195">
        <f>S23-1</f>
        <v>9</v>
      </c>
      <c r="T24" s="195"/>
      <c r="U24" s="195"/>
      <c r="V24" s="195"/>
    </row>
    <row r="25" spans="8:22" x14ac:dyDescent="0.35">
      <c r="H25" s="989">
        <v>44043</v>
      </c>
      <c r="I25" s="195">
        <v>521</v>
      </c>
      <c r="J25" s="534">
        <f t="shared" si="3"/>
        <v>1</v>
      </c>
      <c r="K25" s="195"/>
      <c r="L25" s="735"/>
      <c r="M25" s="720">
        <f t="shared" si="8"/>
        <v>0.30769230769230771</v>
      </c>
      <c r="N25" s="720">
        <f t="shared" si="12"/>
        <v>0.5</v>
      </c>
      <c r="O25" s="720">
        <f t="shared" si="13"/>
        <v>0.19230769230769229</v>
      </c>
      <c r="P25" s="720"/>
      <c r="Q25" s="720"/>
      <c r="R25" s="991"/>
      <c r="S25" s="195">
        <f>S24-1</f>
        <v>8</v>
      </c>
      <c r="T25" s="195"/>
      <c r="U25" s="195"/>
      <c r="V25" s="195"/>
    </row>
    <row r="26" spans="8:22" x14ac:dyDescent="0.35">
      <c r="H26" s="989">
        <v>44051</v>
      </c>
      <c r="I26" s="195">
        <v>525</v>
      </c>
      <c r="J26" s="534">
        <f t="shared" si="3"/>
        <v>4</v>
      </c>
      <c r="K26" s="195"/>
      <c r="L26" s="735"/>
      <c r="M26" s="720">
        <f t="shared" si="8"/>
        <v>1.0769230769230769</v>
      </c>
      <c r="N26" s="720">
        <f t="shared" si="12"/>
        <v>2</v>
      </c>
      <c r="O26" s="720">
        <f t="shared" si="13"/>
        <v>0.92307692307692313</v>
      </c>
      <c r="P26" s="720"/>
      <c r="Q26" s="720"/>
      <c r="R26" s="991"/>
      <c r="S26" s="195">
        <f>S25-1</f>
        <v>7</v>
      </c>
      <c r="T26" s="195"/>
      <c r="U26" s="195"/>
      <c r="V26" s="195"/>
    </row>
    <row r="27" spans="8:22" x14ac:dyDescent="0.35">
      <c r="H27" s="989">
        <v>44220</v>
      </c>
      <c r="I27" s="195">
        <v>558</v>
      </c>
      <c r="J27" s="534">
        <f t="shared" si="3"/>
        <v>33</v>
      </c>
      <c r="K27" s="195"/>
      <c r="L27" s="735"/>
      <c r="M27" s="720"/>
      <c r="N27" s="720"/>
      <c r="O27" s="720">
        <f>S27/26*J27</f>
        <v>12.692307692307693</v>
      </c>
      <c r="P27" s="720">
        <f>J27/2</f>
        <v>16.5</v>
      </c>
      <c r="Q27" s="720">
        <f>J27-P27-O27</f>
        <v>3.8076923076923066</v>
      </c>
      <c r="R27" s="991"/>
      <c r="S27" s="195">
        <v>10</v>
      </c>
      <c r="T27" s="195">
        <v>10</v>
      </c>
      <c r="U27" s="195"/>
      <c r="V27" s="195"/>
    </row>
    <row r="28" spans="8:22" x14ac:dyDescent="0.35">
      <c r="H28" s="989">
        <v>44227</v>
      </c>
      <c r="I28" s="195">
        <v>596</v>
      </c>
      <c r="J28" s="534">
        <f t="shared" si="3"/>
        <v>38</v>
      </c>
      <c r="K28" s="195"/>
      <c r="L28" s="735"/>
      <c r="M28" s="720"/>
      <c r="N28" s="720"/>
      <c r="O28" s="720">
        <f t="shared" ref="O28:O36" si="14">S28/26*J28</f>
        <v>13.153846153846153</v>
      </c>
      <c r="P28" s="720">
        <f t="shared" ref="P28:P36" si="15">J28/2</f>
        <v>19</v>
      </c>
      <c r="Q28" s="720">
        <f t="shared" ref="Q28:Q36" si="16">J28-P28-O28</f>
        <v>5.8461538461538467</v>
      </c>
      <c r="R28" s="991"/>
      <c r="S28" s="195">
        <f>S27-1</f>
        <v>9</v>
      </c>
      <c r="T28" s="195">
        <f>T27-1</f>
        <v>9</v>
      </c>
      <c r="U28" s="195"/>
      <c r="V28" s="195"/>
    </row>
    <row r="29" spans="8:22" x14ac:dyDescent="0.35">
      <c r="H29" s="989">
        <v>44234</v>
      </c>
      <c r="I29" s="195">
        <v>623</v>
      </c>
      <c r="J29" s="534">
        <f t="shared" si="3"/>
        <v>27</v>
      </c>
      <c r="K29" s="195"/>
      <c r="L29" s="735"/>
      <c r="M29" s="720"/>
      <c r="N29" s="720"/>
      <c r="O29" s="720">
        <f t="shared" si="14"/>
        <v>8.3076923076923084</v>
      </c>
      <c r="P29" s="720">
        <f t="shared" si="15"/>
        <v>13.5</v>
      </c>
      <c r="Q29" s="720">
        <f t="shared" si="16"/>
        <v>5.1923076923076916</v>
      </c>
      <c r="R29" s="991"/>
      <c r="S29" s="195">
        <f t="shared" ref="S29:S36" si="17">S28-1</f>
        <v>8</v>
      </c>
      <c r="T29" s="195">
        <f t="shared" ref="T29:T36" si="18">T28-1</f>
        <v>8</v>
      </c>
      <c r="U29" s="195"/>
      <c r="V29" s="195"/>
    </row>
    <row r="30" spans="8:22" x14ac:dyDescent="0.35">
      <c r="H30" s="989">
        <v>44242</v>
      </c>
      <c r="I30" s="195">
        <v>648</v>
      </c>
      <c r="J30" s="534">
        <f t="shared" si="3"/>
        <v>25</v>
      </c>
      <c r="K30" s="195"/>
      <c r="L30" s="735"/>
      <c r="M30" s="720"/>
      <c r="N30" s="720"/>
      <c r="O30" s="720">
        <f t="shared" si="14"/>
        <v>6.7307692307692308</v>
      </c>
      <c r="P30" s="720">
        <f t="shared" si="15"/>
        <v>12.5</v>
      </c>
      <c r="Q30" s="720">
        <f t="shared" si="16"/>
        <v>5.7692307692307692</v>
      </c>
      <c r="R30" s="991"/>
      <c r="S30" s="195">
        <f t="shared" si="17"/>
        <v>7</v>
      </c>
      <c r="T30" s="195">
        <f t="shared" si="18"/>
        <v>7</v>
      </c>
      <c r="U30" s="195"/>
      <c r="V30" s="195"/>
    </row>
    <row r="31" spans="8:22" x14ac:dyDescent="0.35">
      <c r="H31" s="989">
        <v>44248</v>
      </c>
      <c r="I31" s="195">
        <v>663</v>
      </c>
      <c r="J31" s="534">
        <f t="shared" si="3"/>
        <v>15</v>
      </c>
      <c r="K31" s="195"/>
      <c r="L31" s="735"/>
      <c r="M31" s="720"/>
      <c r="N31" s="720"/>
      <c r="O31" s="720">
        <f t="shared" si="14"/>
        <v>3.4615384615384617</v>
      </c>
      <c r="P31" s="720">
        <f t="shared" si="15"/>
        <v>7.5</v>
      </c>
      <c r="Q31" s="720">
        <f t="shared" si="16"/>
        <v>4.0384615384615383</v>
      </c>
      <c r="R31" s="991"/>
      <c r="S31" s="195">
        <f t="shared" si="17"/>
        <v>6</v>
      </c>
      <c r="T31" s="195">
        <f t="shared" si="18"/>
        <v>6</v>
      </c>
      <c r="U31" s="195"/>
      <c r="V31" s="195"/>
    </row>
    <row r="32" spans="8:22" x14ac:dyDescent="0.35">
      <c r="H32" s="989">
        <v>44255</v>
      </c>
      <c r="I32" s="195">
        <v>679</v>
      </c>
      <c r="J32" s="534">
        <f t="shared" si="3"/>
        <v>16</v>
      </c>
      <c r="K32" s="195"/>
      <c r="L32" s="735"/>
      <c r="M32" s="720"/>
      <c r="N32" s="720"/>
      <c r="O32" s="720">
        <f t="shared" si="14"/>
        <v>3.0769230769230771</v>
      </c>
      <c r="P32" s="720">
        <f t="shared" si="15"/>
        <v>8</v>
      </c>
      <c r="Q32" s="720">
        <f t="shared" si="16"/>
        <v>4.9230769230769234</v>
      </c>
      <c r="R32" s="991"/>
      <c r="S32" s="195">
        <f t="shared" si="17"/>
        <v>5</v>
      </c>
      <c r="T32" s="195">
        <f t="shared" si="18"/>
        <v>5</v>
      </c>
      <c r="U32" s="195"/>
      <c r="V32" s="195"/>
    </row>
    <row r="33" spans="8:22" x14ac:dyDescent="0.35">
      <c r="H33" s="989">
        <v>44262</v>
      </c>
      <c r="I33" s="195">
        <v>687</v>
      </c>
      <c r="J33" s="534">
        <f t="shared" si="3"/>
        <v>8</v>
      </c>
      <c r="K33" s="195"/>
      <c r="L33" s="735"/>
      <c r="M33" s="720"/>
      <c r="N33" s="720"/>
      <c r="O33" s="720">
        <f t="shared" si="14"/>
        <v>1.2307692307692308</v>
      </c>
      <c r="P33" s="720">
        <f t="shared" si="15"/>
        <v>4</v>
      </c>
      <c r="Q33" s="720">
        <f t="shared" si="16"/>
        <v>2.7692307692307692</v>
      </c>
      <c r="R33" s="991"/>
      <c r="S33" s="195">
        <f t="shared" si="17"/>
        <v>4</v>
      </c>
      <c r="T33" s="195">
        <f t="shared" si="18"/>
        <v>4</v>
      </c>
      <c r="U33" s="195"/>
      <c r="V33" s="195"/>
    </row>
    <row r="34" spans="8:22" x14ac:dyDescent="0.35">
      <c r="H34" s="989">
        <v>44269</v>
      </c>
      <c r="I34" s="195">
        <v>704</v>
      </c>
      <c r="J34" s="534">
        <f t="shared" si="3"/>
        <v>17</v>
      </c>
      <c r="K34" s="195"/>
      <c r="L34" s="735"/>
      <c r="M34" s="720"/>
      <c r="N34" s="720"/>
      <c r="O34" s="720">
        <f t="shared" si="14"/>
        <v>1.9615384615384617</v>
      </c>
      <c r="P34" s="720">
        <f t="shared" si="15"/>
        <v>8.5</v>
      </c>
      <c r="Q34" s="720">
        <f t="shared" si="16"/>
        <v>6.5384615384615383</v>
      </c>
      <c r="R34" s="991"/>
      <c r="S34" s="195">
        <f t="shared" si="17"/>
        <v>3</v>
      </c>
      <c r="T34" s="195">
        <f t="shared" si="18"/>
        <v>3</v>
      </c>
      <c r="U34" s="195"/>
      <c r="V34" s="195"/>
    </row>
    <row r="35" spans="8:22" x14ac:dyDescent="0.35">
      <c r="H35" s="989">
        <v>44276</v>
      </c>
      <c r="I35" s="195">
        <v>718</v>
      </c>
      <c r="J35" s="534">
        <f t="shared" si="3"/>
        <v>14</v>
      </c>
      <c r="K35" s="195"/>
      <c r="L35" s="735"/>
      <c r="M35" s="720"/>
      <c r="N35" s="720"/>
      <c r="O35" s="720">
        <f t="shared" si="14"/>
        <v>1.0769230769230771</v>
      </c>
      <c r="P35" s="720">
        <f t="shared" si="15"/>
        <v>7</v>
      </c>
      <c r="Q35" s="720">
        <f t="shared" si="16"/>
        <v>5.9230769230769234</v>
      </c>
      <c r="R35" s="991"/>
      <c r="S35" s="195">
        <f t="shared" si="17"/>
        <v>2</v>
      </c>
      <c r="T35" s="195">
        <f t="shared" si="18"/>
        <v>2</v>
      </c>
      <c r="U35" s="195"/>
      <c r="V35" s="195"/>
    </row>
    <row r="36" spans="8:22" x14ac:dyDescent="0.35">
      <c r="H36" s="989">
        <v>44283</v>
      </c>
      <c r="I36" s="195">
        <v>734</v>
      </c>
      <c r="J36" s="534">
        <f t="shared" si="3"/>
        <v>16</v>
      </c>
      <c r="K36" s="195"/>
      <c r="L36" s="735"/>
      <c r="M36" s="720"/>
      <c r="N36" s="720"/>
      <c r="O36" s="720">
        <f t="shared" si="14"/>
        <v>0.61538461538461542</v>
      </c>
      <c r="P36" s="720">
        <f t="shared" si="15"/>
        <v>8</v>
      </c>
      <c r="Q36" s="720">
        <f t="shared" si="16"/>
        <v>7.384615384615385</v>
      </c>
      <c r="R36" s="991"/>
      <c r="S36" s="195">
        <f t="shared" si="17"/>
        <v>1</v>
      </c>
      <c r="T36" s="195">
        <f t="shared" si="18"/>
        <v>1</v>
      </c>
      <c r="U36" s="195"/>
      <c r="V36" s="195"/>
    </row>
    <row r="37" spans="8:22" x14ac:dyDescent="0.35">
      <c r="H37" s="989">
        <v>44290</v>
      </c>
      <c r="I37" s="195">
        <v>746</v>
      </c>
      <c r="J37" s="534">
        <f t="shared" si="3"/>
        <v>12</v>
      </c>
      <c r="K37" s="195"/>
      <c r="L37" s="735"/>
      <c r="M37" s="720"/>
      <c r="N37" s="720"/>
      <c r="O37" s="720"/>
      <c r="P37" s="720">
        <f>T37/26*J37</f>
        <v>6</v>
      </c>
      <c r="Q37" s="720">
        <f>J37/2</f>
        <v>6</v>
      </c>
      <c r="R37" s="991">
        <f>J37-Q37-P37</f>
        <v>0</v>
      </c>
      <c r="S37" s="195">
        <v>13</v>
      </c>
      <c r="T37" s="195">
        <v>13</v>
      </c>
      <c r="U37" s="195"/>
      <c r="V37" s="195"/>
    </row>
    <row r="38" spans="8:22" x14ac:dyDescent="0.35">
      <c r="H38" s="989">
        <v>44297</v>
      </c>
      <c r="I38" s="195">
        <v>755</v>
      </c>
      <c r="J38" s="534">
        <f t="shared" si="3"/>
        <v>9</v>
      </c>
      <c r="K38" s="195"/>
      <c r="L38" s="735"/>
      <c r="M38" s="720"/>
      <c r="N38" s="720"/>
      <c r="O38" s="720"/>
      <c r="P38" s="720">
        <f t="shared" ref="P38:P45" si="19">T38/26*J38</f>
        <v>4.1538461538461542</v>
      </c>
      <c r="Q38" s="720">
        <f t="shared" ref="Q38:Q45" si="20">J38/2</f>
        <v>4.5</v>
      </c>
      <c r="R38" s="991">
        <f t="shared" ref="R38:R45" si="21">J38-Q38-P38</f>
        <v>0.34615384615384581</v>
      </c>
      <c r="S38" s="195">
        <f>S37-1</f>
        <v>12</v>
      </c>
      <c r="T38" s="195">
        <f>T37-1</f>
        <v>12</v>
      </c>
      <c r="U38" s="195"/>
      <c r="V38" s="195"/>
    </row>
    <row r="39" spans="8:22" x14ac:dyDescent="0.35">
      <c r="H39" s="989">
        <v>44304</v>
      </c>
      <c r="I39" s="195">
        <v>762</v>
      </c>
      <c r="J39" s="534">
        <f t="shared" si="3"/>
        <v>7</v>
      </c>
      <c r="K39" s="195"/>
      <c r="L39" s="735"/>
      <c r="M39" s="720"/>
      <c r="N39" s="720"/>
      <c r="O39" s="720"/>
      <c r="P39" s="720">
        <f t="shared" si="19"/>
        <v>2.9615384615384617</v>
      </c>
      <c r="Q39" s="720">
        <f t="shared" si="20"/>
        <v>3.5</v>
      </c>
      <c r="R39" s="991">
        <f t="shared" si="21"/>
        <v>0.53846153846153832</v>
      </c>
      <c r="S39" s="195">
        <f t="shared" ref="S39:S45" si="22">S38-1</f>
        <v>11</v>
      </c>
      <c r="T39" s="195">
        <f t="shared" ref="T39:T45" si="23">T38-1</f>
        <v>11</v>
      </c>
      <c r="U39" s="195"/>
      <c r="V39" s="195"/>
    </row>
    <row r="40" spans="8:22" x14ac:dyDescent="0.35">
      <c r="H40" s="989">
        <v>44311</v>
      </c>
      <c r="I40" s="195">
        <v>771</v>
      </c>
      <c r="J40" s="534">
        <f t="shared" si="3"/>
        <v>9</v>
      </c>
      <c r="K40" s="195"/>
      <c r="L40" s="735"/>
      <c r="M40" s="720"/>
      <c r="N40" s="720"/>
      <c r="O40" s="720"/>
      <c r="P40" s="720">
        <f t="shared" si="19"/>
        <v>3.4615384615384617</v>
      </c>
      <c r="Q40" s="720">
        <f t="shared" si="20"/>
        <v>4.5</v>
      </c>
      <c r="R40" s="991">
        <f t="shared" si="21"/>
        <v>1.0384615384615383</v>
      </c>
      <c r="S40" s="195">
        <f t="shared" si="22"/>
        <v>10</v>
      </c>
      <c r="T40" s="195">
        <f t="shared" si="23"/>
        <v>10</v>
      </c>
      <c r="U40" s="195"/>
      <c r="V40" s="195"/>
    </row>
    <row r="41" spans="8:22" x14ac:dyDescent="0.35">
      <c r="H41" s="989">
        <v>44318</v>
      </c>
      <c r="I41" s="195">
        <v>780</v>
      </c>
      <c r="J41" s="534">
        <f t="shared" si="3"/>
        <v>9</v>
      </c>
      <c r="K41" s="195"/>
      <c r="L41" s="735"/>
      <c r="M41" s="720"/>
      <c r="N41" s="720"/>
      <c r="O41" s="720"/>
      <c r="P41" s="720">
        <f t="shared" si="19"/>
        <v>3.1153846153846154</v>
      </c>
      <c r="Q41" s="720">
        <f t="shared" si="20"/>
        <v>4.5</v>
      </c>
      <c r="R41" s="991">
        <f t="shared" si="21"/>
        <v>1.3846153846153846</v>
      </c>
      <c r="S41" s="195">
        <f t="shared" si="22"/>
        <v>9</v>
      </c>
      <c r="T41" s="195">
        <f t="shared" si="23"/>
        <v>9</v>
      </c>
      <c r="U41" s="195"/>
      <c r="V41" s="195"/>
    </row>
    <row r="42" spans="8:22" x14ac:dyDescent="0.35">
      <c r="H42" s="989">
        <v>44325</v>
      </c>
      <c r="I42" s="195">
        <v>782</v>
      </c>
      <c r="J42" s="534">
        <f t="shared" si="3"/>
        <v>2</v>
      </c>
      <c r="K42" s="195"/>
      <c r="L42" s="735"/>
      <c r="M42" s="720"/>
      <c r="N42" s="720"/>
      <c r="O42" s="720"/>
      <c r="P42" s="720">
        <f t="shared" si="19"/>
        <v>0.61538461538461542</v>
      </c>
      <c r="Q42" s="720">
        <f t="shared" si="20"/>
        <v>1</v>
      </c>
      <c r="R42" s="991">
        <f t="shared" si="21"/>
        <v>0.38461538461538458</v>
      </c>
      <c r="S42" s="195">
        <f t="shared" si="22"/>
        <v>8</v>
      </c>
      <c r="T42" s="195">
        <f t="shared" si="23"/>
        <v>8</v>
      </c>
      <c r="U42" s="195"/>
      <c r="V42" s="195"/>
    </row>
    <row r="43" spans="8:22" x14ac:dyDescent="0.35">
      <c r="H43" s="989">
        <v>44332</v>
      </c>
      <c r="I43" s="195">
        <v>788</v>
      </c>
      <c r="J43" s="534">
        <f t="shared" si="3"/>
        <v>6</v>
      </c>
      <c r="K43" s="195"/>
      <c r="L43" s="735"/>
      <c r="M43" s="720"/>
      <c r="N43" s="720"/>
      <c r="O43" s="720"/>
      <c r="P43" s="720">
        <f t="shared" si="19"/>
        <v>1.6153846153846154</v>
      </c>
      <c r="Q43" s="720">
        <f t="shared" si="20"/>
        <v>3</v>
      </c>
      <c r="R43" s="991">
        <f t="shared" si="21"/>
        <v>1.3846153846153846</v>
      </c>
      <c r="S43" s="195">
        <f t="shared" si="22"/>
        <v>7</v>
      </c>
      <c r="T43" s="195">
        <f t="shared" si="23"/>
        <v>7</v>
      </c>
      <c r="U43" s="195"/>
      <c r="V43" s="195"/>
    </row>
    <row r="44" spans="8:22" x14ac:dyDescent="0.35">
      <c r="H44" s="989">
        <v>44339</v>
      </c>
      <c r="I44" s="195">
        <v>796</v>
      </c>
      <c r="J44" s="534">
        <f t="shared" si="3"/>
        <v>8</v>
      </c>
      <c r="K44" s="195"/>
      <c r="L44" s="735"/>
      <c r="M44" s="720"/>
      <c r="N44" s="720"/>
      <c r="O44" s="720"/>
      <c r="P44" s="720">
        <f t="shared" si="19"/>
        <v>1.8461538461538463</v>
      </c>
      <c r="Q44" s="720">
        <f t="shared" si="20"/>
        <v>4</v>
      </c>
      <c r="R44" s="991">
        <f t="shared" si="21"/>
        <v>2.1538461538461537</v>
      </c>
      <c r="S44" s="195">
        <f t="shared" si="22"/>
        <v>6</v>
      </c>
      <c r="T44" s="195">
        <f t="shared" si="23"/>
        <v>6</v>
      </c>
      <c r="U44" s="195"/>
      <c r="V44" s="195"/>
    </row>
    <row r="45" spans="8:22" x14ac:dyDescent="0.35">
      <c r="H45" s="990">
        <v>44347</v>
      </c>
      <c r="I45" s="528">
        <v>800</v>
      </c>
      <c r="J45" s="535">
        <f t="shared" si="3"/>
        <v>4</v>
      </c>
      <c r="K45" s="195"/>
      <c r="L45" s="735"/>
      <c r="M45" s="720"/>
      <c r="N45" s="720"/>
      <c r="O45" s="720"/>
      <c r="P45" s="720">
        <f t="shared" si="19"/>
        <v>0.76923076923076927</v>
      </c>
      <c r="Q45" s="720">
        <f t="shared" si="20"/>
        <v>2</v>
      </c>
      <c r="R45" s="991">
        <f t="shared" si="21"/>
        <v>1.2307692307692308</v>
      </c>
      <c r="S45" s="195">
        <f t="shared" si="22"/>
        <v>5</v>
      </c>
      <c r="T45" s="195">
        <f t="shared" si="23"/>
        <v>5</v>
      </c>
      <c r="U45" s="195"/>
      <c r="V45" s="195"/>
    </row>
    <row r="46" spans="8:22" x14ac:dyDescent="0.35">
      <c r="H46" s="195"/>
      <c r="I46" s="195"/>
      <c r="J46" s="195"/>
      <c r="K46" s="195"/>
      <c r="L46" s="735">
        <f>SUM(L11:L45)</f>
        <v>184.80769230769229</v>
      </c>
      <c r="M46" s="720">
        <f t="shared" ref="M46:R46" si="24">SUM(M11:M45)</f>
        <v>261.42307692307696</v>
      </c>
      <c r="N46" s="720">
        <f t="shared" si="24"/>
        <v>77.692307692307693</v>
      </c>
      <c r="O46" s="720">
        <f t="shared" si="24"/>
        <v>53.384615384615394</v>
      </c>
      <c r="P46" s="720">
        <f t="shared" si="24"/>
        <v>129.03846153846155</v>
      </c>
      <c r="Q46" s="720">
        <f t="shared" si="24"/>
        <v>85.192307692307693</v>
      </c>
      <c r="R46" s="991">
        <f t="shared" si="24"/>
        <v>8.4615384615384599</v>
      </c>
      <c r="S46" s="195"/>
      <c r="T46" s="195"/>
      <c r="U46" s="195"/>
      <c r="V46" s="195"/>
    </row>
    <row r="47" spans="8:22" x14ac:dyDescent="0.35">
      <c r="H47" s="195"/>
      <c r="I47" s="195"/>
      <c r="J47" s="195"/>
      <c r="K47" s="195"/>
      <c r="L47" s="736">
        <f>L46*4</f>
        <v>739.23076923076917</v>
      </c>
      <c r="M47" s="737">
        <f t="shared" ref="M47:R47" si="25">M46*4</f>
        <v>1045.6923076923078</v>
      </c>
      <c r="N47" s="737">
        <f t="shared" si="25"/>
        <v>310.76923076923077</v>
      </c>
      <c r="O47" s="737">
        <f t="shared" si="25"/>
        <v>213.53846153846158</v>
      </c>
      <c r="P47" s="737">
        <f t="shared" si="25"/>
        <v>516.15384615384619</v>
      </c>
      <c r="Q47" s="737">
        <f t="shared" si="25"/>
        <v>340.76923076923077</v>
      </c>
      <c r="R47" s="992">
        <f t="shared" si="25"/>
        <v>33.84615384615384</v>
      </c>
      <c r="S47" s="195" t="s">
        <v>323</v>
      </c>
      <c r="T47" s="195"/>
      <c r="U47" s="195"/>
      <c r="V47" s="195"/>
    </row>
    <row r="48" spans="8:22" x14ac:dyDescent="0.35">
      <c r="J48" s="202" t="s">
        <v>324</v>
      </c>
      <c r="L48" s="202">
        <v>634</v>
      </c>
      <c r="M48" s="680">
        <f>K55</f>
        <v>900.7</v>
      </c>
      <c r="N48" s="680">
        <f t="shared" ref="N48:P48" si="26">L55</f>
        <v>270.7</v>
      </c>
      <c r="O48" s="680">
        <f t="shared" si="26"/>
        <v>208.7</v>
      </c>
      <c r="P48" s="680">
        <f t="shared" si="26"/>
        <v>469.7</v>
      </c>
      <c r="Q48" s="680">
        <v>279</v>
      </c>
      <c r="R48" s="680"/>
    </row>
    <row r="50" spans="8:29" x14ac:dyDescent="0.35">
      <c r="H50" s="1389" t="s">
        <v>325</v>
      </c>
      <c r="I50" s="1390"/>
      <c r="J50" s="1360" t="s">
        <v>280</v>
      </c>
      <c r="K50" s="1361"/>
      <c r="L50" s="1361"/>
      <c r="M50" s="1344"/>
      <c r="N50" s="1344"/>
      <c r="O50" s="1344"/>
      <c r="P50" s="1298"/>
      <c r="Q50" s="478"/>
      <c r="R50" s="478"/>
      <c r="S50" s="478"/>
      <c r="T50" s="478"/>
      <c r="U50" s="478"/>
      <c r="V50" s="478"/>
      <c r="W50" s="478"/>
      <c r="X50" s="478"/>
      <c r="Y50" s="478"/>
    </row>
    <row r="51" spans="8:29" x14ac:dyDescent="0.35">
      <c r="H51" s="1391"/>
      <c r="I51" s="1392"/>
      <c r="J51" s="1278">
        <v>2020</v>
      </c>
      <c r="K51" s="1306"/>
      <c r="L51" s="1306"/>
      <c r="M51" s="1278">
        <v>2021</v>
      </c>
      <c r="N51" s="1306"/>
      <c r="O51" s="1306"/>
      <c r="P51" s="1307"/>
      <c r="Q51" s="1336"/>
      <c r="R51" s="1336"/>
      <c r="S51" s="1336"/>
      <c r="T51" s="1336"/>
      <c r="U51" s="1336"/>
      <c r="V51" s="1336"/>
      <c r="W51" s="1336"/>
      <c r="X51" s="1336"/>
    </row>
    <row r="52" spans="8:29" x14ac:dyDescent="0.35">
      <c r="H52" s="1398"/>
      <c r="I52" s="1399"/>
      <c r="J52" s="148" t="s">
        <v>284</v>
      </c>
      <c r="K52" s="144" t="s">
        <v>238</v>
      </c>
      <c r="L52" s="144" t="s">
        <v>282</v>
      </c>
      <c r="M52" s="248" t="s">
        <v>283</v>
      </c>
      <c r="N52" s="249" t="s">
        <v>284</v>
      </c>
      <c r="O52" s="249" t="s">
        <v>238</v>
      </c>
      <c r="P52" s="247" t="s">
        <v>282</v>
      </c>
      <c r="Q52" s="195"/>
      <c r="S52" s="202"/>
      <c r="T52" s="202"/>
      <c r="U52" s="195"/>
      <c r="V52" s="202"/>
      <c r="W52" s="202"/>
      <c r="X52" s="202"/>
      <c r="Y52" s="202"/>
      <c r="Z52" s="202"/>
      <c r="AA52" s="202"/>
    </row>
    <row r="53" spans="8:29" ht="32.9" customHeight="1" x14ac:dyDescent="0.35">
      <c r="H53" s="443" t="s">
        <v>326</v>
      </c>
      <c r="I53" s="195" t="s">
        <v>327</v>
      </c>
      <c r="J53" s="984">
        <f>'Haver Pivoted'!GU47</f>
        <v>57.2</v>
      </c>
      <c r="K53" s="406">
        <f>'Haver Pivoted'!GV47</f>
        <v>81.2</v>
      </c>
      <c r="L53" s="406">
        <f>'Haver Pivoted'!GW47</f>
        <v>24.4</v>
      </c>
      <c r="M53" s="191">
        <f>'Haver Pivoted'!GX47</f>
        <v>11.7</v>
      </c>
      <c r="N53" s="191">
        <f>'Haver Pivoted'!GY47</f>
        <v>28.5</v>
      </c>
      <c r="O53" s="323">
        <f>'Haver Pivoted'!GZ47</f>
        <v>18.8</v>
      </c>
      <c r="P53" s="323">
        <f>'Haver Pivoted'!HA47</f>
        <v>1.6</v>
      </c>
      <c r="Q53" s="191"/>
      <c r="S53" s="202"/>
      <c r="T53" s="202"/>
      <c r="U53" s="202"/>
      <c r="V53" s="202"/>
      <c r="W53" s="202"/>
      <c r="X53" s="202"/>
      <c r="Y53" s="202"/>
      <c r="Z53" s="202"/>
      <c r="AA53" s="202"/>
    </row>
    <row r="54" spans="8:29" ht="33.75" customHeight="1" x14ac:dyDescent="0.35">
      <c r="H54" s="443" t="s">
        <v>328</v>
      </c>
      <c r="I54" s="185" t="s">
        <v>329</v>
      </c>
      <c r="J54" s="983">
        <f>'Haver Pivoted'!GU49</f>
        <v>576.9</v>
      </c>
      <c r="K54" s="191">
        <f>'Haver Pivoted'!GV49</f>
        <v>819.5</v>
      </c>
      <c r="L54" s="191">
        <f>'Haver Pivoted'!GW49</f>
        <v>246.3</v>
      </c>
      <c r="M54" s="191">
        <f>'Haver Pivoted'!GX49</f>
        <v>197</v>
      </c>
      <c r="N54" s="191">
        <f>'Haver Pivoted'!GY49</f>
        <v>441.2</v>
      </c>
      <c r="O54" s="323">
        <f>'Haver Pivoted'!GZ49</f>
        <v>276.7</v>
      </c>
      <c r="P54" s="323">
        <f>'Haver Pivoted'!HA49</f>
        <v>28.2</v>
      </c>
      <c r="Q54" s="191"/>
      <c r="R54" s="191"/>
    </row>
    <row r="55" spans="8:29" x14ac:dyDescent="0.35">
      <c r="H55" s="246" t="s">
        <v>312</v>
      </c>
      <c r="I55" s="195"/>
      <c r="J55" s="983">
        <f>J54+J53</f>
        <v>634.1</v>
      </c>
      <c r="K55" s="191">
        <f t="shared" ref="K55:M55" si="27">K54+K53</f>
        <v>900.7</v>
      </c>
      <c r="L55" s="191">
        <f t="shared" si="27"/>
        <v>270.7</v>
      </c>
      <c r="M55" s="191">
        <f t="shared" si="27"/>
        <v>208.7</v>
      </c>
      <c r="N55" s="191">
        <f t="shared" ref="N55:P55" si="28">N54+N53</f>
        <v>469.7</v>
      </c>
      <c r="O55" s="323">
        <f t="shared" si="28"/>
        <v>295.5</v>
      </c>
      <c r="P55" s="323">
        <f t="shared" si="28"/>
        <v>29.8</v>
      </c>
      <c r="Q55" s="191"/>
      <c r="R55" s="191"/>
    </row>
    <row r="56" spans="8:29" x14ac:dyDescent="0.35">
      <c r="H56" s="316" t="s">
        <v>330</v>
      </c>
      <c r="I56" s="528"/>
      <c r="J56" s="738">
        <f t="shared" ref="J56:P56" si="29">J53/J55</f>
        <v>9.0206592020186091E-2</v>
      </c>
      <c r="K56" s="739">
        <f t="shared" si="29"/>
        <v>9.015210391917397E-2</v>
      </c>
      <c r="L56" s="739">
        <f t="shared" si="29"/>
        <v>9.0136682674547469E-2</v>
      </c>
      <c r="M56" s="739">
        <f t="shared" si="29"/>
        <v>5.6061332055582176E-2</v>
      </c>
      <c r="N56" s="739">
        <f t="shared" si="29"/>
        <v>6.0677027890142649E-2</v>
      </c>
      <c r="O56" s="740">
        <f t="shared" si="29"/>
        <v>6.3620981387478848E-2</v>
      </c>
      <c r="P56" s="740">
        <f t="shared" si="29"/>
        <v>5.3691275167785234E-2</v>
      </c>
      <c r="Q56" s="987"/>
      <c r="R56" s="795"/>
    </row>
    <row r="58" spans="8:29" x14ac:dyDescent="0.35">
      <c r="H58" s="202" t="s">
        <v>820</v>
      </c>
    </row>
    <row r="59" spans="8:29" x14ac:dyDescent="0.35">
      <c r="H59" s="245"/>
      <c r="I59" s="195"/>
      <c r="J59" s="191"/>
      <c r="K59" s="191"/>
      <c r="L59" s="191"/>
      <c r="M59" s="191"/>
      <c r="N59" s="191"/>
      <c r="O59" s="191"/>
      <c r="P59" s="463"/>
      <c r="Q59" s="191"/>
      <c r="R59" s="191"/>
      <c r="S59" s="191"/>
      <c r="T59" s="202"/>
      <c r="U59" s="202"/>
      <c r="V59" s="202"/>
      <c r="W59" s="202"/>
      <c r="X59" s="202"/>
      <c r="Y59" s="202"/>
      <c r="Z59" s="202"/>
      <c r="AA59" s="202"/>
      <c r="AB59" s="202"/>
      <c r="AC59" s="202"/>
    </row>
    <row r="60" spans="8:29" x14ac:dyDescent="0.35">
      <c r="P60" s="191"/>
      <c r="Q60" s="202"/>
      <c r="R60" s="202"/>
      <c r="S60" s="202"/>
      <c r="T60" s="202"/>
      <c r="U60" s="202"/>
      <c r="V60" s="202"/>
      <c r="W60" s="202"/>
      <c r="X60" s="202"/>
      <c r="Y60" s="202"/>
      <c r="Z60" s="202"/>
      <c r="AA60" s="202"/>
      <c r="AB60" s="202"/>
      <c r="AC60" s="202"/>
    </row>
    <row r="61" spans="8:29" x14ac:dyDescent="0.35">
      <c r="P61" s="191"/>
      <c r="Q61" s="985"/>
      <c r="R61" s="985"/>
      <c r="S61" s="985"/>
      <c r="T61" s="985"/>
      <c r="U61" s="985"/>
      <c r="V61" s="985"/>
      <c r="W61" s="985"/>
      <c r="X61" s="985"/>
      <c r="Y61" s="985"/>
      <c r="Z61" s="985"/>
      <c r="AA61" s="985"/>
      <c r="AB61" s="985"/>
      <c r="AC61" s="202"/>
    </row>
    <row r="62" spans="8:29" x14ac:dyDescent="0.35">
      <c r="P62" s="191"/>
      <c r="Q62" s="985"/>
      <c r="R62" s="985"/>
      <c r="S62" s="985"/>
      <c r="T62" s="985"/>
      <c r="U62" s="985"/>
      <c r="V62" s="985"/>
      <c r="W62" s="985"/>
      <c r="X62" s="985"/>
      <c r="Y62" s="985"/>
      <c r="Z62" s="985"/>
      <c r="AA62" s="985"/>
      <c r="AB62" s="985"/>
      <c r="AC62" s="202"/>
    </row>
    <row r="63" spans="8:29" x14ac:dyDescent="0.35">
      <c r="I63" s="202" t="s">
        <v>283</v>
      </c>
      <c r="J63" s="202" t="s">
        <v>284</v>
      </c>
      <c r="K63" s="202" t="s">
        <v>238</v>
      </c>
      <c r="L63" s="202" t="s">
        <v>282</v>
      </c>
      <c r="P63" s="795"/>
      <c r="Q63" s="985"/>
      <c r="R63" s="985"/>
      <c r="S63" s="985"/>
      <c r="T63" s="985"/>
      <c r="U63" s="985"/>
      <c r="V63" s="985"/>
      <c r="W63" s="985"/>
      <c r="X63" s="985"/>
      <c r="Y63" s="985"/>
      <c r="Z63" s="985"/>
      <c r="AA63" s="985"/>
      <c r="AB63" s="985"/>
      <c r="AC63" s="202"/>
    </row>
    <row r="64" spans="8:29" x14ac:dyDescent="0.35">
      <c r="H64" s="202" t="s">
        <v>821</v>
      </c>
      <c r="I64" s="202">
        <v>81.599999999999994</v>
      </c>
      <c r="J64" s="202">
        <v>188.9</v>
      </c>
      <c r="K64" s="202">
        <v>117.2</v>
      </c>
      <c r="L64" s="202" t="e">
        <f>#REF!+#REF!</f>
        <v>#REF!</v>
      </c>
      <c r="P64" s="202"/>
      <c r="Q64" s="202"/>
      <c r="R64" s="202"/>
      <c r="S64" s="202"/>
      <c r="T64" s="202"/>
      <c r="U64" s="202"/>
      <c r="V64" s="202"/>
      <c r="W64" s="202"/>
      <c r="X64" s="202"/>
      <c r="Y64" s="202"/>
      <c r="Z64" s="202"/>
      <c r="AA64" s="202"/>
      <c r="AB64" s="202"/>
      <c r="AC64" s="202"/>
    </row>
    <row r="65" spans="7:29" x14ac:dyDescent="0.35">
      <c r="H65" s="202" t="s">
        <v>470</v>
      </c>
      <c r="I65" s="680">
        <f>M53</f>
        <v>11.7</v>
      </c>
      <c r="J65" s="680">
        <f t="shared" ref="J65:K65" si="30">N53</f>
        <v>28.5</v>
      </c>
      <c r="K65" s="680">
        <f t="shared" si="30"/>
        <v>18.8</v>
      </c>
      <c r="L65" s="202" t="e">
        <f>#REF!</f>
        <v>#REF!</v>
      </c>
      <c r="P65" s="202"/>
      <c r="Q65" s="202"/>
      <c r="R65" s="202"/>
      <c r="S65" s="202"/>
      <c r="T65" s="202"/>
      <c r="U65" s="202"/>
      <c r="V65" s="202"/>
      <c r="W65" s="202"/>
      <c r="X65" s="202"/>
      <c r="Y65" s="202"/>
      <c r="Z65" s="202"/>
      <c r="AA65" s="202"/>
      <c r="AB65" s="202"/>
      <c r="AC65" s="202"/>
    </row>
    <row r="66" spans="7:29" x14ac:dyDescent="0.35">
      <c r="H66" s="202" t="s">
        <v>822</v>
      </c>
      <c r="I66" s="680">
        <f>I67-SUM(I64:I65)</f>
        <v>115.39999999999999</v>
      </c>
      <c r="J66" s="680">
        <f t="shared" ref="J66:K66" si="31">J67-SUM(J64:J65)</f>
        <v>252.29999999999998</v>
      </c>
      <c r="K66" s="680">
        <f t="shared" si="31"/>
        <v>159.5</v>
      </c>
      <c r="L66" s="680" t="e">
        <f>1.26*L64</f>
        <v>#REF!</v>
      </c>
      <c r="P66" s="202"/>
      <c r="Q66" s="202"/>
      <c r="R66" s="202"/>
      <c r="S66" s="202"/>
      <c r="T66" s="202"/>
      <c r="U66" s="202"/>
      <c r="V66" s="202"/>
      <c r="W66" s="202"/>
      <c r="X66" s="202"/>
      <c r="Y66" s="202"/>
      <c r="Z66" s="202"/>
      <c r="AA66" s="202"/>
      <c r="AB66" s="202"/>
      <c r="AC66" s="202"/>
    </row>
    <row r="67" spans="7:29" x14ac:dyDescent="0.35">
      <c r="H67" s="202" t="s">
        <v>312</v>
      </c>
      <c r="I67" s="680">
        <f>M55</f>
        <v>208.7</v>
      </c>
      <c r="J67" s="680">
        <f>N55</f>
        <v>469.7</v>
      </c>
      <c r="K67" s="680">
        <f>O55</f>
        <v>295.5</v>
      </c>
      <c r="L67" s="680" t="e">
        <f>SUM(L64:L66)</f>
        <v>#REF!</v>
      </c>
    </row>
    <row r="68" spans="7:29" x14ac:dyDescent="0.35">
      <c r="G68" s="202" t="s">
        <v>823</v>
      </c>
    </row>
    <row r="69" spans="7:29" x14ac:dyDescent="0.35">
      <c r="H69" s="202" t="s">
        <v>821</v>
      </c>
      <c r="I69" s="570">
        <f>I64/I$67</f>
        <v>0.39099185433636796</v>
      </c>
      <c r="J69" s="570">
        <f t="shared" ref="J69:L69" si="32">J64/J$67</f>
        <v>0.40217159889291038</v>
      </c>
      <c r="K69" s="570">
        <f t="shared" si="32"/>
        <v>0.3966159052453469</v>
      </c>
      <c r="L69" s="570" t="e">
        <f t="shared" si="32"/>
        <v>#REF!</v>
      </c>
    </row>
    <row r="70" spans="7:29" x14ac:dyDescent="0.35">
      <c r="H70" s="202" t="s">
        <v>470</v>
      </c>
      <c r="I70" s="570">
        <f t="shared" ref="I70:L71" si="33">I65/I$67</f>
        <v>5.6061332055582176E-2</v>
      </c>
      <c r="J70" s="570">
        <f t="shared" si="33"/>
        <v>6.0677027890142649E-2</v>
      </c>
      <c r="K70" s="570">
        <f t="shared" si="33"/>
        <v>6.3620981387478848E-2</v>
      </c>
      <c r="L70" s="570" t="e">
        <f t="shared" si="33"/>
        <v>#REF!</v>
      </c>
    </row>
    <row r="71" spans="7:29" x14ac:dyDescent="0.35">
      <c r="H71" s="202" t="s">
        <v>822</v>
      </c>
      <c r="I71" s="570">
        <f t="shared" si="33"/>
        <v>0.55294681360804987</v>
      </c>
      <c r="J71" s="570">
        <f t="shared" si="33"/>
        <v>0.53715137321694695</v>
      </c>
      <c r="K71" s="570">
        <f t="shared" si="33"/>
        <v>0.53976311336717431</v>
      </c>
      <c r="L71" s="570" t="e">
        <f t="shared" si="33"/>
        <v>#REF!</v>
      </c>
    </row>
    <row r="73" spans="7:29" x14ac:dyDescent="0.35">
      <c r="H73" s="202" t="s">
        <v>824</v>
      </c>
      <c r="I73" s="202">
        <f>I66/I64</f>
        <v>1.4142156862745099</v>
      </c>
      <c r="J73" s="202">
        <f t="shared" ref="J73:K73" si="34">J66/J64</f>
        <v>1.3356273160402328</v>
      </c>
      <c r="K73" s="202">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C00-000000000000}"/>
  </hyperlink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79" zoomScaleNormal="85" workbookViewId="0">
      <pane ySplit="1" topLeftCell="A4" activePane="bottomLeft" state="frozen"/>
      <selection pane="bottomLeft" activeCell="C9" sqref="C9"/>
    </sheetView>
  </sheetViews>
  <sheetFormatPr defaultColWidth="10.9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240" t="s">
        <v>37</v>
      </c>
      <c r="B2" s="1241"/>
      <c r="C2" s="1241"/>
      <c r="D2" s="1242"/>
      <c r="E2" s="30"/>
      <c r="F2" s="30"/>
    </row>
    <row r="3" spans="1:6" ht="148.4" customHeight="1" x14ac:dyDescent="0.35">
      <c r="A3" s="19" t="s">
        <v>855</v>
      </c>
      <c r="B3" s="14" t="s">
        <v>854</v>
      </c>
      <c r="C3" s="14" t="s">
        <v>853</v>
      </c>
      <c r="D3" s="23" t="s">
        <v>2013</v>
      </c>
    </row>
    <row r="4" spans="1:6" ht="148.4" customHeight="1" x14ac:dyDescent="0.35">
      <c r="A4" s="19" t="s">
        <v>79</v>
      </c>
      <c r="B4" s="14" t="s">
        <v>40</v>
      </c>
      <c r="C4" s="14" t="s">
        <v>911</v>
      </c>
      <c r="D4" s="23" t="s">
        <v>2013</v>
      </c>
      <c r="E4" s="14"/>
      <c r="F4" s="14"/>
    </row>
    <row r="5" spans="1:6" ht="61.5" customHeight="1" x14ac:dyDescent="0.35">
      <c r="A5" s="19" t="s">
        <v>73</v>
      </c>
      <c r="B5" s="14" t="s">
        <v>74</v>
      </c>
      <c r="C5" s="32" t="s">
        <v>44</v>
      </c>
      <c r="D5" s="23" t="s">
        <v>924</v>
      </c>
    </row>
    <row r="6" spans="1:6" ht="78" customHeight="1" x14ac:dyDescent="0.35">
      <c r="A6" s="19" t="s">
        <v>45</v>
      </c>
      <c r="B6" s="14" t="s">
        <v>46</v>
      </c>
      <c r="C6" s="14" t="s">
        <v>872</v>
      </c>
      <c r="D6" s="23" t="s">
        <v>2014</v>
      </c>
      <c r="E6" s="14"/>
      <c r="F6" s="14"/>
    </row>
    <row r="7" spans="1:6" ht="50.9" customHeight="1" x14ac:dyDescent="0.35">
      <c r="A7" s="19" t="s">
        <v>819</v>
      </c>
      <c r="B7" s="14" t="s">
        <v>829</v>
      </c>
      <c r="C7" s="14" t="s">
        <v>1440</v>
      </c>
      <c r="D7" s="23" t="s">
        <v>924</v>
      </c>
      <c r="E7" s="16"/>
      <c r="F7" s="14"/>
    </row>
    <row r="8" spans="1:6" ht="29.9" customHeight="1" x14ac:dyDescent="0.35">
      <c r="A8" s="19" t="s">
        <v>75</v>
      </c>
      <c r="B8" s="14" t="s">
        <v>76</v>
      </c>
      <c r="C8" s="14" t="s">
        <v>77</v>
      </c>
      <c r="D8" s="23" t="s">
        <v>924</v>
      </c>
      <c r="E8" s="16"/>
      <c r="F8" s="14"/>
    </row>
    <row r="9" spans="1:6" ht="96.5" customHeight="1" x14ac:dyDescent="0.35">
      <c r="A9" s="19" t="s">
        <v>47</v>
      </c>
      <c r="B9" s="14" t="s">
        <v>48</v>
      </c>
      <c r="C9" s="14" t="s">
        <v>846</v>
      </c>
      <c r="D9" s="23" t="s">
        <v>924</v>
      </c>
      <c r="E9" s="16"/>
      <c r="F9" s="14"/>
    </row>
    <row r="10" spans="1:6" ht="22.5" customHeight="1" x14ac:dyDescent="0.35">
      <c r="A10" s="1240" t="s">
        <v>847</v>
      </c>
      <c r="B10" s="1241"/>
      <c r="C10" s="1241"/>
      <c r="D10" s="1242"/>
      <c r="E10" s="16"/>
      <c r="F10" s="14"/>
    </row>
    <row r="11" spans="1:6" ht="22.5" customHeight="1" x14ac:dyDescent="0.35">
      <c r="A11" s="20" t="s">
        <v>75</v>
      </c>
      <c r="B11" s="1253" t="s">
        <v>857</v>
      </c>
      <c r="C11" s="1254"/>
      <c r="D11" s="31"/>
      <c r="E11" s="16"/>
      <c r="F11" s="14"/>
    </row>
    <row r="12" spans="1:6" ht="33" customHeight="1" x14ac:dyDescent="0.35">
      <c r="A12" s="20" t="s">
        <v>856</v>
      </c>
      <c r="B12" s="1246" t="s">
        <v>858</v>
      </c>
      <c r="C12" s="1246"/>
      <c r="D12" s="23"/>
      <c r="E12" s="14"/>
      <c r="F12" s="14"/>
    </row>
    <row r="13" spans="1:6" ht="39.65" customHeight="1" x14ac:dyDescent="0.35">
      <c r="A13" s="18" t="s">
        <v>848</v>
      </c>
      <c r="B13" s="1246" t="s">
        <v>859</v>
      </c>
      <c r="C13" s="1246"/>
      <c r="D13" s="23"/>
    </row>
    <row r="14" spans="1:6" ht="38.9" customHeight="1" x14ac:dyDescent="0.35">
      <c r="A14" s="18" t="s">
        <v>850</v>
      </c>
      <c r="B14" s="1246" t="s">
        <v>851</v>
      </c>
      <c r="C14" s="1246"/>
      <c r="D14" s="23"/>
    </row>
    <row r="15" spans="1:6" ht="20.149999999999999" customHeight="1" x14ac:dyDescent="0.35">
      <c r="A15" s="1243" t="s">
        <v>59</v>
      </c>
      <c r="B15" s="1244"/>
      <c r="C15" s="1244"/>
      <c r="D15" s="1245"/>
    </row>
    <row r="16" spans="1:6" ht="24.65" customHeight="1" x14ac:dyDescent="0.35">
      <c r="A16" s="1247" t="s">
        <v>827</v>
      </c>
      <c r="B16" s="1248"/>
      <c r="C16" s="1249"/>
      <c r="D16" s="23"/>
    </row>
    <row r="17" spans="1:7" ht="101.9" customHeight="1" x14ac:dyDescent="0.35">
      <c r="A17" s="18" t="s">
        <v>60</v>
      </c>
      <c r="B17" s="33" t="s">
        <v>873</v>
      </c>
      <c r="C17" s="33" t="s">
        <v>880</v>
      </c>
      <c r="D17" s="34"/>
      <c r="E17" s="33"/>
      <c r="F17" s="33"/>
      <c r="G17" s="33"/>
    </row>
    <row r="18" spans="1:7" ht="101.15" customHeight="1" x14ac:dyDescent="0.35">
      <c r="A18" s="18" t="s">
        <v>61</v>
      </c>
      <c r="B18" s="33" t="s">
        <v>874</v>
      </c>
      <c r="C18" s="33" t="s">
        <v>875</v>
      </c>
      <c r="D18" s="34"/>
      <c r="E18" s="33"/>
      <c r="F18" s="33"/>
      <c r="G18" s="33"/>
    </row>
    <row r="19" spans="1:7" ht="57.65" customHeight="1" x14ac:dyDescent="0.35">
      <c r="A19" s="18" t="s">
        <v>876</v>
      </c>
      <c r="B19" s="33" t="s">
        <v>877</v>
      </c>
      <c r="C19" s="33" t="s">
        <v>878</v>
      </c>
      <c r="D19" s="34"/>
      <c r="E19" s="33"/>
      <c r="F19" s="33"/>
      <c r="G19" s="33"/>
    </row>
    <row r="20" spans="1:7" ht="37.5" customHeight="1" x14ac:dyDescent="0.35">
      <c r="A20" s="1250" t="s">
        <v>826</v>
      </c>
      <c r="B20" s="1251"/>
      <c r="C20" s="1252"/>
      <c r="D20" s="23"/>
    </row>
    <row r="21" spans="1:7" x14ac:dyDescent="0.35">
      <c r="A21" s="1243" t="s">
        <v>62</v>
      </c>
      <c r="B21" s="1244"/>
      <c r="C21" s="1244"/>
      <c r="D21" s="1245"/>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865</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3:D5 D7:D9">
    <cfRule type="containsText" dxfId="75" priority="6" operator="containsText" text="Yes">
      <formula>NOT(ISERROR(SEARCH("Yes",D3)))</formula>
    </cfRule>
  </conditionalFormatting>
  <conditionalFormatting sqref="D6">
    <cfRule type="containsText" dxfId="74" priority="1" operator="containsText" text="Yes">
      <formula>NOT(ISERROR(SEARCH("Yes",D6)))</formula>
    </cfRule>
  </conditionalFormatting>
  <conditionalFormatting sqref="D12:D14">
    <cfRule type="containsText" dxfId="73" priority="3" operator="containsText" text="Yes">
      <formula>NOT(ISERROR(SEARCH("Yes",D12)))</formula>
    </cfRule>
  </conditionalFormatting>
  <conditionalFormatting sqref="D16 D20 D22:D137">
    <cfRule type="containsText" dxfId="72" priority="7" operator="containsText" text="Yes">
      <formula>NOT(ISERROR(SEARCH("Yes",D16)))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V45"/>
  <sheetViews>
    <sheetView topLeftCell="M1" zoomScale="110" zoomScaleNormal="110" workbookViewId="0">
      <selection activeCell="I26" sqref="I26"/>
    </sheetView>
  </sheetViews>
  <sheetFormatPr defaultColWidth="10.9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255" t="s">
        <v>152</v>
      </c>
      <c r="C1" s="1255"/>
      <c r="D1" s="1255"/>
      <c r="E1" s="1255"/>
      <c r="F1" s="1255"/>
      <c r="G1" s="1255"/>
      <c r="H1" s="1255"/>
      <c r="I1" s="1255"/>
      <c r="J1" s="1255"/>
      <c r="K1" s="1255"/>
      <c r="L1" s="1255"/>
      <c r="M1" s="1255"/>
      <c r="N1" s="1255"/>
      <c r="O1" s="1255"/>
      <c r="P1" s="1255"/>
      <c r="Q1" s="1255"/>
      <c r="R1" s="1255"/>
      <c r="S1" s="1255"/>
      <c r="T1" s="1255"/>
    </row>
    <row r="2" spans="1:22" x14ac:dyDescent="0.35">
      <c r="B2" s="1417" t="s">
        <v>860</v>
      </c>
      <c r="C2" s="1417"/>
      <c r="D2" s="1417"/>
      <c r="E2" s="1417"/>
      <c r="F2" s="1417"/>
      <c r="G2" s="1417"/>
      <c r="H2" s="1417"/>
      <c r="I2" s="1417"/>
      <c r="J2" s="1417"/>
      <c r="K2" s="1417"/>
      <c r="L2" s="1417"/>
      <c r="M2" s="1417"/>
      <c r="N2" s="1417"/>
      <c r="O2" s="1417"/>
      <c r="P2" s="1417"/>
      <c r="Q2" s="1417"/>
      <c r="R2" s="1417"/>
      <c r="S2" s="1417"/>
      <c r="T2" s="1417"/>
    </row>
    <row r="3" spans="1:22" x14ac:dyDescent="0.35">
      <c r="B3" s="1417"/>
      <c r="C3" s="1417"/>
      <c r="D3" s="1417"/>
      <c r="E3" s="1417"/>
      <c r="F3" s="1417"/>
      <c r="G3" s="1417"/>
      <c r="H3" s="1417"/>
      <c r="I3" s="1417"/>
      <c r="J3" s="1417"/>
      <c r="K3" s="1417"/>
      <c r="L3" s="1417"/>
      <c r="M3" s="1417"/>
      <c r="N3" s="1417"/>
      <c r="O3" s="1417"/>
      <c r="P3" s="1417"/>
      <c r="Q3" s="1417"/>
      <c r="R3" s="1417"/>
      <c r="S3" s="1417"/>
      <c r="T3" s="1417"/>
    </row>
    <row r="4" spans="1:22" x14ac:dyDescent="0.35">
      <c r="B4" s="1417"/>
      <c r="C4" s="1417"/>
      <c r="D4" s="1417"/>
      <c r="E4" s="1417"/>
      <c r="F4" s="1417"/>
      <c r="G4" s="1417"/>
      <c r="H4" s="1417"/>
      <c r="I4" s="1417"/>
      <c r="J4" s="1417"/>
      <c r="K4" s="1417"/>
      <c r="L4" s="1417"/>
      <c r="M4" s="1417"/>
      <c r="N4" s="1417"/>
      <c r="O4" s="1417"/>
      <c r="P4" s="1417"/>
      <c r="Q4" s="1417"/>
      <c r="R4" s="1417"/>
      <c r="S4" s="1417"/>
      <c r="T4" s="1417"/>
    </row>
    <row r="5" spans="1:22" x14ac:dyDescent="0.35">
      <c r="B5" s="1417"/>
      <c r="C5" s="1417"/>
      <c r="D5" s="1417"/>
      <c r="E5" s="1417"/>
      <c r="F5" s="1417"/>
      <c r="G5" s="1417"/>
      <c r="H5" s="1417"/>
      <c r="I5" s="1417"/>
      <c r="J5" s="1417"/>
      <c r="K5" s="1417"/>
      <c r="L5" s="1417"/>
      <c r="M5" s="1417"/>
      <c r="N5" s="1417"/>
      <c r="O5" s="1417"/>
      <c r="P5" s="1417"/>
      <c r="Q5" s="1417"/>
      <c r="R5" s="1417"/>
      <c r="S5" s="1417"/>
      <c r="T5" s="1417"/>
    </row>
    <row r="6" spans="1:22" x14ac:dyDescent="0.35">
      <c r="B6" s="1417"/>
      <c r="C6" s="1417"/>
      <c r="D6" s="1417"/>
      <c r="E6" s="1417"/>
      <c r="F6" s="1417"/>
      <c r="G6" s="1417"/>
      <c r="H6" s="1417"/>
      <c r="I6" s="1417"/>
      <c r="J6" s="1417"/>
      <c r="K6" s="1417"/>
      <c r="L6" s="1417"/>
      <c r="M6" s="1417"/>
      <c r="N6" s="1417"/>
      <c r="O6" s="1417"/>
      <c r="P6" s="1417"/>
      <c r="Q6" s="1417"/>
      <c r="R6" s="1417"/>
      <c r="S6" s="1417"/>
      <c r="T6" s="1417"/>
    </row>
    <row r="7" spans="1:22" x14ac:dyDescent="0.35">
      <c r="J7" s="169"/>
      <c r="K7" s="169"/>
      <c r="M7" s="169"/>
    </row>
    <row r="9" spans="1:22" ht="14.9" customHeight="1" x14ac:dyDescent="0.35">
      <c r="A9" s="141"/>
      <c r="B9" s="1418" t="s">
        <v>304</v>
      </c>
      <c r="C9" s="1419"/>
      <c r="D9" s="1001">
        <v>2018</v>
      </c>
      <c r="E9" s="1424">
        <v>2019</v>
      </c>
      <c r="F9" s="1425"/>
      <c r="G9" s="1425"/>
      <c r="H9" s="1426"/>
      <c r="I9" s="1422">
        <v>2020</v>
      </c>
      <c r="J9" s="1423"/>
      <c r="K9" s="1423"/>
      <c r="L9" s="1423"/>
      <c r="M9" s="1427">
        <v>2021</v>
      </c>
      <c r="N9" s="1428"/>
      <c r="O9" s="1428"/>
      <c r="P9" s="1429"/>
      <c r="Q9" s="1422">
        <v>2022</v>
      </c>
      <c r="R9" s="1430"/>
      <c r="S9" s="1430"/>
      <c r="T9" s="1431"/>
    </row>
    <row r="10" spans="1:22" x14ac:dyDescent="0.35">
      <c r="B10" s="1420"/>
      <c r="C10" s="1421"/>
      <c r="D10" s="1005" t="s">
        <v>282</v>
      </c>
      <c r="E10" s="1006" t="s">
        <v>283</v>
      </c>
      <c r="F10" s="137" t="s">
        <v>284</v>
      </c>
      <c r="G10" s="137" t="s">
        <v>238</v>
      </c>
      <c r="H10" s="1007" t="s">
        <v>282</v>
      </c>
      <c r="I10" s="1006" t="s">
        <v>283</v>
      </c>
      <c r="J10" s="137" t="s">
        <v>284</v>
      </c>
      <c r="K10" s="137" t="s">
        <v>238</v>
      </c>
      <c r="L10" s="137" t="s">
        <v>282</v>
      </c>
      <c r="M10" s="148" t="s">
        <v>283</v>
      </c>
      <c r="N10" s="144" t="s">
        <v>284</v>
      </c>
      <c r="O10" s="144" t="s">
        <v>238</v>
      </c>
      <c r="P10" s="145" t="s">
        <v>282</v>
      </c>
      <c r="Q10" s="137" t="s">
        <v>283</v>
      </c>
      <c r="R10" s="137" t="s">
        <v>284</v>
      </c>
      <c r="S10" s="137" t="s">
        <v>238</v>
      </c>
      <c r="T10" s="1007" t="s">
        <v>282</v>
      </c>
    </row>
    <row r="11" spans="1:22" ht="29.15" customHeight="1" x14ac:dyDescent="0.35">
      <c r="A11" s="999"/>
      <c r="B11" s="1009" t="s">
        <v>139</v>
      </c>
      <c r="C11" s="1004" t="s">
        <v>305</v>
      </c>
      <c r="D11" s="1018"/>
      <c r="E11" s="1019"/>
      <c r="F11" s="1019"/>
      <c r="G11" s="1019"/>
      <c r="H11" s="1019"/>
      <c r="I11" s="1019"/>
      <c r="J11" s="1011">
        <f>'Haver Pivoted'!GU48</f>
        <v>160.9</v>
      </c>
      <c r="K11" s="1011">
        <f>'Haver Pivoted'!GV48</f>
        <v>58.4</v>
      </c>
      <c r="L11" s="1011">
        <f>'Haver Pivoted'!GW48</f>
        <v>34.5</v>
      </c>
      <c r="M11" s="1011">
        <f>'Haver Pivoted'!GX48</f>
        <v>21.4</v>
      </c>
      <c r="N11" s="1011">
        <f>'Haver Pivoted'!GY48</f>
        <v>13.3</v>
      </c>
      <c r="O11" s="1011">
        <f>'Haver Pivoted'!GZ48</f>
        <v>18.7</v>
      </c>
      <c r="P11" s="1011">
        <f>'Haver Pivoted'!HA48</f>
        <v>32.200000000000003</v>
      </c>
      <c r="Q11" s="1011">
        <f>'Haver Pivoted'!HB48</f>
        <v>26.9</v>
      </c>
      <c r="R11" s="1011">
        <f>'Haver Pivoted'!HC48</f>
        <v>20</v>
      </c>
      <c r="S11" s="1017">
        <f>'Haver Pivoted'!HD48</f>
        <v>8.1</v>
      </c>
      <c r="T11" s="1012">
        <f>'Haver Pivoted'!HE48</f>
        <v>4.9000000000000004</v>
      </c>
    </row>
    <row r="12" spans="1:22" ht="29.15" customHeight="1" x14ac:dyDescent="0.35">
      <c r="A12" s="999"/>
      <c r="B12" s="997" t="s">
        <v>306</v>
      </c>
      <c r="C12" s="124" t="s">
        <v>307</v>
      </c>
      <c r="D12" s="997"/>
      <c r="E12" s="124"/>
      <c r="F12" s="124"/>
      <c r="G12" s="124"/>
      <c r="H12" s="124"/>
      <c r="I12" s="124"/>
      <c r="J12" s="1013">
        <f>'Haver Pivoted'!GU58</f>
        <v>64.400000000000006</v>
      </c>
      <c r="K12" s="1013">
        <f>'Haver Pivoted'!GV58</f>
        <v>23.4</v>
      </c>
      <c r="L12" s="1013">
        <f>'Haver Pivoted'!GW58</f>
        <v>13.8</v>
      </c>
      <c r="M12" s="1013">
        <f>'Haver Pivoted'!GX58</f>
        <v>12</v>
      </c>
      <c r="N12" s="1013">
        <f>'Haver Pivoted'!GY58</f>
        <v>7.5</v>
      </c>
      <c r="O12" s="1013">
        <f>'Haver Pivoted'!GZ58</f>
        <v>10.5</v>
      </c>
      <c r="P12" s="1013">
        <f>'Haver Pivoted'!HA58</f>
        <v>18</v>
      </c>
      <c r="Q12" s="1013">
        <f>'Haver Pivoted'!HB58</f>
        <v>15</v>
      </c>
      <c r="R12" s="1013">
        <f>'Haver Pivoted'!HC58</f>
        <v>11.2</v>
      </c>
      <c r="S12" s="1016">
        <f>'Haver Pivoted'!HD58</f>
        <v>7.5</v>
      </c>
      <c r="T12" s="995">
        <f>'Haver Pivoted'!HE58</f>
        <v>6.2</v>
      </c>
    </row>
    <row r="13" spans="1:22" ht="47.15" customHeight="1" x14ac:dyDescent="0.35">
      <c r="A13" s="999"/>
      <c r="B13" s="997" t="s">
        <v>308</v>
      </c>
      <c r="C13" s="124" t="s">
        <v>309</v>
      </c>
      <c r="D13" s="997"/>
      <c r="E13" s="124"/>
      <c r="F13" s="124"/>
      <c r="G13" s="124"/>
      <c r="H13" s="124"/>
      <c r="I13" s="124"/>
      <c r="J13" s="1013">
        <f>'Haver Pivoted'!GU54</f>
        <v>96.6</v>
      </c>
      <c r="K13" s="1013">
        <f>'Haver Pivoted'!GV54</f>
        <v>35.1</v>
      </c>
      <c r="L13" s="1013">
        <f>'Haver Pivoted'!GW54</f>
        <v>20.7</v>
      </c>
      <c r="M13" s="1013">
        <f>'Haver Pivoted'!GX54</f>
        <v>15.4</v>
      </c>
      <c r="N13" s="1013">
        <f>'Haver Pivoted'!GY54</f>
        <v>9.6</v>
      </c>
      <c r="O13" s="1013">
        <f>'Haver Pivoted'!GZ54</f>
        <v>13.5</v>
      </c>
      <c r="P13" s="1013">
        <f>'Haver Pivoted'!HA54</f>
        <v>23.2</v>
      </c>
      <c r="Q13" s="1013">
        <f>'Haver Pivoted'!HB54</f>
        <v>19.3</v>
      </c>
      <c r="R13" s="1013">
        <f>'Haver Pivoted'!HC54</f>
        <v>14.4</v>
      </c>
      <c r="S13" s="1016">
        <f>'Haver Pivoted'!HD54</f>
        <v>5.9</v>
      </c>
      <c r="T13" s="995">
        <f>'Haver Pivoted'!HE54</f>
        <v>3.6</v>
      </c>
      <c r="U13" s="1014" t="s">
        <v>310</v>
      </c>
      <c r="V13" s="1002" t="s">
        <v>311</v>
      </c>
    </row>
    <row r="14" spans="1:22" x14ac:dyDescent="0.35">
      <c r="B14" s="54" t="s">
        <v>312</v>
      </c>
      <c r="C14" s="56"/>
      <c r="D14" s="54"/>
      <c r="E14" s="56"/>
      <c r="F14" s="56"/>
      <c r="G14" s="56"/>
      <c r="H14" s="56"/>
      <c r="I14" s="56"/>
      <c r="J14" s="1013">
        <f t="shared" ref="J14:T14" si="0">J13+J12+J11</f>
        <v>321.89999999999998</v>
      </c>
      <c r="K14" s="1013">
        <f t="shared" si="0"/>
        <v>116.9</v>
      </c>
      <c r="L14" s="1013">
        <f t="shared" si="0"/>
        <v>69</v>
      </c>
      <c r="M14" s="1013">
        <f t="shared" si="0"/>
        <v>48.8</v>
      </c>
      <c r="N14" s="1013">
        <f t="shared" si="0"/>
        <v>30.400000000000002</v>
      </c>
      <c r="O14" s="1013">
        <f t="shared" si="0"/>
        <v>42.7</v>
      </c>
      <c r="P14" s="1013">
        <f t="shared" si="0"/>
        <v>73.400000000000006</v>
      </c>
      <c r="Q14" s="1013">
        <f t="shared" si="0"/>
        <v>61.199999999999996</v>
      </c>
      <c r="R14" s="1013">
        <f t="shared" si="0"/>
        <v>45.6</v>
      </c>
      <c r="S14" s="1016">
        <f t="shared" si="0"/>
        <v>21.5</v>
      </c>
      <c r="T14" s="995">
        <f t="shared" si="0"/>
        <v>14.700000000000001</v>
      </c>
      <c r="U14" s="1015">
        <v>236</v>
      </c>
      <c r="V14" s="1008">
        <f>SUM(J14:S14)/4</f>
        <v>207.85</v>
      </c>
    </row>
    <row r="15" spans="1:22" x14ac:dyDescent="0.35">
      <c r="B15" s="998" t="s">
        <v>313</v>
      </c>
      <c r="C15" s="58"/>
      <c r="D15" s="998"/>
      <c r="E15" s="58"/>
      <c r="F15" s="58"/>
      <c r="G15" s="58"/>
      <c r="H15" s="58"/>
      <c r="I15" s="58"/>
      <c r="J15" s="141">
        <f t="shared" ref="J15:N17" si="1">J11/J$14</f>
        <v>0.49984467225846541</v>
      </c>
      <c r="K15" s="141">
        <f t="shared" si="1"/>
        <v>0.49957228400342168</v>
      </c>
      <c r="L15" s="141">
        <f t="shared" si="1"/>
        <v>0.5</v>
      </c>
      <c r="M15" s="141">
        <f t="shared" si="1"/>
        <v>0.43852459016393441</v>
      </c>
      <c r="N15" s="141">
        <f t="shared" si="1"/>
        <v>0.4375</v>
      </c>
      <c r="O15" s="141">
        <f>O11/O$14</f>
        <v>0.43793911007025754</v>
      </c>
      <c r="P15" s="141">
        <f t="shared" ref="P15:T15" si="2">P11/P$14</f>
        <v>0.43869209809264303</v>
      </c>
      <c r="Q15" s="141">
        <f t="shared" si="2"/>
        <v>0.43954248366013071</v>
      </c>
      <c r="R15" s="141">
        <f t="shared" si="2"/>
        <v>0.43859649122807015</v>
      </c>
      <c r="S15" s="137">
        <f t="shared" si="2"/>
        <v>0.37674418604651161</v>
      </c>
      <c r="T15" s="1007">
        <f t="shared" si="2"/>
        <v>0.33333333333333331</v>
      </c>
    </row>
    <row r="16" spans="1:22" x14ac:dyDescent="0.35">
      <c r="B16" s="998" t="s">
        <v>314</v>
      </c>
      <c r="C16" s="58"/>
      <c r="D16" s="998"/>
      <c r="E16" s="58"/>
      <c r="F16" s="58"/>
      <c r="G16" s="58"/>
      <c r="H16" s="58"/>
      <c r="I16" s="58"/>
      <c r="J16" s="141">
        <f t="shared" si="1"/>
        <v>0.20006213109661389</v>
      </c>
      <c r="K16" s="141">
        <f t="shared" si="1"/>
        <v>0.20017108639863129</v>
      </c>
      <c r="L16" s="141">
        <f t="shared" si="1"/>
        <v>0.2</v>
      </c>
      <c r="M16" s="141">
        <f t="shared" si="1"/>
        <v>0.24590163934426232</v>
      </c>
      <c r="N16" s="141">
        <f t="shared" si="1"/>
        <v>0.24671052631578946</v>
      </c>
      <c r="O16" s="141">
        <f t="shared" ref="O16:T16" si="3">O12/O$14</f>
        <v>0.24590163934426229</v>
      </c>
      <c r="P16" s="141">
        <f t="shared" si="3"/>
        <v>0.24523160762942778</v>
      </c>
      <c r="Q16" s="141">
        <f t="shared" si="3"/>
        <v>0.24509803921568629</v>
      </c>
      <c r="R16" s="141">
        <f t="shared" si="3"/>
        <v>0.24561403508771928</v>
      </c>
      <c r="S16" s="137">
        <f t="shared" si="3"/>
        <v>0.34883720930232559</v>
      </c>
      <c r="T16" s="1007">
        <f t="shared" si="3"/>
        <v>0.42176870748299317</v>
      </c>
      <c r="U16" s="120"/>
    </row>
    <row r="17" spans="2:21" x14ac:dyDescent="0.35">
      <c r="B17" s="1000" t="s">
        <v>315</v>
      </c>
      <c r="C17" s="1003"/>
      <c r="D17" s="1000"/>
      <c r="E17" s="1003"/>
      <c r="F17" s="1003"/>
      <c r="G17" s="1003"/>
      <c r="H17" s="1003"/>
      <c r="I17" s="1003"/>
      <c r="J17" s="614">
        <f t="shared" si="1"/>
        <v>0.30009319664492079</v>
      </c>
      <c r="K17" s="614">
        <f t="shared" si="1"/>
        <v>0.30025662959794697</v>
      </c>
      <c r="L17" s="614">
        <f t="shared" si="1"/>
        <v>0.3</v>
      </c>
      <c r="M17" s="614">
        <f t="shared" si="1"/>
        <v>0.3155737704918033</v>
      </c>
      <c r="N17" s="614">
        <f t="shared" si="1"/>
        <v>0.31578947368421051</v>
      </c>
      <c r="O17" s="614">
        <f t="shared" ref="O17:T17" si="4">O13/O$14</f>
        <v>0.31615925058548006</v>
      </c>
      <c r="P17" s="614">
        <f t="shared" si="4"/>
        <v>0.3160762942779291</v>
      </c>
      <c r="Q17" s="614">
        <f t="shared" si="4"/>
        <v>0.31535947712418305</v>
      </c>
      <c r="R17" s="614">
        <f t="shared" si="4"/>
        <v>0.31578947368421051</v>
      </c>
      <c r="S17" s="1010">
        <f t="shared" si="4"/>
        <v>0.2744186046511628</v>
      </c>
      <c r="T17" s="996">
        <f t="shared" si="4"/>
        <v>0.24489795918367346</v>
      </c>
    </row>
    <row r="18" spans="2:21" x14ac:dyDescent="0.35">
      <c r="B18" s="58"/>
      <c r="C18" s="58"/>
      <c r="D18" s="58"/>
      <c r="E18" s="58"/>
      <c r="F18" s="58"/>
      <c r="G18" s="58"/>
      <c r="H18" s="58"/>
      <c r="I18" s="58"/>
      <c r="J18" s="141"/>
      <c r="K18" s="141"/>
      <c r="L18" s="141"/>
      <c r="M18" s="141"/>
      <c r="N18" s="141"/>
      <c r="O18" s="141"/>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AC52"/>
  <sheetViews>
    <sheetView topLeftCell="J1" zoomScale="90" zoomScaleNormal="90" workbookViewId="0">
      <selection activeCell="V10" sqref="V10"/>
    </sheetView>
  </sheetViews>
  <sheetFormatPr defaultColWidth="10.90625" defaultRowHeight="14.5" x14ac:dyDescent="0.35"/>
  <cols>
    <col min="1" max="1" width="6" customWidth="1"/>
    <col min="2" max="2" width="29.453125" customWidth="1"/>
    <col min="3" max="7" width="10.453125" customWidth="1"/>
  </cols>
  <sheetData>
    <row r="1" spans="1:29" x14ac:dyDescent="0.35">
      <c r="B1" s="1292" t="s">
        <v>56</v>
      </c>
      <c r="C1" s="1292"/>
      <c r="D1" s="1292"/>
      <c r="E1" s="1292"/>
      <c r="F1" s="1292"/>
      <c r="G1" s="1292"/>
      <c r="H1" s="1292"/>
      <c r="I1" s="1292"/>
      <c r="J1" s="1292"/>
      <c r="K1" s="1292"/>
      <c r="L1" s="1292"/>
      <c r="M1" s="1292"/>
      <c r="N1" s="1292"/>
      <c r="O1" s="1292"/>
      <c r="P1" s="1292"/>
      <c r="Q1" s="1292"/>
      <c r="R1" s="1292"/>
      <c r="S1" s="1292"/>
      <c r="T1" s="1292"/>
      <c r="U1" s="1292"/>
      <c r="V1" s="1292"/>
      <c r="W1" s="1292"/>
      <c r="X1" s="1292"/>
      <c r="Y1" s="1292"/>
      <c r="Z1" s="1292"/>
      <c r="AA1" s="1292"/>
      <c r="AB1" s="1292"/>
      <c r="AC1" s="1292"/>
    </row>
    <row r="2" spans="1:29" ht="14.9" customHeight="1" x14ac:dyDescent="0.35">
      <c r="B2" s="1293" t="s">
        <v>459</v>
      </c>
      <c r="C2" s="1293"/>
      <c r="D2" s="1293"/>
      <c r="E2" s="1293"/>
      <c r="F2" s="1293"/>
      <c r="G2" s="1293"/>
      <c r="H2" s="1293"/>
      <c r="I2" s="1293"/>
      <c r="J2" s="1293"/>
      <c r="K2" s="1293"/>
      <c r="L2" s="1293"/>
      <c r="M2" s="1293"/>
      <c r="N2" s="1293"/>
      <c r="O2" s="1293"/>
      <c r="P2" s="1293"/>
      <c r="Q2" s="1293"/>
      <c r="R2" s="1293"/>
      <c r="S2" s="1293"/>
      <c r="T2" s="1293"/>
      <c r="U2" s="1293"/>
      <c r="V2" s="1293"/>
      <c r="W2" s="1293"/>
      <c r="X2" s="1293"/>
      <c r="Y2" s="1293"/>
      <c r="Z2" s="1293"/>
      <c r="AA2" s="1293"/>
      <c r="AB2" s="1293"/>
      <c r="AC2" s="1293"/>
    </row>
    <row r="3" spans="1:29" x14ac:dyDescent="0.35">
      <c r="B3" s="1293"/>
      <c r="C3" s="1293"/>
      <c r="D3" s="1293"/>
      <c r="E3" s="1293"/>
      <c r="F3" s="1293"/>
      <c r="G3" s="1293"/>
      <c r="H3" s="1293"/>
      <c r="I3" s="1293"/>
      <c r="J3" s="1293"/>
      <c r="K3" s="1293"/>
      <c r="L3" s="1293"/>
      <c r="M3" s="1293"/>
      <c r="N3" s="1293"/>
      <c r="O3" s="1293"/>
      <c r="P3" s="1293"/>
      <c r="Q3" s="1293"/>
      <c r="R3" s="1293"/>
      <c r="S3" s="1293"/>
      <c r="T3" s="1293"/>
      <c r="U3" s="1293"/>
      <c r="V3" s="1293"/>
      <c r="W3" s="1293"/>
      <c r="X3" s="1293"/>
      <c r="Y3" s="1293"/>
      <c r="Z3" s="1293"/>
      <c r="AA3" s="1293"/>
      <c r="AB3" s="1293"/>
      <c r="AC3" s="1293"/>
    </row>
    <row r="4" spans="1:29" x14ac:dyDescent="0.35">
      <c r="B4" s="1293"/>
      <c r="C4" s="1293"/>
      <c r="D4" s="1293"/>
      <c r="E4" s="1293"/>
      <c r="F4" s="1293"/>
      <c r="G4" s="1293"/>
      <c r="H4" s="1293"/>
      <c r="I4" s="1293"/>
      <c r="J4" s="1293"/>
      <c r="K4" s="1293"/>
      <c r="L4" s="1293"/>
      <c r="M4" s="1293"/>
      <c r="N4" s="1293"/>
      <c r="O4" s="1293"/>
      <c r="P4" s="1293"/>
      <c r="Q4" s="1293"/>
      <c r="R4" s="1293"/>
      <c r="S4" s="1293"/>
      <c r="T4" s="1293"/>
      <c r="U4" s="1293"/>
      <c r="V4" s="1293"/>
      <c r="W4" s="1293"/>
      <c r="X4" s="1293"/>
      <c r="Y4" s="1293"/>
      <c r="Z4" s="1293"/>
      <c r="AA4" s="1293"/>
      <c r="AB4" s="1293"/>
      <c r="AC4" s="1293"/>
    </row>
    <row r="5" spans="1:29" x14ac:dyDescent="0.35">
      <c r="B5" s="359"/>
      <c r="C5" s="202"/>
      <c r="D5" s="202"/>
      <c r="E5" s="202"/>
      <c r="F5" s="202"/>
      <c r="G5" s="202"/>
      <c r="H5" s="202"/>
      <c r="I5" s="202"/>
      <c r="J5" s="202"/>
      <c r="K5" s="202"/>
      <c r="L5" s="202"/>
      <c r="M5" s="202"/>
      <c r="N5" s="202"/>
      <c r="O5" s="202"/>
      <c r="P5" s="202"/>
      <c r="Q5" s="202"/>
      <c r="R5" s="202"/>
      <c r="S5" s="202"/>
      <c r="T5" s="202"/>
      <c r="U5" s="202"/>
      <c r="V5" s="202"/>
      <c r="W5" s="202"/>
      <c r="X5" s="202"/>
      <c r="Y5" s="202"/>
    </row>
    <row r="6" spans="1:29" x14ac:dyDescent="0.35">
      <c r="B6" s="1297" t="s">
        <v>404</v>
      </c>
      <c r="C6" s="1298"/>
      <c r="D6" s="1316" t="s">
        <v>280</v>
      </c>
      <c r="E6" s="1317"/>
      <c r="F6" s="1317"/>
      <c r="G6" s="1317"/>
      <c r="H6" s="1317"/>
      <c r="I6" s="1317"/>
      <c r="J6" s="1317"/>
      <c r="K6" s="1317"/>
      <c r="L6" s="1317"/>
      <c r="M6" s="1317"/>
      <c r="N6" s="1317"/>
      <c r="O6" s="1317"/>
      <c r="P6" s="1317"/>
      <c r="Q6" s="1362"/>
      <c r="R6" s="1362"/>
      <c r="S6" s="1362"/>
      <c r="T6" s="1298"/>
      <c r="U6" s="1320" t="s">
        <v>281</v>
      </c>
      <c r="V6" s="1320"/>
      <c r="W6" s="1320"/>
      <c r="X6" s="1320"/>
      <c r="Y6" s="1320"/>
      <c r="Z6" s="1320"/>
      <c r="AA6" s="1320"/>
      <c r="AB6" s="1320"/>
      <c r="AC6" s="1321"/>
    </row>
    <row r="7" spans="1:29" x14ac:dyDescent="0.35">
      <c r="B7" s="1299"/>
      <c r="C7" s="1300"/>
      <c r="D7" s="142">
        <v>2018</v>
      </c>
      <c r="E7" s="1278">
        <v>2019</v>
      </c>
      <c r="F7" s="1306"/>
      <c r="G7" s="1306"/>
      <c r="H7" s="1307"/>
      <c r="I7" s="1278">
        <v>2020</v>
      </c>
      <c r="J7" s="1306"/>
      <c r="K7" s="1306"/>
      <c r="L7" s="1306"/>
      <c r="M7" s="1278">
        <v>2021</v>
      </c>
      <c r="N7" s="1306"/>
      <c r="O7" s="1306"/>
      <c r="P7" s="1306"/>
      <c r="Q7" s="1278">
        <v>2022</v>
      </c>
      <c r="R7" s="1279"/>
      <c r="S7" s="1279"/>
      <c r="T7" s="1307"/>
      <c r="U7" s="1304">
        <v>2023</v>
      </c>
      <c r="V7" s="1315"/>
      <c r="W7" s="1315"/>
      <c r="X7" s="1315"/>
      <c r="Y7" s="1303">
        <v>2024</v>
      </c>
      <c r="Z7" s="1315"/>
      <c r="AA7" s="1315"/>
      <c r="AB7" s="1305"/>
      <c r="AC7" s="213">
        <v>2025</v>
      </c>
    </row>
    <row r="8" spans="1:29" x14ac:dyDescent="0.35">
      <c r="B8" s="1301"/>
      <c r="C8" s="1302"/>
      <c r="D8" s="148" t="s">
        <v>282</v>
      </c>
      <c r="E8" s="148" t="s">
        <v>283</v>
      </c>
      <c r="F8" s="144" t="s">
        <v>284</v>
      </c>
      <c r="G8" s="144" t="s">
        <v>238</v>
      </c>
      <c r="H8" s="145" t="s">
        <v>282</v>
      </c>
      <c r="I8" s="144" t="s">
        <v>283</v>
      </c>
      <c r="J8" s="144" t="s">
        <v>284</v>
      </c>
      <c r="K8" s="144" t="s">
        <v>238</v>
      </c>
      <c r="L8" s="144" t="s">
        <v>282</v>
      </c>
      <c r="M8" s="148" t="s">
        <v>283</v>
      </c>
      <c r="N8" s="144" t="s">
        <v>284</v>
      </c>
      <c r="O8" s="144" t="s">
        <v>238</v>
      </c>
      <c r="P8" s="144" t="s">
        <v>282</v>
      </c>
      <c r="Q8" s="148" t="s">
        <v>283</v>
      </c>
      <c r="R8" s="144" t="s">
        <v>284</v>
      </c>
      <c r="S8" s="144" t="s">
        <v>238</v>
      </c>
      <c r="T8" s="145" t="s">
        <v>282</v>
      </c>
      <c r="U8" s="282" t="s">
        <v>283</v>
      </c>
      <c r="V8" s="282" t="s">
        <v>284</v>
      </c>
      <c r="W8" s="282" t="s">
        <v>238</v>
      </c>
      <c r="X8" s="282" t="s">
        <v>282</v>
      </c>
      <c r="Y8" s="394" t="s">
        <v>283</v>
      </c>
      <c r="Z8" s="290" t="s">
        <v>284</v>
      </c>
      <c r="AA8" s="282" t="s">
        <v>238</v>
      </c>
      <c r="AB8" s="393" t="s">
        <v>282</v>
      </c>
      <c r="AC8" s="893" t="s">
        <v>283</v>
      </c>
    </row>
    <row r="9" spans="1:29" x14ac:dyDescent="0.35">
      <c r="B9" s="527" t="s">
        <v>56</v>
      </c>
      <c r="C9" s="397" t="s">
        <v>460</v>
      </c>
      <c r="D9" s="527"/>
      <c r="E9" s="676"/>
      <c r="F9" s="676"/>
      <c r="G9" s="676"/>
      <c r="H9" s="676"/>
      <c r="I9" s="676"/>
      <c r="J9" s="270">
        <f>'Haver Pivoted'!GU45</f>
        <v>1078.0999999999999</v>
      </c>
      <c r="K9" s="270">
        <f>'Haver Pivoted'!GV45</f>
        <v>15.6</v>
      </c>
      <c r="L9" s="270">
        <f>'Haver Pivoted'!GW45</f>
        <v>5</v>
      </c>
      <c r="M9" s="270">
        <f>'Haver Pivoted'!GX45</f>
        <v>1933.7</v>
      </c>
      <c r="N9" s="270">
        <f>'Haver Pivoted'!GY45</f>
        <v>290.10000000000002</v>
      </c>
      <c r="O9" s="270">
        <f>'Haver Pivoted'!GZ45</f>
        <v>38.9</v>
      </c>
      <c r="P9" s="270">
        <f>'Haver Pivoted'!HA45</f>
        <v>14.2</v>
      </c>
      <c r="Q9" s="270">
        <f>'Haver Pivoted'!HB45</f>
        <v>0</v>
      </c>
      <c r="R9" s="270">
        <f>'Haver Pivoted'!HC45</f>
        <v>0</v>
      </c>
      <c r="S9" s="143">
        <f>'Haver Pivoted'!HD45</f>
        <v>0</v>
      </c>
      <c r="T9" s="184">
        <f>'Haver Pivoted'!HE45</f>
        <v>0</v>
      </c>
      <c r="U9" s="254"/>
      <c r="V9" s="254"/>
      <c r="W9" s="254"/>
      <c r="X9" s="254"/>
      <c r="Y9" s="254"/>
      <c r="Z9" s="254"/>
      <c r="AA9" s="254"/>
      <c r="AB9" s="254"/>
      <c r="AC9" s="182"/>
    </row>
    <row r="10" spans="1:29" x14ac:dyDescent="0.35">
      <c r="B10" s="545" t="s">
        <v>214</v>
      </c>
      <c r="C10" s="225"/>
      <c r="D10" s="545"/>
      <c r="E10" s="225"/>
      <c r="F10" s="225"/>
      <c r="G10" s="225"/>
      <c r="H10" s="225"/>
      <c r="I10" s="225"/>
      <c r="J10" s="595"/>
      <c r="K10" s="595"/>
      <c r="L10" s="595"/>
      <c r="M10" s="595">
        <f t="shared" ref="M10:T10" si="0">M9-M11</f>
        <v>1348.1</v>
      </c>
      <c r="N10" s="595">
        <f t="shared" si="0"/>
        <v>290.10000000000002</v>
      </c>
      <c r="O10" s="595">
        <f t="shared" si="0"/>
        <v>38.9</v>
      </c>
      <c r="P10" s="595">
        <f t="shared" si="0"/>
        <v>14.2</v>
      </c>
      <c r="Q10" s="595">
        <f t="shared" si="0"/>
        <v>0</v>
      </c>
      <c r="R10" s="595">
        <f t="shared" si="0"/>
        <v>0</v>
      </c>
      <c r="S10" s="1030">
        <f t="shared" si="0"/>
        <v>0</v>
      </c>
      <c r="T10" s="1020">
        <f t="shared" si="0"/>
        <v>0</v>
      </c>
      <c r="U10" s="1028"/>
      <c r="V10" s="1028"/>
      <c r="W10" s="1028"/>
      <c r="X10" s="1028"/>
      <c r="Y10" s="1028"/>
      <c r="Z10" s="1028"/>
      <c r="AA10" s="1028"/>
      <c r="AB10" s="1028"/>
      <c r="AC10" s="1029"/>
    </row>
    <row r="11" spans="1:29" x14ac:dyDescent="0.35">
      <c r="B11" s="502" t="s">
        <v>461</v>
      </c>
      <c r="C11" s="503"/>
      <c r="D11" s="502"/>
      <c r="E11" s="503"/>
      <c r="F11" s="503"/>
      <c r="G11" s="503"/>
      <c r="H11" s="503"/>
      <c r="I11" s="503"/>
      <c r="J11" s="615">
        <f t="shared" ref="J11:L11" si="1">J9-J10</f>
        <v>1078.0999999999999</v>
      </c>
      <c r="K11" s="615">
        <f t="shared" si="1"/>
        <v>15.6</v>
      </c>
      <c r="L11" s="615">
        <f t="shared" si="1"/>
        <v>5</v>
      </c>
      <c r="M11" s="615">
        <f>SUM(C17:D17)/12*4</f>
        <v>585.6</v>
      </c>
      <c r="N11" s="615">
        <v>0</v>
      </c>
      <c r="O11" s="615">
        <v>0</v>
      </c>
      <c r="P11" s="615">
        <v>0</v>
      </c>
      <c r="Q11" s="615">
        <v>0</v>
      </c>
      <c r="R11" s="615">
        <v>0</v>
      </c>
      <c r="S11" s="615">
        <v>0</v>
      </c>
      <c r="T11" s="923"/>
      <c r="U11" s="1022"/>
      <c r="V11" s="1022"/>
      <c r="W11" s="1022"/>
      <c r="X11" s="1022"/>
      <c r="Y11" s="1022"/>
      <c r="Z11" s="1022"/>
      <c r="AA11" s="1022"/>
      <c r="AB11" s="1022"/>
      <c r="AC11" s="1023"/>
    </row>
    <row r="12" spans="1:29" x14ac:dyDescent="0.35">
      <c r="B12" s="202"/>
      <c r="C12" s="202"/>
      <c r="D12" s="202"/>
      <c r="E12" s="202"/>
      <c r="F12" s="202"/>
      <c r="G12" s="202"/>
      <c r="H12" s="202"/>
      <c r="I12" s="202"/>
      <c r="J12" s="202"/>
      <c r="K12" s="202"/>
      <c r="L12" s="202"/>
      <c r="M12" s="202"/>
      <c r="N12" s="202"/>
      <c r="O12" s="202"/>
      <c r="P12" s="202"/>
      <c r="Q12" s="202"/>
      <c r="R12" s="202"/>
      <c r="S12" s="202"/>
      <c r="T12" s="202"/>
      <c r="U12" s="202"/>
      <c r="V12" s="202"/>
      <c r="W12" s="202"/>
      <c r="X12" s="202"/>
      <c r="Y12" s="202"/>
      <c r="Z12" s="35"/>
      <c r="AA12" s="35"/>
      <c r="AB12" s="35"/>
      <c r="AC12" s="35"/>
    </row>
    <row r="13" spans="1:29" x14ac:dyDescent="0.35">
      <c r="A13" s="77"/>
      <c r="B13" s="77"/>
      <c r="C13" s="77"/>
      <c r="D13" s="77"/>
      <c r="E13" s="77"/>
      <c r="F13" s="77"/>
      <c r="G13" s="77"/>
      <c r="H13" s="77"/>
      <c r="I13" s="77"/>
      <c r="J13" s="77"/>
      <c r="K13" s="77"/>
      <c r="L13" s="102"/>
      <c r="M13" s="102"/>
      <c r="N13" s="102"/>
    </row>
    <row r="14" spans="1:29" x14ac:dyDescent="0.35">
      <c r="A14" s="77"/>
      <c r="N14" s="35"/>
    </row>
    <row r="15" spans="1:29" x14ac:dyDescent="0.35">
      <c r="A15" s="141"/>
      <c r="B15" s="1432" t="s">
        <v>462</v>
      </c>
      <c r="C15" s="1422">
        <v>2021</v>
      </c>
      <c r="D15" s="1423"/>
      <c r="E15" s="1423"/>
      <c r="F15" s="1423"/>
      <c r="G15" s="47"/>
      <c r="K15" s="1290"/>
      <c r="L15" s="1290"/>
      <c r="M15" s="35"/>
      <c r="N15" s="35"/>
    </row>
    <row r="16" spans="1:29" x14ac:dyDescent="0.35">
      <c r="B16" s="1433"/>
      <c r="C16" s="1025" t="s">
        <v>234</v>
      </c>
      <c r="D16" s="1010" t="s">
        <v>235</v>
      </c>
      <c r="E16" s="1010" t="s">
        <v>236</v>
      </c>
      <c r="F16" s="1010" t="s">
        <v>237</v>
      </c>
      <c r="G16" s="1021"/>
      <c r="H16" s="141"/>
      <c r="I16" s="141"/>
      <c r="J16" s="141"/>
      <c r="K16" s="141"/>
      <c r="L16" s="141"/>
      <c r="M16" s="141"/>
      <c r="N16" s="141"/>
    </row>
    <row r="17" spans="2:29" ht="16.399999999999999" customHeight="1" x14ac:dyDescent="0.35">
      <c r="B17" s="1024" t="s">
        <v>463</v>
      </c>
      <c r="C17" s="1026">
        <v>1660.9</v>
      </c>
      <c r="D17" s="1026">
        <v>95.9</v>
      </c>
      <c r="E17" s="1026">
        <v>4044.2</v>
      </c>
      <c r="F17" s="1027">
        <v>688</v>
      </c>
      <c r="G17" s="90"/>
      <c r="H17" s="90"/>
      <c r="I17" s="90"/>
      <c r="J17" s="90"/>
      <c r="K17" s="90"/>
      <c r="L17" s="90"/>
      <c r="M17" s="202"/>
      <c r="N17" s="202"/>
    </row>
    <row r="18" spans="2:29" x14ac:dyDescent="0.35">
      <c r="B18" s="986" t="s">
        <v>464</v>
      </c>
      <c r="C18" s="202"/>
      <c r="D18" s="202"/>
      <c r="E18" s="202"/>
      <c r="F18" s="202"/>
      <c r="G18" s="202"/>
      <c r="H18" s="202"/>
      <c r="I18" s="202"/>
      <c r="J18" s="202"/>
      <c r="K18" s="202"/>
      <c r="L18" s="202"/>
      <c r="M18" s="202"/>
      <c r="N18" s="202"/>
    </row>
    <row r="19" spans="2:29" x14ac:dyDescent="0.35">
      <c r="B19" s="202"/>
      <c r="C19" s="202"/>
      <c r="D19" s="202"/>
      <c r="E19" s="202"/>
      <c r="F19" s="202"/>
      <c r="G19" s="202"/>
      <c r="H19" s="202"/>
      <c r="I19" s="202"/>
      <c r="J19" s="202"/>
      <c r="K19" s="202"/>
      <c r="L19" s="202"/>
      <c r="M19" s="202"/>
      <c r="N19" s="202"/>
    </row>
    <row r="20" spans="2:29" x14ac:dyDescent="0.35">
      <c r="B20" s="986"/>
      <c r="C20" s="202"/>
      <c r="D20" s="202"/>
      <c r="E20" s="202"/>
      <c r="F20" s="202"/>
      <c r="G20" s="202"/>
      <c r="H20" s="202"/>
      <c r="I20" s="202"/>
      <c r="J20" s="202"/>
      <c r="K20" s="202"/>
      <c r="L20" s="202"/>
      <c r="M20" s="202"/>
      <c r="N20" s="202"/>
    </row>
    <row r="21" spans="2:29" x14ac:dyDescent="0.35">
      <c r="B21" s="202"/>
      <c r="C21" s="202"/>
      <c r="D21" s="202"/>
      <c r="E21" s="202"/>
      <c r="F21" s="202"/>
      <c r="G21" s="202"/>
      <c r="H21" s="202"/>
      <c r="I21" s="202"/>
      <c r="J21" s="202"/>
      <c r="K21" s="202"/>
      <c r="L21" s="202"/>
      <c r="M21" s="202"/>
      <c r="N21" s="202"/>
      <c r="O21" s="202"/>
      <c r="P21" s="202"/>
      <c r="Q21" s="202"/>
      <c r="R21" s="202"/>
      <c r="S21" s="202"/>
      <c r="T21" s="202"/>
      <c r="U21" s="202"/>
      <c r="V21" s="202"/>
      <c r="W21" s="202"/>
      <c r="X21" s="202"/>
      <c r="Y21" s="202"/>
      <c r="Z21" s="35"/>
      <c r="AA21" s="35"/>
      <c r="AB21" s="35"/>
      <c r="AC21" s="35"/>
    </row>
    <row r="22" spans="2:29" x14ac:dyDescent="0.35">
      <c r="B22" s="77"/>
      <c r="C22" s="77"/>
      <c r="D22" s="77"/>
      <c r="E22" s="77"/>
      <c r="F22" s="77"/>
      <c r="G22" s="77"/>
      <c r="H22" s="77"/>
      <c r="I22" s="77"/>
      <c r="J22" s="77"/>
      <c r="K22" s="77"/>
      <c r="L22" s="102"/>
      <c r="M22" s="102"/>
      <c r="N22" s="102"/>
    </row>
    <row r="23" spans="2:29" x14ac:dyDescent="0.35">
      <c r="B23" s="202"/>
      <c r="C23" s="202"/>
      <c r="D23" s="202"/>
      <c r="E23" s="202"/>
      <c r="F23" s="202"/>
      <c r="G23" s="202"/>
      <c r="H23" s="202"/>
      <c r="I23" s="202"/>
      <c r="J23" s="202"/>
      <c r="K23" s="202"/>
      <c r="L23" s="202"/>
      <c r="M23" s="202"/>
      <c r="N23" s="202"/>
      <c r="O23" s="202"/>
      <c r="P23" s="202"/>
      <c r="Q23" s="202"/>
      <c r="R23" s="202"/>
      <c r="S23" s="202"/>
      <c r="T23" s="202"/>
      <c r="U23" s="202"/>
      <c r="V23" s="202"/>
      <c r="W23" s="202"/>
      <c r="X23" s="202"/>
      <c r="Y23" s="202"/>
    </row>
    <row r="24" spans="2:29" x14ac:dyDescent="0.35">
      <c r="B24" s="202"/>
      <c r="C24" s="202"/>
      <c r="D24" s="202"/>
      <c r="E24" s="202"/>
      <c r="F24" s="202"/>
      <c r="G24" s="202"/>
      <c r="H24" s="202"/>
      <c r="I24" s="202"/>
      <c r="J24" s="202"/>
      <c r="K24" s="202"/>
      <c r="L24" s="202"/>
      <c r="M24" s="202"/>
      <c r="N24" s="202"/>
      <c r="O24" s="202"/>
      <c r="P24" s="202"/>
      <c r="Q24" s="202"/>
      <c r="R24" s="202"/>
      <c r="S24" s="202"/>
      <c r="T24" s="202"/>
      <c r="U24" s="202"/>
      <c r="V24" s="202"/>
      <c r="W24" s="202"/>
      <c r="X24" s="202"/>
      <c r="Y24" s="202"/>
    </row>
    <row r="25" spans="2:29" x14ac:dyDescent="0.35">
      <c r="B25" s="202"/>
      <c r="C25" s="202"/>
      <c r="D25" s="202"/>
      <c r="E25" s="202"/>
      <c r="F25" s="202"/>
      <c r="G25" s="202"/>
      <c r="H25" s="202"/>
      <c r="I25" s="202"/>
      <c r="J25" s="202"/>
      <c r="K25" s="202"/>
      <c r="L25" s="202"/>
      <c r="M25" s="202"/>
      <c r="N25" s="202"/>
      <c r="O25" s="202"/>
      <c r="P25" s="202"/>
      <c r="Q25" s="202"/>
      <c r="R25" s="202"/>
      <c r="S25" s="202"/>
      <c r="T25" s="202"/>
      <c r="U25" s="202"/>
      <c r="V25" s="202"/>
      <c r="W25" s="202"/>
      <c r="X25" s="202"/>
      <c r="Y25" s="202"/>
    </row>
    <row r="26" spans="2:29" x14ac:dyDescent="0.35">
      <c r="B26" s="202"/>
      <c r="C26" s="202"/>
      <c r="D26" s="202"/>
      <c r="E26" s="202"/>
      <c r="F26" s="202"/>
      <c r="G26" s="202"/>
      <c r="H26" s="202"/>
      <c r="I26" s="202"/>
      <c r="J26" s="202"/>
      <c r="K26" s="202"/>
      <c r="L26" s="202"/>
      <c r="M26" s="202"/>
      <c r="N26" s="202"/>
      <c r="O26" s="202"/>
      <c r="P26" s="202"/>
      <c r="Q26" s="202"/>
      <c r="R26" s="202"/>
      <c r="S26" s="202"/>
      <c r="T26" s="202"/>
      <c r="U26" s="202"/>
      <c r="V26" s="202"/>
      <c r="W26" s="202"/>
      <c r="X26" s="202"/>
      <c r="Y26" s="202"/>
    </row>
    <row r="27" spans="2:29" x14ac:dyDescent="0.35">
      <c r="B27" s="202"/>
      <c r="C27" s="202"/>
      <c r="D27" s="202"/>
      <c r="E27" s="202"/>
      <c r="F27" s="202"/>
      <c r="G27" s="202"/>
      <c r="H27" s="202"/>
      <c r="I27" s="202"/>
      <c r="J27" s="202"/>
      <c r="K27" s="202"/>
      <c r="L27" s="202"/>
      <c r="M27" s="202"/>
      <c r="N27" s="202"/>
      <c r="O27" s="202"/>
      <c r="P27" s="202"/>
      <c r="Q27" s="202"/>
      <c r="R27" s="202"/>
      <c r="S27" s="202"/>
      <c r="T27" s="202"/>
      <c r="U27" s="202"/>
      <c r="V27" s="202"/>
      <c r="W27" s="202"/>
      <c r="X27" s="202"/>
      <c r="Y27" s="202"/>
    </row>
    <row r="28" spans="2:29" x14ac:dyDescent="0.35">
      <c r="B28" s="202"/>
      <c r="C28" s="202"/>
      <c r="D28" s="202"/>
      <c r="E28" s="202"/>
      <c r="F28" s="202"/>
      <c r="G28" s="202"/>
      <c r="H28" s="202"/>
      <c r="I28" s="202"/>
      <c r="J28" s="202"/>
      <c r="K28" s="202"/>
      <c r="L28" s="202"/>
      <c r="M28" s="202"/>
      <c r="N28" s="202"/>
      <c r="O28" s="202"/>
      <c r="P28" s="202"/>
      <c r="Q28" s="202"/>
      <c r="R28" s="202"/>
      <c r="S28" s="202"/>
      <c r="T28" s="202"/>
      <c r="U28" s="202"/>
      <c r="V28" s="202"/>
      <c r="W28" s="202"/>
      <c r="X28" s="202"/>
      <c r="Y28" s="202"/>
    </row>
    <row r="29" spans="2:29" x14ac:dyDescent="0.35">
      <c r="B29" s="202"/>
      <c r="C29" s="202"/>
      <c r="D29" s="202"/>
      <c r="E29" s="202"/>
      <c r="F29" s="202"/>
      <c r="G29" s="202"/>
      <c r="H29" s="202"/>
      <c r="I29" s="202"/>
      <c r="J29" s="202"/>
      <c r="K29" s="202"/>
      <c r="L29" s="202"/>
      <c r="M29" s="202"/>
      <c r="N29" s="202"/>
      <c r="O29" s="202"/>
      <c r="P29" s="202"/>
      <c r="Q29" s="202"/>
      <c r="R29" s="202"/>
      <c r="S29" s="202"/>
      <c r="T29" s="202"/>
      <c r="U29" s="202"/>
      <c r="V29" s="202"/>
      <c r="W29" s="202"/>
      <c r="X29" s="202"/>
      <c r="Y29" s="202"/>
    </row>
    <row r="30" spans="2:29" x14ac:dyDescent="0.35">
      <c r="B30" s="202"/>
      <c r="C30" s="202"/>
      <c r="D30" s="202"/>
      <c r="E30" s="202"/>
      <c r="F30" s="202"/>
      <c r="G30" s="202"/>
      <c r="H30" s="202"/>
      <c r="I30" s="202"/>
      <c r="J30" s="202"/>
      <c r="K30" s="202"/>
      <c r="L30" s="202"/>
      <c r="M30" s="202"/>
      <c r="N30" s="202"/>
      <c r="O30" s="202"/>
      <c r="P30" s="202"/>
      <c r="Q30" s="202"/>
      <c r="R30" s="202"/>
      <c r="S30" s="202"/>
      <c r="T30" s="202"/>
      <c r="U30" s="202"/>
      <c r="V30" s="202"/>
      <c r="W30" s="202"/>
      <c r="X30" s="202"/>
      <c r="Y30" s="202"/>
    </row>
    <row r="31" spans="2:29" x14ac:dyDescent="0.35">
      <c r="B31" s="202"/>
      <c r="C31" s="202"/>
      <c r="D31" s="202"/>
      <c r="E31" s="202"/>
      <c r="F31" s="202"/>
      <c r="G31" s="202"/>
      <c r="H31" s="202"/>
      <c r="I31" s="202"/>
      <c r="J31" s="202"/>
      <c r="K31" s="202"/>
      <c r="L31" s="202"/>
      <c r="M31" s="202"/>
      <c r="N31" s="202"/>
      <c r="O31" s="202"/>
      <c r="P31" s="202"/>
      <c r="Q31" s="202"/>
      <c r="R31" s="202"/>
      <c r="S31" s="202"/>
      <c r="T31" s="202"/>
      <c r="U31" s="202"/>
      <c r="V31" s="202"/>
      <c r="W31" s="202"/>
      <c r="X31" s="202"/>
      <c r="Y31" s="202"/>
    </row>
    <row r="32" spans="2:29" x14ac:dyDescent="0.35">
      <c r="B32" s="202"/>
      <c r="C32" s="202"/>
      <c r="D32" s="202"/>
      <c r="E32" s="202"/>
      <c r="F32" s="202"/>
      <c r="G32" s="202"/>
      <c r="H32" s="202"/>
      <c r="I32" s="202"/>
      <c r="J32" s="202"/>
      <c r="K32" s="202"/>
      <c r="L32" s="202"/>
      <c r="M32" s="202"/>
      <c r="N32" s="202"/>
      <c r="O32" s="202"/>
      <c r="P32" s="202"/>
      <c r="Q32" s="202"/>
      <c r="R32" s="202"/>
      <c r="S32" s="202"/>
      <c r="T32" s="202"/>
      <c r="U32" s="202"/>
      <c r="V32" s="202"/>
      <c r="W32" s="202"/>
      <c r="X32" s="202"/>
      <c r="Y32" s="202"/>
    </row>
    <row r="33" spans="2:25" x14ac:dyDescent="0.35">
      <c r="B33" s="202"/>
      <c r="C33" s="202"/>
      <c r="D33" s="202"/>
      <c r="E33" s="202"/>
      <c r="F33" s="202"/>
      <c r="G33" s="202"/>
      <c r="H33" s="202"/>
      <c r="I33" s="202"/>
      <c r="J33" s="202"/>
      <c r="K33" s="202"/>
      <c r="L33" s="202"/>
      <c r="M33" s="202"/>
      <c r="N33" s="202"/>
      <c r="O33" s="202"/>
      <c r="P33" s="202"/>
      <c r="Q33" s="202"/>
      <c r="R33" s="202"/>
      <c r="S33" s="202"/>
      <c r="T33" s="202"/>
      <c r="U33" s="202"/>
      <c r="V33" s="202"/>
      <c r="W33" s="202"/>
      <c r="X33" s="202"/>
      <c r="Y33" s="202"/>
    </row>
    <row r="34" spans="2:25" x14ac:dyDescent="0.35">
      <c r="B34" s="202"/>
      <c r="C34" s="202"/>
      <c r="D34" s="202"/>
      <c r="E34" s="202"/>
      <c r="F34" s="202"/>
      <c r="G34" s="202"/>
      <c r="H34" s="202"/>
      <c r="I34" s="202"/>
      <c r="J34" s="202"/>
      <c r="K34" s="202"/>
      <c r="L34" s="202"/>
      <c r="M34" s="202"/>
      <c r="N34" s="202"/>
      <c r="O34" s="202"/>
      <c r="P34" s="202"/>
      <c r="Q34" s="202"/>
      <c r="R34" s="202"/>
      <c r="S34" s="202"/>
      <c r="T34" s="202"/>
      <c r="U34" s="202"/>
      <c r="V34" s="202"/>
      <c r="W34" s="202"/>
      <c r="X34" s="202"/>
      <c r="Y34" s="202"/>
    </row>
    <row r="35" spans="2:25" x14ac:dyDescent="0.35">
      <c r="B35" s="202"/>
      <c r="C35" s="202"/>
      <c r="D35" s="202"/>
      <c r="E35" s="202"/>
      <c r="F35" s="202"/>
      <c r="G35" s="202"/>
      <c r="H35" s="202"/>
      <c r="I35" s="202"/>
      <c r="J35" s="202"/>
      <c r="K35" s="202"/>
      <c r="L35" s="202"/>
      <c r="M35" s="202"/>
      <c r="N35" s="202"/>
      <c r="O35" s="202"/>
      <c r="P35" s="202"/>
      <c r="Q35" s="202"/>
      <c r="R35" s="202"/>
      <c r="S35" s="202"/>
      <c r="T35" s="202"/>
      <c r="U35" s="202"/>
      <c r="V35" s="202"/>
      <c r="W35" s="202"/>
      <c r="X35" s="202"/>
      <c r="Y35" s="202"/>
    </row>
    <row r="36" spans="2:25" x14ac:dyDescent="0.35">
      <c r="B36" s="202"/>
      <c r="C36" s="202"/>
      <c r="D36" s="202"/>
      <c r="E36" s="202"/>
      <c r="F36" s="202"/>
      <c r="G36" s="202"/>
      <c r="H36" s="202"/>
      <c r="I36" s="202"/>
      <c r="J36" s="202"/>
      <c r="K36" s="202"/>
      <c r="L36" s="202"/>
      <c r="M36" s="202"/>
      <c r="N36" s="202"/>
      <c r="O36" s="202"/>
      <c r="P36" s="202"/>
      <c r="Q36" s="202"/>
      <c r="R36" s="202"/>
      <c r="S36" s="202"/>
      <c r="T36" s="202"/>
      <c r="U36" s="202"/>
      <c r="V36" s="202"/>
      <c r="W36" s="202"/>
      <c r="X36" s="202"/>
      <c r="Y36" s="202"/>
    </row>
    <row r="37" spans="2:25" x14ac:dyDescent="0.35">
      <c r="B37" s="202"/>
      <c r="C37" s="202"/>
      <c r="D37" s="202"/>
      <c r="E37" s="202"/>
      <c r="F37" s="202"/>
      <c r="G37" s="202"/>
      <c r="H37" s="202"/>
      <c r="I37" s="202"/>
      <c r="J37" s="202"/>
      <c r="K37" s="202"/>
      <c r="L37" s="202"/>
      <c r="M37" s="202"/>
      <c r="N37" s="202"/>
      <c r="O37" s="202"/>
      <c r="P37" s="202"/>
      <c r="Q37" s="202"/>
      <c r="R37" s="202"/>
      <c r="S37" s="202"/>
      <c r="T37" s="202"/>
      <c r="U37" s="202"/>
      <c r="V37" s="202"/>
      <c r="W37" s="202"/>
      <c r="X37" s="202"/>
      <c r="Y37" s="202"/>
    </row>
    <row r="38" spans="2:25" x14ac:dyDescent="0.35">
      <c r="B38" s="202"/>
      <c r="C38" s="202"/>
      <c r="D38" s="202"/>
      <c r="E38" s="202"/>
      <c r="F38" s="202"/>
      <c r="G38" s="202"/>
      <c r="H38" s="202"/>
      <c r="I38" s="202"/>
      <c r="J38" s="202"/>
      <c r="K38" s="202"/>
      <c r="L38" s="202"/>
      <c r="M38" s="202"/>
      <c r="N38" s="202"/>
      <c r="O38" s="202"/>
      <c r="P38" s="202"/>
      <c r="Q38" s="202"/>
      <c r="R38" s="202"/>
      <c r="S38" s="202"/>
      <c r="T38" s="202"/>
      <c r="U38" s="202"/>
      <c r="V38" s="202"/>
      <c r="W38" s="202"/>
      <c r="X38" s="202"/>
      <c r="Y38" s="202"/>
    </row>
    <row r="39" spans="2:25" x14ac:dyDescent="0.35">
      <c r="B39" s="202"/>
      <c r="C39" s="202"/>
      <c r="D39" s="202"/>
      <c r="E39" s="202"/>
      <c r="F39" s="202"/>
      <c r="G39" s="202"/>
      <c r="H39" s="202"/>
      <c r="I39" s="202"/>
      <c r="J39" s="202"/>
      <c r="K39" s="202"/>
      <c r="L39" s="202"/>
      <c r="M39" s="202"/>
      <c r="N39" s="202"/>
      <c r="O39" s="202"/>
      <c r="P39" s="202"/>
      <c r="Q39" s="202"/>
      <c r="R39" s="202"/>
      <c r="S39" s="202"/>
      <c r="T39" s="202"/>
      <c r="U39" s="202"/>
      <c r="V39" s="202"/>
      <c r="W39" s="202"/>
      <c r="X39" s="202"/>
      <c r="Y39" s="202"/>
    </row>
    <row r="40" spans="2:25" x14ac:dyDescent="0.35">
      <c r="B40" s="202"/>
      <c r="C40" s="202"/>
      <c r="D40" s="202"/>
      <c r="E40" s="202"/>
      <c r="F40" s="202"/>
      <c r="G40" s="202"/>
      <c r="H40" s="202"/>
      <c r="I40" s="202"/>
      <c r="J40" s="202"/>
      <c r="K40" s="202"/>
      <c r="L40" s="202"/>
      <c r="M40" s="202"/>
      <c r="N40" s="202"/>
      <c r="O40" s="202"/>
      <c r="P40" s="202"/>
      <c r="Q40" s="202"/>
      <c r="R40" s="202"/>
      <c r="S40" s="202"/>
      <c r="T40" s="202"/>
      <c r="U40" s="202"/>
      <c r="V40" s="202"/>
      <c r="W40" s="202"/>
      <c r="X40" s="202"/>
      <c r="Y40" s="202"/>
    </row>
    <row r="41" spans="2:25" x14ac:dyDescent="0.35">
      <c r="B41" s="202"/>
      <c r="C41" s="202"/>
      <c r="D41" s="202"/>
      <c r="E41" s="202"/>
      <c r="F41" s="202"/>
      <c r="G41" s="202"/>
      <c r="H41" s="202"/>
      <c r="I41" s="202"/>
      <c r="J41" s="202"/>
      <c r="K41" s="202"/>
      <c r="L41" s="202"/>
      <c r="M41" s="202"/>
      <c r="N41" s="202"/>
      <c r="O41" s="202"/>
      <c r="P41" s="202"/>
      <c r="Q41" s="202"/>
      <c r="R41" s="202"/>
      <c r="S41" s="202"/>
      <c r="T41" s="202"/>
      <c r="U41" s="202"/>
      <c r="V41" s="202"/>
      <c r="W41" s="202"/>
      <c r="X41" s="202"/>
      <c r="Y41" s="202"/>
    </row>
    <row r="42" spans="2:25" x14ac:dyDescent="0.35">
      <c r="B42" s="202"/>
      <c r="C42" s="202"/>
      <c r="D42" s="202"/>
      <c r="E42" s="202"/>
      <c r="F42" s="202"/>
      <c r="G42" s="202"/>
      <c r="H42" s="202"/>
      <c r="I42" s="202"/>
      <c r="J42" s="202"/>
      <c r="K42" s="202"/>
      <c r="L42" s="202"/>
      <c r="M42" s="202"/>
      <c r="N42" s="202"/>
      <c r="O42" s="202"/>
      <c r="P42" s="202"/>
      <c r="Q42" s="202"/>
      <c r="R42" s="202"/>
      <c r="S42" s="202"/>
      <c r="T42" s="202"/>
      <c r="U42" s="202"/>
      <c r="V42" s="202"/>
      <c r="W42" s="202"/>
      <c r="X42" s="202"/>
      <c r="Y42" s="202"/>
    </row>
    <row r="43" spans="2:25" x14ac:dyDescent="0.35">
      <c r="B43" s="202"/>
      <c r="C43" s="202"/>
      <c r="D43" s="202"/>
      <c r="E43" s="202"/>
      <c r="F43" s="202"/>
      <c r="G43" s="202"/>
      <c r="H43" s="202"/>
      <c r="I43" s="202"/>
      <c r="J43" s="202"/>
      <c r="K43" s="202"/>
      <c r="L43" s="202"/>
      <c r="M43" s="202"/>
      <c r="N43" s="202"/>
      <c r="O43" s="202"/>
      <c r="P43" s="202"/>
      <c r="Q43" s="202"/>
      <c r="R43" s="202"/>
      <c r="S43" s="202"/>
      <c r="T43" s="202"/>
      <c r="U43" s="202"/>
      <c r="V43" s="202"/>
      <c r="W43" s="202"/>
      <c r="X43" s="202"/>
      <c r="Y43" s="202"/>
    </row>
    <row r="44" spans="2:25" x14ac:dyDescent="0.35">
      <c r="B44" s="202"/>
      <c r="C44" s="202"/>
      <c r="D44" s="202"/>
      <c r="E44" s="202"/>
      <c r="F44" s="202"/>
      <c r="G44" s="202"/>
      <c r="H44" s="202"/>
      <c r="I44" s="202"/>
      <c r="J44" s="202"/>
      <c r="K44" s="202"/>
      <c r="L44" s="202"/>
      <c r="M44" s="202"/>
      <c r="N44" s="202"/>
      <c r="O44" s="202"/>
      <c r="P44" s="202"/>
      <c r="Q44" s="202"/>
      <c r="R44" s="202"/>
      <c r="S44" s="202"/>
      <c r="T44" s="202"/>
      <c r="U44" s="202"/>
      <c r="V44" s="202"/>
      <c r="W44" s="202"/>
      <c r="X44" s="202"/>
      <c r="Y44" s="202"/>
    </row>
    <row r="45" spans="2:25" x14ac:dyDescent="0.35">
      <c r="B45" s="202"/>
      <c r="C45" s="202"/>
      <c r="D45" s="202"/>
      <c r="E45" s="202"/>
      <c r="F45" s="202"/>
      <c r="G45" s="202"/>
      <c r="H45" s="202"/>
      <c r="I45" s="202"/>
      <c r="J45" s="202"/>
      <c r="K45" s="202"/>
      <c r="L45" s="202"/>
      <c r="M45" s="202"/>
      <c r="N45" s="202"/>
      <c r="O45" s="202"/>
      <c r="P45" s="202"/>
      <c r="Q45" s="202"/>
      <c r="R45" s="202"/>
      <c r="S45" s="202"/>
      <c r="T45" s="202"/>
      <c r="U45" s="202"/>
      <c r="V45" s="202"/>
      <c r="W45" s="202"/>
      <c r="X45" s="202"/>
      <c r="Y45" s="202"/>
    </row>
    <row r="46" spans="2:25" x14ac:dyDescent="0.35">
      <c r="B46" s="202"/>
      <c r="C46" s="202"/>
      <c r="D46" s="202"/>
      <c r="E46" s="202"/>
      <c r="F46" s="202"/>
      <c r="G46" s="202"/>
      <c r="H46" s="202"/>
      <c r="I46" s="202"/>
      <c r="J46" s="202"/>
      <c r="K46" s="202"/>
      <c r="L46" s="202"/>
      <c r="M46" s="202"/>
      <c r="N46" s="202"/>
      <c r="O46" s="202"/>
      <c r="P46" s="202"/>
      <c r="Q46" s="202"/>
      <c r="R46" s="202"/>
      <c r="S46" s="202"/>
      <c r="T46" s="202"/>
      <c r="U46" s="202"/>
      <c r="V46" s="202"/>
      <c r="W46" s="202"/>
      <c r="X46" s="202"/>
      <c r="Y46" s="202"/>
    </row>
    <row r="47" spans="2:25" x14ac:dyDescent="0.35">
      <c r="B47" s="202"/>
      <c r="C47" s="202"/>
      <c r="D47" s="202"/>
      <c r="E47" s="202"/>
      <c r="F47" s="202"/>
      <c r="G47" s="202"/>
      <c r="H47" s="202"/>
      <c r="I47" s="202"/>
      <c r="J47" s="202"/>
      <c r="K47" s="202"/>
      <c r="L47" s="202"/>
      <c r="M47" s="202"/>
      <c r="N47" s="202"/>
      <c r="O47" s="202"/>
      <c r="P47" s="202"/>
      <c r="Q47" s="202"/>
      <c r="R47" s="202"/>
      <c r="S47" s="202"/>
      <c r="T47" s="202"/>
      <c r="U47" s="202"/>
      <c r="V47" s="202"/>
      <c r="W47" s="202"/>
      <c r="X47" s="202"/>
      <c r="Y47" s="202"/>
    </row>
    <row r="48" spans="2:25" x14ac:dyDescent="0.35">
      <c r="B48" s="202"/>
      <c r="C48" s="202"/>
      <c r="D48" s="202"/>
      <c r="E48" s="202"/>
      <c r="F48" s="202"/>
      <c r="G48" s="202"/>
      <c r="H48" s="202"/>
      <c r="I48" s="202"/>
      <c r="J48" s="202"/>
      <c r="K48" s="202"/>
      <c r="L48" s="202"/>
      <c r="M48" s="202"/>
      <c r="N48" s="202"/>
      <c r="O48" s="202"/>
      <c r="P48" s="202"/>
      <c r="Q48" s="202"/>
      <c r="R48" s="202"/>
      <c r="S48" s="202"/>
      <c r="T48" s="202"/>
      <c r="U48" s="202"/>
      <c r="V48" s="202"/>
      <c r="W48" s="202"/>
      <c r="X48" s="202"/>
      <c r="Y48" s="202"/>
    </row>
    <row r="49" spans="2:25" x14ac:dyDescent="0.35">
      <c r="B49" s="202"/>
      <c r="C49" s="202"/>
      <c r="D49" s="202"/>
      <c r="E49" s="202"/>
      <c r="F49" s="202"/>
      <c r="G49" s="202"/>
      <c r="H49" s="202"/>
      <c r="I49" s="202"/>
      <c r="J49" s="202"/>
      <c r="K49" s="202"/>
      <c r="L49" s="202"/>
      <c r="M49" s="202"/>
      <c r="N49" s="202"/>
      <c r="O49" s="202"/>
      <c r="P49" s="202"/>
      <c r="Q49" s="202"/>
      <c r="R49" s="202"/>
      <c r="S49" s="202"/>
      <c r="T49" s="202"/>
      <c r="U49" s="202"/>
      <c r="V49" s="202"/>
      <c r="W49" s="202"/>
      <c r="X49" s="202"/>
      <c r="Y49" s="202"/>
    </row>
    <row r="50" spans="2:25" x14ac:dyDescent="0.35">
      <c r="B50" s="202"/>
      <c r="C50" s="202"/>
      <c r="D50" s="202"/>
      <c r="E50" s="202"/>
      <c r="F50" s="202"/>
      <c r="G50" s="202"/>
      <c r="H50" s="202"/>
      <c r="I50" s="202"/>
      <c r="J50" s="202"/>
      <c r="K50" s="202"/>
      <c r="L50" s="202"/>
      <c r="M50" s="202"/>
      <c r="N50" s="202"/>
      <c r="O50" s="202"/>
      <c r="P50" s="202"/>
      <c r="Q50" s="202"/>
      <c r="R50" s="202"/>
      <c r="S50" s="202"/>
      <c r="T50" s="202"/>
      <c r="U50" s="202"/>
      <c r="V50" s="202"/>
      <c r="W50" s="202"/>
      <c r="X50" s="202"/>
      <c r="Y50" s="202"/>
    </row>
    <row r="51" spans="2:25" x14ac:dyDescent="0.35">
      <c r="B51" s="202"/>
      <c r="C51" s="202"/>
      <c r="D51" s="202"/>
      <c r="E51" s="202"/>
      <c r="F51" s="202"/>
      <c r="G51" s="202"/>
      <c r="H51" s="202"/>
      <c r="I51" s="202"/>
      <c r="J51" s="202"/>
      <c r="K51" s="202"/>
      <c r="L51" s="202"/>
      <c r="M51" s="202"/>
      <c r="N51" s="202"/>
      <c r="O51" s="202"/>
      <c r="P51" s="202"/>
      <c r="Q51" s="202"/>
      <c r="R51" s="202"/>
      <c r="S51" s="202"/>
      <c r="T51" s="202"/>
      <c r="U51" s="202"/>
      <c r="V51" s="202"/>
      <c r="W51" s="202"/>
      <c r="X51" s="202"/>
      <c r="Y51" s="202"/>
    </row>
    <row r="52" spans="2:25" x14ac:dyDescent="0.35">
      <c r="B52" s="202"/>
      <c r="C52" s="202"/>
      <c r="D52" s="202"/>
      <c r="E52" s="202"/>
      <c r="F52" s="202"/>
      <c r="G52" s="202"/>
      <c r="H52" s="202"/>
      <c r="I52" s="202"/>
      <c r="J52" s="202"/>
      <c r="K52" s="202"/>
      <c r="L52" s="202"/>
      <c r="M52" s="202"/>
      <c r="N52" s="202"/>
      <c r="O52" s="202"/>
      <c r="P52" s="202"/>
      <c r="Q52" s="202"/>
      <c r="R52" s="202"/>
      <c r="S52" s="202"/>
      <c r="T52" s="202"/>
      <c r="U52" s="202"/>
      <c r="V52" s="202"/>
      <c r="W52" s="202"/>
      <c r="X52" s="202"/>
      <c r="Y52" s="202"/>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E00-000000000000}"/>
  </hyperlinks>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V76"/>
  <sheetViews>
    <sheetView workbookViewId="0">
      <selection activeCell="P17" sqref="P17"/>
    </sheetView>
  </sheetViews>
  <sheetFormatPr defaultColWidth="10.90625" defaultRowHeight="14.5" x14ac:dyDescent="0.35"/>
  <sheetData>
    <row r="1" spans="1:22" x14ac:dyDescent="0.35">
      <c r="A1" s="712" t="s">
        <v>1935</v>
      </c>
      <c r="B1" s="712"/>
      <c r="C1" s="712"/>
      <c r="D1" s="712"/>
      <c r="E1" s="712"/>
      <c r="F1" s="712"/>
      <c r="G1" s="712"/>
      <c r="H1" s="712"/>
      <c r="I1" s="712"/>
      <c r="J1" s="712"/>
      <c r="K1" s="712"/>
      <c r="L1" s="712"/>
      <c r="M1" s="712"/>
      <c r="N1" s="712"/>
      <c r="O1" s="712"/>
      <c r="P1" s="712"/>
      <c r="Q1" s="712"/>
      <c r="R1" s="712"/>
      <c r="S1" s="712"/>
      <c r="T1" s="712"/>
      <c r="U1" s="712"/>
      <c r="V1" s="712"/>
    </row>
    <row r="2" spans="1:22" x14ac:dyDescent="0.35">
      <c r="A2" s="712" t="s">
        <v>1936</v>
      </c>
      <c r="B2" s="712"/>
      <c r="C2" s="712"/>
      <c r="D2" s="712"/>
      <c r="E2" s="712"/>
      <c r="F2" s="712"/>
      <c r="G2" s="712"/>
      <c r="H2" s="712"/>
      <c r="I2" s="712"/>
      <c r="J2" s="712"/>
      <c r="K2" s="712"/>
      <c r="L2" s="712"/>
      <c r="M2" s="712"/>
      <c r="N2" s="712"/>
      <c r="O2" s="712"/>
      <c r="P2" s="712"/>
      <c r="Q2" s="712"/>
      <c r="R2" s="712"/>
      <c r="S2" s="712"/>
      <c r="T2" s="712"/>
      <c r="U2" s="712"/>
      <c r="V2" s="712"/>
    </row>
    <row r="3" spans="1:22" x14ac:dyDescent="0.35">
      <c r="A3" s="712"/>
      <c r="B3" s="712"/>
      <c r="C3" s="712"/>
      <c r="D3" s="712"/>
      <c r="E3" s="712"/>
      <c r="F3" s="712"/>
      <c r="G3" s="712"/>
      <c r="H3" s="712"/>
      <c r="I3" s="712"/>
      <c r="J3" s="712"/>
      <c r="K3" s="712"/>
      <c r="L3" s="712"/>
      <c r="M3" s="712"/>
      <c r="N3" s="712"/>
      <c r="O3" s="712"/>
      <c r="P3" s="712"/>
      <c r="Q3" s="712"/>
      <c r="R3" s="712"/>
      <c r="S3" s="712"/>
      <c r="T3" s="712"/>
      <c r="U3" s="712"/>
      <c r="V3" s="712"/>
    </row>
    <row r="4" spans="1:22" x14ac:dyDescent="0.35">
      <c r="A4" s="712" t="s">
        <v>1937</v>
      </c>
      <c r="B4" s="712"/>
      <c r="C4" s="712"/>
      <c r="D4" s="712"/>
      <c r="E4" s="712"/>
      <c r="F4" s="712"/>
      <c r="G4" s="712"/>
      <c r="H4" s="712"/>
      <c r="I4" s="712"/>
      <c r="J4" s="712"/>
      <c r="K4" s="712"/>
      <c r="L4" s="712"/>
      <c r="M4" s="712"/>
      <c r="N4" s="712"/>
      <c r="O4" s="712"/>
      <c r="P4" s="712"/>
      <c r="Q4" s="712"/>
      <c r="R4" s="712"/>
      <c r="S4" s="712"/>
      <c r="T4" s="712"/>
      <c r="U4" s="712"/>
      <c r="V4" s="712"/>
    </row>
    <row r="5" spans="1:22" x14ac:dyDescent="0.35">
      <c r="A5" s="712" t="s">
        <v>1938</v>
      </c>
      <c r="B5" s="712" t="s">
        <v>1939</v>
      </c>
      <c r="C5" s="712"/>
      <c r="D5" s="712"/>
      <c r="E5" s="712"/>
      <c r="F5" s="712"/>
      <c r="G5" s="712"/>
      <c r="H5" s="712"/>
      <c r="I5" s="712"/>
      <c r="J5" s="712"/>
      <c r="K5" s="712"/>
      <c r="L5" s="712"/>
      <c r="M5" s="712"/>
      <c r="N5" s="712"/>
      <c r="O5" s="712"/>
      <c r="P5" s="712"/>
      <c r="Q5" s="712"/>
      <c r="R5" s="712"/>
      <c r="S5" s="712"/>
      <c r="T5" s="712"/>
      <c r="U5" s="712"/>
      <c r="V5" s="712"/>
    </row>
    <row r="6" spans="1:22" x14ac:dyDescent="0.35">
      <c r="A6" s="712" t="s">
        <v>1940</v>
      </c>
      <c r="B6" s="712"/>
      <c r="C6" s="712"/>
      <c r="D6" s="712"/>
      <c r="E6" s="712"/>
      <c r="F6" s="712"/>
      <c r="G6" s="712"/>
      <c r="H6" s="712"/>
      <c r="I6" s="712"/>
      <c r="J6" s="712"/>
      <c r="K6" s="712"/>
      <c r="L6" s="712"/>
      <c r="M6" s="712"/>
      <c r="N6" s="712"/>
      <c r="O6" s="712"/>
      <c r="P6" s="712"/>
      <c r="Q6" s="712"/>
      <c r="R6" s="712"/>
      <c r="S6" s="712"/>
      <c r="T6" s="712"/>
      <c r="U6" s="712"/>
      <c r="V6" s="712"/>
    </row>
    <row r="7" spans="1:22" x14ac:dyDescent="0.35">
      <c r="A7" s="712" t="s">
        <v>1941</v>
      </c>
      <c r="B7" s="712"/>
      <c r="C7" s="712"/>
      <c r="D7" s="712"/>
      <c r="E7" s="712"/>
      <c r="F7" s="712"/>
      <c r="G7" s="712"/>
      <c r="H7" s="712"/>
      <c r="I7" s="712"/>
      <c r="J7" s="712"/>
      <c r="K7" s="712"/>
      <c r="L7" s="712"/>
      <c r="M7" s="712"/>
      <c r="N7" s="712"/>
      <c r="O7" s="712"/>
      <c r="P7" s="712"/>
      <c r="Q7" s="712"/>
      <c r="R7" s="712"/>
      <c r="S7" s="712"/>
      <c r="T7" s="712"/>
      <c r="U7" s="712"/>
      <c r="V7" s="712"/>
    </row>
    <row r="8" spans="1:22" x14ac:dyDescent="0.35">
      <c r="A8" s="712"/>
      <c r="B8" s="712"/>
      <c r="C8" s="712"/>
      <c r="D8" s="712"/>
      <c r="E8" s="712"/>
      <c r="F8" s="712"/>
      <c r="G8" s="712"/>
      <c r="H8" s="712"/>
      <c r="I8" s="712"/>
      <c r="J8" s="712"/>
      <c r="K8" s="712"/>
      <c r="L8" s="712"/>
      <c r="M8" s="712"/>
      <c r="N8" s="712"/>
      <c r="O8" s="712"/>
      <c r="P8" s="712"/>
      <c r="Q8" s="712"/>
      <c r="R8" s="712"/>
      <c r="S8" s="712"/>
      <c r="T8" s="712"/>
      <c r="U8" s="712"/>
      <c r="V8" s="712"/>
    </row>
    <row r="9" spans="1:22" x14ac:dyDescent="0.35">
      <c r="A9" s="712"/>
      <c r="B9" s="712"/>
      <c r="C9" s="712"/>
      <c r="D9" s="712"/>
      <c r="E9" s="712"/>
      <c r="F9" s="712"/>
      <c r="G9" s="712"/>
      <c r="H9" s="712"/>
      <c r="I9" s="712"/>
      <c r="J9" s="712"/>
      <c r="K9" s="712"/>
      <c r="L9" s="712"/>
      <c r="M9" s="712"/>
      <c r="N9" s="712"/>
      <c r="O9" s="712"/>
      <c r="P9" s="712"/>
      <c r="Q9" s="712"/>
      <c r="R9" s="712"/>
      <c r="S9" s="712"/>
      <c r="T9" s="712"/>
      <c r="U9" s="712"/>
      <c r="V9" s="712"/>
    </row>
    <row r="10" spans="1:22" x14ac:dyDescent="0.35">
      <c r="A10" s="712"/>
      <c r="B10" s="713" t="s">
        <v>184</v>
      </c>
      <c r="C10" s="713" t="s">
        <v>185</v>
      </c>
      <c r="D10" s="713" t="s">
        <v>186</v>
      </c>
      <c r="E10" s="713" t="s">
        <v>187</v>
      </c>
      <c r="F10" s="713" t="s">
        <v>188</v>
      </c>
      <c r="G10" s="713" t="s">
        <v>189</v>
      </c>
      <c r="H10" s="713" t="s">
        <v>190</v>
      </c>
      <c r="I10" s="713" t="s">
        <v>191</v>
      </c>
      <c r="J10" s="713" t="s">
        <v>175</v>
      </c>
      <c r="K10" s="713" t="s">
        <v>176</v>
      </c>
      <c r="L10" s="713" t="s">
        <v>177</v>
      </c>
      <c r="M10" s="713" t="s">
        <v>768</v>
      </c>
      <c r="N10" s="713" t="s">
        <v>769</v>
      </c>
      <c r="O10" s="713" t="s">
        <v>770</v>
      </c>
      <c r="P10" s="713" t="s">
        <v>1162</v>
      </c>
      <c r="Q10" s="713" t="s">
        <v>1163</v>
      </c>
      <c r="R10" s="713"/>
      <c r="S10" s="713"/>
      <c r="T10" s="713"/>
      <c r="U10" s="713"/>
      <c r="V10" s="712"/>
    </row>
    <row r="11" spans="1:22" x14ac:dyDescent="0.35">
      <c r="A11" s="712"/>
      <c r="B11" s="712"/>
      <c r="C11" s="712"/>
      <c r="D11" s="712"/>
      <c r="E11" s="712"/>
      <c r="F11" s="712"/>
      <c r="G11" s="712"/>
      <c r="H11" s="712"/>
      <c r="I11" s="712"/>
      <c r="J11" s="712"/>
      <c r="K11" s="712"/>
      <c r="L11" s="712"/>
      <c r="M11" s="712"/>
      <c r="N11" s="712"/>
      <c r="O11" s="712"/>
      <c r="P11" s="712"/>
      <c r="Q11" s="712"/>
      <c r="R11" s="712"/>
      <c r="S11" s="712"/>
      <c r="T11" s="712"/>
      <c r="U11" s="712"/>
      <c r="V11" s="712"/>
    </row>
    <row r="12" spans="1:22" x14ac:dyDescent="0.35">
      <c r="A12" s="712" t="s">
        <v>1942</v>
      </c>
      <c r="B12" s="1039">
        <v>9.1428571428571441</v>
      </c>
      <c r="C12" s="1039">
        <v>9.1428571428571441</v>
      </c>
      <c r="D12" s="1039">
        <v>28.342857142857145</v>
      </c>
      <c r="E12" s="1039">
        <v>45.714285714285722</v>
      </c>
      <c r="F12" s="1039">
        <v>77</v>
      </c>
      <c r="G12" s="1039">
        <v>86</v>
      </c>
      <c r="H12" s="1039">
        <v>95</v>
      </c>
      <c r="I12" s="1039">
        <v>91.428571428571445</v>
      </c>
      <c r="J12" s="1039">
        <v>81.676190476190499</v>
      </c>
      <c r="K12" s="1039">
        <v>72.228571428571442</v>
      </c>
      <c r="L12" s="1039">
        <v>59</v>
      </c>
      <c r="M12" s="1039">
        <v>48</v>
      </c>
      <c r="N12" s="1039">
        <v>40</v>
      </c>
      <c r="O12" s="712">
        <v>40</v>
      </c>
      <c r="P12" s="712">
        <v>40</v>
      </c>
      <c r="Q12" s="712">
        <v>40</v>
      </c>
      <c r="R12" s="712"/>
      <c r="S12" s="712"/>
      <c r="T12" s="712"/>
      <c r="U12" s="712"/>
      <c r="V12" s="712"/>
    </row>
    <row r="13" spans="1:22" x14ac:dyDescent="0.35">
      <c r="A13" s="712" t="s">
        <v>1943</v>
      </c>
      <c r="B13" s="714">
        <v>1.2372660206226285</v>
      </c>
      <c r="C13" s="714">
        <f>B13*(1+Deflators!T45)^(1/4)</f>
        <v>1.2498921560539855</v>
      </c>
      <c r="D13" s="714">
        <f>C13*(1+Deflators!U45)^(1/4)</f>
        <v>1.2627087947860671</v>
      </c>
      <c r="E13" s="714">
        <f>D13*(1+Deflators!V45)^(1/4)</f>
        <v>1.2704876795656541</v>
      </c>
      <c r="F13" s="714">
        <f>E13*(1+Deflators!W45)^(1/4)</f>
        <v>1.2786369874299834</v>
      </c>
      <c r="G13" s="714">
        <f>F13*(1+Deflators!X45)^(1/4)</f>
        <v>1.2839075787500305</v>
      </c>
      <c r="H13" s="714">
        <f>G13*(1+Deflators!Y45)^(1/4)</f>
        <v>1.2928308113997562</v>
      </c>
      <c r="I13" s="714">
        <f>H13*(1+Deflators!Z45)^(1/4)</f>
        <v>1.3007594616389764</v>
      </c>
      <c r="J13" s="714">
        <f>I13*(1+Deflators!AA45)^(1/4)</f>
        <v>1.3089073397136488</v>
      </c>
      <c r="K13" s="714">
        <f>J13*(1+Deflators!AB45)^(1/4)</f>
        <v>1.3167756725708153</v>
      </c>
      <c r="L13" s="714">
        <f>K13*(1+Deflators!AC45)^(1/4)</f>
        <v>1.3243021594142683</v>
      </c>
      <c r="M13" s="714">
        <f>L13*(1+Deflators!AD45)^(1/4)</f>
        <v>1.3317210763865168</v>
      </c>
      <c r="N13" s="714">
        <f>M13*(1+Deflators!AE45)^(1/4)</f>
        <v>1.3390523734579325</v>
      </c>
      <c r="O13" s="714">
        <f>N13*(1+Deflators!AF45)^(1/4)</f>
        <v>1.3463921411001847</v>
      </c>
      <c r="P13" s="1031">
        <v>0</v>
      </c>
      <c r="Q13" s="1031">
        <v>0</v>
      </c>
      <c r="V13" s="712"/>
    </row>
    <row r="14" spans="1:22" x14ac:dyDescent="0.35">
      <c r="A14" s="712" t="s">
        <v>1944</v>
      </c>
      <c r="B14" s="712">
        <f>B12*B13</f>
        <v>11.312146474264033</v>
      </c>
      <c r="C14" s="712">
        <f t="shared" ref="C14:Q14" si="0">C12*C13</f>
        <v>11.427585426779297</v>
      </c>
      <c r="D14" s="712">
        <f t="shared" si="0"/>
        <v>35.788774983650818</v>
      </c>
      <c r="E14" s="712">
        <f t="shared" si="0"/>
        <v>58.079436780144199</v>
      </c>
      <c r="F14" s="712">
        <f t="shared" si="0"/>
        <v>98.455048032108721</v>
      </c>
      <c r="G14" s="712">
        <f t="shared" si="0"/>
        <v>110.41605177250263</v>
      </c>
      <c r="H14" s="712">
        <f t="shared" si="0"/>
        <v>122.81892708297684</v>
      </c>
      <c r="I14" s="712">
        <f t="shared" si="0"/>
        <v>118.92657934984929</v>
      </c>
      <c r="J14" s="712">
        <f t="shared" si="0"/>
        <v>106.90656519413577</v>
      </c>
      <c r="K14" s="712">
        <f t="shared" si="0"/>
        <v>95.10882572168633</v>
      </c>
      <c r="L14" s="712">
        <f t="shared" si="0"/>
        <v>78.133827405441835</v>
      </c>
      <c r="M14" s="712">
        <f t="shared" si="0"/>
        <v>63.922611666552811</v>
      </c>
      <c r="N14" s="712">
        <f t="shared" si="0"/>
        <v>53.562094938317301</v>
      </c>
      <c r="O14" s="712">
        <f t="shared" si="0"/>
        <v>53.855685644007387</v>
      </c>
      <c r="P14" s="712">
        <f t="shared" si="0"/>
        <v>0</v>
      </c>
      <c r="Q14" s="712">
        <f t="shared" si="0"/>
        <v>0</v>
      </c>
      <c r="R14" s="712"/>
      <c r="S14" s="712"/>
      <c r="T14" s="712"/>
      <c r="U14" s="712"/>
      <c r="V14" s="712"/>
    </row>
    <row r="15" spans="1:22" x14ac:dyDescent="0.35">
      <c r="A15" s="712"/>
      <c r="B15" s="712"/>
      <c r="C15" s="712"/>
      <c r="D15" s="712"/>
      <c r="E15" s="712"/>
      <c r="F15" s="712"/>
      <c r="G15" s="712"/>
      <c r="H15" s="712"/>
      <c r="I15" s="712"/>
      <c r="J15" s="712"/>
      <c r="K15" s="712"/>
      <c r="L15" s="712"/>
      <c r="M15" s="712"/>
      <c r="N15" s="712"/>
      <c r="O15" s="712"/>
      <c r="P15" s="712"/>
      <c r="Q15" s="712"/>
      <c r="R15" s="712"/>
      <c r="S15" s="712"/>
      <c r="T15" s="712"/>
      <c r="U15" s="712"/>
      <c r="V15" s="712"/>
    </row>
    <row r="16" spans="1:22" x14ac:dyDescent="0.35">
      <c r="A16" t="s">
        <v>1935</v>
      </c>
      <c r="B16" s="712"/>
      <c r="C16" s="712"/>
      <c r="D16" s="712"/>
      <c r="E16" s="712"/>
      <c r="F16" s="712"/>
      <c r="G16" s="712"/>
      <c r="H16" s="712"/>
      <c r="I16" s="712"/>
      <c r="J16" s="712"/>
      <c r="K16" s="712"/>
      <c r="L16" s="712"/>
      <c r="M16" s="712"/>
      <c r="N16" s="712"/>
      <c r="O16" s="712"/>
      <c r="P16" s="712"/>
      <c r="Q16" s="712"/>
      <c r="R16" s="712"/>
      <c r="S16" s="712"/>
      <c r="T16" s="712"/>
      <c r="U16" s="712"/>
      <c r="V16" s="712"/>
    </row>
    <row r="17" spans="1:22" x14ac:dyDescent="0.35">
      <c r="A17" t="s">
        <v>1936</v>
      </c>
      <c r="B17" s="712"/>
      <c r="C17" s="712"/>
      <c r="D17" s="712"/>
      <c r="E17" s="712"/>
      <c r="F17" s="712"/>
      <c r="G17" s="712"/>
      <c r="H17" s="712"/>
      <c r="I17" s="712"/>
      <c r="J17" s="712"/>
      <c r="K17" s="712"/>
      <c r="L17" s="712"/>
      <c r="M17" s="712"/>
      <c r="N17" s="712"/>
      <c r="O17" s="712"/>
      <c r="P17" s="712"/>
      <c r="Q17" s="712"/>
      <c r="R17" s="712"/>
      <c r="S17" s="712"/>
      <c r="T17" s="712"/>
      <c r="U17" s="712"/>
      <c r="V17" s="712"/>
    </row>
    <row r="18" spans="1:22" x14ac:dyDescent="0.35">
      <c r="B18" s="712"/>
      <c r="C18" s="712"/>
      <c r="D18" s="712"/>
      <c r="E18" s="712"/>
      <c r="F18" s="712"/>
      <c r="G18" s="712"/>
      <c r="H18" s="712"/>
      <c r="I18" s="712"/>
      <c r="J18" s="712"/>
      <c r="K18" s="712"/>
      <c r="L18" s="712"/>
      <c r="M18" s="712"/>
      <c r="N18" s="712"/>
      <c r="O18" s="712"/>
      <c r="P18" s="712"/>
      <c r="Q18" s="712"/>
      <c r="R18" s="712"/>
      <c r="S18" s="712"/>
      <c r="T18" s="712"/>
      <c r="U18" s="712"/>
      <c r="V18" s="712"/>
    </row>
    <row r="19" spans="1:22" x14ac:dyDescent="0.35">
      <c r="A19" t="s">
        <v>1937</v>
      </c>
      <c r="B19" s="712"/>
      <c r="C19" s="712"/>
      <c r="D19" s="712"/>
      <c r="E19" s="712"/>
      <c r="F19" s="712"/>
      <c r="G19" s="712"/>
      <c r="H19" s="712"/>
      <c r="I19" s="712"/>
      <c r="J19" s="712"/>
      <c r="K19" s="712"/>
      <c r="L19" s="712"/>
      <c r="M19" s="712"/>
      <c r="N19" s="712"/>
      <c r="O19" s="712"/>
      <c r="P19" s="712"/>
      <c r="Q19" s="712"/>
      <c r="R19" s="712"/>
      <c r="S19" s="712"/>
      <c r="T19" s="712"/>
      <c r="U19" s="712"/>
      <c r="V19" s="712"/>
    </row>
    <row r="20" spans="1:22" x14ac:dyDescent="0.35">
      <c r="A20" t="s">
        <v>1938</v>
      </c>
      <c r="B20" s="712"/>
      <c r="C20" s="712"/>
      <c r="D20" s="712"/>
      <c r="E20" s="712"/>
      <c r="F20" s="712"/>
      <c r="G20" s="712"/>
      <c r="H20" s="712"/>
      <c r="I20" s="712"/>
      <c r="J20" s="712"/>
      <c r="K20" s="712"/>
      <c r="L20" s="712"/>
      <c r="M20" s="712"/>
      <c r="N20" s="712"/>
      <c r="O20" s="712"/>
      <c r="P20" s="712"/>
      <c r="Q20" s="712"/>
      <c r="R20" s="712"/>
      <c r="S20" s="712"/>
      <c r="T20" s="712"/>
      <c r="U20" s="712"/>
      <c r="V20" s="712"/>
    </row>
    <row r="21" spans="1:22" x14ac:dyDescent="0.35">
      <c r="A21" t="s">
        <v>1940</v>
      </c>
      <c r="B21" s="712"/>
      <c r="C21" s="712"/>
      <c r="D21" s="712"/>
      <c r="E21" s="712"/>
      <c r="F21" s="712"/>
      <c r="G21" s="712"/>
      <c r="H21" s="712"/>
      <c r="I21" s="712"/>
      <c r="J21" s="712"/>
      <c r="K21" s="712"/>
      <c r="L21" s="712"/>
      <c r="M21" s="712"/>
      <c r="N21" s="712"/>
      <c r="O21" s="712"/>
      <c r="P21" s="712"/>
      <c r="Q21" s="712"/>
      <c r="R21" s="712"/>
      <c r="S21" s="712"/>
      <c r="T21" s="712"/>
      <c r="U21" s="712"/>
      <c r="V21" s="712"/>
    </row>
    <row r="22" spans="1:22" x14ac:dyDescent="0.35">
      <c r="A22" t="s">
        <v>1941</v>
      </c>
      <c r="B22" s="712"/>
      <c r="C22" s="712"/>
      <c r="D22" s="712"/>
      <c r="E22" s="712"/>
      <c r="F22" s="712"/>
      <c r="G22" s="712"/>
      <c r="H22" s="712"/>
      <c r="I22" s="712"/>
      <c r="J22" s="712"/>
      <c r="K22" s="712"/>
      <c r="L22" s="712"/>
      <c r="M22" s="712"/>
      <c r="N22" s="712"/>
      <c r="O22" s="712"/>
      <c r="P22" s="712"/>
      <c r="Q22" s="712"/>
      <c r="R22" s="712"/>
      <c r="S22" s="712"/>
      <c r="T22" s="712"/>
      <c r="U22" s="712"/>
      <c r="V22" s="712"/>
    </row>
    <row r="23" spans="1:22" x14ac:dyDescent="0.35">
      <c r="B23" s="1434" t="s">
        <v>1945</v>
      </c>
      <c r="C23" s="1434"/>
      <c r="D23" s="1434"/>
      <c r="L23" s="712"/>
      <c r="M23" s="712"/>
      <c r="N23" s="712"/>
      <c r="O23" s="712"/>
      <c r="P23" s="712"/>
      <c r="Q23" s="712"/>
      <c r="R23" s="712"/>
      <c r="S23" s="712"/>
      <c r="T23" s="712"/>
      <c r="U23" s="712"/>
      <c r="V23" s="712"/>
    </row>
    <row r="24" spans="1:22" x14ac:dyDescent="0.35">
      <c r="L24" s="712"/>
      <c r="M24" s="712"/>
      <c r="N24" s="712"/>
      <c r="O24" s="712"/>
      <c r="P24" s="712"/>
      <c r="Q24" s="712"/>
      <c r="R24" s="712"/>
      <c r="S24" s="712"/>
      <c r="T24" s="712"/>
      <c r="U24" s="712"/>
      <c r="V24" s="712"/>
    </row>
    <row r="25" spans="1:22" ht="58" customHeight="1" x14ac:dyDescent="0.35">
      <c r="A25" s="1032"/>
      <c r="B25" s="14" t="s">
        <v>1946</v>
      </c>
      <c r="C25" s="14"/>
      <c r="D25" s="14" t="s">
        <v>1947</v>
      </c>
      <c r="F25" s="1033" t="s">
        <v>1948</v>
      </c>
      <c r="G25" s="1034"/>
      <c r="H25" s="1033" t="s">
        <v>1991</v>
      </c>
      <c r="I25" s="1033" t="s">
        <v>1988</v>
      </c>
      <c r="J25" s="1033"/>
      <c r="K25" s="1033"/>
      <c r="L25" s="712"/>
      <c r="M25" s="712"/>
      <c r="N25" s="712"/>
      <c r="O25" s="712"/>
      <c r="P25" s="712"/>
      <c r="Q25" s="712"/>
      <c r="R25" s="712"/>
      <c r="S25" s="712"/>
      <c r="T25" s="712"/>
      <c r="U25" s="712"/>
      <c r="V25" s="712"/>
    </row>
    <row r="26" spans="1:22" ht="58" customHeight="1" x14ac:dyDescent="0.35">
      <c r="A26" s="1032" t="s">
        <v>1949</v>
      </c>
      <c r="B26" s="14" t="s">
        <v>1950</v>
      </c>
      <c r="C26" s="14"/>
      <c r="D26" s="1035" t="s">
        <v>1951</v>
      </c>
      <c r="F26" s="1033"/>
      <c r="G26" s="1033"/>
      <c r="H26" s="1033"/>
      <c r="I26" s="1033"/>
      <c r="J26" s="1036" t="s">
        <v>312</v>
      </c>
      <c r="K26" s="1033" t="s">
        <v>1989</v>
      </c>
      <c r="L26" s="712" t="s">
        <v>1952</v>
      </c>
      <c r="M26" s="712"/>
      <c r="N26" s="712"/>
      <c r="O26" s="712"/>
      <c r="P26" s="712"/>
      <c r="Q26" s="712"/>
      <c r="R26" s="712"/>
      <c r="S26" s="712"/>
      <c r="T26" s="712"/>
      <c r="U26" s="712"/>
      <c r="V26" s="712"/>
    </row>
    <row r="27" spans="1:22" x14ac:dyDescent="0.35">
      <c r="A27" s="1037">
        <v>44774</v>
      </c>
      <c r="B27">
        <v>10</v>
      </c>
      <c r="D27">
        <f>B27/1.75</f>
        <v>5.7142857142857144</v>
      </c>
      <c r="F27" s="1038" t="s">
        <v>184</v>
      </c>
      <c r="G27" s="1039">
        <f>AVERAGE(D27:D28)</f>
        <v>5.7142857142857144</v>
      </c>
      <c r="H27" s="1039">
        <f>0.4*G27</f>
        <v>2.285714285714286</v>
      </c>
      <c r="I27" s="1039">
        <f>H27*3</f>
        <v>6.8571428571428577</v>
      </c>
      <c r="J27" s="1039">
        <f t="shared" ref="J27:J46" si="1">H27+I27</f>
        <v>9.1428571428571441</v>
      </c>
      <c r="K27" s="1039">
        <f>J27</f>
        <v>9.1428571428571441</v>
      </c>
      <c r="L27" s="712"/>
      <c r="M27" s="712"/>
      <c r="N27" s="712"/>
      <c r="O27" s="712"/>
      <c r="P27" s="712"/>
      <c r="Q27" s="712"/>
      <c r="R27" s="712"/>
      <c r="S27" s="712"/>
      <c r="T27" s="712"/>
      <c r="U27" s="712"/>
      <c r="V27" s="712"/>
    </row>
    <row r="28" spans="1:22" x14ac:dyDescent="0.35">
      <c r="A28" s="1037">
        <f>A27+31</f>
        <v>44805</v>
      </c>
      <c r="B28">
        <v>10</v>
      </c>
      <c r="D28">
        <f t="shared" ref="D28:D61" si="2">B28/1.75</f>
        <v>5.7142857142857144</v>
      </c>
      <c r="F28" s="1038" t="s">
        <v>185</v>
      </c>
      <c r="G28" s="1039">
        <f>AVERAGE(D29:D31)</f>
        <v>5.7142857142857144</v>
      </c>
      <c r="H28" s="1039">
        <f t="shared" ref="H28:H46" si="3">0.4*G28</f>
        <v>2.285714285714286</v>
      </c>
      <c r="I28" s="1039">
        <f t="shared" ref="I28:I46" si="4">H28*3</f>
        <v>6.8571428571428577</v>
      </c>
      <c r="J28" s="1039">
        <f t="shared" si="1"/>
        <v>9.1428571428571441</v>
      </c>
      <c r="K28" s="1039">
        <f t="shared" ref="K28:K46" si="5">J28</f>
        <v>9.1428571428571441</v>
      </c>
      <c r="L28" s="714">
        <f>J28-J27</f>
        <v>0</v>
      </c>
      <c r="M28" s="714">
        <f>K28-K27</f>
        <v>0</v>
      </c>
      <c r="N28" s="712"/>
      <c r="O28" s="712"/>
      <c r="P28" s="712"/>
      <c r="Q28" s="712"/>
      <c r="R28" s="712"/>
      <c r="S28" s="712"/>
      <c r="T28" s="712"/>
      <c r="U28" s="712"/>
      <c r="V28" s="712"/>
    </row>
    <row r="29" spans="1:22" x14ac:dyDescent="0.35">
      <c r="A29" s="1037">
        <f t="shared" ref="A29:A61" si="6">A28+31</f>
        <v>44836</v>
      </c>
      <c r="B29">
        <v>10</v>
      </c>
      <c r="D29">
        <f t="shared" si="2"/>
        <v>5.7142857142857144</v>
      </c>
      <c r="F29" s="1038" t="s">
        <v>186</v>
      </c>
      <c r="G29" s="1039">
        <f>AVERAGE(D32:D34)</f>
        <v>17.714285714285715</v>
      </c>
      <c r="H29" s="1039">
        <f t="shared" si="3"/>
        <v>7.0857142857142863</v>
      </c>
      <c r="I29" s="1039">
        <f t="shared" si="4"/>
        <v>21.25714285714286</v>
      </c>
      <c r="J29" s="1039">
        <f t="shared" si="1"/>
        <v>28.342857142857145</v>
      </c>
      <c r="K29" s="1039">
        <f t="shared" si="5"/>
        <v>28.342857142857145</v>
      </c>
      <c r="L29" s="714">
        <f t="shared" ref="L29:M47" si="7">J29-J28</f>
        <v>19.200000000000003</v>
      </c>
      <c r="M29" s="714">
        <f t="shared" si="7"/>
        <v>19.200000000000003</v>
      </c>
      <c r="N29" s="712"/>
      <c r="O29" s="712"/>
      <c r="P29" s="712"/>
      <c r="Q29" s="712"/>
      <c r="R29" s="712"/>
      <c r="S29" s="712"/>
      <c r="T29" s="712"/>
      <c r="U29" s="712"/>
      <c r="V29" s="712"/>
    </row>
    <row r="30" spans="1:22" x14ac:dyDescent="0.35">
      <c r="A30" s="1037">
        <f t="shared" si="6"/>
        <v>44867</v>
      </c>
      <c r="B30">
        <v>10</v>
      </c>
      <c r="D30">
        <f t="shared" si="2"/>
        <v>5.7142857142857144</v>
      </c>
      <c r="F30" s="1038" t="s">
        <v>187</v>
      </c>
      <c r="G30" s="1039">
        <f>AVERAGE(D35:D37)</f>
        <v>28.571428571428573</v>
      </c>
      <c r="H30" s="1039">
        <f t="shared" si="3"/>
        <v>11.428571428571431</v>
      </c>
      <c r="I30" s="1039">
        <f t="shared" si="4"/>
        <v>34.285714285714292</v>
      </c>
      <c r="J30" s="1039">
        <f t="shared" si="1"/>
        <v>45.714285714285722</v>
      </c>
      <c r="K30" s="1039">
        <f t="shared" si="5"/>
        <v>45.714285714285722</v>
      </c>
      <c r="L30" s="714">
        <f t="shared" si="7"/>
        <v>17.371428571428577</v>
      </c>
      <c r="M30" s="714">
        <f t="shared" si="7"/>
        <v>17.371428571428577</v>
      </c>
      <c r="N30" s="712"/>
      <c r="O30" s="712"/>
      <c r="P30" s="712"/>
      <c r="Q30" s="712"/>
      <c r="R30" s="712"/>
      <c r="S30" s="712"/>
      <c r="T30" s="712"/>
      <c r="U30" s="712"/>
      <c r="V30" s="712"/>
    </row>
    <row r="31" spans="1:22" x14ac:dyDescent="0.35">
      <c r="A31" s="1037">
        <f t="shared" si="6"/>
        <v>44898</v>
      </c>
      <c r="B31">
        <v>10</v>
      </c>
      <c r="D31">
        <f t="shared" si="2"/>
        <v>5.7142857142857144</v>
      </c>
      <c r="F31" s="1038" t="s">
        <v>188</v>
      </c>
      <c r="G31" s="1039">
        <f>AVERAGE(D38:D40)</f>
        <v>46.666666666666664</v>
      </c>
      <c r="H31" s="1039">
        <f t="shared" si="3"/>
        <v>18.666666666666668</v>
      </c>
      <c r="I31" s="1039">
        <f t="shared" si="4"/>
        <v>56</v>
      </c>
      <c r="J31" s="1039">
        <f t="shared" si="1"/>
        <v>74.666666666666671</v>
      </c>
      <c r="K31" s="1039">
        <v>77</v>
      </c>
      <c r="L31" s="714">
        <f t="shared" si="7"/>
        <v>28.952380952380949</v>
      </c>
      <c r="M31" s="714">
        <f t="shared" si="7"/>
        <v>31.285714285714278</v>
      </c>
      <c r="N31" s="712"/>
      <c r="O31" s="712"/>
      <c r="P31" s="712"/>
      <c r="Q31" s="712"/>
      <c r="R31" s="712"/>
      <c r="S31" s="712"/>
      <c r="T31" s="712"/>
      <c r="U31" s="712"/>
      <c r="V31" s="712"/>
    </row>
    <row r="32" spans="1:22" x14ac:dyDescent="0.35">
      <c r="A32" s="1037">
        <f t="shared" si="6"/>
        <v>44929</v>
      </c>
      <c r="B32">
        <v>25</v>
      </c>
      <c r="D32">
        <f t="shared" si="2"/>
        <v>14.285714285714286</v>
      </c>
      <c r="F32" s="1038" t="s">
        <v>189</v>
      </c>
      <c r="G32" s="1039">
        <f>AVERAGE(D41:D43)</f>
        <v>49.904761904761905</v>
      </c>
      <c r="H32" s="1039">
        <f t="shared" si="3"/>
        <v>19.961904761904762</v>
      </c>
      <c r="I32" s="1039">
        <f t="shared" si="4"/>
        <v>59.885714285714286</v>
      </c>
      <c r="J32" s="1039">
        <f t="shared" si="1"/>
        <v>79.847619047619048</v>
      </c>
      <c r="K32" s="1039">
        <v>86</v>
      </c>
      <c r="L32" s="714">
        <f t="shared" si="7"/>
        <v>5.1809523809523768</v>
      </c>
      <c r="M32" s="714">
        <f t="shared" si="7"/>
        <v>9</v>
      </c>
      <c r="N32" s="712"/>
      <c r="O32" s="712"/>
      <c r="P32" s="712"/>
      <c r="Q32" s="712"/>
      <c r="R32" s="712"/>
      <c r="S32" s="712"/>
      <c r="T32" s="712"/>
      <c r="U32" s="712"/>
      <c r="V32" s="712"/>
    </row>
    <row r="33" spans="1:22" x14ac:dyDescent="0.35">
      <c r="A33" s="1037">
        <f t="shared" si="6"/>
        <v>44960</v>
      </c>
      <c r="B33">
        <v>30</v>
      </c>
      <c r="D33">
        <f t="shared" si="2"/>
        <v>17.142857142857142</v>
      </c>
      <c r="F33" s="1038" t="s">
        <v>190</v>
      </c>
      <c r="G33" s="1039">
        <f>AVERAGE(D44:D46)</f>
        <v>57.142857142857146</v>
      </c>
      <c r="H33" s="1039">
        <f t="shared" si="3"/>
        <v>22.857142857142861</v>
      </c>
      <c r="I33" s="1039">
        <f t="shared" si="4"/>
        <v>68.571428571428584</v>
      </c>
      <c r="J33" s="1039">
        <f t="shared" si="1"/>
        <v>91.428571428571445</v>
      </c>
      <c r="K33" s="1039">
        <v>95</v>
      </c>
      <c r="L33" s="714">
        <f t="shared" si="7"/>
        <v>11.580952380952397</v>
      </c>
      <c r="M33" s="714">
        <f t="shared" si="7"/>
        <v>9</v>
      </c>
      <c r="N33" s="712"/>
      <c r="O33" s="712"/>
      <c r="P33" s="712"/>
      <c r="Q33" s="712"/>
      <c r="R33" s="712"/>
      <c r="S33" s="712"/>
      <c r="T33" s="712"/>
      <c r="U33" s="712"/>
      <c r="V33" s="712"/>
    </row>
    <row r="34" spans="1:22" x14ac:dyDescent="0.35">
      <c r="A34" s="1037">
        <f t="shared" si="6"/>
        <v>44991</v>
      </c>
      <c r="B34">
        <v>38</v>
      </c>
      <c r="D34">
        <f t="shared" si="2"/>
        <v>21.714285714285715</v>
      </c>
      <c r="F34" s="1038" t="s">
        <v>191</v>
      </c>
      <c r="G34" s="1039">
        <f>AVERAGE(D47:D49)</f>
        <v>57.142857142857146</v>
      </c>
      <c r="H34" s="1039">
        <f t="shared" si="3"/>
        <v>22.857142857142861</v>
      </c>
      <c r="I34" s="1039">
        <f t="shared" si="4"/>
        <v>68.571428571428584</v>
      </c>
      <c r="J34" s="1039">
        <f t="shared" si="1"/>
        <v>91.428571428571445</v>
      </c>
      <c r="K34" s="1039">
        <f t="shared" si="5"/>
        <v>91.428571428571445</v>
      </c>
      <c r="L34" s="714">
        <f t="shared" si="7"/>
        <v>0</v>
      </c>
      <c r="M34" s="714">
        <f t="shared" si="7"/>
        <v>-3.5714285714285552</v>
      </c>
      <c r="N34" s="712"/>
      <c r="O34" s="712"/>
      <c r="P34" s="712"/>
      <c r="Q34" s="712"/>
      <c r="R34" s="712"/>
      <c r="S34" s="712"/>
      <c r="T34" s="712"/>
      <c r="U34" s="712"/>
      <c r="V34" s="712"/>
    </row>
    <row r="35" spans="1:22" x14ac:dyDescent="0.35">
      <c r="A35" s="1037">
        <f t="shared" si="6"/>
        <v>45022</v>
      </c>
      <c r="B35">
        <v>40</v>
      </c>
      <c r="D35">
        <f t="shared" si="2"/>
        <v>22.857142857142858</v>
      </c>
      <c r="F35" s="1038" t="s">
        <v>175</v>
      </c>
      <c r="G35" s="1039">
        <f>AVERAGE(D50:D52)</f>
        <v>51.047619047619058</v>
      </c>
      <c r="H35" s="1039">
        <f t="shared" si="3"/>
        <v>20.419047619047625</v>
      </c>
      <c r="I35" s="1039">
        <f t="shared" si="4"/>
        <v>61.257142857142874</v>
      </c>
      <c r="J35" s="1039">
        <f t="shared" si="1"/>
        <v>81.676190476190499</v>
      </c>
      <c r="K35" s="1039">
        <f t="shared" si="5"/>
        <v>81.676190476190499</v>
      </c>
      <c r="L35" s="714">
        <f t="shared" si="7"/>
        <v>-9.7523809523809462</v>
      </c>
      <c r="M35" s="714">
        <f t="shared" si="7"/>
        <v>-9.7523809523809462</v>
      </c>
      <c r="N35" s="712"/>
      <c r="O35" s="712"/>
      <c r="P35" s="712"/>
      <c r="Q35" s="712"/>
      <c r="R35" s="712"/>
      <c r="S35" s="712"/>
      <c r="T35" s="712"/>
      <c r="U35" s="712"/>
      <c r="V35" s="712"/>
    </row>
    <row r="36" spans="1:22" x14ac:dyDescent="0.35">
      <c r="A36" s="1037">
        <f t="shared" si="6"/>
        <v>45053</v>
      </c>
      <c r="B36">
        <v>50</v>
      </c>
      <c r="D36">
        <f t="shared" si="2"/>
        <v>28.571428571428573</v>
      </c>
      <c r="F36" s="1038" t="s">
        <v>176</v>
      </c>
      <c r="G36" s="1039">
        <f>AVERAGE(D53:D55)</f>
        <v>45.142857142857146</v>
      </c>
      <c r="H36" s="1039">
        <f t="shared" si="3"/>
        <v>18.05714285714286</v>
      </c>
      <c r="I36" s="1039">
        <f t="shared" si="4"/>
        <v>54.171428571428578</v>
      </c>
      <c r="J36" s="1039">
        <f t="shared" si="1"/>
        <v>72.228571428571442</v>
      </c>
      <c r="K36" s="1039">
        <f t="shared" si="5"/>
        <v>72.228571428571442</v>
      </c>
      <c r="L36" s="714">
        <f t="shared" si="7"/>
        <v>-9.4476190476190567</v>
      </c>
      <c r="M36" s="714">
        <f t="shared" si="7"/>
        <v>-9.4476190476190567</v>
      </c>
      <c r="N36" s="712"/>
      <c r="O36" s="712"/>
      <c r="P36" s="712"/>
      <c r="Q36" s="712"/>
      <c r="R36" s="712"/>
      <c r="S36" s="712"/>
      <c r="T36" s="712"/>
      <c r="U36" s="712"/>
      <c r="V36" s="712"/>
    </row>
    <row r="37" spans="1:22" x14ac:dyDescent="0.35">
      <c r="A37" s="1037">
        <f t="shared" si="6"/>
        <v>45084</v>
      </c>
      <c r="B37">
        <v>60</v>
      </c>
      <c r="D37">
        <f t="shared" si="2"/>
        <v>34.285714285714285</v>
      </c>
      <c r="F37" s="1038" t="s">
        <v>177</v>
      </c>
      <c r="G37" s="1039">
        <v>35</v>
      </c>
      <c r="H37" s="1039">
        <f t="shared" si="3"/>
        <v>14</v>
      </c>
      <c r="I37" s="1039">
        <f t="shared" si="4"/>
        <v>42</v>
      </c>
      <c r="J37" s="1039">
        <f t="shared" si="1"/>
        <v>56</v>
      </c>
      <c r="K37" s="1039">
        <v>59</v>
      </c>
      <c r="L37" s="714">
        <f t="shared" si="7"/>
        <v>-16.228571428571442</v>
      </c>
      <c r="M37" s="714">
        <f t="shared" si="7"/>
        <v>-13.228571428571442</v>
      </c>
      <c r="N37" s="712"/>
      <c r="O37" s="712"/>
      <c r="P37" s="712"/>
      <c r="Q37" s="712"/>
      <c r="R37" s="712"/>
      <c r="S37" s="712"/>
      <c r="T37" s="712"/>
      <c r="U37" s="712"/>
      <c r="V37" s="712"/>
    </row>
    <row r="38" spans="1:22" x14ac:dyDescent="0.35">
      <c r="A38" s="1037">
        <f t="shared" si="6"/>
        <v>45115</v>
      </c>
      <c r="B38">
        <v>70</v>
      </c>
      <c r="D38">
        <f t="shared" si="2"/>
        <v>40</v>
      </c>
      <c r="F38" s="1038" t="s">
        <v>768</v>
      </c>
      <c r="G38" s="1039">
        <v>30</v>
      </c>
      <c r="H38" s="1039">
        <f t="shared" si="3"/>
        <v>12</v>
      </c>
      <c r="I38" s="1039">
        <f t="shared" si="4"/>
        <v>36</v>
      </c>
      <c r="J38" s="1039">
        <f t="shared" si="1"/>
        <v>48</v>
      </c>
      <c r="K38" s="1039">
        <f t="shared" si="5"/>
        <v>48</v>
      </c>
      <c r="L38" s="714">
        <f t="shared" si="7"/>
        <v>-8</v>
      </c>
      <c r="M38" s="714">
        <f t="shared" si="7"/>
        <v>-11</v>
      </c>
      <c r="N38" s="712"/>
      <c r="O38" s="712"/>
      <c r="P38" s="712"/>
      <c r="Q38" s="712"/>
      <c r="R38" s="712"/>
      <c r="S38" s="712"/>
      <c r="T38" s="712"/>
      <c r="U38" s="712"/>
      <c r="V38" s="712"/>
    </row>
    <row r="39" spans="1:22" x14ac:dyDescent="0.35">
      <c r="A39" s="1037">
        <f t="shared" si="6"/>
        <v>45146</v>
      </c>
      <c r="B39">
        <v>85</v>
      </c>
      <c r="D39">
        <f t="shared" si="2"/>
        <v>48.571428571428569</v>
      </c>
      <c r="F39" s="1038" t="s">
        <v>769</v>
      </c>
      <c r="G39" s="1039">
        <v>25</v>
      </c>
      <c r="H39" s="1039">
        <f t="shared" si="3"/>
        <v>10</v>
      </c>
      <c r="I39" s="1039">
        <f t="shared" si="4"/>
        <v>30</v>
      </c>
      <c r="J39" s="1039">
        <f t="shared" si="1"/>
        <v>40</v>
      </c>
      <c r="K39" s="1039">
        <f t="shared" si="5"/>
        <v>40</v>
      </c>
      <c r="L39" s="714">
        <f t="shared" si="7"/>
        <v>-8</v>
      </c>
      <c r="M39" s="714">
        <f t="shared" si="7"/>
        <v>-8</v>
      </c>
      <c r="N39" s="712"/>
      <c r="O39" s="712"/>
      <c r="P39" s="712"/>
      <c r="Q39" s="712"/>
      <c r="R39" s="712"/>
      <c r="S39" s="712"/>
      <c r="T39" s="712"/>
      <c r="U39" s="712"/>
      <c r="V39" s="712"/>
    </row>
    <row r="40" spans="1:22" x14ac:dyDescent="0.35">
      <c r="A40" s="1037">
        <f t="shared" si="6"/>
        <v>45177</v>
      </c>
      <c r="B40">
        <v>90</v>
      </c>
      <c r="D40">
        <f t="shared" si="2"/>
        <v>51.428571428571431</v>
      </c>
      <c r="F40" s="1038" t="s">
        <v>770</v>
      </c>
      <c r="G40" s="1039">
        <f t="shared" ref="G40:G46" si="8">G39</f>
        <v>25</v>
      </c>
      <c r="H40" s="1039">
        <f t="shared" si="3"/>
        <v>10</v>
      </c>
      <c r="I40" s="1039">
        <f t="shared" si="4"/>
        <v>30</v>
      </c>
      <c r="J40" s="1039">
        <f t="shared" si="1"/>
        <v>40</v>
      </c>
      <c r="K40" s="1039">
        <f t="shared" si="5"/>
        <v>40</v>
      </c>
      <c r="L40" s="714">
        <f t="shared" si="7"/>
        <v>0</v>
      </c>
      <c r="M40" s="714">
        <f t="shared" si="7"/>
        <v>0</v>
      </c>
      <c r="N40" s="712"/>
      <c r="O40" s="712"/>
      <c r="P40" s="712"/>
      <c r="Q40" s="712"/>
      <c r="R40" s="712"/>
      <c r="S40" s="712"/>
      <c r="T40" s="712"/>
      <c r="U40" s="712"/>
      <c r="V40" s="712"/>
    </row>
    <row r="41" spans="1:22" x14ac:dyDescent="0.35">
      <c r="A41" s="1037">
        <f t="shared" si="6"/>
        <v>45208</v>
      </c>
      <c r="B41">
        <v>93</v>
      </c>
      <c r="D41">
        <f t="shared" si="2"/>
        <v>53.142857142857146</v>
      </c>
      <c r="F41" s="1038" t="s">
        <v>1162</v>
      </c>
      <c r="G41" s="1039">
        <f t="shared" si="8"/>
        <v>25</v>
      </c>
      <c r="H41" s="1039">
        <f t="shared" si="3"/>
        <v>10</v>
      </c>
      <c r="I41" s="1039">
        <f t="shared" si="4"/>
        <v>30</v>
      </c>
      <c r="J41" s="1039">
        <f t="shared" si="1"/>
        <v>40</v>
      </c>
      <c r="K41" s="1039">
        <f t="shared" si="5"/>
        <v>40</v>
      </c>
      <c r="L41" s="714">
        <f t="shared" si="7"/>
        <v>0</v>
      </c>
      <c r="M41" s="714">
        <f t="shared" si="7"/>
        <v>0</v>
      </c>
      <c r="N41" s="712"/>
      <c r="O41" s="712"/>
      <c r="P41" s="712"/>
      <c r="Q41" s="712"/>
      <c r="R41" s="712"/>
      <c r="S41" s="712"/>
      <c r="T41" s="712"/>
      <c r="U41" s="712"/>
      <c r="V41" s="712"/>
    </row>
    <row r="42" spans="1:22" x14ac:dyDescent="0.35">
      <c r="A42" s="1037">
        <f t="shared" si="6"/>
        <v>45239</v>
      </c>
      <c r="B42">
        <v>84</v>
      </c>
      <c r="D42">
        <f t="shared" si="2"/>
        <v>48</v>
      </c>
      <c r="F42" s="1038" t="s">
        <v>1163</v>
      </c>
      <c r="G42" s="1039">
        <f t="shared" si="8"/>
        <v>25</v>
      </c>
      <c r="H42" s="1039">
        <f t="shared" si="3"/>
        <v>10</v>
      </c>
      <c r="I42" s="1039">
        <f t="shared" si="4"/>
        <v>30</v>
      </c>
      <c r="J42" s="1039">
        <f t="shared" si="1"/>
        <v>40</v>
      </c>
      <c r="K42" s="1039">
        <f t="shared" si="5"/>
        <v>40</v>
      </c>
      <c r="L42" s="714">
        <f t="shared" si="7"/>
        <v>0</v>
      </c>
      <c r="M42" s="714">
        <f t="shared" si="7"/>
        <v>0</v>
      </c>
      <c r="N42" s="712"/>
      <c r="O42" s="712"/>
      <c r="P42" s="712"/>
      <c r="Q42" s="712"/>
      <c r="R42" s="712"/>
      <c r="S42" s="712"/>
      <c r="T42" s="712"/>
      <c r="U42" s="712"/>
      <c r="V42" s="712"/>
    </row>
    <row r="43" spans="1:22" x14ac:dyDescent="0.35">
      <c r="A43" s="1037">
        <f t="shared" si="6"/>
        <v>45270</v>
      </c>
      <c r="B43">
        <v>85</v>
      </c>
      <c r="D43">
        <f t="shared" si="2"/>
        <v>48.571428571428569</v>
      </c>
      <c r="F43" s="1038" t="s">
        <v>1164</v>
      </c>
      <c r="G43" s="1039">
        <f t="shared" si="8"/>
        <v>25</v>
      </c>
      <c r="H43" s="1039">
        <f t="shared" si="3"/>
        <v>10</v>
      </c>
      <c r="I43" s="1039">
        <f t="shared" si="4"/>
        <v>30</v>
      </c>
      <c r="J43" s="1039">
        <f t="shared" si="1"/>
        <v>40</v>
      </c>
      <c r="K43" s="1039">
        <f t="shared" si="5"/>
        <v>40</v>
      </c>
      <c r="L43" s="714">
        <f t="shared" si="7"/>
        <v>0</v>
      </c>
      <c r="M43" s="714">
        <f t="shared" si="7"/>
        <v>0</v>
      </c>
      <c r="N43" s="712"/>
      <c r="O43" s="712"/>
      <c r="P43" s="712"/>
      <c r="Q43" s="712"/>
      <c r="R43" s="712"/>
      <c r="S43" s="712"/>
      <c r="T43" s="712"/>
      <c r="U43" s="712"/>
      <c r="V43" s="712"/>
    </row>
    <row r="44" spans="1:22" x14ac:dyDescent="0.35">
      <c r="A44" s="1037">
        <f t="shared" si="6"/>
        <v>45301</v>
      </c>
      <c r="B44">
        <v>100</v>
      </c>
      <c r="D44">
        <f t="shared" si="2"/>
        <v>57.142857142857146</v>
      </c>
      <c r="F44" s="1038" t="s">
        <v>1165</v>
      </c>
      <c r="G44" s="1039">
        <f t="shared" si="8"/>
        <v>25</v>
      </c>
      <c r="H44" s="1039">
        <f t="shared" si="3"/>
        <v>10</v>
      </c>
      <c r="I44" s="1039">
        <f t="shared" si="4"/>
        <v>30</v>
      </c>
      <c r="J44" s="1039">
        <f t="shared" si="1"/>
        <v>40</v>
      </c>
      <c r="K44" s="1039">
        <f t="shared" si="5"/>
        <v>40</v>
      </c>
      <c r="L44" s="714">
        <f t="shared" si="7"/>
        <v>0</v>
      </c>
      <c r="M44" s="714">
        <f t="shared" si="7"/>
        <v>0</v>
      </c>
      <c r="N44" s="712"/>
      <c r="O44" s="712"/>
      <c r="P44" s="712"/>
      <c r="Q44" s="712"/>
      <c r="R44" s="712"/>
      <c r="S44" s="712"/>
      <c r="T44" s="712"/>
      <c r="U44" s="712"/>
      <c r="V44" s="712"/>
    </row>
    <row r="45" spans="1:22" x14ac:dyDescent="0.35">
      <c r="A45" s="1037">
        <f t="shared" si="6"/>
        <v>45332</v>
      </c>
      <c r="B45">
        <v>100</v>
      </c>
      <c r="D45">
        <f t="shared" si="2"/>
        <v>57.142857142857146</v>
      </c>
      <c r="F45" s="1038" t="s">
        <v>1166</v>
      </c>
      <c r="G45" s="1039">
        <f t="shared" si="8"/>
        <v>25</v>
      </c>
      <c r="H45" s="1039">
        <f t="shared" si="3"/>
        <v>10</v>
      </c>
      <c r="I45" s="1039">
        <f t="shared" si="4"/>
        <v>30</v>
      </c>
      <c r="J45" s="1039">
        <f t="shared" si="1"/>
        <v>40</v>
      </c>
      <c r="K45" s="1039">
        <f t="shared" si="5"/>
        <v>40</v>
      </c>
      <c r="L45" s="714">
        <f t="shared" si="7"/>
        <v>0</v>
      </c>
      <c r="M45" s="714">
        <f t="shared" si="7"/>
        <v>0</v>
      </c>
      <c r="N45" s="712"/>
      <c r="O45" s="712"/>
      <c r="P45" s="712"/>
      <c r="Q45" s="712"/>
      <c r="R45" s="712"/>
      <c r="S45" s="712"/>
      <c r="T45" s="712"/>
      <c r="U45" s="712"/>
      <c r="V45" s="712"/>
    </row>
    <row r="46" spans="1:22" x14ac:dyDescent="0.35">
      <c r="A46" s="1037">
        <f t="shared" si="6"/>
        <v>45363</v>
      </c>
      <c r="B46">
        <f t="shared" ref="B46:B50" si="9">B45</f>
        <v>100</v>
      </c>
      <c r="D46">
        <f t="shared" si="2"/>
        <v>57.142857142857146</v>
      </c>
      <c r="F46" s="1038" t="s">
        <v>1167</v>
      </c>
      <c r="G46" s="1039">
        <f t="shared" si="8"/>
        <v>25</v>
      </c>
      <c r="H46" s="1039">
        <f t="shared" si="3"/>
        <v>10</v>
      </c>
      <c r="I46" s="1039">
        <f t="shared" si="4"/>
        <v>30</v>
      </c>
      <c r="J46" s="1039">
        <f t="shared" si="1"/>
        <v>40</v>
      </c>
      <c r="K46" s="1039">
        <f t="shared" si="5"/>
        <v>40</v>
      </c>
      <c r="L46" s="714">
        <f t="shared" si="7"/>
        <v>0</v>
      </c>
      <c r="M46" s="714">
        <f t="shared" si="7"/>
        <v>0</v>
      </c>
      <c r="N46" s="712"/>
      <c r="O46" s="712"/>
      <c r="P46" s="712"/>
      <c r="Q46" s="712"/>
      <c r="R46" s="712"/>
      <c r="S46" s="712"/>
      <c r="T46" s="712"/>
      <c r="U46" s="712"/>
      <c r="V46" s="712"/>
    </row>
    <row r="47" spans="1:22" x14ac:dyDescent="0.35">
      <c r="A47" s="1037">
        <f t="shared" si="6"/>
        <v>45394</v>
      </c>
      <c r="B47">
        <f t="shared" si="9"/>
        <v>100</v>
      </c>
      <c r="D47">
        <f t="shared" si="2"/>
        <v>57.142857142857146</v>
      </c>
      <c r="F47" s="1034"/>
      <c r="G47" s="1039"/>
      <c r="H47" s="1034"/>
      <c r="I47" s="1034"/>
      <c r="J47" s="1039">
        <f>SUM(J27:J46)</f>
        <v>1007.6190476190477</v>
      </c>
      <c r="K47" s="1039">
        <f>SUM(K27:K46)</f>
        <v>1022.6761904761905</v>
      </c>
      <c r="L47" s="714">
        <f t="shared" si="7"/>
        <v>967.61904761904771</v>
      </c>
      <c r="M47" s="714">
        <f t="shared" si="7"/>
        <v>982.67619047619053</v>
      </c>
      <c r="N47" s="712"/>
      <c r="O47" s="712"/>
      <c r="P47" s="712"/>
      <c r="Q47" s="712"/>
      <c r="R47" s="712"/>
      <c r="S47" s="712"/>
      <c r="T47" s="712"/>
      <c r="U47" s="712"/>
      <c r="V47" s="712"/>
    </row>
    <row r="48" spans="1:22" x14ac:dyDescent="0.35">
      <c r="A48" s="1037">
        <f t="shared" si="6"/>
        <v>45425</v>
      </c>
      <c r="B48">
        <f t="shared" si="9"/>
        <v>100</v>
      </c>
      <c r="D48">
        <f t="shared" si="2"/>
        <v>57.142857142857146</v>
      </c>
      <c r="G48" s="134"/>
      <c r="H48" s="134"/>
      <c r="I48" s="134"/>
      <c r="K48" s="134" t="s">
        <v>323</v>
      </c>
      <c r="L48" s="712"/>
      <c r="M48" s="712"/>
      <c r="N48" s="712"/>
      <c r="O48" s="712"/>
      <c r="P48" s="712"/>
      <c r="Q48" s="712"/>
      <c r="R48" s="712"/>
      <c r="S48" s="712"/>
      <c r="T48" s="712"/>
      <c r="U48" s="712"/>
      <c r="V48" s="712"/>
    </row>
    <row r="49" spans="1:22" x14ac:dyDescent="0.35">
      <c r="A49" s="1037">
        <f t="shared" si="6"/>
        <v>45456</v>
      </c>
      <c r="B49">
        <f t="shared" si="9"/>
        <v>100</v>
      </c>
      <c r="D49">
        <f t="shared" si="2"/>
        <v>57.142857142857146</v>
      </c>
      <c r="G49" s="134"/>
      <c r="K49" s="134"/>
      <c r="L49" s="712"/>
      <c r="M49" s="712"/>
      <c r="N49" s="712"/>
      <c r="O49" s="712"/>
      <c r="P49" s="712"/>
      <c r="Q49" s="712"/>
      <c r="R49" s="712"/>
      <c r="S49" s="712"/>
      <c r="T49" s="712"/>
      <c r="U49" s="712"/>
      <c r="V49" s="712"/>
    </row>
    <row r="50" spans="1:22" x14ac:dyDescent="0.35">
      <c r="A50" s="1037">
        <f t="shared" si="6"/>
        <v>45487</v>
      </c>
      <c r="B50">
        <f t="shared" si="9"/>
        <v>100</v>
      </c>
      <c r="D50">
        <f t="shared" si="2"/>
        <v>57.142857142857146</v>
      </c>
      <c r="G50" s="134"/>
      <c r="K50" s="134"/>
      <c r="L50" s="712"/>
      <c r="M50" s="712"/>
      <c r="N50" s="712"/>
      <c r="O50" s="712"/>
      <c r="P50" s="712"/>
      <c r="Q50" s="712"/>
      <c r="R50" s="712"/>
      <c r="S50" s="712"/>
      <c r="T50" s="712"/>
      <c r="U50" s="712"/>
      <c r="V50" s="712"/>
    </row>
    <row r="51" spans="1:22" x14ac:dyDescent="0.35">
      <c r="A51" s="1037">
        <f t="shared" si="6"/>
        <v>45518</v>
      </c>
      <c r="B51">
        <v>85</v>
      </c>
      <c r="D51">
        <f t="shared" si="2"/>
        <v>48.571428571428569</v>
      </c>
      <c r="G51" s="134"/>
      <c r="K51" s="134"/>
      <c r="L51" s="712"/>
      <c r="M51" s="712"/>
      <c r="N51" s="712"/>
      <c r="O51" s="712"/>
      <c r="P51" s="712"/>
      <c r="Q51" s="712"/>
      <c r="R51" s="712"/>
      <c r="S51" s="712"/>
      <c r="T51" s="712"/>
      <c r="U51" s="712"/>
      <c r="V51" s="712"/>
    </row>
    <row r="52" spans="1:22" x14ac:dyDescent="0.35">
      <c r="A52" s="1037">
        <f t="shared" si="6"/>
        <v>45549</v>
      </c>
      <c r="B52">
        <v>83</v>
      </c>
      <c r="D52">
        <f t="shared" si="2"/>
        <v>47.428571428571431</v>
      </c>
      <c r="G52" s="134"/>
      <c r="K52" s="134"/>
      <c r="L52" s="712"/>
      <c r="M52" s="712"/>
      <c r="N52" s="712"/>
      <c r="O52" s="712"/>
      <c r="P52" s="712"/>
      <c r="Q52" s="712"/>
      <c r="R52" s="712"/>
      <c r="S52" s="712"/>
      <c r="T52" s="712"/>
      <c r="U52" s="712"/>
      <c r="V52" s="712"/>
    </row>
    <row r="53" spans="1:22" x14ac:dyDescent="0.35">
      <c r="A53" s="1037">
        <f t="shared" si="6"/>
        <v>45580</v>
      </c>
      <c r="B53">
        <v>81</v>
      </c>
      <c r="D53">
        <f t="shared" si="2"/>
        <v>46.285714285714285</v>
      </c>
      <c r="G53" s="134"/>
      <c r="K53" s="134"/>
      <c r="L53" s="712"/>
      <c r="M53" s="712"/>
      <c r="N53" s="712"/>
      <c r="O53" s="712"/>
      <c r="P53" s="712"/>
      <c r="Q53" s="712"/>
      <c r="R53" s="712"/>
      <c r="S53" s="712"/>
      <c r="T53" s="712"/>
      <c r="U53" s="712"/>
      <c r="V53" s="712"/>
    </row>
    <row r="54" spans="1:22" x14ac:dyDescent="0.35">
      <c r="A54" s="1037">
        <f t="shared" si="6"/>
        <v>45611</v>
      </c>
      <c r="B54">
        <v>79</v>
      </c>
      <c r="D54">
        <f t="shared" si="2"/>
        <v>45.142857142857146</v>
      </c>
      <c r="G54" s="134"/>
      <c r="K54" s="134"/>
      <c r="L54" s="712"/>
      <c r="M54" s="712"/>
      <c r="N54" s="712"/>
      <c r="O54" s="712"/>
      <c r="P54" s="712"/>
      <c r="Q54" s="712"/>
      <c r="R54" s="712"/>
      <c r="S54" s="712"/>
      <c r="T54" s="712"/>
      <c r="U54" s="712"/>
      <c r="V54" s="712"/>
    </row>
    <row r="55" spans="1:22" x14ac:dyDescent="0.35">
      <c r="A55" s="1037">
        <f t="shared" si="6"/>
        <v>45642</v>
      </c>
      <c r="B55">
        <v>77</v>
      </c>
      <c r="D55">
        <f t="shared" si="2"/>
        <v>44</v>
      </c>
      <c r="G55" s="134"/>
      <c r="K55" s="134"/>
      <c r="L55" s="712"/>
      <c r="M55" s="712"/>
      <c r="N55" s="712"/>
      <c r="O55" s="712"/>
      <c r="P55" s="712"/>
      <c r="Q55" s="712"/>
      <c r="R55" s="712"/>
      <c r="S55" s="712"/>
      <c r="T55" s="712"/>
      <c r="U55" s="712"/>
      <c r="V55" s="712"/>
    </row>
    <row r="56" spans="1:22" x14ac:dyDescent="0.35">
      <c r="A56" s="1037">
        <f t="shared" si="6"/>
        <v>45673</v>
      </c>
      <c r="B56">
        <v>50</v>
      </c>
      <c r="D56">
        <f t="shared" si="2"/>
        <v>28.571428571428573</v>
      </c>
      <c r="G56" s="134"/>
      <c r="K56" s="134"/>
      <c r="L56" s="712"/>
      <c r="M56" s="712"/>
      <c r="N56" s="712"/>
      <c r="O56" s="712"/>
      <c r="P56" s="712"/>
      <c r="Q56" s="712"/>
      <c r="R56" s="712"/>
      <c r="S56" s="712"/>
      <c r="T56" s="712"/>
      <c r="U56" s="712"/>
      <c r="V56" s="712"/>
    </row>
    <row r="57" spans="1:22" x14ac:dyDescent="0.35">
      <c r="A57" s="1037">
        <f t="shared" si="6"/>
        <v>45704</v>
      </c>
      <c r="B57">
        <v>44</v>
      </c>
      <c r="D57">
        <f t="shared" si="2"/>
        <v>25.142857142857142</v>
      </c>
      <c r="G57" s="134"/>
      <c r="K57" s="134"/>
      <c r="L57" s="712"/>
      <c r="M57" s="712"/>
      <c r="N57" s="712"/>
      <c r="O57" s="712"/>
      <c r="P57" s="712"/>
      <c r="Q57" s="712"/>
      <c r="R57" s="712"/>
      <c r="S57" s="712"/>
      <c r="T57" s="712"/>
      <c r="U57" s="712"/>
      <c r="V57" s="712"/>
    </row>
    <row r="58" spans="1:22" x14ac:dyDescent="0.35">
      <c r="A58" s="1037">
        <f t="shared" si="6"/>
        <v>45735</v>
      </c>
      <c r="B58">
        <v>36</v>
      </c>
      <c r="D58">
        <f t="shared" si="2"/>
        <v>20.571428571428573</v>
      </c>
      <c r="G58" s="134"/>
      <c r="K58" s="134"/>
      <c r="L58" s="712"/>
      <c r="M58" s="712"/>
      <c r="N58" s="712"/>
      <c r="O58" s="712"/>
      <c r="P58" s="712"/>
      <c r="Q58" s="712"/>
      <c r="R58" s="712"/>
      <c r="S58" s="712"/>
      <c r="T58" s="712"/>
      <c r="U58" s="712"/>
      <c r="V58" s="712"/>
    </row>
    <row r="59" spans="1:22" x14ac:dyDescent="0.35">
      <c r="A59" s="1037">
        <f t="shared" si="6"/>
        <v>45766</v>
      </c>
      <c r="B59">
        <v>26</v>
      </c>
      <c r="D59">
        <f t="shared" si="2"/>
        <v>14.857142857142858</v>
      </c>
      <c r="G59" s="134"/>
      <c r="K59" s="134"/>
      <c r="L59" s="712"/>
      <c r="M59" s="712"/>
      <c r="N59" s="712"/>
      <c r="O59" s="712"/>
      <c r="P59" s="712"/>
      <c r="Q59" s="712"/>
      <c r="R59" s="712"/>
      <c r="S59" s="712"/>
      <c r="T59" s="712"/>
      <c r="U59" s="712"/>
      <c r="V59" s="712"/>
    </row>
    <row r="60" spans="1:22" x14ac:dyDescent="0.35">
      <c r="A60" s="1037">
        <f t="shared" si="6"/>
        <v>45797</v>
      </c>
      <c r="B60">
        <v>25</v>
      </c>
      <c r="D60">
        <f t="shared" si="2"/>
        <v>14.285714285714286</v>
      </c>
      <c r="G60" s="134"/>
      <c r="K60" s="134"/>
      <c r="L60" s="712"/>
      <c r="M60" s="712"/>
      <c r="N60" s="712"/>
      <c r="O60" s="712"/>
      <c r="P60" s="712"/>
      <c r="Q60" s="712"/>
      <c r="R60" s="712"/>
      <c r="S60" s="712"/>
      <c r="T60" s="712"/>
      <c r="U60" s="712"/>
      <c r="V60" s="712"/>
    </row>
    <row r="61" spans="1:22" x14ac:dyDescent="0.35">
      <c r="A61" s="1037">
        <f t="shared" si="6"/>
        <v>45828</v>
      </c>
      <c r="B61">
        <v>24</v>
      </c>
      <c r="D61">
        <f t="shared" si="2"/>
        <v>13.714285714285714</v>
      </c>
      <c r="G61" s="134"/>
      <c r="K61" s="134"/>
      <c r="L61" s="712"/>
      <c r="M61" s="712"/>
      <c r="N61" s="712"/>
      <c r="O61" s="712"/>
      <c r="P61" s="712"/>
      <c r="Q61" s="712"/>
      <c r="R61" s="712"/>
      <c r="S61" s="712"/>
      <c r="T61" s="712"/>
      <c r="U61" s="712"/>
      <c r="V61" s="712"/>
    </row>
    <row r="62" spans="1:22" x14ac:dyDescent="0.35">
      <c r="L62" s="712"/>
      <c r="M62" s="712"/>
      <c r="N62" s="712"/>
      <c r="O62" s="712"/>
      <c r="P62" s="712"/>
      <c r="Q62" s="712"/>
      <c r="R62" s="712"/>
      <c r="S62" s="712"/>
      <c r="T62" s="712"/>
      <c r="U62" s="712"/>
      <c r="V62" s="712"/>
    </row>
    <row r="63" spans="1:22" x14ac:dyDescent="0.35">
      <c r="L63" s="712"/>
      <c r="M63" s="712"/>
      <c r="N63" s="712"/>
      <c r="O63" s="712"/>
      <c r="P63" s="712"/>
      <c r="Q63" s="712"/>
      <c r="R63" s="712"/>
      <c r="S63" s="712"/>
      <c r="T63" s="712"/>
      <c r="U63" s="712"/>
      <c r="V63" s="712"/>
    </row>
    <row r="64" spans="1:22" x14ac:dyDescent="0.35">
      <c r="A64" t="s">
        <v>1953</v>
      </c>
      <c r="L64" s="712"/>
      <c r="M64" s="712"/>
      <c r="N64" s="712"/>
      <c r="O64" s="712"/>
      <c r="P64" s="712"/>
      <c r="Q64" s="712"/>
      <c r="R64" s="712"/>
      <c r="S64" s="712"/>
      <c r="T64" s="712"/>
      <c r="U64" s="712"/>
      <c r="V64" s="712"/>
    </row>
    <row r="65" spans="1:22" x14ac:dyDescent="0.35">
      <c r="L65" s="712"/>
      <c r="M65" s="712"/>
      <c r="N65" s="712"/>
      <c r="O65" s="712"/>
      <c r="P65" s="712"/>
      <c r="Q65" s="712"/>
      <c r="R65" s="712"/>
      <c r="S65" s="712"/>
      <c r="T65" s="712"/>
      <c r="U65" s="712"/>
      <c r="V65" s="712"/>
    </row>
    <row r="66" spans="1:22" ht="333.65" customHeight="1" x14ac:dyDescent="0.35">
      <c r="A66" t="s">
        <v>1954</v>
      </c>
      <c r="B66" s="14" t="s">
        <v>1955</v>
      </c>
      <c r="C66" s="963" t="s">
        <v>1956</v>
      </c>
      <c r="D66" s="14"/>
      <c r="L66" s="712"/>
      <c r="M66" s="712"/>
      <c r="N66" s="712"/>
      <c r="O66" s="712"/>
      <c r="P66" s="712"/>
      <c r="Q66" s="712"/>
      <c r="R66" s="712"/>
      <c r="S66" s="712"/>
      <c r="T66" s="712"/>
      <c r="U66" s="712"/>
      <c r="V66" s="712"/>
    </row>
    <row r="67" spans="1:22" x14ac:dyDescent="0.35">
      <c r="L67" s="712"/>
      <c r="M67" s="712"/>
      <c r="N67" s="712"/>
      <c r="O67" s="712"/>
      <c r="P67" s="712"/>
      <c r="Q67" s="712"/>
      <c r="R67" s="712"/>
      <c r="S67" s="712"/>
      <c r="T67" s="712"/>
      <c r="U67" s="712"/>
      <c r="V67" s="712"/>
    </row>
    <row r="68" spans="1:22" x14ac:dyDescent="0.35">
      <c r="A68" t="s">
        <v>1957</v>
      </c>
      <c r="C68" s="1040"/>
      <c r="L68" s="712"/>
      <c r="M68" s="712"/>
      <c r="N68" s="712"/>
      <c r="O68" s="712"/>
      <c r="P68" s="712"/>
      <c r="Q68" s="712"/>
      <c r="R68" s="712"/>
      <c r="S68" s="712"/>
      <c r="T68" s="712"/>
      <c r="U68" s="712"/>
      <c r="V68" s="712"/>
    </row>
    <row r="69" spans="1:22" x14ac:dyDescent="0.35">
      <c r="A69" t="s">
        <v>1958</v>
      </c>
      <c r="B69" t="s">
        <v>1954</v>
      </c>
      <c r="C69" s="1040" t="s">
        <v>1959</v>
      </c>
      <c r="D69" s="1040" t="s">
        <v>1960</v>
      </c>
      <c r="L69" s="712"/>
      <c r="M69" s="712"/>
      <c r="N69" s="712"/>
      <c r="O69" s="712"/>
      <c r="P69" s="712"/>
      <c r="Q69" s="712"/>
      <c r="R69" s="712"/>
      <c r="S69" s="712"/>
      <c r="T69" s="712"/>
      <c r="U69" s="712"/>
      <c r="V69" s="712"/>
    </row>
    <row r="70" spans="1:22" x14ac:dyDescent="0.35">
      <c r="A70" s="1041">
        <v>44562</v>
      </c>
      <c r="B70" s="242">
        <v>58.637</v>
      </c>
      <c r="C70" s="1042">
        <v>87.938999999999993</v>
      </c>
      <c r="D70">
        <f>C70/B70</f>
        <v>1.4997186077050326</v>
      </c>
      <c r="L70" s="712"/>
      <c r="M70" s="712"/>
      <c r="N70" s="712"/>
      <c r="O70" s="712"/>
      <c r="P70" s="712"/>
      <c r="Q70" s="712"/>
      <c r="R70" s="712"/>
      <c r="S70" s="712"/>
      <c r="T70" s="712"/>
      <c r="U70" s="712"/>
      <c r="V70" s="712"/>
    </row>
    <row r="71" spans="1:22" x14ac:dyDescent="0.35">
      <c r="A71" s="1041">
        <v>44652</v>
      </c>
      <c r="B71" s="242">
        <v>56.826000000000001</v>
      </c>
      <c r="C71" s="1042">
        <v>90.418999999999997</v>
      </c>
      <c r="D71">
        <f t="shared" ref="D71:D75" si="10">C71/B71</f>
        <v>1.5911554570091155</v>
      </c>
      <c r="L71" s="712"/>
      <c r="M71" s="712"/>
      <c r="N71" s="712"/>
      <c r="O71" s="712"/>
      <c r="P71" s="712"/>
      <c r="Q71" s="712"/>
      <c r="R71" s="712"/>
      <c r="S71" s="712"/>
      <c r="T71" s="712"/>
      <c r="U71" s="712"/>
      <c r="V71" s="712"/>
    </row>
    <row r="72" spans="1:22" x14ac:dyDescent="0.35">
      <c r="A72" s="1041">
        <v>44743</v>
      </c>
      <c r="B72" s="242">
        <v>59.756999999999998</v>
      </c>
      <c r="C72" s="1042">
        <v>101.727</v>
      </c>
      <c r="D72">
        <f t="shared" si="10"/>
        <v>1.7023444952055828</v>
      </c>
      <c r="L72" s="712"/>
      <c r="M72" s="712"/>
      <c r="N72" s="712"/>
      <c r="O72" s="712"/>
      <c r="P72" s="712"/>
      <c r="Q72" s="712"/>
      <c r="R72" s="712"/>
      <c r="S72" s="712"/>
      <c r="T72" s="712"/>
      <c r="U72" s="712"/>
      <c r="V72" s="712"/>
    </row>
    <row r="73" spans="1:22" x14ac:dyDescent="0.35">
      <c r="A73" s="1041">
        <v>44835</v>
      </c>
      <c r="B73" s="242">
        <v>64.33</v>
      </c>
      <c r="C73" s="1042">
        <v>112.18300000000001</v>
      </c>
      <c r="D73">
        <f t="shared" si="10"/>
        <v>1.7438675579045548</v>
      </c>
      <c r="L73" s="712"/>
      <c r="M73" s="712"/>
      <c r="N73" s="712"/>
      <c r="O73" s="712"/>
      <c r="P73" s="712"/>
      <c r="Q73" s="712"/>
      <c r="R73" s="712"/>
      <c r="S73" s="712"/>
      <c r="T73" s="712"/>
      <c r="U73" s="712"/>
      <c r="V73" s="712"/>
    </row>
    <row r="74" spans="1:22" x14ac:dyDescent="0.35">
      <c r="A74" s="1041">
        <v>44927</v>
      </c>
      <c r="B74" s="242">
        <v>74.295000000000002</v>
      </c>
      <c r="C74" s="1042">
        <v>131.22999999999999</v>
      </c>
      <c r="D74">
        <f t="shared" si="10"/>
        <v>1.7663369001951676</v>
      </c>
      <c r="L74" s="712"/>
      <c r="M74" s="712"/>
      <c r="N74" s="712"/>
      <c r="O74" s="712"/>
      <c r="P74" s="712"/>
      <c r="Q74" s="712"/>
      <c r="R74" s="712"/>
      <c r="S74" s="712"/>
      <c r="T74" s="712"/>
      <c r="U74" s="712"/>
      <c r="V74" s="712"/>
    </row>
    <row r="75" spans="1:22" x14ac:dyDescent="0.35">
      <c r="A75" s="1041">
        <v>45017</v>
      </c>
      <c r="B75" s="242">
        <v>87.679000000000002</v>
      </c>
      <c r="C75" s="1042">
        <v>153.18799999999999</v>
      </c>
      <c r="D75">
        <f t="shared" si="10"/>
        <v>1.7471458387983438</v>
      </c>
      <c r="L75" s="712"/>
      <c r="M75" s="712"/>
      <c r="N75" s="712"/>
      <c r="O75" s="712"/>
      <c r="P75" s="712"/>
      <c r="Q75" s="712"/>
      <c r="R75" s="712"/>
      <c r="S75" s="712"/>
      <c r="T75" s="712"/>
      <c r="U75" s="712"/>
      <c r="V75" s="712"/>
    </row>
    <row r="76" spans="1:22" x14ac:dyDescent="0.35">
      <c r="A76" s="712"/>
      <c r="B76" s="712"/>
      <c r="C76" s="712"/>
      <c r="D76" s="712"/>
      <c r="E76" s="712"/>
      <c r="F76" s="712"/>
      <c r="G76" s="712"/>
      <c r="H76" s="712"/>
      <c r="I76" s="712"/>
      <c r="J76" s="712"/>
      <c r="K76" s="712"/>
      <c r="L76" s="712"/>
      <c r="M76" s="712"/>
      <c r="N76" s="712"/>
      <c r="O76" s="712"/>
      <c r="P76" s="712"/>
      <c r="Q76" s="712"/>
      <c r="R76" s="712"/>
      <c r="S76" s="712"/>
      <c r="T76" s="712"/>
      <c r="U76" s="712"/>
      <c r="V76" s="712"/>
    </row>
  </sheetData>
  <mergeCells count="1">
    <mergeCell ref="B23:D23"/>
  </mergeCells>
  <pageMargins left="0.7" right="0.7" top="0.75" bottom="0.75" header="0.3" footer="0.3"/>
  <pageSetup orientation="portrait"/>
  <drawing r:id="rId1"/>
  <legacy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3:Q54"/>
  <sheetViews>
    <sheetView zoomScale="67" workbookViewId="0">
      <selection activeCell="A38" sqref="A38:P42"/>
    </sheetView>
  </sheetViews>
  <sheetFormatPr defaultColWidth="10.90625" defaultRowHeight="14.5" x14ac:dyDescent="0.35"/>
  <cols>
    <col min="3" max="3" width="33.81640625" customWidth="1"/>
  </cols>
  <sheetData>
    <row r="3" spans="1:17" x14ac:dyDescent="0.35">
      <c r="A3" s="770" t="s">
        <v>524</v>
      </c>
      <c r="B3" s="202"/>
    </row>
    <row r="4" spans="1:17" x14ac:dyDescent="0.35">
      <c r="A4" s="1047" t="s">
        <v>525</v>
      </c>
      <c r="B4" s="1048"/>
      <c r="C4" s="1048"/>
    </row>
    <row r="7" spans="1:17" x14ac:dyDescent="0.35">
      <c r="A7" s="1436" t="s">
        <v>526</v>
      </c>
      <c r="B7" s="1437"/>
      <c r="C7" s="1437"/>
      <c r="D7" s="1437"/>
      <c r="E7" s="1437"/>
      <c r="F7" s="1437"/>
      <c r="G7" s="1437"/>
      <c r="H7" s="1437"/>
      <c r="I7" s="1437"/>
      <c r="J7" s="1437"/>
      <c r="K7" s="1437"/>
      <c r="L7" s="1437"/>
      <c r="M7" s="1437"/>
      <c r="N7" s="1437"/>
      <c r="O7" s="1437"/>
      <c r="P7" s="1437"/>
    </row>
    <row r="8" spans="1:17" x14ac:dyDescent="0.35">
      <c r="A8" s="317" t="s">
        <v>527</v>
      </c>
      <c r="B8" s="317"/>
      <c r="C8" s="317"/>
      <c r="D8" s="1052"/>
      <c r="E8" s="317"/>
      <c r="F8" s="317"/>
      <c r="G8" s="317"/>
      <c r="H8" s="317"/>
      <c r="I8" s="317"/>
      <c r="J8" s="317"/>
      <c r="K8" s="317"/>
      <c r="L8" s="317"/>
      <c r="M8" s="317"/>
      <c r="N8" s="317"/>
      <c r="O8" s="317"/>
      <c r="P8" s="317"/>
    </row>
    <row r="9" spans="1:17" x14ac:dyDescent="0.35">
      <c r="A9" s="202"/>
      <c r="B9" s="202"/>
      <c r="C9" s="202"/>
      <c r="D9" s="640"/>
      <c r="E9" s="202"/>
      <c r="F9" s="202"/>
      <c r="G9" s="202"/>
      <c r="H9" s="202"/>
      <c r="I9" s="202"/>
      <c r="J9" s="202"/>
      <c r="K9" s="202"/>
      <c r="L9" s="202"/>
      <c r="M9" s="202"/>
      <c r="N9" s="202"/>
      <c r="O9" s="202"/>
      <c r="P9" s="202"/>
    </row>
    <row r="10" spans="1:17" x14ac:dyDescent="0.35">
      <c r="A10" s="202"/>
      <c r="B10" s="202"/>
      <c r="C10" s="202"/>
      <c r="D10" s="640"/>
      <c r="E10" s="202"/>
      <c r="F10" s="202"/>
      <c r="G10" s="202"/>
      <c r="H10" s="202"/>
      <c r="I10" s="202"/>
      <c r="J10" s="202"/>
      <c r="K10" s="202"/>
      <c r="L10" s="202"/>
      <c r="M10" s="202"/>
      <c r="N10" s="202"/>
      <c r="O10" s="1438" t="s">
        <v>312</v>
      </c>
      <c r="P10" s="1438"/>
    </row>
    <row r="11" spans="1:17" x14ac:dyDescent="0.35">
      <c r="A11" s="202"/>
      <c r="B11" s="202"/>
      <c r="C11" s="680"/>
      <c r="D11" s="228"/>
      <c r="E11" s="680"/>
      <c r="F11" s="680"/>
      <c r="G11" s="680"/>
      <c r="H11" s="680"/>
      <c r="I11" s="680"/>
      <c r="J11" s="680"/>
      <c r="K11" s="680"/>
      <c r="L11" s="680"/>
      <c r="M11" s="680"/>
      <c r="N11" s="680"/>
      <c r="O11" s="1051" t="s">
        <v>528</v>
      </c>
      <c r="P11" s="1051" t="s">
        <v>528</v>
      </c>
    </row>
    <row r="12" spans="1:17" x14ac:dyDescent="0.35">
      <c r="A12" s="317"/>
      <c r="B12" s="317"/>
      <c r="C12" s="317"/>
      <c r="D12" s="1052">
        <v>2020</v>
      </c>
      <c r="E12" s="1052">
        <v>2021</v>
      </c>
      <c r="F12" s="1052">
        <v>2022</v>
      </c>
      <c r="G12" s="1052">
        <v>2023</v>
      </c>
      <c r="H12" s="1052">
        <v>2024</v>
      </c>
      <c r="I12" s="1052">
        <v>2025</v>
      </c>
      <c r="J12" s="1052">
        <v>2026</v>
      </c>
      <c r="K12" s="1052">
        <v>2027</v>
      </c>
      <c r="L12" s="1052">
        <v>2028</v>
      </c>
      <c r="M12" s="1052">
        <v>2029</v>
      </c>
      <c r="N12" s="1052">
        <v>2030</v>
      </c>
      <c r="O12" s="807">
        <v>2025</v>
      </c>
      <c r="P12" s="807">
        <v>2030</v>
      </c>
    </row>
    <row r="13" spans="1:17" x14ac:dyDescent="0.35">
      <c r="A13" s="680" t="s">
        <v>529</v>
      </c>
      <c r="B13" s="680"/>
      <c r="C13" s="680"/>
      <c r="D13" s="594">
        <v>540.56299999999999</v>
      </c>
      <c r="E13" s="594">
        <v>0</v>
      </c>
      <c r="F13" s="594">
        <v>0</v>
      </c>
      <c r="G13" s="594">
        <v>0</v>
      </c>
      <c r="H13" s="594">
        <v>0</v>
      </c>
      <c r="I13" s="594">
        <v>0</v>
      </c>
      <c r="J13" s="594">
        <v>0</v>
      </c>
      <c r="K13" s="594">
        <v>0</v>
      </c>
      <c r="L13" s="594">
        <v>0</v>
      </c>
      <c r="M13" s="594">
        <v>0</v>
      </c>
      <c r="N13" s="594">
        <v>0</v>
      </c>
      <c r="O13" s="594">
        <v>0</v>
      </c>
      <c r="P13" s="594">
        <v>0</v>
      </c>
      <c r="Q13" t="s">
        <v>50</v>
      </c>
    </row>
    <row r="14" spans="1:17" x14ac:dyDescent="0.35">
      <c r="A14" s="202" t="s">
        <v>530</v>
      </c>
      <c r="B14" s="202"/>
      <c r="C14" s="202"/>
      <c r="D14" s="228"/>
      <c r="E14" s="680"/>
      <c r="F14" s="680"/>
      <c r="G14" s="680"/>
      <c r="H14" s="680"/>
      <c r="I14" s="680"/>
      <c r="J14" s="680"/>
      <c r="K14" s="680"/>
      <c r="L14" s="680"/>
      <c r="M14" s="680"/>
      <c r="N14" s="680"/>
      <c r="O14" s="680"/>
      <c r="P14" s="680"/>
      <c r="Q14" t="s">
        <v>531</v>
      </c>
    </row>
    <row r="15" spans="1:17" x14ac:dyDescent="0.35">
      <c r="A15" s="202"/>
      <c r="B15" s="202" t="s">
        <v>532</v>
      </c>
      <c r="C15" s="202"/>
      <c r="D15" s="228">
        <v>285.56</v>
      </c>
      <c r="E15" s="228">
        <v>5</v>
      </c>
      <c r="F15" s="228">
        <v>0</v>
      </c>
      <c r="G15" s="228">
        <v>0</v>
      </c>
      <c r="H15" s="228">
        <v>0</v>
      </c>
      <c r="I15" s="228">
        <v>0</v>
      </c>
      <c r="J15" s="228">
        <v>0</v>
      </c>
      <c r="K15" s="228">
        <v>0</v>
      </c>
      <c r="L15" s="228">
        <v>0</v>
      </c>
      <c r="M15" s="228">
        <v>0</v>
      </c>
      <c r="N15" s="228">
        <v>0</v>
      </c>
      <c r="O15" s="228">
        <v>5</v>
      </c>
      <c r="P15" s="228">
        <v>5</v>
      </c>
    </row>
    <row r="16" spans="1:17" x14ac:dyDescent="0.35">
      <c r="A16" s="680"/>
      <c r="B16" s="202" t="s">
        <v>533</v>
      </c>
      <c r="C16" s="680"/>
      <c r="D16" s="228">
        <v>67.209999999999994</v>
      </c>
      <c r="E16" s="228">
        <v>13.68</v>
      </c>
      <c r="F16" s="228">
        <v>0</v>
      </c>
      <c r="G16" s="228">
        <v>0</v>
      </c>
      <c r="H16" s="228">
        <v>0</v>
      </c>
      <c r="I16" s="228">
        <v>0</v>
      </c>
      <c r="J16" s="228">
        <v>0</v>
      </c>
      <c r="K16" s="228">
        <v>0</v>
      </c>
      <c r="L16" s="228">
        <v>0</v>
      </c>
      <c r="M16" s="228">
        <v>0</v>
      </c>
      <c r="N16" s="228">
        <v>0</v>
      </c>
      <c r="O16" s="228">
        <v>13.68</v>
      </c>
      <c r="P16" s="228">
        <v>13.68</v>
      </c>
    </row>
    <row r="17" spans="1:17" x14ac:dyDescent="0.35">
      <c r="A17" s="680"/>
      <c r="B17" s="202" t="s">
        <v>534</v>
      </c>
      <c r="C17" s="680"/>
      <c r="D17" s="228">
        <v>11.12</v>
      </c>
      <c r="E17" s="228">
        <v>47.8</v>
      </c>
      <c r="F17" s="228">
        <v>0</v>
      </c>
      <c r="G17" s="228">
        <v>0</v>
      </c>
      <c r="H17" s="228">
        <v>0</v>
      </c>
      <c r="I17" s="228">
        <v>0</v>
      </c>
      <c r="J17" s="228">
        <v>0</v>
      </c>
      <c r="K17" s="228">
        <v>0</v>
      </c>
      <c r="L17" s="228">
        <v>0</v>
      </c>
      <c r="M17" s="228">
        <v>0</v>
      </c>
      <c r="N17" s="228">
        <v>0</v>
      </c>
      <c r="O17" s="228">
        <v>47.8</v>
      </c>
      <c r="P17" s="228">
        <v>47.8</v>
      </c>
    </row>
    <row r="18" spans="1:17" x14ac:dyDescent="0.35">
      <c r="A18" s="680"/>
      <c r="B18" s="202" t="s">
        <v>535</v>
      </c>
      <c r="C18" s="680"/>
      <c r="D18" s="228">
        <v>6.2149999999999999</v>
      </c>
      <c r="E18" s="228">
        <v>5.0049999999999999</v>
      </c>
      <c r="F18" s="228">
        <v>0</v>
      </c>
      <c r="G18" s="228">
        <v>0</v>
      </c>
      <c r="H18" s="228">
        <v>0</v>
      </c>
      <c r="I18" s="228">
        <v>0</v>
      </c>
      <c r="J18" s="228">
        <v>0</v>
      </c>
      <c r="K18" s="228">
        <v>0</v>
      </c>
      <c r="L18" s="228">
        <v>0</v>
      </c>
      <c r="M18" s="228">
        <v>0</v>
      </c>
      <c r="N18" s="228">
        <v>0</v>
      </c>
      <c r="O18" s="228">
        <v>5.0049999999999999</v>
      </c>
      <c r="P18" s="228">
        <v>5.0049999999999999</v>
      </c>
    </row>
    <row r="19" spans="1:17" x14ac:dyDescent="0.35">
      <c r="A19" s="680"/>
      <c r="B19" s="202"/>
      <c r="C19" s="680"/>
      <c r="D19" s="228" t="s">
        <v>536</v>
      </c>
      <c r="E19" s="228" t="s">
        <v>536</v>
      </c>
      <c r="F19" s="228" t="s">
        <v>536</v>
      </c>
      <c r="G19" s="228" t="s">
        <v>536</v>
      </c>
      <c r="H19" s="228" t="s">
        <v>536</v>
      </c>
      <c r="I19" s="228" t="s">
        <v>536</v>
      </c>
      <c r="J19" s="228" t="s">
        <v>536</v>
      </c>
      <c r="K19" s="228" t="s">
        <v>536</v>
      </c>
      <c r="L19" s="228" t="s">
        <v>536</v>
      </c>
      <c r="M19" s="228" t="s">
        <v>536</v>
      </c>
      <c r="N19" s="228" t="s">
        <v>536</v>
      </c>
      <c r="O19" s="228" t="s">
        <v>536</v>
      </c>
      <c r="P19" s="228" t="s">
        <v>536</v>
      </c>
    </row>
    <row r="20" spans="1:17" x14ac:dyDescent="0.35">
      <c r="A20" s="680"/>
      <c r="B20" s="202"/>
      <c r="C20" s="680" t="s">
        <v>537</v>
      </c>
      <c r="D20" s="228">
        <v>370.10500000000002</v>
      </c>
      <c r="E20" s="228">
        <v>71.484999999999999</v>
      </c>
      <c r="F20" s="228">
        <v>0</v>
      </c>
      <c r="G20" s="228">
        <v>0</v>
      </c>
      <c r="H20" s="228">
        <v>0</v>
      </c>
      <c r="I20" s="228">
        <v>0</v>
      </c>
      <c r="J20" s="228">
        <v>0</v>
      </c>
      <c r="K20" s="228">
        <v>0</v>
      </c>
      <c r="L20" s="228">
        <v>0</v>
      </c>
      <c r="M20" s="228">
        <v>0</v>
      </c>
      <c r="N20" s="228">
        <v>0</v>
      </c>
      <c r="O20" s="228">
        <v>71.484999999999999</v>
      </c>
      <c r="P20" s="228">
        <v>71.484999999999999</v>
      </c>
    </row>
    <row r="21" spans="1:17" x14ac:dyDescent="0.35">
      <c r="A21" s="680"/>
      <c r="B21" s="202"/>
      <c r="C21" s="680"/>
      <c r="D21" s="228"/>
      <c r="E21" s="228"/>
      <c r="F21" s="228"/>
      <c r="G21" s="228"/>
      <c r="H21" s="228"/>
      <c r="I21" s="228"/>
      <c r="J21" s="228"/>
      <c r="K21" s="228"/>
      <c r="L21" s="228"/>
      <c r="M21" s="228"/>
      <c r="N21" s="228"/>
      <c r="O21" s="228"/>
      <c r="P21" s="228"/>
    </row>
    <row r="22" spans="1:17" ht="17.149999999999999" customHeight="1" x14ac:dyDescent="0.35">
      <c r="A22" s="680" t="s">
        <v>538</v>
      </c>
      <c r="B22" s="202"/>
      <c r="C22" s="680"/>
      <c r="D22" s="228">
        <v>271.98399999999998</v>
      </c>
      <c r="E22" s="228">
        <v>9.327</v>
      </c>
      <c r="F22" s="228">
        <v>0</v>
      </c>
      <c r="G22" s="228">
        <v>0</v>
      </c>
      <c r="H22" s="228">
        <v>0</v>
      </c>
      <c r="I22" s="228">
        <v>0</v>
      </c>
      <c r="J22" s="228">
        <v>0</v>
      </c>
      <c r="K22" s="228">
        <v>0</v>
      </c>
      <c r="L22" s="228">
        <v>0</v>
      </c>
      <c r="M22" s="228">
        <v>0</v>
      </c>
      <c r="N22" s="228">
        <v>0</v>
      </c>
      <c r="O22" s="228">
        <v>9.327</v>
      </c>
      <c r="P22" s="228">
        <v>9.327</v>
      </c>
      <c r="Q22" t="s">
        <v>539</v>
      </c>
    </row>
    <row r="23" spans="1:17" x14ac:dyDescent="0.35">
      <c r="A23" s="680" t="s">
        <v>149</v>
      </c>
      <c r="B23" s="202"/>
      <c r="C23" s="202"/>
      <c r="D23" s="228">
        <v>149.97300000000001</v>
      </c>
      <c r="E23" s="228">
        <v>2.5999999999999999E-2</v>
      </c>
      <c r="F23" s="228">
        <v>0</v>
      </c>
      <c r="G23" s="228">
        <v>0</v>
      </c>
      <c r="H23" s="228">
        <v>0</v>
      </c>
      <c r="I23" s="228">
        <v>0</v>
      </c>
      <c r="J23" s="228">
        <v>0</v>
      </c>
      <c r="K23" s="228">
        <v>0</v>
      </c>
      <c r="L23" s="228">
        <v>0</v>
      </c>
      <c r="M23" s="228">
        <v>0</v>
      </c>
      <c r="N23" s="228">
        <v>0</v>
      </c>
      <c r="O23" s="228">
        <v>2.5999999999999999E-2</v>
      </c>
      <c r="P23" s="228">
        <v>2.5999999999999999E-2</v>
      </c>
      <c r="Q23" t="s">
        <v>51</v>
      </c>
    </row>
    <row r="24" spans="1:17" x14ac:dyDescent="0.35">
      <c r="A24" s="680" t="s">
        <v>540</v>
      </c>
      <c r="B24" s="202"/>
      <c r="C24" s="202"/>
      <c r="D24" s="228">
        <v>135.41999999999999</v>
      </c>
      <c r="E24" s="228">
        <v>72.537999999999997</v>
      </c>
      <c r="F24" s="228">
        <v>10.331</v>
      </c>
      <c r="G24" s="228">
        <v>4.2670000000000003</v>
      </c>
      <c r="H24" s="228">
        <v>1.347</v>
      </c>
      <c r="I24" s="228">
        <v>0.67400000000000004</v>
      </c>
      <c r="J24" s="228">
        <v>0</v>
      </c>
      <c r="K24" s="228">
        <v>0</v>
      </c>
      <c r="L24" s="228">
        <v>0</v>
      </c>
      <c r="M24" s="228">
        <v>0</v>
      </c>
      <c r="N24" s="228">
        <v>0</v>
      </c>
      <c r="O24" s="228">
        <v>89.156999999999996</v>
      </c>
      <c r="P24" s="228">
        <v>89.156999999999996</v>
      </c>
      <c r="Q24" t="s">
        <v>541</v>
      </c>
    </row>
    <row r="25" spans="1:17" x14ac:dyDescent="0.35">
      <c r="A25" s="680" t="s">
        <v>542</v>
      </c>
      <c r="B25" s="202"/>
      <c r="C25" s="202"/>
      <c r="D25" s="228"/>
      <c r="E25" s="228"/>
      <c r="F25" s="228"/>
      <c r="G25" s="228"/>
      <c r="H25" s="228"/>
      <c r="I25" s="228"/>
      <c r="J25" s="228"/>
      <c r="K25" s="228"/>
      <c r="L25" s="228"/>
      <c r="M25" s="228"/>
      <c r="N25" s="228"/>
      <c r="O25" s="228"/>
      <c r="P25" s="228"/>
    </row>
    <row r="26" spans="1:17" x14ac:dyDescent="0.35">
      <c r="A26" s="680" t="s">
        <v>543</v>
      </c>
      <c r="B26" s="202"/>
      <c r="C26" s="202"/>
      <c r="D26" s="228">
        <v>40.831000000000003</v>
      </c>
      <c r="E26" s="228">
        <v>79.391999999999996</v>
      </c>
      <c r="F26" s="228">
        <v>47.442999999999998</v>
      </c>
      <c r="G26" s="228">
        <v>4.7220000000000004</v>
      </c>
      <c r="H26" s="228">
        <v>0</v>
      </c>
      <c r="I26" s="228">
        <v>0</v>
      </c>
      <c r="J26" s="228">
        <v>0</v>
      </c>
      <c r="K26" s="228">
        <v>0</v>
      </c>
      <c r="L26" s="228">
        <v>0</v>
      </c>
      <c r="M26" s="228">
        <v>0</v>
      </c>
      <c r="N26" s="228">
        <v>0</v>
      </c>
      <c r="O26" s="228">
        <v>131.55699999999999</v>
      </c>
      <c r="P26" s="228">
        <v>131.55699999999999</v>
      </c>
      <c r="Q26" t="s">
        <v>133</v>
      </c>
    </row>
    <row r="27" spans="1:17" x14ac:dyDescent="0.35">
      <c r="A27" s="680" t="s">
        <v>544</v>
      </c>
      <c r="B27" s="202"/>
      <c r="C27" s="202"/>
      <c r="D27" s="228">
        <v>58.054000000000002</v>
      </c>
      <c r="E27" s="228">
        <v>14.755000000000001</v>
      </c>
      <c r="F27" s="228">
        <v>3.4750000000000001</v>
      </c>
      <c r="G27" s="228">
        <v>3.9249999999999998</v>
      </c>
      <c r="H27" s="228">
        <v>4.375</v>
      </c>
      <c r="I27" s="228">
        <v>4.375</v>
      </c>
      <c r="J27" s="228">
        <v>4.5</v>
      </c>
      <c r="K27" s="228">
        <v>4.5</v>
      </c>
      <c r="L27" s="228">
        <v>4.5</v>
      </c>
      <c r="M27" s="228">
        <v>4.5</v>
      </c>
      <c r="N27" s="228">
        <v>4.5</v>
      </c>
      <c r="O27" s="228">
        <v>30.905000000000001</v>
      </c>
      <c r="P27" s="228">
        <v>53.405000000000001</v>
      </c>
    </row>
    <row r="28" spans="1:17" x14ac:dyDescent="0.35">
      <c r="A28" s="680" t="s">
        <v>545</v>
      </c>
      <c r="B28" s="202"/>
      <c r="C28" s="202"/>
      <c r="D28" s="228">
        <v>47.372999999999998</v>
      </c>
      <c r="E28" s="228">
        <v>-46.081000000000003</v>
      </c>
      <c r="F28" s="228">
        <v>0</v>
      </c>
      <c r="G28" s="228">
        <v>0</v>
      </c>
      <c r="H28" s="228">
        <v>0</v>
      </c>
      <c r="I28" s="228">
        <v>0</v>
      </c>
      <c r="J28" s="228">
        <v>0</v>
      </c>
      <c r="K28" s="228">
        <v>0</v>
      </c>
      <c r="L28" s="228">
        <v>0</v>
      </c>
      <c r="M28" s="228">
        <v>0</v>
      </c>
      <c r="N28" s="228">
        <v>0</v>
      </c>
      <c r="O28" s="228">
        <v>-46.081000000000003</v>
      </c>
      <c r="P28" s="228">
        <v>-46.081000000000003</v>
      </c>
      <c r="Q28" t="s">
        <v>55</v>
      </c>
    </row>
    <row r="29" spans="1:17" x14ac:dyDescent="0.35">
      <c r="A29" s="680" t="s">
        <v>546</v>
      </c>
      <c r="B29" s="202"/>
      <c r="C29" s="202"/>
      <c r="D29" s="228">
        <v>24.475000000000001</v>
      </c>
      <c r="E29" s="228">
        <v>32.784999999999997</v>
      </c>
      <c r="F29" s="228">
        <v>8.4600000000000009</v>
      </c>
      <c r="G29" s="228">
        <v>0</v>
      </c>
      <c r="H29" s="228">
        <v>0</v>
      </c>
      <c r="I29" s="228">
        <v>0</v>
      </c>
      <c r="J29" s="228">
        <v>0</v>
      </c>
      <c r="K29" s="228">
        <v>0</v>
      </c>
      <c r="L29" s="228">
        <v>0</v>
      </c>
      <c r="M29" s="228">
        <v>0</v>
      </c>
      <c r="N29" s="228">
        <v>0</v>
      </c>
      <c r="O29" s="228">
        <v>41.244999999999997</v>
      </c>
      <c r="P29" s="228">
        <v>41.244999999999997</v>
      </c>
      <c r="Q29" t="s">
        <v>547</v>
      </c>
    </row>
    <row r="30" spans="1:17" x14ac:dyDescent="0.35">
      <c r="A30" s="680" t="s">
        <v>548</v>
      </c>
      <c r="B30" s="202"/>
      <c r="C30" s="202"/>
      <c r="D30" s="228">
        <v>27.5</v>
      </c>
      <c r="E30" s="228">
        <v>0.86</v>
      </c>
      <c r="F30" s="228">
        <v>-0.22</v>
      </c>
      <c r="G30" s="228">
        <v>-0.49</v>
      </c>
      <c r="H30" s="228">
        <v>-0.56000000000000005</v>
      </c>
      <c r="I30" s="228">
        <v>-0.98</v>
      </c>
      <c r="J30" s="228">
        <v>-0.76</v>
      </c>
      <c r="K30" s="228">
        <v>-0.74</v>
      </c>
      <c r="L30" s="228">
        <v>-0.72</v>
      </c>
      <c r="M30" s="228">
        <v>-0.7</v>
      </c>
      <c r="N30" s="228">
        <v>-0.69</v>
      </c>
      <c r="O30" s="228">
        <v>-1.39</v>
      </c>
      <c r="P30" s="228">
        <v>-5</v>
      </c>
      <c r="Q30" t="s">
        <v>52</v>
      </c>
    </row>
    <row r="31" spans="1:17" x14ac:dyDescent="0.35">
      <c r="A31" s="680" t="s">
        <v>150</v>
      </c>
      <c r="B31" s="202"/>
      <c r="C31" s="202"/>
      <c r="D31" s="228">
        <v>11.407999999999999</v>
      </c>
      <c r="E31" s="228">
        <v>10.763</v>
      </c>
      <c r="F31" s="228">
        <v>5.7809999999999997</v>
      </c>
      <c r="G31" s="228">
        <v>0.92300000000000004</v>
      </c>
      <c r="H31" s="228">
        <v>0.52300000000000002</v>
      </c>
      <c r="I31" s="228">
        <v>0.43099999999999999</v>
      </c>
      <c r="J31" s="228">
        <v>0.246</v>
      </c>
      <c r="K31" s="228">
        <v>0</v>
      </c>
      <c r="L31" s="228">
        <v>0</v>
      </c>
      <c r="M31" s="228">
        <v>0</v>
      </c>
      <c r="N31" s="228">
        <v>0</v>
      </c>
      <c r="O31" s="228">
        <v>18.420999999999999</v>
      </c>
      <c r="P31" s="228">
        <v>18.667000000000002</v>
      </c>
      <c r="Q31" t="s">
        <v>549</v>
      </c>
    </row>
    <row r="32" spans="1:17" x14ac:dyDescent="0.35">
      <c r="A32" s="680" t="s">
        <v>550</v>
      </c>
      <c r="B32" s="202"/>
      <c r="C32" s="202"/>
      <c r="D32" s="228">
        <v>99.444000000000003</v>
      </c>
      <c r="E32" s="228">
        <v>61.634</v>
      </c>
      <c r="F32" s="228">
        <v>23.815000000000001</v>
      </c>
      <c r="G32" s="228">
        <v>7.35</v>
      </c>
      <c r="H32" s="228">
        <v>4.4029999999999996</v>
      </c>
      <c r="I32" s="228">
        <v>1.663</v>
      </c>
      <c r="J32" s="228">
        <v>0.74399999999999999</v>
      </c>
      <c r="K32" s="228">
        <v>0.65500000000000003</v>
      </c>
      <c r="L32" s="228">
        <v>0.68799999999999994</v>
      </c>
      <c r="M32" s="228">
        <v>10.603</v>
      </c>
      <c r="N32" s="228">
        <v>-35.328000000000003</v>
      </c>
      <c r="O32" s="228">
        <v>98.864999999999995</v>
      </c>
      <c r="P32" s="228">
        <v>76.227000000000004</v>
      </c>
      <c r="Q32" t="s">
        <v>551</v>
      </c>
    </row>
    <row r="33" spans="1:16" x14ac:dyDescent="0.35">
      <c r="A33" s="680"/>
      <c r="B33" s="202"/>
      <c r="C33" s="202"/>
      <c r="D33" s="228"/>
      <c r="E33" s="228"/>
      <c r="F33" s="228"/>
      <c r="G33" s="228"/>
      <c r="H33" s="228"/>
      <c r="I33" s="228"/>
      <c r="J33" s="228"/>
      <c r="K33" s="228"/>
      <c r="L33" s="228"/>
      <c r="M33" s="228"/>
      <c r="N33" s="228"/>
      <c r="O33" s="228"/>
      <c r="P33" s="228"/>
    </row>
    <row r="34" spans="1:16" x14ac:dyDescent="0.35">
      <c r="A34" s="1050"/>
      <c r="B34" s="1050"/>
      <c r="C34" s="1050" t="s">
        <v>312</v>
      </c>
      <c r="D34" s="1053">
        <v>1777.13</v>
      </c>
      <c r="E34" s="1053">
        <v>307.48399999999998</v>
      </c>
      <c r="F34" s="1053">
        <v>99.084999999999994</v>
      </c>
      <c r="G34" s="1053">
        <v>20.696999999999999</v>
      </c>
      <c r="H34" s="1053">
        <v>10.087999999999999</v>
      </c>
      <c r="I34" s="1053">
        <v>6.1630000000000003</v>
      </c>
      <c r="J34" s="1053">
        <v>4.7300000000000004</v>
      </c>
      <c r="K34" s="1053">
        <v>4.415</v>
      </c>
      <c r="L34" s="1053">
        <v>4.468</v>
      </c>
      <c r="M34" s="1053">
        <v>14.403</v>
      </c>
      <c r="N34" s="1053">
        <v>-31.518000000000001</v>
      </c>
      <c r="O34" s="1053">
        <v>443.517</v>
      </c>
      <c r="P34" s="1053">
        <v>440.01499999999999</v>
      </c>
    </row>
    <row r="35" spans="1:16" x14ac:dyDescent="0.35">
      <c r="A35" s="202"/>
      <c r="B35" s="202"/>
      <c r="C35" s="202"/>
      <c r="D35" s="1049"/>
      <c r="E35" s="451"/>
      <c r="F35" s="680"/>
      <c r="G35" s="680"/>
      <c r="H35" s="680"/>
      <c r="I35" s="680"/>
      <c r="J35" s="680"/>
      <c r="K35" s="680"/>
      <c r="L35" s="680"/>
      <c r="M35" s="680"/>
      <c r="N35" s="680"/>
      <c r="O35" s="680"/>
      <c r="P35" s="680"/>
    </row>
    <row r="36" spans="1:16" x14ac:dyDescent="0.35">
      <c r="A36" s="1043" t="s">
        <v>552</v>
      </c>
      <c r="B36" s="1043"/>
      <c r="C36" s="1043"/>
      <c r="D36" s="1044"/>
      <c r="E36" s="1043"/>
      <c r="F36" s="1043"/>
      <c r="G36" s="1043"/>
      <c r="H36" s="1043"/>
      <c r="I36" s="1043"/>
      <c r="J36" s="1043"/>
      <c r="K36" s="1043"/>
      <c r="L36" s="1043"/>
      <c r="M36" s="1043"/>
      <c r="N36" s="1043"/>
      <c r="O36" s="1043"/>
      <c r="P36" s="1043"/>
    </row>
    <row r="37" spans="1:16" x14ac:dyDescent="0.35">
      <c r="A37" s="1043"/>
      <c r="B37" s="1043"/>
      <c r="C37" s="1043"/>
      <c r="D37" s="1044"/>
      <c r="E37" s="1043"/>
      <c r="F37" s="1043"/>
      <c r="G37" s="1043"/>
      <c r="H37" s="1043"/>
      <c r="I37" s="1043"/>
      <c r="J37" s="1043"/>
      <c r="K37" s="1043"/>
      <c r="L37" s="1043"/>
      <c r="M37" s="1043"/>
      <c r="N37" s="1043"/>
      <c r="O37" s="1043"/>
      <c r="P37" s="1043"/>
    </row>
    <row r="38" spans="1:16" x14ac:dyDescent="0.35">
      <c r="A38" s="1441" t="s">
        <v>553</v>
      </c>
      <c r="B38" s="1441"/>
      <c r="C38" s="1441"/>
      <c r="D38" s="1441"/>
      <c r="E38" s="1441"/>
      <c r="F38" s="1441"/>
      <c r="G38" s="1441"/>
      <c r="H38" s="1441"/>
      <c r="I38" s="1441"/>
      <c r="J38" s="1441"/>
      <c r="K38" s="1441"/>
      <c r="L38" s="1441"/>
      <c r="M38" s="1441"/>
      <c r="N38" s="1441"/>
      <c r="O38" s="1441"/>
      <c r="P38" s="1441"/>
    </row>
    <row r="39" spans="1:16" x14ac:dyDescent="0.35">
      <c r="A39" s="1441"/>
      <c r="B39" s="1441"/>
      <c r="C39" s="1441"/>
      <c r="D39" s="1441"/>
      <c r="E39" s="1441"/>
      <c r="F39" s="1441"/>
      <c r="G39" s="1441"/>
      <c r="H39" s="1441"/>
      <c r="I39" s="1441"/>
      <c r="J39" s="1441"/>
      <c r="K39" s="1441"/>
      <c r="L39" s="1441"/>
      <c r="M39" s="1441"/>
      <c r="N39" s="1441"/>
      <c r="O39" s="1441"/>
      <c r="P39" s="1441"/>
    </row>
    <row r="40" spans="1:16" x14ac:dyDescent="0.35">
      <c r="A40" s="1441"/>
      <c r="B40" s="1441"/>
      <c r="C40" s="1441"/>
      <c r="D40" s="1441"/>
      <c r="E40" s="1441"/>
      <c r="F40" s="1441"/>
      <c r="G40" s="1441"/>
      <c r="H40" s="1441"/>
      <c r="I40" s="1441"/>
      <c r="J40" s="1441"/>
      <c r="K40" s="1441"/>
      <c r="L40" s="1441"/>
      <c r="M40" s="1441"/>
      <c r="N40" s="1441"/>
      <c r="O40" s="1441"/>
      <c r="P40" s="1441"/>
    </row>
    <row r="41" spans="1:16" x14ac:dyDescent="0.35">
      <c r="A41" s="1441"/>
      <c r="B41" s="1441"/>
      <c r="C41" s="1441"/>
      <c r="D41" s="1441"/>
      <c r="E41" s="1441"/>
      <c r="F41" s="1441"/>
      <c r="G41" s="1441"/>
      <c r="H41" s="1441"/>
      <c r="I41" s="1441"/>
      <c r="J41" s="1441"/>
      <c r="K41" s="1441"/>
      <c r="L41" s="1441"/>
      <c r="M41" s="1441"/>
      <c r="N41" s="1441"/>
      <c r="O41" s="1441"/>
      <c r="P41" s="1441"/>
    </row>
    <row r="42" spans="1:16" x14ac:dyDescent="0.35">
      <c r="A42" s="1441"/>
      <c r="B42" s="1441"/>
      <c r="C42" s="1441"/>
      <c r="D42" s="1441"/>
      <c r="E42" s="1441"/>
      <c r="F42" s="1441"/>
      <c r="G42" s="1441"/>
      <c r="H42" s="1441"/>
      <c r="I42" s="1441"/>
      <c r="J42" s="1441"/>
      <c r="K42" s="1441"/>
      <c r="L42" s="1441"/>
      <c r="M42" s="1441"/>
      <c r="N42" s="1441"/>
      <c r="O42" s="1441"/>
      <c r="P42" s="1441"/>
    </row>
    <row r="43" spans="1:16" x14ac:dyDescent="0.35">
      <c r="A43" s="209"/>
      <c r="B43" s="209"/>
      <c r="C43" s="209"/>
      <c r="D43" s="209"/>
      <c r="E43" s="209"/>
      <c r="F43" s="209"/>
      <c r="G43" s="209"/>
      <c r="H43" s="209"/>
      <c r="I43" s="209"/>
      <c r="J43" s="209"/>
      <c r="K43" s="209"/>
      <c r="L43" s="209"/>
      <c r="M43" s="209"/>
      <c r="N43" s="209"/>
      <c r="O43" s="209"/>
      <c r="P43" s="209"/>
    </row>
    <row r="44" spans="1:16" x14ac:dyDescent="0.35">
      <c r="A44" s="1330" t="s">
        <v>554</v>
      </c>
      <c r="B44" s="1330"/>
      <c r="C44" s="1330"/>
      <c r="D44" s="1330"/>
      <c r="E44" s="1330"/>
      <c r="F44" s="1330"/>
      <c r="G44" s="1330"/>
      <c r="H44" s="1330"/>
      <c r="I44" s="1330"/>
      <c r="J44" s="1330"/>
      <c r="K44" s="1330"/>
      <c r="L44" s="1330"/>
      <c r="M44" s="1330"/>
      <c r="N44" s="1330"/>
      <c r="O44" s="1330"/>
      <c r="P44" s="1330"/>
    </row>
    <row r="45" spans="1:16" x14ac:dyDescent="0.35">
      <c r="A45" s="1330"/>
      <c r="B45" s="1330"/>
      <c r="C45" s="1330"/>
      <c r="D45" s="1330"/>
      <c r="E45" s="1330"/>
      <c r="F45" s="1330"/>
      <c r="G45" s="1330"/>
      <c r="H45" s="1330"/>
      <c r="I45" s="1330"/>
      <c r="J45" s="1330"/>
      <c r="K45" s="1330"/>
      <c r="L45" s="1330"/>
      <c r="M45" s="1330"/>
      <c r="N45" s="1330"/>
      <c r="O45" s="1330"/>
      <c r="P45" s="1330"/>
    </row>
    <row r="46" spans="1:16" x14ac:dyDescent="0.35">
      <c r="A46" s="1330"/>
      <c r="B46" s="1330"/>
      <c r="C46" s="1330"/>
      <c r="D46" s="1330"/>
      <c r="E46" s="1330"/>
      <c r="F46" s="1330"/>
      <c r="G46" s="1330"/>
      <c r="H46" s="1330"/>
      <c r="I46" s="1330"/>
      <c r="J46" s="1330"/>
      <c r="K46" s="1330"/>
      <c r="L46" s="1330"/>
      <c r="M46" s="1330"/>
      <c r="N46" s="1330"/>
      <c r="O46" s="1330"/>
      <c r="P46" s="1330"/>
    </row>
    <row r="47" spans="1:16" x14ac:dyDescent="0.35">
      <c r="A47" s="1043"/>
      <c r="B47" s="1043"/>
      <c r="C47" s="1043"/>
      <c r="D47" s="1044"/>
      <c r="E47" s="1043"/>
      <c r="F47" s="1043"/>
      <c r="G47" s="1043"/>
      <c r="H47" s="1043"/>
      <c r="I47" s="1043"/>
      <c r="J47" s="1043"/>
      <c r="K47" s="1043"/>
      <c r="L47" s="1043"/>
      <c r="M47" s="1043"/>
      <c r="N47" s="1043"/>
      <c r="O47" s="1043"/>
      <c r="P47" s="1043"/>
    </row>
    <row r="48" spans="1:16" x14ac:dyDescent="0.35">
      <c r="A48" s="1439" t="s">
        <v>555</v>
      </c>
      <c r="B48" s="1440"/>
      <c r="C48" s="1440"/>
      <c r="D48" s="1440"/>
      <c r="E48" s="1440"/>
      <c r="F48" s="1440"/>
      <c r="G48" s="1440"/>
      <c r="H48" s="1440"/>
      <c r="I48" s="1440"/>
      <c r="J48" s="1440"/>
      <c r="K48" s="1440"/>
      <c r="L48" s="1440"/>
      <c r="M48" s="1440"/>
      <c r="N48" s="1440"/>
      <c r="O48" s="1440"/>
      <c r="P48" s="1440"/>
    </row>
    <row r="49" spans="1:16" x14ac:dyDescent="0.35">
      <c r="A49" s="1440"/>
      <c r="B49" s="1440"/>
      <c r="C49" s="1440"/>
      <c r="D49" s="1440"/>
      <c r="E49" s="1440"/>
      <c r="F49" s="1440"/>
      <c r="G49" s="1440"/>
      <c r="H49" s="1440"/>
      <c r="I49" s="1440"/>
      <c r="J49" s="1440"/>
      <c r="K49" s="1440"/>
      <c r="L49" s="1440"/>
      <c r="M49" s="1440"/>
      <c r="N49" s="1440"/>
      <c r="O49" s="1440"/>
      <c r="P49" s="1440"/>
    </row>
    <row r="50" spans="1:16" x14ac:dyDescent="0.35">
      <c r="A50" s="1043"/>
      <c r="B50" s="1043"/>
      <c r="C50" s="1043"/>
      <c r="D50" s="1044"/>
      <c r="E50" s="1043"/>
      <c r="F50" s="1043"/>
      <c r="G50" s="1043"/>
      <c r="H50" s="1043"/>
      <c r="I50" s="1043"/>
      <c r="J50" s="1043"/>
      <c r="K50" s="1043"/>
      <c r="L50" s="1043"/>
      <c r="M50" s="1043"/>
      <c r="N50" s="1043"/>
      <c r="O50" s="1043"/>
      <c r="P50" s="1043"/>
    </row>
    <row r="51" spans="1:16" x14ac:dyDescent="0.35">
      <c r="A51" s="1435" t="s">
        <v>556</v>
      </c>
      <c r="B51" s="1435"/>
      <c r="C51" s="1435"/>
      <c r="D51" s="1435"/>
      <c r="E51" s="1435"/>
      <c r="F51" s="1435"/>
      <c r="G51" s="1435"/>
      <c r="H51" s="1435"/>
      <c r="I51" s="1435"/>
      <c r="J51" s="1435"/>
      <c r="K51" s="1435"/>
      <c r="L51" s="1435"/>
      <c r="M51" s="1435"/>
      <c r="N51" s="1435"/>
      <c r="O51" s="1435"/>
      <c r="P51" s="1435"/>
    </row>
    <row r="52" spans="1:16" x14ac:dyDescent="0.35">
      <c r="A52" s="1435"/>
      <c r="B52" s="1435"/>
      <c r="C52" s="1435"/>
      <c r="D52" s="1435"/>
      <c r="E52" s="1435"/>
      <c r="F52" s="1435"/>
      <c r="G52" s="1435"/>
      <c r="H52" s="1435"/>
      <c r="I52" s="1435"/>
      <c r="J52" s="1435"/>
      <c r="K52" s="1435"/>
      <c r="L52" s="1435"/>
      <c r="M52" s="1435"/>
      <c r="N52" s="1435"/>
      <c r="O52" s="1435"/>
      <c r="P52" s="1435"/>
    </row>
    <row r="53" spans="1:16" x14ac:dyDescent="0.35">
      <c r="A53" s="1435"/>
      <c r="B53" s="1435"/>
      <c r="C53" s="1435"/>
      <c r="D53" s="1435"/>
      <c r="E53" s="1435"/>
      <c r="F53" s="1435"/>
      <c r="G53" s="1435"/>
      <c r="H53" s="1435"/>
      <c r="I53" s="1435"/>
      <c r="J53" s="1435"/>
      <c r="K53" s="1435"/>
      <c r="L53" s="1435"/>
      <c r="M53" s="1435"/>
      <c r="N53" s="1435"/>
      <c r="O53" s="1435"/>
      <c r="P53" s="1435"/>
    </row>
    <row r="54" spans="1:16" x14ac:dyDescent="0.35">
      <c r="A54" s="1045"/>
      <c r="B54" s="1045"/>
      <c r="C54" s="1045"/>
      <c r="D54" s="1046"/>
      <c r="E54" s="1045"/>
      <c r="F54" s="1045"/>
      <c r="G54" s="1045"/>
      <c r="H54" s="1045"/>
      <c r="I54" s="1045"/>
      <c r="J54" s="1045"/>
      <c r="K54" s="1045"/>
      <c r="L54" s="1045"/>
      <c r="M54" s="1045"/>
      <c r="N54" s="1045"/>
      <c r="O54" s="1045"/>
      <c r="P54" s="1045"/>
    </row>
  </sheetData>
  <mergeCells count="6">
    <mergeCell ref="A51:P53"/>
    <mergeCell ref="A7:P7"/>
    <mergeCell ref="O10:P10"/>
    <mergeCell ref="A48:P49"/>
    <mergeCell ref="A38:P42"/>
    <mergeCell ref="A44:P46"/>
  </mergeCells>
  <hyperlinks>
    <hyperlink ref="A4" r:id="rId1" xr:uid="{00000000-0004-0000-2000-000000000000}"/>
  </hyperlinks>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U198"/>
  <sheetViews>
    <sheetView topLeftCell="A166" workbookViewId="0">
      <selection activeCell="N200" sqref="N200"/>
    </sheetView>
  </sheetViews>
  <sheetFormatPr defaultColWidth="10.90625" defaultRowHeight="14.5" x14ac:dyDescent="0.35"/>
  <cols>
    <col min="1" max="1" width="36" customWidth="1"/>
    <col min="2" max="2" width="15.54296875" customWidth="1"/>
    <col min="3" max="19" width="10.7265625" customWidth="1"/>
    <col min="20" max="20" width="125.81640625" customWidth="1"/>
  </cols>
  <sheetData>
    <row r="1" spans="1:19" x14ac:dyDescent="0.35">
      <c r="A1" s="119" t="s">
        <v>1391</v>
      </c>
      <c r="D1" s="1132">
        <v>2022</v>
      </c>
      <c r="E1" s="1132">
        <v>2023</v>
      </c>
      <c r="F1" s="1132">
        <v>2024</v>
      </c>
      <c r="G1" s="1132">
        <v>2025</v>
      </c>
      <c r="H1" s="1132">
        <v>2026</v>
      </c>
      <c r="I1" s="1132">
        <v>2027</v>
      </c>
      <c r="J1" s="1132">
        <v>2028</v>
      </c>
      <c r="K1" s="1132">
        <v>2029</v>
      </c>
      <c r="L1" s="1132">
        <v>2030</v>
      </c>
      <c r="M1" s="1133">
        <v>2031</v>
      </c>
      <c r="N1" s="1134" t="s">
        <v>1193</v>
      </c>
      <c r="O1" s="1134" t="s">
        <v>1194</v>
      </c>
      <c r="P1" s="1119"/>
      <c r="Q1" s="1119"/>
      <c r="R1" s="1119"/>
      <c r="S1" s="1119"/>
    </row>
    <row r="2" spans="1:19" x14ac:dyDescent="0.35">
      <c r="C2" s="1442" t="s">
        <v>1392</v>
      </c>
      <c r="D2" s="1442"/>
      <c r="E2" s="1442"/>
      <c r="F2" s="1442"/>
      <c r="G2" s="1442"/>
      <c r="H2" s="1442"/>
      <c r="I2" s="1442"/>
      <c r="J2" s="1442"/>
      <c r="K2" s="1442"/>
      <c r="L2" s="1442"/>
      <c r="M2" s="1442"/>
      <c r="N2" s="1442"/>
      <c r="O2" s="1442"/>
      <c r="P2" s="1118"/>
      <c r="Q2" s="1118"/>
      <c r="R2" s="1118"/>
      <c r="S2" s="1118"/>
    </row>
    <row r="3" spans="1:19" x14ac:dyDescent="0.35">
      <c r="A3" s="35" t="s">
        <v>1202</v>
      </c>
      <c r="B3" s="35">
        <v>13601</v>
      </c>
      <c r="C3" s="35" t="s">
        <v>1393</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35">
      <c r="A4" s="35" t="s">
        <v>1215</v>
      </c>
      <c r="B4" s="35">
        <v>10301</v>
      </c>
      <c r="C4" s="35" t="s">
        <v>1393</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35">
      <c r="A5" s="35" t="s">
        <v>1217</v>
      </c>
      <c r="B5" s="35">
        <v>13802</v>
      </c>
      <c r="C5" s="35" t="s">
        <v>1393</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35">
      <c r="A6" s="35" t="s">
        <v>1219</v>
      </c>
      <c r="B6" s="35">
        <v>22005</v>
      </c>
      <c r="C6" s="35" t="s">
        <v>1393</v>
      </c>
      <c r="D6" s="35">
        <v>0</v>
      </c>
      <c r="E6" s="35">
        <v>19</v>
      </c>
      <c r="F6" s="35">
        <v>26</v>
      </c>
      <c r="G6" s="35">
        <v>27</v>
      </c>
      <c r="H6" s="35">
        <v>17</v>
      </c>
      <c r="I6" s="35">
        <v>7</v>
      </c>
      <c r="J6" s="35">
        <v>3</v>
      </c>
      <c r="K6" s="35">
        <v>1</v>
      </c>
      <c r="L6" s="35">
        <v>0</v>
      </c>
      <c r="M6" s="35">
        <v>0</v>
      </c>
      <c r="N6" s="35">
        <v>89</v>
      </c>
      <c r="O6" s="35">
        <v>100</v>
      </c>
      <c r="P6" s="35"/>
      <c r="Q6" s="35"/>
      <c r="R6" s="35"/>
      <c r="S6" s="35"/>
    </row>
    <row r="7" spans="1:19" x14ac:dyDescent="0.35">
      <c r="A7" s="35" t="s">
        <v>1205</v>
      </c>
      <c r="B7" s="35">
        <v>23001</v>
      </c>
      <c r="C7" s="35" t="s">
        <v>1393</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35">
      <c r="A8" s="35" t="s">
        <v>1221</v>
      </c>
      <c r="B8" s="35">
        <v>23005</v>
      </c>
      <c r="C8" s="35" t="s">
        <v>1393</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35">
      <c r="A9" s="35" t="s">
        <v>1274</v>
      </c>
      <c r="B9" s="35">
        <v>23003</v>
      </c>
      <c r="C9" s="35" t="s">
        <v>1261</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35">
      <c r="A10" s="35" t="s">
        <v>1302</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35">
      <c r="A11" s="35" t="s">
        <v>1304</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35">
      <c r="A12" s="35" t="s">
        <v>1306</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35">
      <c r="A14" s="35" t="s">
        <v>1302</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35">
      <c r="A16" s="35" t="s">
        <v>1309</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35">
      <c r="A17" s="35" t="s">
        <v>1394</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35">
      <c r="A18" s="35" t="s">
        <v>1311</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35">
      <c r="A19" s="35" t="s">
        <v>1313</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35">
      <c r="A25" s="35" t="s">
        <v>1315</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35">
      <c r="A26" s="35" t="s">
        <v>1327</v>
      </c>
      <c r="B26" s="35">
        <v>12001</v>
      </c>
      <c r="C26" s="35" t="s">
        <v>1395</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35">
      <c r="A27" s="35" t="s">
        <v>1329</v>
      </c>
      <c r="B27" s="35">
        <v>22003</v>
      </c>
      <c r="C27" s="35" t="s">
        <v>1395</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35">
      <c r="A28" s="35" t="s">
        <v>1331</v>
      </c>
      <c r="B28" s="35">
        <v>22004</v>
      </c>
      <c r="C28" s="35" t="s">
        <v>1395</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35">
      <c r="A29" s="14" t="s">
        <v>1396</v>
      </c>
      <c r="B29" s="35">
        <v>22007</v>
      </c>
      <c r="C29" s="35" t="s">
        <v>1395</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35">
      <c r="A30" s="35" t="s">
        <v>1333</v>
      </c>
      <c r="B30" s="35">
        <v>23002</v>
      </c>
      <c r="C30" s="35" t="s">
        <v>1395</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35">
      <c r="A31" s="35" t="s">
        <v>1324</v>
      </c>
      <c r="B31" s="35">
        <v>30002</v>
      </c>
      <c r="C31" s="35" t="s">
        <v>1395</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35">
      <c r="A32" s="35" t="s">
        <v>1397</v>
      </c>
      <c r="B32" s="35">
        <v>13104</v>
      </c>
      <c r="C32" s="35" t="s">
        <v>1398</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35">
      <c r="A33" s="35" t="s">
        <v>1399</v>
      </c>
      <c r="B33" s="35">
        <v>13105</v>
      </c>
      <c r="C33" s="35" t="s">
        <v>1398</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35">
      <c r="A34" s="35" t="s">
        <v>1361</v>
      </c>
      <c r="B34" s="35">
        <v>13204</v>
      </c>
      <c r="C34" s="35" t="s">
        <v>1398</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35">
      <c r="A35" s="35" t="s">
        <v>1400</v>
      </c>
      <c r="B35" s="35">
        <v>13502</v>
      </c>
      <c r="C35" s="35" t="s">
        <v>1398</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35">
      <c r="A36" s="35" t="s">
        <v>1401</v>
      </c>
      <c r="B36" s="35">
        <v>13701</v>
      </c>
      <c r="C36" s="35" t="s">
        <v>1398</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35">
      <c r="A37" s="35" t="s">
        <v>1343</v>
      </c>
      <c r="B37" s="35">
        <v>21001</v>
      </c>
      <c r="C37" s="35" t="s">
        <v>1398</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35">
      <c r="A38" s="35">
        <v>0</v>
      </c>
      <c r="B38" s="35">
        <v>21002</v>
      </c>
      <c r="C38" s="35" t="s">
        <v>1398</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35">
      <c r="A39" s="35" t="s">
        <v>1355</v>
      </c>
      <c r="B39" s="35">
        <v>22002</v>
      </c>
      <c r="C39" s="35" t="s">
        <v>1398</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35">
      <c r="A40" s="35" t="s">
        <v>1371</v>
      </c>
      <c r="B40" s="35">
        <v>30001</v>
      </c>
      <c r="C40" s="35" t="s">
        <v>1398</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35">
      <c r="C42" s="1443" t="s">
        <v>1402</v>
      </c>
      <c r="D42" s="1443"/>
      <c r="E42" s="1443"/>
      <c r="F42" s="1443"/>
      <c r="G42" s="1443"/>
      <c r="H42" s="1443"/>
      <c r="I42" s="1443"/>
      <c r="J42" s="1443"/>
      <c r="K42" s="1443"/>
      <c r="L42" s="1443"/>
      <c r="M42" s="1443"/>
      <c r="N42" s="1443"/>
      <c r="O42" s="1443"/>
      <c r="P42" s="1118"/>
      <c r="Q42" s="1118"/>
      <c r="R42" s="1118"/>
      <c r="S42" s="1118"/>
    </row>
    <row r="43" spans="1:19" x14ac:dyDescent="0.35">
      <c r="A43" s="35" t="s">
        <v>1403</v>
      </c>
      <c r="B43" s="35">
        <v>10101</v>
      </c>
      <c r="C43" s="35" t="s">
        <v>1404</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35">
      <c r="A44" s="35" t="s">
        <v>1405</v>
      </c>
      <c r="B44" s="35" t="s">
        <v>1406</v>
      </c>
      <c r="C44" s="35" t="s">
        <v>1404</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35">
      <c r="A45" s="35" t="s">
        <v>1407</v>
      </c>
      <c r="B45" s="35">
        <v>13101</v>
      </c>
      <c r="C45" s="35" t="s">
        <v>1404</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35">
      <c r="A46" s="35" t="s">
        <v>1408</v>
      </c>
      <c r="B46" s="35">
        <v>13102</v>
      </c>
      <c r="C46" s="35" t="s">
        <v>1404</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35">
      <c r="A47" s="35" t="s">
        <v>1409</v>
      </c>
      <c r="B47" s="35">
        <v>13104</v>
      </c>
      <c r="C47" s="35" t="s">
        <v>1404</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35">
      <c r="A48" s="35" t="s">
        <v>1410</v>
      </c>
      <c r="B48" s="35">
        <v>13105</v>
      </c>
      <c r="C48" s="35" t="s">
        <v>1404</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35">
      <c r="A49" s="35" t="s">
        <v>1411</v>
      </c>
      <c r="B49" s="35">
        <v>13303</v>
      </c>
      <c r="C49" s="35" t="s">
        <v>1404</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35">
      <c r="A50" s="35" t="s">
        <v>1412</v>
      </c>
      <c r="B50" s="35" t="s">
        <v>1413</v>
      </c>
      <c r="C50" s="35" t="s">
        <v>1404</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35">
      <c r="A51" s="35" t="s">
        <v>1414</v>
      </c>
      <c r="B51" s="35">
        <v>13601</v>
      </c>
      <c r="C51" s="35" t="s">
        <v>1404</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35">
      <c r="A52" s="35" t="s">
        <v>1415</v>
      </c>
      <c r="B52" s="35" t="s">
        <v>1416</v>
      </c>
      <c r="C52" s="35" t="s">
        <v>1404</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35">
      <c r="A53" s="35" t="s">
        <v>1417</v>
      </c>
      <c r="B53" s="35">
        <v>13901</v>
      </c>
      <c r="C53" s="35" t="s">
        <v>1404</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35">
      <c r="A54" s="35" t="s">
        <v>1418</v>
      </c>
      <c r="B54" s="35">
        <v>13902</v>
      </c>
      <c r="C54" s="35" t="s">
        <v>1404</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35">
      <c r="A55" s="35" t="s">
        <v>1419</v>
      </c>
      <c r="B55" s="35" t="s">
        <v>1420</v>
      </c>
      <c r="C55" s="35" t="s">
        <v>1404</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35">
      <c r="A56" s="35" t="s">
        <v>1421</v>
      </c>
      <c r="B56" s="35">
        <v>60113</v>
      </c>
      <c r="C56" s="35" t="s">
        <v>1404</v>
      </c>
      <c r="D56" s="35">
        <v>0</v>
      </c>
      <c r="E56" s="35">
        <v>0</v>
      </c>
      <c r="F56" s="35">
        <v>0</v>
      </c>
      <c r="G56" s="35">
        <v>0</v>
      </c>
      <c r="H56" s="35">
        <v>850</v>
      </c>
      <c r="I56" s="169">
        <v>1350</v>
      </c>
      <c r="J56" s="169">
        <v>1400</v>
      </c>
      <c r="K56" s="169">
        <v>1200</v>
      </c>
      <c r="L56" s="169">
        <v>1050</v>
      </c>
      <c r="M56" s="35">
        <v>500</v>
      </c>
      <c r="N56" s="35">
        <v>850</v>
      </c>
      <c r="O56" s="169">
        <v>6350</v>
      </c>
      <c r="P56" s="169"/>
      <c r="Q56" s="169"/>
      <c r="R56" s="169"/>
      <c r="S56" s="169"/>
    </row>
    <row r="57" spans="1:19" x14ac:dyDescent="0.35">
      <c r="A57" s="35" t="s">
        <v>1422</v>
      </c>
      <c r="B57" s="35">
        <v>10201</v>
      </c>
      <c r="C57" s="35" t="s">
        <v>1404</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35">
      <c r="A58" s="35" t="s">
        <v>1429</v>
      </c>
      <c r="B58" s="35">
        <v>13304</v>
      </c>
      <c r="C58" s="35" t="s">
        <v>1434</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35">
      <c r="A59" s="35" t="s">
        <v>1425</v>
      </c>
      <c r="B59" s="35" t="s">
        <v>1426</v>
      </c>
      <c r="C59" s="35" t="s">
        <v>1434</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35">
      <c r="A60" s="1135" t="s">
        <v>1423</v>
      </c>
      <c r="B60" s="1136">
        <v>10301</v>
      </c>
      <c r="C60" s="1136" t="s">
        <v>239</v>
      </c>
      <c r="D60" s="1136">
        <v>0</v>
      </c>
      <c r="E60" s="1137">
        <v>2012</v>
      </c>
      <c r="F60" s="1137">
        <v>5106</v>
      </c>
      <c r="G60" s="1137">
        <v>11125</v>
      </c>
      <c r="H60" s="1137">
        <v>16116</v>
      </c>
      <c r="I60" s="1137">
        <v>21716</v>
      </c>
      <c r="J60" s="1137">
        <v>26314</v>
      </c>
      <c r="K60" s="1137">
        <v>31218</v>
      </c>
      <c r="L60" s="1137">
        <v>34877</v>
      </c>
      <c r="M60" s="1137">
        <v>31904</v>
      </c>
      <c r="N60" s="1137">
        <v>34359</v>
      </c>
      <c r="O60" s="1138">
        <v>180388</v>
      </c>
      <c r="P60" s="169"/>
      <c r="Q60" s="169"/>
      <c r="R60" s="169"/>
      <c r="S60" s="169"/>
    </row>
    <row r="61" spans="1:19" x14ac:dyDescent="0.35">
      <c r="A61" s="35" t="s">
        <v>1424</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35">
      <c r="A62" s="35" t="s">
        <v>1427</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35">
      <c r="A63" s="35" t="s">
        <v>1428</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35">
      <c r="A64" s="35" t="s">
        <v>1430</v>
      </c>
      <c r="B64" s="35" t="s">
        <v>1431</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35">
      <c r="D67" s="1139">
        <v>2022</v>
      </c>
      <c r="E67" s="1139">
        <v>2023</v>
      </c>
      <c r="F67" s="1139">
        <v>2024</v>
      </c>
      <c r="G67" s="1139">
        <v>2025</v>
      </c>
      <c r="H67" s="1139">
        <v>2026</v>
      </c>
      <c r="I67" s="1139">
        <v>2027</v>
      </c>
      <c r="J67" s="1139">
        <v>2028</v>
      </c>
      <c r="K67" s="1139">
        <v>2029</v>
      </c>
      <c r="L67" s="1139">
        <v>2030</v>
      </c>
      <c r="M67" s="1140">
        <v>2031</v>
      </c>
      <c r="N67" s="1119" t="s">
        <v>1373</v>
      </c>
      <c r="O67" s="1141" t="s">
        <v>1374</v>
      </c>
      <c r="P67" s="1119"/>
      <c r="Q67" s="1119"/>
      <c r="R67" s="1119"/>
      <c r="S67" s="1119"/>
    </row>
    <row r="68" spans="3:19" x14ac:dyDescent="0.35">
      <c r="C68" s="1444" t="s">
        <v>1432</v>
      </c>
      <c r="D68" s="1445"/>
      <c r="E68" s="1445"/>
      <c r="F68" s="1445"/>
      <c r="G68" s="1445"/>
      <c r="H68" s="1445"/>
      <c r="I68" s="1445"/>
      <c r="J68" s="1445"/>
      <c r="K68" s="1445"/>
      <c r="L68" s="1445"/>
      <c r="M68" s="1445"/>
      <c r="N68" s="1445"/>
      <c r="O68" s="1446"/>
      <c r="P68" s="1118"/>
      <c r="Q68" s="1118"/>
      <c r="R68" s="1118"/>
      <c r="S68" s="1118"/>
    </row>
    <row r="69" spans="3:19" x14ac:dyDescent="0.35">
      <c r="C69" s="47" t="s">
        <v>1393</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35">
      <c r="C70" s="47" t="s">
        <v>1261</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52">
        <f t="shared" si="1"/>
        <v>2000</v>
      </c>
      <c r="P70" s="35"/>
      <c r="Q70" s="35"/>
      <c r="R70" s="35"/>
      <c r="S70" s="35"/>
    </row>
    <row r="71" spans="3:19"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52">
        <f t="shared" si="2"/>
        <v>18248</v>
      </c>
      <c r="P71" s="35"/>
      <c r="Q71" s="35"/>
      <c r="R71" s="35"/>
      <c r="S71" s="35"/>
    </row>
    <row r="72" spans="3:19"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52">
        <f t="shared" si="3"/>
        <v>-248219</v>
      </c>
      <c r="P72" s="35"/>
      <c r="Q72" s="35"/>
      <c r="R72" s="35"/>
      <c r="S72" s="35"/>
    </row>
    <row r="73" spans="3:19" x14ac:dyDescent="0.35">
      <c r="C73" s="47" t="s">
        <v>1395</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52">
        <f t="shared" si="4"/>
        <v>46384</v>
      </c>
      <c r="P73" s="35"/>
      <c r="Q73" s="35"/>
      <c r="R73" s="35"/>
      <c r="S73" s="35"/>
    </row>
    <row r="74" spans="3:19" x14ac:dyDescent="0.35">
      <c r="C74" s="47" t="s">
        <v>1398</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53">
        <f t="shared" si="5"/>
        <v>16463</v>
      </c>
      <c r="O74" s="154">
        <f t="shared" si="5"/>
        <v>55153</v>
      </c>
      <c r="P74" s="35"/>
      <c r="Q74" s="35"/>
      <c r="R74" s="35"/>
      <c r="S74" s="35"/>
    </row>
    <row r="75" spans="3:19" x14ac:dyDescent="0.35">
      <c r="C75" s="1444" t="s">
        <v>1433</v>
      </c>
      <c r="D75" s="1445"/>
      <c r="E75" s="1445"/>
      <c r="F75" s="1445"/>
      <c r="G75" s="1445"/>
      <c r="H75" s="1445"/>
      <c r="I75" s="1445"/>
      <c r="J75" s="1445"/>
      <c r="K75" s="1445"/>
      <c r="L75" s="1445"/>
      <c r="M75" s="1445"/>
      <c r="N75" s="1445"/>
      <c r="O75" s="1446"/>
      <c r="P75" s="1118"/>
      <c r="Q75" s="1118"/>
      <c r="R75" s="1118"/>
      <c r="S75" s="1118"/>
    </row>
    <row r="76" spans="3:19" x14ac:dyDescent="0.35">
      <c r="C76" s="47" t="s">
        <v>385</v>
      </c>
      <c r="D76" s="35">
        <v>0</v>
      </c>
      <c r="E76" s="35">
        <v>596</v>
      </c>
      <c r="F76" s="35">
        <v>1406</v>
      </c>
      <c r="G76" s="35">
        <v>1885</v>
      </c>
      <c r="H76" s="35">
        <v>2113</v>
      </c>
      <c r="I76" s="35">
        <v>2058</v>
      </c>
      <c r="J76" s="35">
        <v>1745</v>
      </c>
      <c r="K76" s="35">
        <v>1369</v>
      </c>
      <c r="L76" s="35">
        <v>970</v>
      </c>
      <c r="M76" s="35">
        <v>369</v>
      </c>
      <c r="N76" s="707">
        <v>6000</v>
      </c>
      <c r="O76" s="404">
        <v>12511</v>
      </c>
      <c r="P76" s="35"/>
      <c r="Q76" s="35"/>
      <c r="R76" s="35"/>
      <c r="S76" s="35"/>
    </row>
    <row r="77" spans="3:19" x14ac:dyDescent="0.35">
      <c r="C77" s="47" t="s">
        <v>134</v>
      </c>
      <c r="D77" s="35">
        <v>0</v>
      </c>
      <c r="E77" s="35">
        <v>754</v>
      </c>
      <c r="F77" s="35">
        <v>2328</v>
      </c>
      <c r="G77" s="35">
        <v>3782</v>
      </c>
      <c r="H77" s="35">
        <v>5158</v>
      </c>
      <c r="I77" s="35">
        <v>4539</v>
      </c>
      <c r="J77" s="35">
        <v>3010</v>
      </c>
      <c r="K77" s="35">
        <v>1730</v>
      </c>
      <c r="L77" s="35">
        <v>790</v>
      </c>
      <c r="M77" s="35">
        <v>244</v>
      </c>
      <c r="N77" s="47">
        <v>12022</v>
      </c>
      <c r="O77" s="152">
        <v>22335</v>
      </c>
      <c r="P77" s="35"/>
      <c r="Q77" s="35"/>
      <c r="R77" s="35"/>
      <c r="S77" s="35"/>
    </row>
    <row r="78" spans="3:19" x14ac:dyDescent="0.35">
      <c r="C78" s="47" t="s">
        <v>192</v>
      </c>
      <c r="D78" s="35">
        <v>0</v>
      </c>
      <c r="E78" s="35">
        <v>68</v>
      </c>
      <c r="F78" s="35">
        <v>1363</v>
      </c>
      <c r="G78" s="35">
        <v>2433</v>
      </c>
      <c r="H78" s="35">
        <v>2803</v>
      </c>
      <c r="I78" s="35">
        <v>1741</v>
      </c>
      <c r="J78" s="35">
        <v>570</v>
      </c>
      <c r="K78" s="35">
        <v>35</v>
      </c>
      <c r="L78" s="35">
        <v>0</v>
      </c>
      <c r="M78" s="35">
        <v>0</v>
      </c>
      <c r="N78" s="47">
        <v>6667</v>
      </c>
      <c r="O78" s="152">
        <v>9013</v>
      </c>
      <c r="P78" s="35"/>
      <c r="Q78" s="35"/>
      <c r="R78" s="35"/>
      <c r="S78" s="35"/>
    </row>
    <row r="79" spans="3:19" x14ac:dyDescent="0.35">
      <c r="C79" s="47" t="s">
        <v>52</v>
      </c>
      <c r="D79" s="35">
        <v>0</v>
      </c>
      <c r="E79" s="35">
        <v>81</v>
      </c>
      <c r="F79" s="35">
        <v>350</v>
      </c>
      <c r="G79" s="35">
        <v>1354</v>
      </c>
      <c r="H79" s="35">
        <v>2869</v>
      </c>
      <c r="I79" s="35">
        <v>3890</v>
      </c>
      <c r="J79" s="35">
        <v>3430</v>
      </c>
      <c r="K79" s="35">
        <v>2260</v>
      </c>
      <c r="L79" s="35">
        <v>1320</v>
      </c>
      <c r="M79" s="35">
        <v>665</v>
      </c>
      <c r="N79" s="47">
        <v>4654</v>
      </c>
      <c r="O79" s="152">
        <v>16219</v>
      </c>
      <c r="P79" s="35"/>
      <c r="Q79" s="35"/>
      <c r="R79" s="35"/>
      <c r="S79" s="35"/>
    </row>
    <row r="80" spans="3:19" x14ac:dyDescent="0.35">
      <c r="C80" s="47" t="s">
        <v>57</v>
      </c>
      <c r="D80" s="35">
        <v>0</v>
      </c>
      <c r="E80" s="35">
        <v>794</v>
      </c>
      <c r="F80" s="35">
        <v>3183</v>
      </c>
      <c r="G80" s="35">
        <v>5818</v>
      </c>
      <c r="H80" s="35">
        <v>7253</v>
      </c>
      <c r="I80" s="35">
        <v>5628</v>
      </c>
      <c r="J80" s="35">
        <v>1977</v>
      </c>
      <c r="K80" s="35">
        <v>229</v>
      </c>
      <c r="L80" s="35">
        <v>33</v>
      </c>
      <c r="M80" s="35">
        <v>1</v>
      </c>
      <c r="N80" s="47">
        <v>17048</v>
      </c>
      <c r="O80" s="152">
        <v>24916</v>
      </c>
      <c r="P80" s="35"/>
      <c r="Q80" s="35"/>
      <c r="R80" s="35"/>
      <c r="S80" s="35"/>
    </row>
    <row r="81" spans="1:20" x14ac:dyDescent="0.35">
      <c r="C81" s="47"/>
      <c r="N81" s="153"/>
      <c r="O81" s="154"/>
      <c r="P81" s="35"/>
      <c r="Q81" s="35"/>
      <c r="R81" s="35"/>
      <c r="S81" s="35"/>
    </row>
    <row r="82" spans="1:20" x14ac:dyDescent="0.35">
      <c r="C82" s="1444" t="s">
        <v>1402</v>
      </c>
      <c r="D82" s="1445"/>
      <c r="E82" s="1445"/>
      <c r="F82" s="1445"/>
      <c r="G82" s="1445"/>
      <c r="H82" s="1445"/>
      <c r="I82" s="1445"/>
      <c r="J82" s="1445"/>
      <c r="K82" s="1445"/>
      <c r="L82" s="1445"/>
      <c r="M82" s="1445"/>
      <c r="N82" s="1445"/>
      <c r="O82" s="1446"/>
      <c r="P82" s="1118"/>
      <c r="Q82" s="1118"/>
      <c r="R82" s="1118"/>
      <c r="S82" s="1118"/>
    </row>
    <row r="83" spans="1:20" x14ac:dyDescent="0.35">
      <c r="C83" s="47" t="s">
        <v>1404</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35">
      <c r="C84" s="47" t="s">
        <v>484</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35">
      <c r="A87" s="60" t="s">
        <v>1384</v>
      </c>
    </row>
    <row r="88" spans="1:20" x14ac:dyDescent="0.35">
      <c r="A88" s="1054" t="s">
        <v>1191</v>
      </c>
      <c r="B88" s="1055" t="s">
        <v>1192</v>
      </c>
      <c r="C88" s="1056">
        <v>2022</v>
      </c>
      <c r="D88" s="1056">
        <v>2023</v>
      </c>
      <c r="E88" s="1056">
        <v>2024</v>
      </c>
      <c r="F88" s="1056">
        <v>2025</v>
      </c>
      <c r="G88" s="1056">
        <v>2026</v>
      </c>
      <c r="H88" s="1056">
        <v>2027</v>
      </c>
      <c r="I88" s="1056">
        <v>2028</v>
      </c>
      <c r="J88" s="1056">
        <v>2029</v>
      </c>
      <c r="K88" s="1056">
        <v>2030</v>
      </c>
      <c r="L88" s="1056">
        <v>2031</v>
      </c>
      <c r="M88" s="1057" t="s">
        <v>1193</v>
      </c>
      <c r="N88" s="1057" t="s">
        <v>1194</v>
      </c>
      <c r="O88" s="1058" t="s">
        <v>1195</v>
      </c>
      <c r="P88" s="1058"/>
      <c r="Q88" s="1058"/>
      <c r="R88" s="1058"/>
      <c r="S88" s="1058"/>
      <c r="T88" s="1059" t="s">
        <v>1196</v>
      </c>
    </row>
    <row r="89" spans="1:20" x14ac:dyDescent="0.35">
      <c r="A89" s="1060" t="s">
        <v>1197</v>
      </c>
      <c r="B89" s="1061" t="s">
        <v>1198</v>
      </c>
      <c r="C89" s="1062">
        <v>0</v>
      </c>
      <c r="D89" s="1062">
        <v>3</v>
      </c>
      <c r="E89" s="1062">
        <v>3</v>
      </c>
      <c r="F89" s="1062">
        <v>3</v>
      </c>
      <c r="G89" s="1062">
        <v>3</v>
      </c>
      <c r="H89" s="1062">
        <v>1</v>
      </c>
      <c r="I89" s="1062">
        <v>0</v>
      </c>
      <c r="J89" s="1062">
        <v>0</v>
      </c>
      <c r="K89" s="1062">
        <v>0</v>
      </c>
      <c r="L89" s="1062">
        <v>0</v>
      </c>
      <c r="M89" s="1062">
        <v>12</v>
      </c>
      <c r="N89" s="1062">
        <v>13</v>
      </c>
      <c r="O89" s="1063" t="s">
        <v>1199</v>
      </c>
      <c r="P89" s="1063"/>
      <c r="Q89" s="1063"/>
      <c r="R89" s="1063"/>
      <c r="S89" s="1063"/>
      <c r="T89" s="1064"/>
    </row>
    <row r="90" spans="1:20" ht="24" customHeight="1" x14ac:dyDescent="0.35">
      <c r="A90" s="1060" t="s">
        <v>1200</v>
      </c>
      <c r="B90" s="1061" t="s">
        <v>1201</v>
      </c>
      <c r="C90" s="1062">
        <v>0</v>
      </c>
      <c r="D90" s="1062">
        <v>65</v>
      </c>
      <c r="E90" s="1062">
        <v>1360</v>
      </c>
      <c r="F90" s="1062">
        <v>2430</v>
      </c>
      <c r="G90" s="1062">
        <v>2800</v>
      </c>
      <c r="H90" s="1062">
        <v>1740</v>
      </c>
      <c r="I90" s="1062">
        <v>570</v>
      </c>
      <c r="J90" s="1062">
        <v>35</v>
      </c>
      <c r="K90" s="1062">
        <v>0</v>
      </c>
      <c r="L90" s="1062">
        <v>0</v>
      </c>
      <c r="M90" s="1062">
        <v>6655</v>
      </c>
      <c r="N90" s="1062">
        <v>9000</v>
      </c>
      <c r="O90" s="1063" t="s">
        <v>1199</v>
      </c>
      <c r="P90" s="1063"/>
      <c r="Q90" s="1063"/>
      <c r="R90" s="1063"/>
      <c r="S90" s="1063"/>
      <c r="T90" s="1065"/>
    </row>
    <row r="91" spans="1:20" x14ac:dyDescent="0.35">
      <c r="A91" s="1066" t="s">
        <v>1202</v>
      </c>
      <c r="B91" s="1067" t="s">
        <v>1203</v>
      </c>
      <c r="C91" s="1068">
        <v>0</v>
      </c>
      <c r="D91" s="1068">
        <v>0</v>
      </c>
      <c r="E91" s="1068">
        <v>601</v>
      </c>
      <c r="F91" s="1069">
        <v>1038</v>
      </c>
      <c r="G91" s="1069">
        <v>1251</v>
      </c>
      <c r="H91" s="1069">
        <v>1431</v>
      </c>
      <c r="I91" s="1069">
        <v>1492</v>
      </c>
      <c r="J91" s="1069">
        <v>1530</v>
      </c>
      <c r="K91" s="1069">
        <v>1567</v>
      </c>
      <c r="L91" s="1069">
        <v>1606</v>
      </c>
      <c r="M91" s="1069">
        <v>2890</v>
      </c>
      <c r="N91" s="1069">
        <v>10516</v>
      </c>
      <c r="O91" s="1070" t="s">
        <v>1204</v>
      </c>
      <c r="P91" s="1070"/>
      <c r="Q91" s="1070"/>
      <c r="R91" s="1070"/>
      <c r="S91" s="1070"/>
      <c r="T91" s="1071"/>
    </row>
    <row r="92" spans="1:20" x14ac:dyDescent="0.35">
      <c r="A92" s="1072" t="s">
        <v>1205</v>
      </c>
      <c r="B92" s="1073" t="s">
        <v>1206</v>
      </c>
      <c r="C92" s="1139">
        <v>0</v>
      </c>
      <c r="D92" s="1139">
        <v>30</v>
      </c>
      <c r="E92" s="1139">
        <v>120</v>
      </c>
      <c r="F92" s="1139">
        <v>165</v>
      </c>
      <c r="G92" s="1139">
        <v>370</v>
      </c>
      <c r="H92" s="1139">
        <v>470</v>
      </c>
      <c r="I92" s="1139">
        <v>420</v>
      </c>
      <c r="J92" s="1139">
        <v>285</v>
      </c>
      <c r="K92" s="1139">
        <v>220</v>
      </c>
      <c r="L92" s="1140">
        <v>65</v>
      </c>
      <c r="M92" s="1139">
        <v>685</v>
      </c>
      <c r="N92" s="1074">
        <v>2145</v>
      </c>
      <c r="O92" s="1075" t="s">
        <v>1207</v>
      </c>
      <c r="P92" s="1120"/>
      <c r="Q92" s="1120"/>
      <c r="R92" s="1120"/>
      <c r="S92" s="1120"/>
      <c r="T92" s="1076" t="s">
        <v>1208</v>
      </c>
    </row>
    <row r="93" spans="1:20" x14ac:dyDescent="0.35">
      <c r="A93" s="1060" t="s">
        <v>1209</v>
      </c>
      <c r="B93" s="1061" t="s">
        <v>1210</v>
      </c>
      <c r="C93" s="1062">
        <v>0</v>
      </c>
      <c r="D93" s="1062">
        <v>2</v>
      </c>
      <c r="E93" s="1062">
        <v>10</v>
      </c>
      <c r="F93" s="1062">
        <v>25</v>
      </c>
      <c r="G93" s="1062">
        <v>28</v>
      </c>
      <c r="H93" s="1062">
        <v>17</v>
      </c>
      <c r="I93" s="1062">
        <v>11</v>
      </c>
      <c r="J93" s="1062">
        <v>4</v>
      </c>
      <c r="K93" s="1062">
        <v>2</v>
      </c>
      <c r="L93" s="1062">
        <v>1</v>
      </c>
      <c r="M93" s="1062">
        <v>65</v>
      </c>
      <c r="N93" s="1062">
        <v>100</v>
      </c>
      <c r="O93" s="1063" t="s">
        <v>1207</v>
      </c>
      <c r="P93" s="1063"/>
      <c r="Q93" s="1063"/>
      <c r="R93" s="1063"/>
      <c r="S93" s="1063"/>
      <c r="T93" s="1064" t="s">
        <v>1211</v>
      </c>
    </row>
    <row r="94" spans="1:20" ht="24" customHeight="1" x14ac:dyDescent="0.35">
      <c r="A94" s="1077" t="s">
        <v>1212</v>
      </c>
      <c r="B94" s="1078" t="s">
        <v>1213</v>
      </c>
      <c r="C94" s="1062">
        <v>0</v>
      </c>
      <c r="D94" s="1062">
        <v>36</v>
      </c>
      <c r="E94" s="1062">
        <v>30</v>
      </c>
      <c r="F94" s="1062">
        <v>14</v>
      </c>
      <c r="G94" s="1062">
        <v>7</v>
      </c>
      <c r="H94" s="1062">
        <v>0</v>
      </c>
      <c r="I94" s="1062">
        <v>0</v>
      </c>
      <c r="J94" s="1062">
        <v>0</v>
      </c>
      <c r="K94" s="1062">
        <v>0</v>
      </c>
      <c r="L94" s="1062">
        <v>0</v>
      </c>
      <c r="M94" s="1062">
        <v>87</v>
      </c>
      <c r="N94" s="1062">
        <v>87</v>
      </c>
      <c r="O94" s="1063" t="s">
        <v>1207</v>
      </c>
      <c r="P94" s="1063"/>
      <c r="Q94" s="1063"/>
      <c r="R94" s="1063"/>
      <c r="S94" s="1063"/>
      <c r="T94" s="1064" t="s">
        <v>1214</v>
      </c>
    </row>
    <row r="95" spans="1:20" x14ac:dyDescent="0.35">
      <c r="A95" s="1060" t="s">
        <v>1215</v>
      </c>
      <c r="B95" s="1061" t="s">
        <v>1216</v>
      </c>
      <c r="C95" s="1062">
        <v>0</v>
      </c>
      <c r="D95" s="1079">
        <v>5240</v>
      </c>
      <c r="E95" s="1079">
        <v>4175</v>
      </c>
      <c r="F95" s="1079">
        <v>5215</v>
      </c>
      <c r="G95" s="1079">
        <v>6493</v>
      </c>
      <c r="H95" s="1079">
        <v>7982</v>
      </c>
      <c r="I95" s="1079">
        <v>9820</v>
      </c>
      <c r="J95" s="1079">
        <v>11813</v>
      </c>
      <c r="K95" s="1079">
        <v>14269</v>
      </c>
      <c r="L95" s="1079">
        <v>14605</v>
      </c>
      <c r="M95" s="1079">
        <v>21123</v>
      </c>
      <c r="N95" s="1079">
        <v>79612</v>
      </c>
      <c r="O95" s="1080" t="s">
        <v>1207</v>
      </c>
      <c r="P95" s="1080"/>
      <c r="Q95" s="1080"/>
      <c r="R95" s="1080"/>
      <c r="S95" s="1080"/>
      <c r="T95" s="1064"/>
    </row>
    <row r="96" spans="1:20" x14ac:dyDescent="0.35">
      <c r="A96" s="1060" t="s">
        <v>1217</v>
      </c>
      <c r="B96" s="1061" t="s">
        <v>1218</v>
      </c>
      <c r="C96" s="1081">
        <v>0</v>
      </c>
      <c r="D96" s="1081">
        <v>55</v>
      </c>
      <c r="E96" s="1081">
        <v>55</v>
      </c>
      <c r="F96" s="1081">
        <v>55</v>
      </c>
      <c r="G96" s="1081">
        <v>55</v>
      </c>
      <c r="H96" s="1081">
        <v>55</v>
      </c>
      <c r="I96" s="1081">
        <v>55</v>
      </c>
      <c r="J96" s="1081">
        <v>55</v>
      </c>
      <c r="K96" s="1081">
        <v>55</v>
      </c>
      <c r="L96" s="1081">
        <v>55</v>
      </c>
      <c r="M96" s="1081">
        <v>220</v>
      </c>
      <c r="N96" s="1081">
        <v>495</v>
      </c>
      <c r="O96" s="1082" t="s">
        <v>1207</v>
      </c>
      <c r="P96" s="1082"/>
      <c r="Q96" s="1082"/>
      <c r="R96" s="1082"/>
      <c r="S96" s="1082"/>
      <c r="T96" s="1065"/>
    </row>
    <row r="97" spans="1:20" x14ac:dyDescent="0.35">
      <c r="A97" s="1060" t="s">
        <v>1219</v>
      </c>
      <c r="B97" s="1061" t="s">
        <v>1220</v>
      </c>
      <c r="C97" s="1062">
        <v>0</v>
      </c>
      <c r="D97" s="1062">
        <v>19</v>
      </c>
      <c r="E97" s="1062">
        <v>26</v>
      </c>
      <c r="F97" s="1062">
        <v>27</v>
      </c>
      <c r="G97" s="1062">
        <v>17</v>
      </c>
      <c r="H97" s="1062">
        <v>7</v>
      </c>
      <c r="I97" s="1062">
        <v>3</v>
      </c>
      <c r="J97" s="1062">
        <v>1</v>
      </c>
      <c r="K97" s="1062">
        <v>0</v>
      </c>
      <c r="L97" s="1062">
        <v>0</v>
      </c>
      <c r="M97" s="1062">
        <v>89</v>
      </c>
      <c r="N97" s="1062">
        <v>100</v>
      </c>
      <c r="O97" s="1080" t="s">
        <v>1207</v>
      </c>
      <c r="P97" s="1080"/>
      <c r="Q97" s="1080"/>
      <c r="R97" s="1080"/>
      <c r="S97" s="1080"/>
      <c r="T97" s="1065"/>
    </row>
    <row r="98" spans="1:20" x14ac:dyDescent="0.35">
      <c r="A98" s="1060" t="s">
        <v>1221</v>
      </c>
      <c r="B98" s="1061" t="s">
        <v>1222</v>
      </c>
      <c r="C98" s="1062">
        <v>0</v>
      </c>
      <c r="D98" s="1062">
        <v>15</v>
      </c>
      <c r="E98" s="1062">
        <v>15</v>
      </c>
      <c r="F98" s="1062">
        <v>15</v>
      </c>
      <c r="G98" s="1062">
        <v>10</v>
      </c>
      <c r="H98" s="1062">
        <v>10</v>
      </c>
      <c r="I98" s="1062">
        <v>10</v>
      </c>
      <c r="J98" s="1062">
        <v>10</v>
      </c>
      <c r="K98" s="1062">
        <v>10</v>
      </c>
      <c r="L98" s="1062">
        <v>5</v>
      </c>
      <c r="M98" s="1062">
        <v>55</v>
      </c>
      <c r="N98" s="1062">
        <v>100</v>
      </c>
      <c r="O98" s="1063" t="s">
        <v>1207</v>
      </c>
      <c r="P98" s="1063"/>
      <c r="Q98" s="1063"/>
      <c r="R98" s="1063"/>
      <c r="S98" s="1063"/>
      <c r="T98" s="1065"/>
    </row>
    <row r="99" spans="1:20" ht="36" customHeight="1" x14ac:dyDescent="0.35">
      <c r="A99" s="1060" t="s">
        <v>1223</v>
      </c>
      <c r="B99" s="1061" t="s">
        <v>1224</v>
      </c>
      <c r="C99" s="1083">
        <v>0</v>
      </c>
      <c r="D99" s="1083">
        <v>22</v>
      </c>
      <c r="E99" s="1083">
        <v>96</v>
      </c>
      <c r="F99" s="1083">
        <v>170</v>
      </c>
      <c r="G99" s="1083">
        <v>213</v>
      </c>
      <c r="H99" s="1083">
        <v>160</v>
      </c>
      <c r="I99" s="1083">
        <v>47</v>
      </c>
      <c r="J99" s="1083">
        <v>2</v>
      </c>
      <c r="K99" s="1083">
        <v>0</v>
      </c>
      <c r="L99" s="1083">
        <v>0</v>
      </c>
      <c r="M99" s="1083">
        <v>501</v>
      </c>
      <c r="N99" s="1083">
        <v>710</v>
      </c>
      <c r="O99" s="1062" t="s">
        <v>1207</v>
      </c>
      <c r="P99" s="1062"/>
      <c r="Q99" s="1062"/>
      <c r="R99" s="1062"/>
      <c r="S99" s="1062"/>
      <c r="T99" s="1065"/>
    </row>
    <row r="100" spans="1:20" ht="36" customHeight="1" x14ac:dyDescent="0.35">
      <c r="A100" s="1060" t="s">
        <v>1225</v>
      </c>
      <c r="B100" s="1061" t="s">
        <v>1226</v>
      </c>
      <c r="C100" s="1084"/>
      <c r="D100" s="1084">
        <v>90</v>
      </c>
      <c r="E100" s="1084">
        <v>260</v>
      </c>
      <c r="F100" s="1084">
        <v>427</v>
      </c>
      <c r="G100" s="1084">
        <v>560</v>
      </c>
      <c r="H100" s="1084">
        <v>572</v>
      </c>
      <c r="I100" s="1084">
        <v>534</v>
      </c>
      <c r="J100" s="1084">
        <v>275</v>
      </c>
      <c r="K100" s="1084">
        <v>162</v>
      </c>
      <c r="L100" s="1084">
        <v>70</v>
      </c>
      <c r="M100" s="1084">
        <v>1347</v>
      </c>
      <c r="N100" s="1084">
        <v>2960</v>
      </c>
      <c r="O100" s="1085" t="s">
        <v>1207</v>
      </c>
      <c r="P100" s="1085"/>
      <c r="Q100" s="1085"/>
      <c r="R100" s="1085"/>
      <c r="S100" s="1085"/>
      <c r="T100" s="1065"/>
    </row>
    <row r="101" spans="1:20" x14ac:dyDescent="0.35">
      <c r="A101" s="1060" t="s">
        <v>1227</v>
      </c>
      <c r="B101" s="1061" t="s">
        <v>1228</v>
      </c>
      <c r="C101" s="1062">
        <v>0</v>
      </c>
      <c r="D101" s="1062">
        <v>40</v>
      </c>
      <c r="E101" s="1062">
        <v>60</v>
      </c>
      <c r="F101" s="1062">
        <v>52</v>
      </c>
      <c r="G101" s="1062">
        <v>40</v>
      </c>
      <c r="H101" s="1062">
        <v>27</v>
      </c>
      <c r="I101" s="1062">
        <v>19</v>
      </c>
      <c r="J101" s="1062">
        <v>10</v>
      </c>
      <c r="K101" s="1062">
        <v>2</v>
      </c>
      <c r="L101" s="1062">
        <v>0</v>
      </c>
      <c r="M101" s="1062">
        <v>192</v>
      </c>
      <c r="N101" s="1062">
        <v>250</v>
      </c>
      <c r="O101" s="1063" t="s">
        <v>1207</v>
      </c>
      <c r="P101" s="1063"/>
      <c r="Q101" s="1063"/>
      <c r="R101" s="1063"/>
      <c r="S101" s="1063"/>
      <c r="T101" s="1065"/>
    </row>
    <row r="102" spans="1:20" x14ac:dyDescent="0.35">
      <c r="A102" s="1077" t="s">
        <v>1229</v>
      </c>
      <c r="B102" s="1078" t="s">
        <v>1230</v>
      </c>
      <c r="C102" s="1062">
        <v>0</v>
      </c>
      <c r="D102" s="1062">
        <v>49</v>
      </c>
      <c r="E102" s="1062">
        <v>62</v>
      </c>
      <c r="F102" s="1062">
        <v>62</v>
      </c>
      <c r="G102" s="1062">
        <v>62</v>
      </c>
      <c r="H102" s="1062">
        <v>63</v>
      </c>
      <c r="I102" s="1062">
        <v>63</v>
      </c>
      <c r="J102" s="1062">
        <v>63</v>
      </c>
      <c r="K102" s="1062">
        <v>64</v>
      </c>
      <c r="L102" s="1062">
        <v>12</v>
      </c>
      <c r="M102" s="1062">
        <v>235</v>
      </c>
      <c r="N102" s="1062">
        <v>500</v>
      </c>
      <c r="O102" s="1063" t="s">
        <v>1207</v>
      </c>
      <c r="P102" s="1063"/>
      <c r="Q102" s="1063"/>
      <c r="R102" s="1063"/>
      <c r="S102" s="1063"/>
      <c r="T102" s="1065"/>
    </row>
    <row r="103" spans="1:20" x14ac:dyDescent="0.35">
      <c r="A103" s="1060" t="s">
        <v>1231</v>
      </c>
      <c r="B103" s="1061" t="s">
        <v>1232</v>
      </c>
      <c r="C103" s="1062">
        <v>0</v>
      </c>
      <c r="D103" s="1062">
        <v>0</v>
      </c>
      <c r="E103" s="1062">
        <v>0</v>
      </c>
      <c r="F103" s="1062">
        <v>0</v>
      </c>
      <c r="G103" s="1062">
        <v>-20</v>
      </c>
      <c r="H103" s="1062">
        <v>-28</v>
      </c>
      <c r="I103" s="1062">
        <v>-28</v>
      </c>
      <c r="J103" s="1062">
        <v>-28</v>
      </c>
      <c r="K103" s="1062">
        <v>-28</v>
      </c>
      <c r="L103" s="1062">
        <v>-28</v>
      </c>
      <c r="M103" s="1062">
        <v>-20</v>
      </c>
      <c r="N103" s="1062">
        <v>-160</v>
      </c>
      <c r="O103" s="1063" t="s">
        <v>1207</v>
      </c>
      <c r="P103" s="1063"/>
      <c r="Q103" s="1063"/>
      <c r="R103" s="1063"/>
      <c r="S103" s="1063"/>
      <c r="T103" s="1065"/>
    </row>
    <row r="104" spans="1:20" ht="24" customHeight="1" x14ac:dyDescent="0.35">
      <c r="A104" s="1060" t="s">
        <v>1233</v>
      </c>
      <c r="B104" s="1061" t="s">
        <v>1234</v>
      </c>
      <c r="C104" s="1062">
        <v>0</v>
      </c>
      <c r="D104" s="1062">
        <v>-235</v>
      </c>
      <c r="E104" s="1062">
        <v>-44</v>
      </c>
      <c r="F104" s="1062">
        <v>-22</v>
      </c>
      <c r="G104" s="1062">
        <v>-26</v>
      </c>
      <c r="H104" s="1062">
        <v>-23</v>
      </c>
      <c r="I104" s="1062">
        <v>-19</v>
      </c>
      <c r="J104" s="1062">
        <v>-41</v>
      </c>
      <c r="K104" s="1062">
        <v>-35</v>
      </c>
      <c r="L104" s="1062">
        <v>-39</v>
      </c>
      <c r="M104" s="1062">
        <v>-327</v>
      </c>
      <c r="N104" s="1062">
        <v>-484</v>
      </c>
      <c r="O104" s="1063" t="s">
        <v>1207</v>
      </c>
      <c r="P104" s="1063"/>
      <c r="Q104" s="1063"/>
      <c r="R104" s="1063"/>
      <c r="S104" s="1063"/>
      <c r="T104" s="1065"/>
    </row>
    <row r="105" spans="1:20" x14ac:dyDescent="0.35">
      <c r="A105" s="1060" t="s">
        <v>1235</v>
      </c>
      <c r="B105" s="1061" t="s">
        <v>1236</v>
      </c>
      <c r="C105" s="1062">
        <v>0</v>
      </c>
      <c r="D105" s="1062">
        <v>7</v>
      </c>
      <c r="E105" s="1062">
        <v>8</v>
      </c>
      <c r="F105" s="1062">
        <v>6</v>
      </c>
      <c r="G105" s="1062">
        <v>2</v>
      </c>
      <c r="H105" s="1062">
        <v>1</v>
      </c>
      <c r="I105" s="1062">
        <v>0</v>
      </c>
      <c r="J105" s="1062">
        <v>0</v>
      </c>
      <c r="K105" s="1062">
        <v>0</v>
      </c>
      <c r="L105" s="1062">
        <v>0</v>
      </c>
      <c r="M105" s="1062">
        <v>23</v>
      </c>
      <c r="N105" s="1062">
        <v>24</v>
      </c>
      <c r="O105" s="1063" t="s">
        <v>1207</v>
      </c>
      <c r="P105" s="1063"/>
      <c r="Q105" s="1063"/>
      <c r="R105" s="1063"/>
      <c r="S105" s="1063"/>
      <c r="T105" s="1065"/>
    </row>
    <row r="106" spans="1:20" ht="36" customHeight="1" x14ac:dyDescent="0.35">
      <c r="A106" s="1060" t="s">
        <v>1237</v>
      </c>
      <c r="B106" s="1061" t="s">
        <v>1238</v>
      </c>
      <c r="C106" s="1062">
        <v>0</v>
      </c>
      <c r="D106" s="1062">
        <v>50</v>
      </c>
      <c r="E106" s="1062">
        <v>77</v>
      </c>
      <c r="F106" s="1062">
        <v>87</v>
      </c>
      <c r="G106" s="1062">
        <v>81</v>
      </c>
      <c r="H106" s="1062">
        <v>50</v>
      </c>
      <c r="I106" s="1062">
        <v>30</v>
      </c>
      <c r="J106" s="1062">
        <v>10</v>
      </c>
      <c r="K106" s="1062">
        <v>0</v>
      </c>
      <c r="L106" s="1062">
        <v>0</v>
      </c>
      <c r="M106" s="1062">
        <v>295</v>
      </c>
      <c r="N106" s="1062">
        <v>385</v>
      </c>
      <c r="O106" s="1063" t="s">
        <v>1207</v>
      </c>
      <c r="P106" s="1063"/>
      <c r="Q106" s="1063"/>
      <c r="R106" s="1063"/>
      <c r="S106" s="1063"/>
      <c r="T106" s="1065"/>
    </row>
    <row r="107" spans="1:20" x14ac:dyDescent="0.35">
      <c r="A107" s="1077" t="s">
        <v>1239</v>
      </c>
      <c r="B107" s="1078" t="s">
        <v>1240</v>
      </c>
      <c r="C107" s="1062">
        <v>0</v>
      </c>
      <c r="D107" s="1062">
        <v>3</v>
      </c>
      <c r="E107" s="1062">
        <v>2</v>
      </c>
      <c r="F107" s="1062">
        <v>0</v>
      </c>
      <c r="G107" s="1062">
        <v>0</v>
      </c>
      <c r="H107" s="1062">
        <v>0</v>
      </c>
      <c r="I107" s="1062">
        <v>0</v>
      </c>
      <c r="J107" s="1062">
        <v>0</v>
      </c>
      <c r="K107" s="1062">
        <v>0</v>
      </c>
      <c r="L107" s="1062">
        <v>0</v>
      </c>
      <c r="M107" s="1062">
        <v>5</v>
      </c>
      <c r="N107" s="1062">
        <v>5</v>
      </c>
      <c r="O107" s="1063" t="s">
        <v>1241</v>
      </c>
      <c r="P107" s="1063"/>
      <c r="Q107" s="1063"/>
      <c r="R107" s="1063"/>
      <c r="S107" s="1063"/>
      <c r="T107" s="1065"/>
    </row>
    <row r="108" spans="1:20" x14ac:dyDescent="0.35">
      <c r="A108" s="1077" t="s">
        <v>1242</v>
      </c>
      <c r="B108" s="1078" t="s">
        <v>1243</v>
      </c>
      <c r="C108" s="1062">
        <v>0</v>
      </c>
      <c r="D108" s="1062">
        <v>70</v>
      </c>
      <c r="E108" s="1062">
        <v>80</v>
      </c>
      <c r="F108" s="1062">
        <v>62</v>
      </c>
      <c r="G108" s="1062">
        <v>25</v>
      </c>
      <c r="H108" s="1062">
        <v>13</v>
      </c>
      <c r="I108" s="1062">
        <v>0</v>
      </c>
      <c r="J108" s="1062">
        <v>0</v>
      </c>
      <c r="K108" s="1062">
        <v>0</v>
      </c>
      <c r="L108" s="1062">
        <v>0</v>
      </c>
      <c r="M108" s="1062">
        <v>237</v>
      </c>
      <c r="N108" s="1062">
        <v>250</v>
      </c>
      <c r="O108" s="1063" t="s">
        <v>1241</v>
      </c>
      <c r="P108" s="1063"/>
      <c r="Q108" s="1063"/>
      <c r="R108" s="1063"/>
      <c r="S108" s="1063"/>
      <c r="T108" s="1065"/>
    </row>
    <row r="109" spans="1:20" ht="24" customHeight="1" x14ac:dyDescent="0.35">
      <c r="A109" s="1077" t="s">
        <v>1244</v>
      </c>
      <c r="B109" s="1078" t="s">
        <v>1245</v>
      </c>
      <c r="C109" s="1081">
        <v>0</v>
      </c>
      <c r="D109" s="1081">
        <v>33</v>
      </c>
      <c r="E109" s="1081">
        <v>54</v>
      </c>
      <c r="F109" s="1081">
        <v>37</v>
      </c>
      <c r="G109" s="1081">
        <v>16</v>
      </c>
      <c r="H109" s="1081">
        <v>0</v>
      </c>
      <c r="I109" s="1081">
        <v>0</v>
      </c>
      <c r="J109" s="1081">
        <v>0</v>
      </c>
      <c r="K109" s="1081">
        <v>0</v>
      </c>
      <c r="L109" s="1081">
        <v>0</v>
      </c>
      <c r="M109" s="1081">
        <v>140</v>
      </c>
      <c r="N109" s="1081">
        <v>140</v>
      </c>
      <c r="O109" s="1063" t="s">
        <v>1207</v>
      </c>
      <c r="P109" s="1063"/>
      <c r="Q109" s="1063"/>
      <c r="R109" s="1063"/>
      <c r="S109" s="1063"/>
      <c r="T109" s="1065"/>
    </row>
    <row r="110" spans="1:20" x14ac:dyDescent="0.35">
      <c r="A110" s="1060" t="s">
        <v>1246</v>
      </c>
      <c r="B110" s="1061" t="s">
        <v>1247</v>
      </c>
      <c r="C110" s="1062">
        <v>0</v>
      </c>
      <c r="D110" s="1062">
        <v>40</v>
      </c>
      <c r="E110" s="1062">
        <v>40</v>
      </c>
      <c r="F110" s="1062">
        <v>30</v>
      </c>
      <c r="G110" s="1062">
        <v>10</v>
      </c>
      <c r="H110" s="1062">
        <v>5</v>
      </c>
      <c r="I110" s="1062">
        <v>0</v>
      </c>
      <c r="J110" s="1062">
        <v>0</v>
      </c>
      <c r="K110" s="1062">
        <v>0</v>
      </c>
      <c r="L110" s="1062">
        <v>0</v>
      </c>
      <c r="M110" s="1062">
        <v>120</v>
      </c>
      <c r="N110" s="1062">
        <v>125</v>
      </c>
      <c r="O110" s="1063" t="s">
        <v>1207</v>
      </c>
      <c r="P110" s="1063"/>
      <c r="Q110" s="1063"/>
      <c r="R110" s="1063"/>
      <c r="S110" s="1063"/>
      <c r="T110" s="1065"/>
    </row>
    <row r="111" spans="1:20" x14ac:dyDescent="0.35">
      <c r="A111" s="1077" t="s">
        <v>1248</v>
      </c>
      <c r="B111" s="1061" t="s">
        <v>1249</v>
      </c>
      <c r="C111" s="1062">
        <v>0</v>
      </c>
      <c r="D111" s="1062">
        <v>5</v>
      </c>
      <c r="E111" s="1062">
        <v>8</v>
      </c>
      <c r="F111" s="1062">
        <v>8</v>
      </c>
      <c r="G111" s="1062">
        <v>8</v>
      </c>
      <c r="H111" s="1062">
        <v>4</v>
      </c>
      <c r="I111" s="1062">
        <v>0</v>
      </c>
      <c r="J111" s="1062">
        <v>0</v>
      </c>
      <c r="K111" s="1062">
        <v>0</v>
      </c>
      <c r="L111" s="1062">
        <v>0</v>
      </c>
      <c r="M111" s="1062">
        <v>29</v>
      </c>
      <c r="N111" s="1062">
        <v>33</v>
      </c>
      <c r="O111" s="1063" t="s">
        <v>1207</v>
      </c>
      <c r="P111" s="1063"/>
      <c r="Q111" s="1063"/>
      <c r="R111" s="1063"/>
      <c r="S111" s="1063"/>
      <c r="T111" s="1065"/>
    </row>
    <row r="112" spans="1:20" x14ac:dyDescent="0.35">
      <c r="A112" s="1060" t="s">
        <v>1250</v>
      </c>
      <c r="B112" s="1078" t="s">
        <v>1251</v>
      </c>
      <c r="C112" s="1062">
        <v>0</v>
      </c>
      <c r="D112" s="1062">
        <v>3</v>
      </c>
      <c r="E112" s="1062">
        <v>8</v>
      </c>
      <c r="F112" s="1062">
        <v>8</v>
      </c>
      <c r="G112" s="1062">
        <v>8</v>
      </c>
      <c r="H112" s="1062">
        <v>3</v>
      </c>
      <c r="I112" s="1062">
        <v>0</v>
      </c>
      <c r="J112" s="1062">
        <v>0</v>
      </c>
      <c r="K112" s="1062">
        <v>0</v>
      </c>
      <c r="L112" s="1062">
        <v>0</v>
      </c>
      <c r="M112" s="1062">
        <v>27</v>
      </c>
      <c r="N112" s="1062">
        <v>30</v>
      </c>
      <c r="O112" s="1063" t="s">
        <v>1207</v>
      </c>
      <c r="P112" s="1063"/>
      <c r="Q112" s="1063"/>
      <c r="R112" s="1063"/>
      <c r="S112" s="1063"/>
      <c r="T112" s="1065"/>
    </row>
    <row r="113" spans="1:20" ht="24" customHeight="1" x14ac:dyDescent="0.35">
      <c r="A113" s="1060" t="s">
        <v>1252</v>
      </c>
      <c r="B113" s="1061" t="s">
        <v>1253</v>
      </c>
      <c r="C113" s="1081">
        <v>0</v>
      </c>
      <c r="D113" s="1081">
        <v>165</v>
      </c>
      <c r="E113" s="1081">
        <v>165</v>
      </c>
      <c r="F113" s="1081">
        <v>230</v>
      </c>
      <c r="G113" s="1081">
        <v>340</v>
      </c>
      <c r="H113" s="1081">
        <v>490</v>
      </c>
      <c r="I113" s="1081">
        <v>540</v>
      </c>
      <c r="J113" s="1081">
        <v>640</v>
      </c>
      <c r="K113" s="1081">
        <v>475</v>
      </c>
      <c r="L113" s="1081">
        <v>330</v>
      </c>
      <c r="M113" s="1081">
        <v>900</v>
      </c>
      <c r="N113" s="1081">
        <v>3375</v>
      </c>
      <c r="O113" s="1080" t="s">
        <v>1207</v>
      </c>
      <c r="P113" s="1080"/>
      <c r="Q113" s="1080"/>
      <c r="R113" s="1080"/>
      <c r="S113" s="1080"/>
      <c r="T113" s="1065"/>
    </row>
    <row r="114" spans="1:20" ht="24" customHeight="1" x14ac:dyDescent="0.35">
      <c r="A114" s="1086" t="s">
        <v>1223</v>
      </c>
      <c r="B114" s="1087" t="s">
        <v>1254</v>
      </c>
      <c r="C114" s="1062">
        <v>0</v>
      </c>
      <c r="D114" s="1062">
        <v>195</v>
      </c>
      <c r="E114" s="1062">
        <v>448</v>
      </c>
      <c r="F114" s="1062">
        <v>641</v>
      </c>
      <c r="G114" s="1062">
        <v>716</v>
      </c>
      <c r="H114" s="1062">
        <v>681</v>
      </c>
      <c r="I114" s="1062">
        <v>528</v>
      </c>
      <c r="J114" s="1062">
        <v>421</v>
      </c>
      <c r="K114" s="1062">
        <v>323</v>
      </c>
      <c r="L114" s="1062">
        <v>23</v>
      </c>
      <c r="M114" s="1079">
        <v>2000</v>
      </c>
      <c r="N114" s="1079">
        <v>3976</v>
      </c>
      <c r="O114" s="1080" t="s">
        <v>1207</v>
      </c>
      <c r="P114" s="1080"/>
      <c r="Q114" s="1080"/>
      <c r="R114" s="1080"/>
      <c r="S114" s="1080"/>
      <c r="T114" s="1088"/>
    </row>
    <row r="115" spans="1:20" ht="30" customHeight="1" x14ac:dyDescent="0.35">
      <c r="A115" s="1072" t="s">
        <v>1255</v>
      </c>
      <c r="B115" s="1073" t="s">
        <v>1256</v>
      </c>
      <c r="C115" s="1089">
        <v>0</v>
      </c>
      <c r="D115" s="1089">
        <v>20</v>
      </c>
      <c r="E115" s="1089">
        <v>57</v>
      </c>
      <c r="F115" s="1089">
        <v>96</v>
      </c>
      <c r="G115" s="1089">
        <v>150</v>
      </c>
      <c r="H115" s="1089">
        <v>200</v>
      </c>
      <c r="I115" s="1089">
        <v>185</v>
      </c>
      <c r="J115" s="1089">
        <v>147</v>
      </c>
      <c r="K115" s="1089">
        <v>106</v>
      </c>
      <c r="L115" s="1089">
        <v>39</v>
      </c>
      <c r="M115" s="1089">
        <v>323</v>
      </c>
      <c r="N115" s="1090">
        <v>1000</v>
      </c>
      <c r="O115" s="1091" t="s">
        <v>1257</v>
      </c>
      <c r="P115" s="1121"/>
      <c r="Q115" s="1121"/>
      <c r="R115" s="1121"/>
      <c r="S115" s="1121"/>
      <c r="T115" s="1092" t="s">
        <v>1258</v>
      </c>
    </row>
    <row r="116" spans="1:20" x14ac:dyDescent="0.35">
      <c r="A116" s="1077" t="s">
        <v>1259</v>
      </c>
      <c r="B116" s="1061" t="s">
        <v>1260</v>
      </c>
      <c r="C116" s="1062">
        <v>0</v>
      </c>
      <c r="D116" s="1062">
        <v>15</v>
      </c>
      <c r="E116" s="1062">
        <v>53</v>
      </c>
      <c r="F116" s="1062">
        <v>57</v>
      </c>
      <c r="G116" s="1062">
        <v>48</v>
      </c>
      <c r="H116" s="1062">
        <v>43</v>
      </c>
      <c r="I116" s="1062">
        <v>17</v>
      </c>
      <c r="J116" s="1062">
        <v>2</v>
      </c>
      <c r="K116" s="1062">
        <v>0</v>
      </c>
      <c r="L116" s="1062">
        <v>0</v>
      </c>
      <c r="M116" s="1062">
        <v>173</v>
      </c>
      <c r="N116" s="1062">
        <v>235</v>
      </c>
      <c r="O116" s="1063" t="s">
        <v>1261</v>
      </c>
      <c r="P116" s="1063"/>
      <c r="Q116" s="1063"/>
      <c r="R116" s="1063"/>
      <c r="S116" s="1063"/>
      <c r="T116" s="1064" t="s">
        <v>1262</v>
      </c>
    </row>
    <row r="117" spans="1:20" x14ac:dyDescent="0.35">
      <c r="A117" s="1060" t="s">
        <v>1263</v>
      </c>
      <c r="B117" s="1061" t="s">
        <v>1264</v>
      </c>
      <c r="C117" s="1062">
        <v>0</v>
      </c>
      <c r="D117" s="1062">
        <v>15</v>
      </c>
      <c r="E117" s="1062">
        <v>53</v>
      </c>
      <c r="F117" s="1062">
        <v>57</v>
      </c>
      <c r="G117" s="1062">
        <v>48</v>
      </c>
      <c r="H117" s="1062">
        <v>43</v>
      </c>
      <c r="I117" s="1062">
        <v>17</v>
      </c>
      <c r="J117" s="1062">
        <v>2</v>
      </c>
      <c r="K117" s="1062">
        <v>0</v>
      </c>
      <c r="L117" s="1062">
        <v>0</v>
      </c>
      <c r="M117" s="1062">
        <v>173</v>
      </c>
      <c r="N117" s="1062">
        <v>235</v>
      </c>
      <c r="O117" s="1063" t="s">
        <v>1261</v>
      </c>
      <c r="P117" s="1063"/>
      <c r="Q117" s="1063"/>
      <c r="R117" s="1063"/>
      <c r="S117" s="1063"/>
      <c r="T117" s="1064" t="s">
        <v>1262</v>
      </c>
    </row>
    <row r="118" spans="1:20" x14ac:dyDescent="0.35">
      <c r="A118" s="1077" t="s">
        <v>1265</v>
      </c>
      <c r="B118" s="1078" t="s">
        <v>1266</v>
      </c>
      <c r="C118" s="1062">
        <v>0</v>
      </c>
      <c r="D118" s="1062">
        <v>42</v>
      </c>
      <c r="E118" s="1062">
        <v>18</v>
      </c>
      <c r="F118" s="1062">
        <v>0</v>
      </c>
      <c r="G118" s="1062">
        <v>0</v>
      </c>
      <c r="H118" s="1062">
        <v>0</v>
      </c>
      <c r="I118" s="1062">
        <v>0</v>
      </c>
      <c r="J118" s="1062">
        <v>0</v>
      </c>
      <c r="K118" s="1062">
        <v>0</v>
      </c>
      <c r="L118" s="1062">
        <v>0</v>
      </c>
      <c r="M118" s="1062">
        <v>60</v>
      </c>
      <c r="N118" s="1062">
        <v>60</v>
      </c>
      <c r="O118" s="1063" t="s">
        <v>1257</v>
      </c>
      <c r="P118" s="1063"/>
      <c r="Q118" s="1063"/>
      <c r="R118" s="1063"/>
      <c r="S118" s="1063"/>
      <c r="T118" s="1065" t="s">
        <v>1267</v>
      </c>
    </row>
    <row r="119" spans="1:20" x14ac:dyDescent="0.35">
      <c r="A119" s="1060" t="s">
        <v>1268</v>
      </c>
      <c r="B119" s="1061" t="s">
        <v>1269</v>
      </c>
      <c r="C119" s="1062">
        <v>0</v>
      </c>
      <c r="D119" s="1062">
        <v>2</v>
      </c>
      <c r="E119" s="1062">
        <v>13</v>
      </c>
      <c r="F119" s="1062">
        <v>26</v>
      </c>
      <c r="G119" s="1062">
        <v>30</v>
      </c>
      <c r="H119" s="1062">
        <v>24</v>
      </c>
      <c r="I119" s="1062">
        <v>0</v>
      </c>
      <c r="J119" s="1062">
        <v>0</v>
      </c>
      <c r="K119" s="1062">
        <v>0</v>
      </c>
      <c r="L119" s="1062">
        <v>0</v>
      </c>
      <c r="M119" s="1062">
        <v>71</v>
      </c>
      <c r="N119" s="1062">
        <v>95</v>
      </c>
      <c r="O119" s="1063" t="s">
        <v>1257</v>
      </c>
      <c r="P119" s="1063"/>
      <c r="Q119" s="1063"/>
      <c r="R119" s="1063"/>
      <c r="S119" s="1063"/>
      <c r="T119" s="1064" t="s">
        <v>1270</v>
      </c>
    </row>
    <row r="120" spans="1:20" ht="36" customHeight="1" x14ac:dyDescent="0.35">
      <c r="A120" s="1060" t="s">
        <v>1271</v>
      </c>
      <c r="B120" s="1061" t="s">
        <v>1272</v>
      </c>
      <c r="C120" s="1062">
        <v>0</v>
      </c>
      <c r="D120" s="1062">
        <v>3</v>
      </c>
      <c r="E120" s="1062">
        <v>19</v>
      </c>
      <c r="F120" s="1062">
        <v>67</v>
      </c>
      <c r="G120" s="1062">
        <v>86</v>
      </c>
      <c r="H120" s="1062">
        <v>59</v>
      </c>
      <c r="I120" s="1062">
        <v>35</v>
      </c>
      <c r="J120" s="1062">
        <v>19</v>
      </c>
      <c r="K120" s="1062">
        <v>6</v>
      </c>
      <c r="L120" s="1062">
        <v>0</v>
      </c>
      <c r="M120" s="1062">
        <v>175</v>
      </c>
      <c r="N120" s="1062">
        <v>294</v>
      </c>
      <c r="O120" s="1063" t="s">
        <v>1257</v>
      </c>
      <c r="P120" s="1063"/>
      <c r="Q120" s="1063"/>
      <c r="R120" s="1063"/>
      <c r="S120" s="1063"/>
      <c r="T120" s="1088" t="s">
        <v>1273</v>
      </c>
    </row>
    <row r="121" spans="1:20" x14ac:dyDescent="0.35">
      <c r="A121" s="1060" t="s">
        <v>1274</v>
      </c>
      <c r="B121" s="1061" t="s">
        <v>1275</v>
      </c>
      <c r="C121" s="1062">
        <v>0</v>
      </c>
      <c r="D121" s="1062">
        <v>65</v>
      </c>
      <c r="E121" s="1062">
        <v>150</v>
      </c>
      <c r="F121" s="1062">
        <v>290</v>
      </c>
      <c r="G121" s="1062">
        <v>290</v>
      </c>
      <c r="H121" s="1062">
        <v>290</v>
      </c>
      <c r="I121" s="1062">
        <v>285</v>
      </c>
      <c r="J121" s="1062">
        <v>250</v>
      </c>
      <c r="K121" s="1062">
        <v>220</v>
      </c>
      <c r="L121" s="1062">
        <v>160</v>
      </c>
      <c r="M121" s="1062">
        <v>795</v>
      </c>
      <c r="N121" s="1079">
        <v>2000</v>
      </c>
      <c r="O121" s="1063" t="s">
        <v>1257</v>
      </c>
      <c r="P121" s="1063"/>
      <c r="Q121" s="1063"/>
      <c r="R121" s="1063"/>
      <c r="S121" s="1063"/>
      <c r="T121" s="1065"/>
    </row>
    <row r="122" spans="1:20" x14ac:dyDescent="0.35">
      <c r="A122" s="1060" t="s">
        <v>1276</v>
      </c>
      <c r="B122" s="1061" t="s">
        <v>1277</v>
      </c>
      <c r="C122" s="1062">
        <v>0</v>
      </c>
      <c r="D122" s="1062">
        <v>5</v>
      </c>
      <c r="E122" s="1062">
        <v>20</v>
      </c>
      <c r="F122" s="1062">
        <v>65</v>
      </c>
      <c r="G122" s="1062">
        <v>105</v>
      </c>
      <c r="H122" s="1062">
        <v>140</v>
      </c>
      <c r="I122" s="1062">
        <v>175</v>
      </c>
      <c r="J122" s="1062">
        <v>210</v>
      </c>
      <c r="K122" s="1062">
        <v>150</v>
      </c>
      <c r="L122" s="1062">
        <v>35</v>
      </c>
      <c r="M122" s="1062">
        <v>195</v>
      </c>
      <c r="N122" s="1062">
        <v>905</v>
      </c>
      <c r="O122" s="1093" t="s">
        <v>1257</v>
      </c>
      <c r="P122" s="1093"/>
      <c r="Q122" s="1093"/>
      <c r="R122" s="1093"/>
      <c r="S122" s="1093"/>
      <c r="T122" s="1094"/>
    </row>
    <row r="123" spans="1:20" x14ac:dyDescent="0.35">
      <c r="A123" s="1060" t="s">
        <v>1278</v>
      </c>
      <c r="B123" s="1061" t="s">
        <v>1279</v>
      </c>
      <c r="C123" s="1062">
        <v>0</v>
      </c>
      <c r="D123" s="1062">
        <v>10</v>
      </c>
      <c r="E123" s="1062">
        <v>150</v>
      </c>
      <c r="F123" s="1062">
        <v>300</v>
      </c>
      <c r="G123" s="1062">
        <v>590</v>
      </c>
      <c r="H123" s="1062">
        <v>460</v>
      </c>
      <c r="I123" s="1062">
        <v>295</v>
      </c>
      <c r="J123" s="1062">
        <v>195</v>
      </c>
      <c r="K123" s="1062">
        <v>0</v>
      </c>
      <c r="L123" s="1062">
        <v>0</v>
      </c>
      <c r="M123" s="1079">
        <v>1050</v>
      </c>
      <c r="N123" s="1079">
        <v>2000</v>
      </c>
      <c r="O123" s="1063" t="s">
        <v>1257</v>
      </c>
      <c r="P123" s="1063"/>
      <c r="Q123" s="1063"/>
      <c r="R123" s="1063"/>
      <c r="S123" s="1063"/>
      <c r="T123" s="1065"/>
    </row>
    <row r="124" spans="1:20" x14ac:dyDescent="0.35">
      <c r="A124" s="1060" t="s">
        <v>1280</v>
      </c>
      <c r="B124" s="1061" t="s">
        <v>1281</v>
      </c>
      <c r="C124" s="1062"/>
      <c r="D124" s="1062"/>
      <c r="E124" s="1062"/>
      <c r="F124" s="1062"/>
      <c r="G124" s="1062"/>
      <c r="H124" s="1062"/>
      <c r="I124" s="1062"/>
      <c r="J124" s="1062"/>
      <c r="K124" s="1062"/>
      <c r="L124" s="1062"/>
      <c r="M124" s="1062"/>
      <c r="N124" s="1062"/>
      <c r="O124" s="1063"/>
      <c r="P124" s="1063"/>
      <c r="Q124" s="1063"/>
      <c r="R124" s="1063"/>
      <c r="S124" s="1063"/>
      <c r="T124" s="1065"/>
    </row>
    <row r="125" spans="1:20" ht="24" customHeight="1" x14ac:dyDescent="0.35">
      <c r="A125" s="1077" t="s">
        <v>1282</v>
      </c>
      <c r="B125" s="1078" t="s">
        <v>1283</v>
      </c>
      <c r="C125" s="1081">
        <v>0</v>
      </c>
      <c r="D125" s="1081">
        <v>72</v>
      </c>
      <c r="E125" s="1081">
        <v>123</v>
      </c>
      <c r="F125" s="1081">
        <v>122</v>
      </c>
      <c r="G125" s="1081">
        <v>115</v>
      </c>
      <c r="H125" s="1081">
        <v>55</v>
      </c>
      <c r="I125" s="1081">
        <v>55</v>
      </c>
      <c r="J125" s="1081">
        <v>33</v>
      </c>
      <c r="K125" s="1081">
        <v>0</v>
      </c>
      <c r="L125" s="1081">
        <v>0</v>
      </c>
      <c r="M125" s="1081">
        <v>432</v>
      </c>
      <c r="N125" s="1081">
        <v>575</v>
      </c>
      <c r="O125" s="1062" t="s">
        <v>1257</v>
      </c>
      <c r="P125" s="1062"/>
      <c r="Q125" s="1062"/>
      <c r="R125" s="1062"/>
      <c r="S125" s="1062"/>
      <c r="T125" s="1065"/>
    </row>
    <row r="126" spans="1:20" x14ac:dyDescent="0.35">
      <c r="A126" s="1060" t="s">
        <v>1284</v>
      </c>
      <c r="B126" s="1061" t="s">
        <v>1285</v>
      </c>
      <c r="C126" s="1062">
        <v>0</v>
      </c>
      <c r="D126" s="1062">
        <v>1</v>
      </c>
      <c r="E126" s="1062">
        <v>2</v>
      </c>
      <c r="F126" s="1062">
        <v>2</v>
      </c>
      <c r="G126" s="1062">
        <v>2</v>
      </c>
      <c r="H126" s="1062">
        <v>2</v>
      </c>
      <c r="I126" s="1062">
        <v>2</v>
      </c>
      <c r="J126" s="1062">
        <v>2</v>
      </c>
      <c r="K126" s="1062">
        <v>2</v>
      </c>
      <c r="L126" s="1062">
        <v>1</v>
      </c>
      <c r="M126" s="1062">
        <v>7</v>
      </c>
      <c r="N126" s="1062">
        <v>16</v>
      </c>
      <c r="O126" s="1063" t="s">
        <v>1257</v>
      </c>
      <c r="P126" s="1063"/>
      <c r="Q126" s="1063"/>
      <c r="R126" s="1063"/>
      <c r="S126" s="1063"/>
      <c r="T126" s="1065"/>
    </row>
    <row r="127" spans="1:20" x14ac:dyDescent="0.35">
      <c r="A127" s="1060" t="s">
        <v>1286</v>
      </c>
      <c r="B127" s="1061" t="s">
        <v>1287</v>
      </c>
      <c r="C127" s="1062">
        <v>0</v>
      </c>
      <c r="D127" s="1062">
        <v>49</v>
      </c>
      <c r="E127" s="1062">
        <v>190</v>
      </c>
      <c r="F127" s="1062">
        <v>379</v>
      </c>
      <c r="G127" s="1062">
        <v>531</v>
      </c>
      <c r="H127" s="1062">
        <v>619</v>
      </c>
      <c r="I127" s="1062">
        <v>580</v>
      </c>
      <c r="J127" s="1062">
        <v>387</v>
      </c>
      <c r="K127" s="1062">
        <v>196</v>
      </c>
      <c r="L127" s="1062">
        <v>69</v>
      </c>
      <c r="M127" s="1079">
        <v>1149</v>
      </c>
      <c r="N127" s="1079">
        <v>3000</v>
      </c>
      <c r="O127" s="1063" t="s">
        <v>1257</v>
      </c>
      <c r="P127" s="1063"/>
      <c r="Q127" s="1063"/>
      <c r="R127" s="1063"/>
      <c r="S127" s="1063"/>
      <c r="T127" s="1065"/>
    </row>
    <row r="128" spans="1:20" x14ac:dyDescent="0.35">
      <c r="A128" s="1077" t="s">
        <v>1288</v>
      </c>
      <c r="B128" s="1078" t="s">
        <v>1289</v>
      </c>
      <c r="C128" s="1062">
        <v>0</v>
      </c>
      <c r="D128" s="1062">
        <v>22</v>
      </c>
      <c r="E128" s="1062">
        <v>22</v>
      </c>
      <c r="F128" s="1062">
        <v>6</v>
      </c>
      <c r="G128" s="1062">
        <v>0</v>
      </c>
      <c r="H128" s="1062">
        <v>0</v>
      </c>
      <c r="I128" s="1062">
        <v>0</v>
      </c>
      <c r="J128" s="1062">
        <v>0</v>
      </c>
      <c r="K128" s="1062">
        <v>0</v>
      </c>
      <c r="L128" s="1062">
        <v>0</v>
      </c>
      <c r="M128" s="1062">
        <v>50</v>
      </c>
      <c r="N128" s="1062">
        <v>50</v>
      </c>
      <c r="O128" s="1063" t="s">
        <v>1257</v>
      </c>
      <c r="P128" s="1063"/>
      <c r="Q128" s="1063"/>
      <c r="R128" s="1063"/>
      <c r="S128" s="1063"/>
      <c r="T128" s="1064"/>
    </row>
    <row r="129" spans="1:20" x14ac:dyDescent="0.35">
      <c r="A129" s="1060" t="s">
        <v>1290</v>
      </c>
      <c r="B129" s="1061" t="s">
        <v>1291</v>
      </c>
      <c r="C129" s="1062">
        <v>0</v>
      </c>
      <c r="D129" s="1062">
        <v>30</v>
      </c>
      <c r="E129" s="1062">
        <v>30</v>
      </c>
      <c r="F129" s="1062">
        <v>40</v>
      </c>
      <c r="G129" s="1062">
        <v>15</v>
      </c>
      <c r="H129" s="1062">
        <v>5</v>
      </c>
      <c r="I129" s="1062">
        <v>5</v>
      </c>
      <c r="J129" s="1062">
        <v>0</v>
      </c>
      <c r="K129" s="1062">
        <v>0</v>
      </c>
      <c r="L129" s="1062">
        <v>0</v>
      </c>
      <c r="M129" s="1062">
        <v>115</v>
      </c>
      <c r="N129" s="1062">
        <v>125</v>
      </c>
      <c r="O129" s="1063" t="s">
        <v>1257</v>
      </c>
      <c r="P129" s="1063"/>
      <c r="Q129" s="1063"/>
      <c r="R129" s="1063"/>
      <c r="S129" s="1063"/>
      <c r="T129" s="1065"/>
    </row>
    <row r="130" spans="1:20" x14ac:dyDescent="0.35">
      <c r="A130" s="1060" t="s">
        <v>1292</v>
      </c>
      <c r="B130" s="1061" t="s">
        <v>1293</v>
      </c>
      <c r="C130" s="1062">
        <v>0</v>
      </c>
      <c r="D130" s="1062">
        <v>10</v>
      </c>
      <c r="E130" s="1062">
        <v>230</v>
      </c>
      <c r="F130" s="1062">
        <v>660</v>
      </c>
      <c r="G130" s="1062">
        <v>945</v>
      </c>
      <c r="H130" s="1062">
        <v>605</v>
      </c>
      <c r="I130" s="1062">
        <v>100</v>
      </c>
      <c r="J130" s="1062">
        <v>0</v>
      </c>
      <c r="K130" s="1062">
        <v>0</v>
      </c>
      <c r="L130" s="1062">
        <v>0</v>
      </c>
      <c r="M130" s="1079">
        <v>1845</v>
      </c>
      <c r="N130" s="1079">
        <v>2550</v>
      </c>
      <c r="O130" s="1063" t="s">
        <v>1257</v>
      </c>
      <c r="P130" s="1063"/>
      <c r="Q130" s="1063"/>
      <c r="R130" s="1063"/>
      <c r="S130" s="1063"/>
      <c r="T130" s="1065"/>
    </row>
    <row r="131" spans="1:20" x14ac:dyDescent="0.35">
      <c r="A131" s="1060" t="s">
        <v>1294</v>
      </c>
      <c r="B131" s="1061" t="s">
        <v>1295</v>
      </c>
      <c r="C131" s="1062">
        <v>0</v>
      </c>
      <c r="D131" s="1062">
        <v>10</v>
      </c>
      <c r="E131" s="1062">
        <v>45</v>
      </c>
      <c r="F131" s="1062">
        <v>70</v>
      </c>
      <c r="G131" s="1062">
        <v>100</v>
      </c>
      <c r="H131" s="1062">
        <v>100</v>
      </c>
      <c r="I131" s="1062">
        <v>100</v>
      </c>
      <c r="J131" s="1062">
        <v>100</v>
      </c>
      <c r="K131" s="1062">
        <v>100</v>
      </c>
      <c r="L131" s="1062">
        <v>100</v>
      </c>
      <c r="M131" s="1062">
        <v>225</v>
      </c>
      <c r="N131" s="1062">
        <v>725</v>
      </c>
      <c r="O131" s="1063" t="s">
        <v>1257</v>
      </c>
      <c r="P131" s="1063"/>
      <c r="Q131" s="1063"/>
      <c r="R131" s="1063"/>
      <c r="S131" s="1063"/>
      <c r="T131" s="1065"/>
    </row>
    <row r="132" spans="1:20" x14ac:dyDescent="0.35">
      <c r="A132" s="1077" t="s">
        <v>1296</v>
      </c>
      <c r="B132" s="1078" t="s">
        <v>1297</v>
      </c>
      <c r="C132" s="1062">
        <v>0</v>
      </c>
      <c r="D132" s="1062">
        <v>14</v>
      </c>
      <c r="E132" s="1062">
        <v>11</v>
      </c>
      <c r="F132" s="1062">
        <v>0</v>
      </c>
      <c r="G132" s="1062">
        <v>0</v>
      </c>
      <c r="H132" s="1062">
        <v>0</v>
      </c>
      <c r="I132" s="1062">
        <v>0</v>
      </c>
      <c r="J132" s="1062">
        <v>0</v>
      </c>
      <c r="K132" s="1062">
        <v>0</v>
      </c>
      <c r="L132" s="1062">
        <v>0</v>
      </c>
      <c r="M132" s="1062">
        <v>25</v>
      </c>
      <c r="N132" s="1062">
        <v>25</v>
      </c>
      <c r="O132" s="1063" t="s">
        <v>1261</v>
      </c>
      <c r="P132" s="1063"/>
      <c r="Q132" s="1063"/>
      <c r="R132" s="1063"/>
      <c r="S132" s="1063"/>
      <c r="T132" s="1064"/>
    </row>
    <row r="133" spans="1:20" x14ac:dyDescent="0.35">
      <c r="A133" s="1077" t="s">
        <v>1298</v>
      </c>
      <c r="B133" s="1078" t="s">
        <v>1299</v>
      </c>
      <c r="C133" s="1062">
        <v>0</v>
      </c>
      <c r="D133" s="1062">
        <v>84</v>
      </c>
      <c r="E133" s="1062">
        <v>320</v>
      </c>
      <c r="F133" s="1062">
        <v>638</v>
      </c>
      <c r="G133" s="1062">
        <v>928</v>
      </c>
      <c r="H133" s="1062">
        <v>940</v>
      </c>
      <c r="I133" s="1062">
        <v>720</v>
      </c>
      <c r="J133" s="1062">
        <v>300</v>
      </c>
      <c r="K133" s="1062">
        <v>120</v>
      </c>
      <c r="L133" s="1062">
        <v>0</v>
      </c>
      <c r="M133" s="1079">
        <v>1970</v>
      </c>
      <c r="N133" s="1079">
        <v>4050</v>
      </c>
      <c r="O133" s="1063" t="s">
        <v>1261</v>
      </c>
      <c r="P133" s="1063"/>
      <c r="Q133" s="1063"/>
      <c r="R133" s="1063"/>
      <c r="S133" s="1063"/>
      <c r="T133" s="1065"/>
    </row>
    <row r="134" spans="1:20" x14ac:dyDescent="0.35">
      <c r="A134" s="1060" t="s">
        <v>1300</v>
      </c>
      <c r="B134" s="1061" t="s">
        <v>1301</v>
      </c>
      <c r="C134" s="1062">
        <v>0</v>
      </c>
      <c r="D134" s="1062">
        <v>40</v>
      </c>
      <c r="E134" s="1062">
        <v>200</v>
      </c>
      <c r="F134" s="1062">
        <v>400</v>
      </c>
      <c r="G134" s="1062">
        <v>660</v>
      </c>
      <c r="H134" s="1062">
        <v>640</v>
      </c>
      <c r="I134" s="1062">
        <v>515</v>
      </c>
      <c r="J134" s="1062">
        <v>240</v>
      </c>
      <c r="K134" s="1062">
        <v>105</v>
      </c>
      <c r="L134" s="1062">
        <v>0</v>
      </c>
      <c r="M134" s="1079">
        <v>1300</v>
      </c>
      <c r="N134" s="1079">
        <v>2800</v>
      </c>
      <c r="O134" s="1063" t="s">
        <v>1261</v>
      </c>
      <c r="P134" s="1063"/>
      <c r="Q134" s="1063"/>
      <c r="R134" s="1063"/>
      <c r="S134" s="1063"/>
      <c r="T134" s="1065"/>
    </row>
    <row r="135" spans="1:20" x14ac:dyDescent="0.35">
      <c r="A135" s="1060" t="s">
        <v>1302</v>
      </c>
      <c r="B135" s="1061" t="s">
        <v>1303</v>
      </c>
      <c r="C135" s="1095">
        <v>0</v>
      </c>
      <c r="D135" s="1095">
        <v>138</v>
      </c>
      <c r="E135" s="1095">
        <v>566</v>
      </c>
      <c r="F135" s="1095">
        <v>994</v>
      </c>
      <c r="G135" s="1096">
        <v>1328</v>
      </c>
      <c r="H135" s="1096">
        <v>1791</v>
      </c>
      <c r="I135" s="1096">
        <v>2350</v>
      </c>
      <c r="J135" s="1096">
        <v>2928</v>
      </c>
      <c r="K135" s="1096">
        <v>3548</v>
      </c>
      <c r="L135" s="1096">
        <v>4162</v>
      </c>
      <c r="M135" s="1096">
        <v>3026</v>
      </c>
      <c r="N135" s="1096">
        <v>17805</v>
      </c>
      <c r="O135" s="1097" t="s">
        <v>54</v>
      </c>
      <c r="P135" s="1097"/>
      <c r="Q135" s="1097"/>
      <c r="R135" s="1097"/>
      <c r="S135" s="1097"/>
      <c r="T135" s="1098"/>
    </row>
    <row r="136" spans="1:20" x14ac:dyDescent="0.35">
      <c r="A136" s="1060" t="s">
        <v>1304</v>
      </c>
      <c r="B136" s="1061" t="s">
        <v>1305</v>
      </c>
      <c r="C136" s="1095">
        <v>0</v>
      </c>
      <c r="D136" s="1095">
        <v>0</v>
      </c>
      <c r="E136" s="1095">
        <v>235</v>
      </c>
      <c r="F136" s="1095">
        <v>317</v>
      </c>
      <c r="G136" s="1095">
        <v>304</v>
      </c>
      <c r="H136" s="1095">
        <v>314</v>
      </c>
      <c r="I136" s="1095">
        <v>324</v>
      </c>
      <c r="J136" s="1095">
        <v>335</v>
      </c>
      <c r="K136" s="1095">
        <v>346</v>
      </c>
      <c r="L136" s="1095">
        <v>359</v>
      </c>
      <c r="M136" s="1095">
        <v>856</v>
      </c>
      <c r="N136" s="1096">
        <v>2534</v>
      </c>
      <c r="O136" s="1097" t="s">
        <v>54</v>
      </c>
      <c r="P136" s="1097"/>
      <c r="Q136" s="1097"/>
      <c r="R136" s="1097"/>
      <c r="S136" s="1097"/>
      <c r="T136" s="1065"/>
    </row>
    <row r="137" spans="1:20" ht="24" customHeight="1" x14ac:dyDescent="0.35">
      <c r="A137" s="1060" t="s">
        <v>1306</v>
      </c>
      <c r="B137" s="1061" t="s">
        <v>1307</v>
      </c>
      <c r="C137" s="1099"/>
      <c r="D137" s="1099">
        <v>333</v>
      </c>
      <c r="E137" s="1099">
        <v>314</v>
      </c>
      <c r="F137" s="1099">
        <v>314</v>
      </c>
      <c r="G137" s="1099">
        <v>-4530</v>
      </c>
      <c r="H137" s="1099">
        <v>-9118</v>
      </c>
      <c r="I137" s="1099">
        <v>-18184</v>
      </c>
      <c r="J137" s="1099">
        <v>-20493</v>
      </c>
      <c r="K137" s="1099">
        <v>-23289</v>
      </c>
      <c r="L137" s="1099">
        <v>-24298</v>
      </c>
      <c r="M137" s="1099">
        <v>-569</v>
      </c>
      <c r="N137" s="1099">
        <v>-95951</v>
      </c>
      <c r="O137" s="1100" t="s">
        <v>55</v>
      </c>
      <c r="P137" s="1100"/>
      <c r="Q137" s="1100"/>
      <c r="R137" s="1100"/>
      <c r="S137" s="1100"/>
      <c r="T137" s="1101"/>
    </row>
    <row r="138" spans="1:20" ht="36" customHeight="1" x14ac:dyDescent="0.35">
      <c r="A138" s="1060" t="s">
        <v>1302</v>
      </c>
      <c r="B138" s="1061" t="s">
        <v>1308</v>
      </c>
      <c r="C138" s="1102">
        <v>0</v>
      </c>
      <c r="D138" s="1102">
        <v>-2447</v>
      </c>
      <c r="E138" s="1102">
        <v>-3716</v>
      </c>
      <c r="F138" s="1102">
        <v>-19171</v>
      </c>
      <c r="G138" s="1102">
        <v>-7014</v>
      </c>
      <c r="H138" s="1102">
        <v>-7706</v>
      </c>
      <c r="I138" s="1102">
        <v>-8497</v>
      </c>
      <c r="J138" s="1102">
        <v>-9360</v>
      </c>
      <c r="K138" s="1102">
        <v>-10602</v>
      </c>
      <c r="L138" s="1102">
        <v>-11603</v>
      </c>
      <c r="M138" s="1102">
        <v>-32348</v>
      </c>
      <c r="N138" s="1102">
        <v>-80116</v>
      </c>
      <c r="O138" s="1100" t="s">
        <v>55</v>
      </c>
      <c r="P138" s="1100"/>
      <c r="Q138" s="1100"/>
      <c r="R138" s="1100"/>
      <c r="S138" s="1100"/>
      <c r="T138" s="1065"/>
    </row>
    <row r="139" spans="1:20" x14ac:dyDescent="0.35">
      <c r="A139" s="1060" t="s">
        <v>1309</v>
      </c>
      <c r="B139" s="1061" t="s">
        <v>1310</v>
      </c>
      <c r="C139" s="1099">
        <v>0</v>
      </c>
      <c r="D139" s="1099">
        <v>53</v>
      </c>
      <c r="E139" s="1099">
        <v>1991</v>
      </c>
      <c r="F139" s="1099">
        <v>3308</v>
      </c>
      <c r="G139" s="1099">
        <v>3545</v>
      </c>
      <c r="H139" s="1099">
        <v>4537</v>
      </c>
      <c r="I139" s="1099">
        <v>4476</v>
      </c>
      <c r="J139" s="1099">
        <v>3947</v>
      </c>
      <c r="K139" s="1099">
        <v>1781</v>
      </c>
      <c r="L139" s="1099">
        <v>1462</v>
      </c>
      <c r="M139" s="1099">
        <v>8897</v>
      </c>
      <c r="N139" s="1099">
        <v>25100</v>
      </c>
      <c r="O139" s="1100" t="s">
        <v>55</v>
      </c>
      <c r="P139" s="1100"/>
      <c r="Q139" s="1100"/>
      <c r="R139" s="1100"/>
      <c r="S139" s="1100"/>
      <c r="T139" s="1065"/>
    </row>
    <row r="140" spans="1:20" x14ac:dyDescent="0.35">
      <c r="A140" s="1060" t="s">
        <v>1311</v>
      </c>
      <c r="B140" s="1061" t="s">
        <v>1312</v>
      </c>
      <c r="C140" s="1103">
        <v>0</v>
      </c>
      <c r="D140" s="1103">
        <v>0</v>
      </c>
      <c r="E140" s="1103">
        <v>0</v>
      </c>
      <c r="F140" s="1103">
        <v>0</v>
      </c>
      <c r="G140" s="1103">
        <v>0</v>
      </c>
      <c r="H140" s="1104">
        <v>-16290</v>
      </c>
      <c r="I140" s="1104">
        <v>-25656</v>
      </c>
      <c r="J140" s="1104">
        <v>-23394</v>
      </c>
      <c r="K140" s="1104">
        <v>-27561</v>
      </c>
      <c r="L140" s="1104">
        <v>-29250</v>
      </c>
      <c r="M140" s="1103">
        <v>0</v>
      </c>
      <c r="N140" s="1104">
        <v>-122151</v>
      </c>
      <c r="O140" s="1100" t="s">
        <v>55</v>
      </c>
      <c r="P140" s="1100"/>
      <c r="Q140" s="1100"/>
      <c r="R140" s="1100"/>
      <c r="S140" s="1100"/>
      <c r="T140" s="1065"/>
    </row>
    <row r="141" spans="1:20" ht="36" customHeight="1" x14ac:dyDescent="0.35">
      <c r="A141" s="1060" t="s">
        <v>1313</v>
      </c>
      <c r="B141" s="1061" t="s">
        <v>1314</v>
      </c>
      <c r="C141" s="1099">
        <v>0</v>
      </c>
      <c r="D141" s="1099">
        <v>-70</v>
      </c>
      <c r="E141" s="1099">
        <v>300</v>
      </c>
      <c r="F141" s="1099">
        <v>862</v>
      </c>
      <c r="G141" s="1099">
        <v>577</v>
      </c>
      <c r="H141" s="1099">
        <v>464</v>
      </c>
      <c r="I141" s="1099">
        <v>549</v>
      </c>
      <c r="J141" s="1099">
        <v>501</v>
      </c>
      <c r="K141" s="1099">
        <v>591</v>
      </c>
      <c r="L141" s="1099">
        <v>630</v>
      </c>
      <c r="M141" s="1099">
        <v>1669</v>
      </c>
      <c r="N141" s="1099">
        <v>4404</v>
      </c>
      <c r="O141" s="1100" t="s">
        <v>55</v>
      </c>
      <c r="P141" s="1100"/>
      <c r="Q141" s="1100"/>
      <c r="R141" s="1100"/>
      <c r="S141" s="1100"/>
      <c r="T141" s="1065"/>
    </row>
    <row r="142" spans="1:20" x14ac:dyDescent="0.35">
      <c r="A142" s="1060" t="s">
        <v>1315</v>
      </c>
      <c r="B142" s="1061" t="s">
        <v>1316</v>
      </c>
      <c r="C142" s="1103">
        <v>0</v>
      </c>
      <c r="D142" s="1103">
        <v>0</v>
      </c>
      <c r="E142" s="1103">
        <v>195</v>
      </c>
      <c r="F142" s="1103">
        <v>230</v>
      </c>
      <c r="G142" s="1103">
        <v>248</v>
      </c>
      <c r="H142" s="1103">
        <v>266</v>
      </c>
      <c r="I142" s="1103">
        <v>311</v>
      </c>
      <c r="J142" s="1103">
        <v>281</v>
      </c>
      <c r="K142" s="1103">
        <v>327</v>
      </c>
      <c r="L142" s="1103">
        <v>347</v>
      </c>
      <c r="M142" s="1103">
        <v>673</v>
      </c>
      <c r="N142" s="1104">
        <v>2205</v>
      </c>
      <c r="O142" s="1100" t="s">
        <v>55</v>
      </c>
      <c r="P142" s="1100"/>
      <c r="Q142" s="1100"/>
      <c r="R142" s="1100"/>
      <c r="S142" s="1100"/>
      <c r="T142" s="1065"/>
    </row>
    <row r="143" spans="1:20" x14ac:dyDescent="0.35">
      <c r="A143" s="1077" t="s">
        <v>1317</v>
      </c>
      <c r="B143" s="1078" t="s">
        <v>1318</v>
      </c>
      <c r="C143" s="1105">
        <v>0</v>
      </c>
      <c r="D143" s="1105">
        <v>70</v>
      </c>
      <c r="E143" s="1105">
        <v>132</v>
      </c>
      <c r="F143" s="1105">
        <v>51</v>
      </c>
      <c r="G143" s="1105">
        <v>20</v>
      </c>
      <c r="H143" s="1105">
        <v>8</v>
      </c>
      <c r="I143" s="1105">
        <v>0</v>
      </c>
      <c r="J143" s="1105">
        <v>0</v>
      </c>
      <c r="K143" s="1105">
        <v>0</v>
      </c>
      <c r="L143" s="1105">
        <v>0</v>
      </c>
      <c r="M143" s="1105">
        <v>273</v>
      </c>
      <c r="N143" s="1105">
        <v>281</v>
      </c>
      <c r="O143" s="1106" t="s">
        <v>1319</v>
      </c>
      <c r="P143" s="1106"/>
      <c r="Q143" s="1106"/>
      <c r="R143" s="1106"/>
      <c r="S143" s="1106"/>
      <c r="T143" s="1065" t="s">
        <v>1320</v>
      </c>
    </row>
    <row r="144" spans="1:20" x14ac:dyDescent="0.35">
      <c r="A144" s="1077" t="s">
        <v>1321</v>
      </c>
      <c r="B144" s="1078" t="s">
        <v>1322</v>
      </c>
      <c r="C144" s="1105">
        <v>0</v>
      </c>
      <c r="D144" s="1105">
        <v>465</v>
      </c>
      <c r="E144" s="1107">
        <v>2420</v>
      </c>
      <c r="F144" s="1107">
        <v>4755</v>
      </c>
      <c r="G144" s="1107">
        <v>5980</v>
      </c>
      <c r="H144" s="1107">
        <v>4694</v>
      </c>
      <c r="I144" s="1107">
        <v>1573</v>
      </c>
      <c r="J144" s="1105">
        <v>93</v>
      </c>
      <c r="K144" s="1105">
        <v>0</v>
      </c>
      <c r="L144" s="1105">
        <v>0</v>
      </c>
      <c r="M144" s="1107">
        <v>13620</v>
      </c>
      <c r="N144" s="1107">
        <v>19980</v>
      </c>
      <c r="O144" s="1106" t="s">
        <v>1319</v>
      </c>
      <c r="P144" s="1106"/>
      <c r="Q144" s="1106"/>
      <c r="R144" s="1106"/>
      <c r="S144" s="1106"/>
      <c r="T144" s="1065" t="s">
        <v>1323</v>
      </c>
    </row>
    <row r="145" spans="1:20" x14ac:dyDescent="0.35">
      <c r="A145" s="1060" t="s">
        <v>1324</v>
      </c>
      <c r="B145" s="1061" t="s">
        <v>1325</v>
      </c>
      <c r="C145" s="1105">
        <v>0</v>
      </c>
      <c r="D145" s="1105">
        <v>20</v>
      </c>
      <c r="E145" s="1105">
        <v>65</v>
      </c>
      <c r="F145" s="1105">
        <v>110</v>
      </c>
      <c r="G145" s="1105">
        <v>135</v>
      </c>
      <c r="H145" s="1105">
        <v>180</v>
      </c>
      <c r="I145" s="1105">
        <v>230</v>
      </c>
      <c r="J145" s="1105">
        <v>180</v>
      </c>
      <c r="K145" s="1105">
        <v>60</v>
      </c>
      <c r="L145" s="1105">
        <v>10</v>
      </c>
      <c r="M145" s="1105">
        <v>330</v>
      </c>
      <c r="N145" s="1105">
        <v>990</v>
      </c>
      <c r="O145" s="1106" t="s">
        <v>1319</v>
      </c>
      <c r="P145" s="1106"/>
      <c r="Q145" s="1106"/>
      <c r="R145" s="1106"/>
      <c r="S145" s="1106"/>
      <c r="T145" s="1088" t="s">
        <v>1326</v>
      </c>
    </row>
    <row r="146" spans="1:20" x14ac:dyDescent="0.35">
      <c r="A146" s="1060" t="s">
        <v>1327</v>
      </c>
      <c r="B146" s="1061" t="s">
        <v>1328</v>
      </c>
      <c r="C146" s="1105">
        <v>0</v>
      </c>
      <c r="D146" s="1107">
        <v>20892</v>
      </c>
      <c r="E146" s="1107">
        <v>11288</v>
      </c>
      <c r="F146" s="1107">
        <v>9651</v>
      </c>
      <c r="G146" s="1107">
        <v>-8548</v>
      </c>
      <c r="H146" s="1105">
        <v>-463</v>
      </c>
      <c r="I146" s="1105">
        <v>0</v>
      </c>
      <c r="J146" s="1105">
        <v>0</v>
      </c>
      <c r="K146" s="1105">
        <v>0</v>
      </c>
      <c r="L146" s="1105">
        <v>0</v>
      </c>
      <c r="M146" s="1107">
        <v>33283</v>
      </c>
      <c r="N146" s="1107">
        <v>32820</v>
      </c>
      <c r="O146" s="1108" t="s">
        <v>1319</v>
      </c>
      <c r="P146" s="1108"/>
      <c r="Q146" s="1108"/>
      <c r="R146" s="1108"/>
      <c r="S146" s="1108"/>
      <c r="T146" s="1065"/>
    </row>
    <row r="147" spans="1:20" x14ac:dyDescent="0.35">
      <c r="A147" s="1060" t="s">
        <v>1329</v>
      </c>
      <c r="B147" s="1061" t="s">
        <v>1330</v>
      </c>
      <c r="C147" s="1105">
        <v>0</v>
      </c>
      <c r="D147" s="1105">
        <v>24</v>
      </c>
      <c r="E147" s="1105">
        <v>65</v>
      </c>
      <c r="F147" s="1105">
        <v>112</v>
      </c>
      <c r="G147" s="1105">
        <v>130</v>
      </c>
      <c r="H147" s="1105">
        <v>98</v>
      </c>
      <c r="I147" s="1105">
        <v>56</v>
      </c>
      <c r="J147" s="1105">
        <v>15</v>
      </c>
      <c r="K147" s="1105">
        <v>0</v>
      </c>
      <c r="L147" s="1105">
        <v>0</v>
      </c>
      <c r="M147" s="1105">
        <v>331</v>
      </c>
      <c r="N147" s="1105">
        <v>500</v>
      </c>
      <c r="O147" s="1108" t="s">
        <v>1319</v>
      </c>
      <c r="P147" s="1108"/>
      <c r="Q147" s="1108"/>
      <c r="R147" s="1108"/>
      <c r="S147" s="1108"/>
      <c r="T147" s="1065"/>
    </row>
    <row r="148" spans="1:20" x14ac:dyDescent="0.35">
      <c r="A148" s="1109" t="s">
        <v>1331</v>
      </c>
      <c r="B148" s="1110" t="s">
        <v>1332</v>
      </c>
      <c r="C148" s="1105">
        <v>0</v>
      </c>
      <c r="D148" s="1105">
        <v>50</v>
      </c>
      <c r="E148" s="1105">
        <v>500</v>
      </c>
      <c r="F148" s="1105">
        <v>920</v>
      </c>
      <c r="G148" s="1107">
        <v>1310</v>
      </c>
      <c r="H148" s="1107">
        <v>1680</v>
      </c>
      <c r="I148" s="1107">
        <v>1780</v>
      </c>
      <c r="J148" s="1107">
        <v>1640</v>
      </c>
      <c r="K148" s="1107">
        <v>1090</v>
      </c>
      <c r="L148" s="1105">
        <v>630</v>
      </c>
      <c r="M148" s="1107">
        <v>2780</v>
      </c>
      <c r="N148" s="1107">
        <v>9600</v>
      </c>
      <c r="O148" s="1108" t="s">
        <v>1319</v>
      </c>
      <c r="P148" s="1108"/>
      <c r="Q148" s="1108"/>
      <c r="R148" s="1108"/>
      <c r="S148" s="1108"/>
      <c r="T148" s="1111"/>
    </row>
    <row r="149" spans="1:20" x14ac:dyDescent="0.35">
      <c r="A149" s="1060" t="s">
        <v>1333</v>
      </c>
      <c r="B149" s="1061" t="s">
        <v>1334</v>
      </c>
      <c r="C149" s="1105">
        <v>0</v>
      </c>
      <c r="D149" s="1105">
        <v>30</v>
      </c>
      <c r="E149" s="1105">
        <v>90</v>
      </c>
      <c r="F149" s="1105">
        <v>90</v>
      </c>
      <c r="G149" s="1105">
        <v>85</v>
      </c>
      <c r="H149" s="1105">
        <v>70</v>
      </c>
      <c r="I149" s="1105">
        <v>65</v>
      </c>
      <c r="J149" s="1105">
        <v>65</v>
      </c>
      <c r="K149" s="1105">
        <v>35</v>
      </c>
      <c r="L149" s="1105">
        <v>15</v>
      </c>
      <c r="M149" s="1105">
        <v>295</v>
      </c>
      <c r="N149" s="1105">
        <v>545</v>
      </c>
      <c r="O149" s="1108" t="s">
        <v>1319</v>
      </c>
      <c r="P149" s="1108"/>
      <c r="Q149" s="1108"/>
      <c r="R149" s="1108"/>
      <c r="S149" s="1108"/>
      <c r="T149" s="1065"/>
    </row>
    <row r="150" spans="1:20" x14ac:dyDescent="0.35">
      <c r="A150" s="1060" t="s">
        <v>1335</v>
      </c>
      <c r="B150" s="1061" t="s">
        <v>1336</v>
      </c>
      <c r="C150" s="1105">
        <v>0</v>
      </c>
      <c r="D150" s="1105">
        <v>185</v>
      </c>
      <c r="E150" s="1105">
        <v>394</v>
      </c>
      <c r="F150" s="1105">
        <v>639</v>
      </c>
      <c r="G150" s="1105">
        <v>722</v>
      </c>
      <c r="H150" s="1105">
        <v>595</v>
      </c>
      <c r="I150" s="1105">
        <v>346</v>
      </c>
      <c r="J150" s="1105">
        <v>101</v>
      </c>
      <c r="K150" s="1105">
        <v>18</v>
      </c>
      <c r="L150" s="1105">
        <v>0</v>
      </c>
      <c r="M150" s="1107">
        <v>1940</v>
      </c>
      <c r="N150" s="1107">
        <v>3000</v>
      </c>
      <c r="O150" s="1106" t="s">
        <v>1319</v>
      </c>
      <c r="P150" s="1106"/>
      <c r="Q150" s="1106"/>
      <c r="R150" s="1106"/>
      <c r="S150" s="1106"/>
      <c r="T150" s="1065"/>
    </row>
    <row r="151" spans="1:20" x14ac:dyDescent="0.35">
      <c r="A151" s="1060" t="s">
        <v>1337</v>
      </c>
      <c r="B151" s="1061" t="s">
        <v>1338</v>
      </c>
      <c r="C151" s="1105">
        <v>0</v>
      </c>
      <c r="D151" s="1105">
        <v>8</v>
      </c>
      <c r="E151" s="1105">
        <v>26</v>
      </c>
      <c r="F151" s="1105">
        <v>41</v>
      </c>
      <c r="G151" s="1105">
        <v>38</v>
      </c>
      <c r="H151" s="1105">
        <v>22</v>
      </c>
      <c r="I151" s="1105">
        <v>11</v>
      </c>
      <c r="J151" s="1105">
        <v>4</v>
      </c>
      <c r="K151" s="1105">
        <v>0</v>
      </c>
      <c r="L151" s="1105">
        <v>0</v>
      </c>
      <c r="M151" s="1105">
        <v>113</v>
      </c>
      <c r="N151" s="1105">
        <v>150</v>
      </c>
      <c r="O151" s="1106" t="s">
        <v>1319</v>
      </c>
      <c r="P151" s="1106"/>
      <c r="Q151" s="1106"/>
      <c r="R151" s="1106"/>
      <c r="S151" s="1106"/>
      <c r="T151" s="1065"/>
    </row>
    <row r="152" spans="1:20" ht="24" customHeight="1" x14ac:dyDescent="0.35">
      <c r="A152" s="1077" t="s">
        <v>1339</v>
      </c>
      <c r="B152" s="1078" t="s">
        <v>1340</v>
      </c>
      <c r="C152" s="1112">
        <v>0</v>
      </c>
      <c r="D152" s="1113">
        <v>77</v>
      </c>
      <c r="E152" s="1113">
        <v>232</v>
      </c>
      <c r="F152" s="1113">
        <v>341</v>
      </c>
      <c r="G152" s="1113">
        <v>496</v>
      </c>
      <c r="H152" s="1113">
        <v>310</v>
      </c>
      <c r="I152" s="1113">
        <v>47</v>
      </c>
      <c r="J152" s="1113">
        <v>31</v>
      </c>
      <c r="K152" s="1113">
        <v>15</v>
      </c>
      <c r="L152" s="1113">
        <v>1</v>
      </c>
      <c r="M152" s="1114">
        <v>1146</v>
      </c>
      <c r="N152" s="1114">
        <v>1550</v>
      </c>
      <c r="O152" s="1115" t="s">
        <v>1341</v>
      </c>
      <c r="P152" s="1122"/>
      <c r="Q152" s="1122"/>
      <c r="R152" s="1122"/>
      <c r="S152" s="1122"/>
      <c r="T152" s="1065" t="s">
        <v>1342</v>
      </c>
    </row>
    <row r="153" spans="1:20" ht="30" customHeight="1" x14ac:dyDescent="0.35">
      <c r="A153" s="1060" t="s">
        <v>1343</v>
      </c>
      <c r="B153" s="1061" t="s">
        <v>1344</v>
      </c>
      <c r="C153" s="1116">
        <v>0</v>
      </c>
      <c r="D153" s="1116">
        <v>264</v>
      </c>
      <c r="E153" s="1116">
        <v>715</v>
      </c>
      <c r="F153" s="1116">
        <v>1393</v>
      </c>
      <c r="G153" s="1116">
        <v>2492</v>
      </c>
      <c r="H153" s="1116">
        <v>3364</v>
      </c>
      <c r="I153" s="1116">
        <v>3209</v>
      </c>
      <c r="J153" s="1116">
        <v>2750</v>
      </c>
      <c r="K153" s="1116">
        <v>1783</v>
      </c>
      <c r="L153" s="1116">
        <v>744</v>
      </c>
      <c r="M153" s="1117">
        <v>4864</v>
      </c>
      <c r="N153" s="1117">
        <v>16714</v>
      </c>
      <c r="O153" s="1123" t="s">
        <v>52</v>
      </c>
      <c r="P153" s="1123"/>
      <c r="Q153" s="1123"/>
      <c r="R153" s="1123"/>
      <c r="S153" s="1123"/>
      <c r="T153" s="1124" t="s">
        <v>1345</v>
      </c>
    </row>
    <row r="154" spans="1:20" x14ac:dyDescent="0.35">
      <c r="A154" s="1060" t="s">
        <v>1346</v>
      </c>
      <c r="B154" s="1061" t="s">
        <v>1347</v>
      </c>
      <c r="C154" s="1125">
        <v>0</v>
      </c>
      <c r="D154" s="1125">
        <v>0</v>
      </c>
      <c r="E154" s="1125">
        <v>50</v>
      </c>
      <c r="F154" s="1125">
        <v>270</v>
      </c>
      <c r="G154" s="1125">
        <v>680</v>
      </c>
      <c r="H154" s="1125">
        <v>850</v>
      </c>
      <c r="I154" s="1125">
        <v>730</v>
      </c>
      <c r="J154" s="1125">
        <v>485</v>
      </c>
      <c r="K154" s="1125">
        <v>285</v>
      </c>
      <c r="L154" s="1125">
        <v>145</v>
      </c>
      <c r="M154" s="1126">
        <v>1000</v>
      </c>
      <c r="N154" s="1126">
        <v>3495</v>
      </c>
      <c r="O154" s="1127" t="s">
        <v>52</v>
      </c>
      <c r="P154" s="1127"/>
      <c r="Q154" s="1127"/>
      <c r="R154" s="1127"/>
      <c r="S154" s="1127"/>
      <c r="T154" s="1128" t="s">
        <v>1348</v>
      </c>
    </row>
    <row r="155" spans="1:20" x14ac:dyDescent="0.35">
      <c r="A155" s="1060" t="s">
        <v>1349</v>
      </c>
      <c r="B155" s="1061" t="s">
        <v>1350</v>
      </c>
      <c r="C155" s="1125">
        <v>0</v>
      </c>
      <c r="D155" s="1125">
        <v>5</v>
      </c>
      <c r="E155" s="1125">
        <v>5</v>
      </c>
      <c r="F155" s="1125">
        <v>10</v>
      </c>
      <c r="G155" s="1125">
        <v>25</v>
      </c>
      <c r="H155" s="1125">
        <v>70</v>
      </c>
      <c r="I155" s="1125">
        <v>175</v>
      </c>
      <c r="J155" s="1125">
        <v>385</v>
      </c>
      <c r="K155" s="1125">
        <v>460</v>
      </c>
      <c r="L155" s="1125">
        <v>325</v>
      </c>
      <c r="M155" s="1125">
        <v>45</v>
      </c>
      <c r="N155" s="1126">
        <v>1460</v>
      </c>
      <c r="O155" s="1129" t="s">
        <v>52</v>
      </c>
      <c r="P155" s="1129"/>
      <c r="Q155" s="1129"/>
      <c r="R155" s="1129"/>
      <c r="S155" s="1129"/>
      <c r="T155" s="1128" t="s">
        <v>1351</v>
      </c>
    </row>
    <row r="156" spans="1:20" x14ac:dyDescent="0.35">
      <c r="A156" s="1077" t="s">
        <v>1352</v>
      </c>
      <c r="B156" s="1078" t="s">
        <v>1353</v>
      </c>
      <c r="C156" s="1125">
        <v>0</v>
      </c>
      <c r="D156" s="1125">
        <v>6</v>
      </c>
      <c r="E156" s="1125">
        <v>8</v>
      </c>
      <c r="F156" s="1125">
        <v>1</v>
      </c>
      <c r="G156" s="1125">
        <v>0</v>
      </c>
      <c r="H156" s="1125">
        <v>0</v>
      </c>
      <c r="I156" s="1125">
        <v>0</v>
      </c>
      <c r="J156" s="1125">
        <v>0</v>
      </c>
      <c r="K156" s="1125">
        <v>0</v>
      </c>
      <c r="L156" s="1125">
        <v>0</v>
      </c>
      <c r="M156" s="1125">
        <v>15</v>
      </c>
      <c r="N156" s="1125">
        <v>15</v>
      </c>
      <c r="O156" s="1129" t="s">
        <v>52</v>
      </c>
      <c r="P156" s="1129"/>
      <c r="Q156" s="1129"/>
      <c r="R156" s="1129"/>
      <c r="S156" s="1129"/>
      <c r="T156" s="1128" t="s">
        <v>1354</v>
      </c>
    </row>
    <row r="157" spans="1:20" ht="24" customHeight="1" x14ac:dyDescent="0.35">
      <c r="A157" s="1060" t="s">
        <v>1355</v>
      </c>
      <c r="B157" s="1061" t="s">
        <v>1356</v>
      </c>
      <c r="C157" s="1125">
        <v>0</v>
      </c>
      <c r="D157" s="1125">
        <v>5</v>
      </c>
      <c r="E157" s="1125">
        <v>41</v>
      </c>
      <c r="F157" s="1125">
        <v>116</v>
      </c>
      <c r="G157" s="1125">
        <v>284</v>
      </c>
      <c r="H157" s="1125">
        <v>417</v>
      </c>
      <c r="I157" s="1125">
        <v>459</v>
      </c>
      <c r="J157" s="1125">
        <v>355</v>
      </c>
      <c r="K157" s="1125">
        <v>210</v>
      </c>
      <c r="L157" s="1125">
        <v>90</v>
      </c>
      <c r="M157" s="1125">
        <v>446</v>
      </c>
      <c r="N157" s="1126">
        <v>1977</v>
      </c>
      <c r="O157" s="1130" t="s">
        <v>52</v>
      </c>
      <c r="P157" s="1130"/>
      <c r="Q157" s="1130"/>
      <c r="R157" s="1130"/>
      <c r="S157" s="1130"/>
      <c r="T157" s="1131" t="s">
        <v>1357</v>
      </c>
    </row>
    <row r="158" spans="1:20" ht="24" customHeight="1" x14ac:dyDescent="0.35">
      <c r="A158" s="1060" t="s">
        <v>1358</v>
      </c>
      <c r="B158" s="1061" t="s">
        <v>1359</v>
      </c>
      <c r="C158" s="1125">
        <v>0</v>
      </c>
      <c r="D158" s="1125">
        <v>20</v>
      </c>
      <c r="E158" s="1125">
        <v>100</v>
      </c>
      <c r="F158" s="1125">
        <v>460</v>
      </c>
      <c r="G158" s="1126">
        <v>1070</v>
      </c>
      <c r="H158" s="1126">
        <v>1430</v>
      </c>
      <c r="I158" s="1126">
        <v>1110</v>
      </c>
      <c r="J158" s="1125">
        <v>660</v>
      </c>
      <c r="K158" s="1125">
        <v>300</v>
      </c>
      <c r="L158" s="1125">
        <v>100</v>
      </c>
      <c r="M158" s="1126">
        <v>1650</v>
      </c>
      <c r="N158" s="1126">
        <v>5250</v>
      </c>
      <c r="O158" s="1129" t="s">
        <v>52</v>
      </c>
      <c r="P158" s="1129"/>
      <c r="Q158" s="1129"/>
      <c r="R158" s="1129"/>
      <c r="S158" s="1129"/>
      <c r="T158" s="1128" t="s">
        <v>1360</v>
      </c>
    </row>
    <row r="159" spans="1:20" x14ac:dyDescent="0.35">
      <c r="A159" s="1060" t="s">
        <v>1361</v>
      </c>
      <c r="B159" s="1061" t="s">
        <v>1362</v>
      </c>
      <c r="C159" s="1143">
        <v>0</v>
      </c>
      <c r="D159" s="1143">
        <v>56</v>
      </c>
      <c r="E159" s="1143">
        <v>141</v>
      </c>
      <c r="F159" s="1143">
        <v>230</v>
      </c>
      <c r="G159" s="1143">
        <v>343</v>
      </c>
      <c r="H159" s="1143">
        <v>470</v>
      </c>
      <c r="I159" s="1143">
        <v>620</v>
      </c>
      <c r="J159" s="1143">
        <v>802</v>
      </c>
      <c r="K159" s="1143">
        <v>1024</v>
      </c>
      <c r="L159" s="1143">
        <v>1330</v>
      </c>
      <c r="M159" s="1143">
        <v>769</v>
      </c>
      <c r="N159" s="1143">
        <v>5015</v>
      </c>
      <c r="O159" s="1127" t="s">
        <v>52</v>
      </c>
      <c r="P159" s="1127"/>
      <c r="Q159" s="1127"/>
      <c r="R159" s="1127"/>
      <c r="S159" s="1127"/>
      <c r="T159" s="1065"/>
    </row>
    <row r="160" spans="1:20" x14ac:dyDescent="0.35">
      <c r="A160" s="1060" t="s">
        <v>1363</v>
      </c>
      <c r="B160" s="1061" t="s">
        <v>1364</v>
      </c>
      <c r="C160" s="1125"/>
      <c r="D160" s="1125"/>
      <c r="E160" s="1125"/>
      <c r="F160" s="1125"/>
      <c r="G160" s="1125"/>
      <c r="H160" s="1125"/>
      <c r="I160" s="1125"/>
      <c r="J160" s="1125"/>
      <c r="K160" s="1125"/>
      <c r="L160" s="1125"/>
      <c r="M160" s="1125"/>
      <c r="N160" s="1126"/>
      <c r="O160" s="1130"/>
      <c r="P160" s="1130"/>
      <c r="Q160" s="1130"/>
      <c r="R160" s="1130"/>
      <c r="S160" s="1130"/>
      <c r="T160" s="1065"/>
    </row>
    <row r="161" spans="1:21" x14ac:dyDescent="0.35">
      <c r="A161" s="1060" t="s">
        <v>1365</v>
      </c>
      <c r="B161" s="1061" t="s">
        <v>1366</v>
      </c>
      <c r="C161" s="1125"/>
      <c r="D161" s="1125"/>
      <c r="E161" s="1125"/>
      <c r="F161" s="1125"/>
      <c r="G161" s="1125"/>
      <c r="H161" s="1125"/>
      <c r="I161" s="1125"/>
      <c r="J161" s="1125"/>
      <c r="K161" s="1125"/>
      <c r="L161" s="1125"/>
      <c r="M161" s="1125"/>
      <c r="N161" s="1126"/>
      <c r="O161" s="1144"/>
      <c r="P161" s="1144"/>
      <c r="Q161" s="1144"/>
      <c r="R161" s="1144"/>
      <c r="S161" s="1144"/>
      <c r="T161" s="1145"/>
    </row>
    <row r="162" spans="1:21" x14ac:dyDescent="0.35">
      <c r="A162" s="1060" t="s">
        <v>1367</v>
      </c>
      <c r="B162" s="1061" t="s">
        <v>1368</v>
      </c>
      <c r="C162" s="1125">
        <v>0</v>
      </c>
      <c r="D162" s="1125">
        <v>20</v>
      </c>
      <c r="E162" s="1125">
        <v>70</v>
      </c>
      <c r="F162" s="1125">
        <v>130</v>
      </c>
      <c r="G162" s="1125">
        <v>155</v>
      </c>
      <c r="H162" s="1125">
        <v>155</v>
      </c>
      <c r="I162" s="1125">
        <v>155</v>
      </c>
      <c r="J162" s="1125">
        <v>135</v>
      </c>
      <c r="K162" s="1125">
        <v>80</v>
      </c>
      <c r="L162" s="1125">
        <v>20</v>
      </c>
      <c r="M162" s="1125">
        <v>375</v>
      </c>
      <c r="N162" s="1125">
        <v>920</v>
      </c>
      <c r="O162" s="1129" t="s">
        <v>52</v>
      </c>
      <c r="P162" s="1129"/>
      <c r="Q162" s="1129"/>
      <c r="R162" s="1129"/>
      <c r="S162" s="1129"/>
      <c r="T162" s="1065"/>
    </row>
    <row r="163" spans="1:21" x14ac:dyDescent="0.35">
      <c r="A163" s="1077" t="s">
        <v>1369</v>
      </c>
      <c r="B163" s="1078" t="s">
        <v>1370</v>
      </c>
      <c r="C163" s="1125">
        <v>0</v>
      </c>
      <c r="D163" s="1125">
        <v>15</v>
      </c>
      <c r="E163" s="1125">
        <v>12</v>
      </c>
      <c r="F163" s="1125">
        <v>8</v>
      </c>
      <c r="G163" s="1125">
        <v>4</v>
      </c>
      <c r="H163" s="1125">
        <v>0</v>
      </c>
      <c r="I163" s="1125">
        <v>0</v>
      </c>
      <c r="J163" s="1125">
        <v>0</v>
      </c>
      <c r="K163" s="1125">
        <v>0</v>
      </c>
      <c r="L163" s="1125">
        <v>0</v>
      </c>
      <c r="M163" s="1125">
        <v>39</v>
      </c>
      <c r="N163" s="1125">
        <v>39</v>
      </c>
      <c r="O163" s="1129" t="s">
        <v>52</v>
      </c>
      <c r="P163" s="1129"/>
      <c r="Q163" s="1129"/>
      <c r="R163" s="1129"/>
      <c r="S163" s="1129"/>
      <c r="T163" s="1065"/>
    </row>
    <row r="164" spans="1:21" x14ac:dyDescent="0.35">
      <c r="A164" s="1060" t="s">
        <v>1371</v>
      </c>
      <c r="B164" s="1061" t="s">
        <v>1372</v>
      </c>
      <c r="C164" s="1146">
        <v>0</v>
      </c>
      <c r="D164" s="1146">
        <v>25</v>
      </c>
      <c r="E164" s="1146">
        <v>100</v>
      </c>
      <c r="F164" s="1146">
        <v>125</v>
      </c>
      <c r="G164" s="1146">
        <v>100</v>
      </c>
      <c r="H164" s="1146">
        <v>75</v>
      </c>
      <c r="I164" s="1146">
        <v>30</v>
      </c>
      <c r="J164" s="1146">
        <v>20</v>
      </c>
      <c r="K164" s="1146">
        <v>0</v>
      </c>
      <c r="L164" s="1146">
        <v>0</v>
      </c>
      <c r="M164" s="1146">
        <v>350</v>
      </c>
      <c r="N164" s="1146">
        <v>475</v>
      </c>
      <c r="O164" s="1147" t="s">
        <v>52</v>
      </c>
      <c r="P164" s="1147"/>
      <c r="Q164" s="1147"/>
      <c r="R164" s="1147"/>
      <c r="S164" s="1147"/>
      <c r="T164" s="1065"/>
    </row>
    <row r="165" spans="1:21" x14ac:dyDescent="0.35">
      <c r="A165" s="55"/>
      <c r="B165" s="17"/>
      <c r="C165" s="37"/>
      <c r="D165" s="37"/>
      <c r="E165" s="37"/>
      <c r="F165" s="37"/>
      <c r="G165" s="37"/>
      <c r="H165" s="37"/>
      <c r="I165" s="37"/>
      <c r="J165" s="37"/>
      <c r="K165" s="37"/>
      <c r="L165" s="37"/>
      <c r="M165" s="37"/>
      <c r="N165" s="37"/>
      <c r="O165" s="55"/>
      <c r="P165" s="55"/>
      <c r="Q165" s="55"/>
      <c r="R165" s="55"/>
      <c r="S165" s="55"/>
      <c r="T165" s="17"/>
    </row>
    <row r="167" spans="1:21" x14ac:dyDescent="0.35">
      <c r="A167" s="56" t="s">
        <v>1380</v>
      </c>
    </row>
    <row r="168" spans="1:21" x14ac:dyDescent="0.35">
      <c r="A168" s="1148"/>
      <c r="B168" s="1148"/>
      <c r="C168" s="1132"/>
      <c r="D168" s="1132">
        <v>2022</v>
      </c>
      <c r="E168" s="1132">
        <v>2023</v>
      </c>
      <c r="F168" s="1132">
        <v>2024</v>
      </c>
      <c r="G168" s="1132">
        <v>2025</v>
      </c>
      <c r="H168" s="1132">
        <v>2026</v>
      </c>
      <c r="I168" s="1132">
        <v>2027</v>
      </c>
      <c r="J168" s="1132">
        <v>2028</v>
      </c>
      <c r="K168" s="1132">
        <v>2029</v>
      </c>
      <c r="L168" s="1132">
        <v>2030</v>
      </c>
      <c r="M168" s="1133">
        <v>2031</v>
      </c>
      <c r="N168" s="1134" t="s">
        <v>1373</v>
      </c>
      <c r="O168" s="1134" t="s">
        <v>1374</v>
      </c>
      <c r="P168" s="1119"/>
      <c r="Q168" s="1119"/>
      <c r="R168" s="1119"/>
      <c r="S168" s="1119"/>
      <c r="U168" s="62"/>
    </row>
    <row r="169" spans="1:21" x14ac:dyDescent="0.35">
      <c r="A169" s="1149" t="s">
        <v>1375</v>
      </c>
      <c r="B169" s="1149"/>
      <c r="C169" s="1155"/>
      <c r="D169" s="1155">
        <f t="shared" ref="D169:O169" si="9">D78/1000</f>
        <v>0</v>
      </c>
      <c r="E169" s="1155">
        <f t="shared" si="9"/>
        <v>6.8000000000000005E-2</v>
      </c>
      <c r="F169" s="1155">
        <f t="shared" si="9"/>
        <v>1.363</v>
      </c>
      <c r="G169" s="1155">
        <f t="shared" si="9"/>
        <v>2.4329999999999998</v>
      </c>
      <c r="H169" s="1155">
        <f t="shared" si="9"/>
        <v>2.8029999999999999</v>
      </c>
      <c r="I169" s="1155">
        <f t="shared" si="9"/>
        <v>1.7410000000000001</v>
      </c>
      <c r="J169" s="1155">
        <f t="shared" si="9"/>
        <v>0.56999999999999995</v>
      </c>
      <c r="K169" s="1155">
        <f t="shared" si="9"/>
        <v>3.5000000000000003E-2</v>
      </c>
      <c r="L169" s="1155">
        <f t="shared" si="9"/>
        <v>0</v>
      </c>
      <c r="M169" s="1155">
        <f t="shared" si="9"/>
        <v>0</v>
      </c>
      <c r="N169" s="1155">
        <f t="shared" si="9"/>
        <v>6.6669999999999998</v>
      </c>
      <c r="O169" s="1155">
        <f t="shared" si="9"/>
        <v>9.0129999999999999</v>
      </c>
      <c r="P169" s="1155"/>
      <c r="Q169" s="1155"/>
      <c r="R169" s="1155"/>
      <c r="S169" s="1155"/>
      <c r="U169" s="62"/>
    </row>
    <row r="170" spans="1:21" x14ac:dyDescent="0.35">
      <c r="A170" s="1149" t="s">
        <v>1376</v>
      </c>
      <c r="B170" s="1149"/>
      <c r="C170" s="1155"/>
      <c r="D170" s="1155">
        <f t="shared" ref="D170:O170" si="10">(D77+D70)/1000</f>
        <v>0</v>
      </c>
      <c r="E170" s="1155">
        <f t="shared" si="10"/>
        <v>0.81899999999999995</v>
      </c>
      <c r="F170" s="1155">
        <f t="shared" si="10"/>
        <v>2.4780000000000002</v>
      </c>
      <c r="G170" s="1155">
        <f t="shared" si="10"/>
        <v>4.0720000000000001</v>
      </c>
      <c r="H170" s="1155">
        <f t="shared" si="10"/>
        <v>5.4480000000000004</v>
      </c>
      <c r="I170" s="1155">
        <f t="shared" si="10"/>
        <v>4.8289999999999997</v>
      </c>
      <c r="J170" s="1155">
        <f t="shared" si="10"/>
        <v>3.2949999999999999</v>
      </c>
      <c r="K170" s="1155">
        <f t="shared" si="10"/>
        <v>1.98</v>
      </c>
      <c r="L170" s="1155">
        <f t="shared" si="10"/>
        <v>1.01</v>
      </c>
      <c r="M170" s="1155">
        <f t="shared" si="10"/>
        <v>0.40400000000000003</v>
      </c>
      <c r="N170" s="1155">
        <f t="shared" si="10"/>
        <v>12.817</v>
      </c>
      <c r="O170" s="1155">
        <f t="shared" si="10"/>
        <v>24.335000000000001</v>
      </c>
      <c r="P170" s="1155"/>
      <c r="Q170" s="1155"/>
      <c r="R170" s="1155"/>
      <c r="S170" s="1155"/>
      <c r="U170" s="62"/>
    </row>
    <row r="171" spans="1:21" x14ac:dyDescent="0.35">
      <c r="A171" s="1149" t="s">
        <v>1377</v>
      </c>
      <c r="B171" s="1149"/>
      <c r="C171" s="1155"/>
      <c r="D171" s="1155">
        <f t="shared" ref="D171:O171" si="11">(D69+D76)/1000</f>
        <v>0</v>
      </c>
      <c r="E171" s="1155">
        <f t="shared" si="11"/>
        <v>4.5430000000000001</v>
      </c>
      <c r="F171" s="1155">
        <f t="shared" si="11"/>
        <v>5.6079999999999997</v>
      </c>
      <c r="G171" s="1155">
        <f t="shared" si="11"/>
        <v>8.16</v>
      </c>
      <c r="H171" s="1155">
        <f t="shared" si="11"/>
        <v>10.069000000000001</v>
      </c>
      <c r="I171" s="1155">
        <f t="shared" si="11"/>
        <v>12.026999999999999</v>
      </c>
      <c r="J171" s="1155">
        <f t="shared" si="11"/>
        <v>13.826000000000001</v>
      </c>
      <c r="K171" s="1155">
        <f t="shared" si="11"/>
        <v>15.862</v>
      </c>
      <c r="L171" s="1155">
        <f t="shared" si="11"/>
        <v>17.890999999999998</v>
      </c>
      <c r="M171" s="1155">
        <f t="shared" si="11"/>
        <v>17.481000000000002</v>
      </c>
      <c r="N171" s="1155">
        <f t="shared" si="11"/>
        <v>28.38</v>
      </c>
      <c r="O171" s="1155">
        <f t="shared" si="11"/>
        <v>105.467</v>
      </c>
      <c r="P171" s="1155"/>
      <c r="Q171" s="1155"/>
      <c r="R171" s="1155"/>
      <c r="S171" s="1155"/>
      <c r="U171" s="62"/>
    </row>
    <row r="172" spans="1:21" x14ac:dyDescent="0.35">
      <c r="A172" s="1150" t="s">
        <v>52</v>
      </c>
      <c r="B172" s="1150"/>
      <c r="C172" s="1155"/>
      <c r="D172" s="1155">
        <f t="shared" ref="D172:O172" si="12">(D79+D74)/1000</f>
        <v>0</v>
      </c>
      <c r="E172" s="1155">
        <f t="shared" si="12"/>
        <v>1.2969999999999999</v>
      </c>
      <c r="F172" s="1155">
        <f t="shared" si="12"/>
        <v>3.8479999999999999</v>
      </c>
      <c r="G172" s="1155">
        <f t="shared" si="12"/>
        <v>6.4420000000000002</v>
      </c>
      <c r="H172" s="1155">
        <f t="shared" si="12"/>
        <v>9.532</v>
      </c>
      <c r="I172" s="1155">
        <f t="shared" si="12"/>
        <v>11.882</v>
      </c>
      <c r="J172" s="1155">
        <f t="shared" si="12"/>
        <v>11.727</v>
      </c>
      <c r="K172" s="1155">
        <f t="shared" si="12"/>
        <v>10.569000000000001</v>
      </c>
      <c r="L172" s="1155">
        <f t="shared" si="12"/>
        <v>8.8879999999999999</v>
      </c>
      <c r="M172" s="1155">
        <f t="shared" si="12"/>
        <v>7.1890000000000001</v>
      </c>
      <c r="N172" s="1155">
        <f t="shared" si="12"/>
        <v>21.117000000000001</v>
      </c>
      <c r="O172" s="1155">
        <f t="shared" si="12"/>
        <v>71.372</v>
      </c>
      <c r="P172" s="1155"/>
      <c r="Q172" s="1155"/>
      <c r="R172" s="1155"/>
      <c r="S172" s="1155"/>
      <c r="U172" s="62"/>
    </row>
    <row r="173" spans="1:21" x14ac:dyDescent="0.35">
      <c r="A173" s="1151" t="s">
        <v>531</v>
      </c>
      <c r="B173" s="1151"/>
      <c r="C173" s="1155"/>
      <c r="D173" s="1155"/>
      <c r="E173" s="1155"/>
      <c r="F173" s="1155"/>
      <c r="G173" s="1155"/>
      <c r="H173" s="1155"/>
      <c r="I173" s="1155"/>
      <c r="J173" s="1155"/>
      <c r="K173" s="1155"/>
      <c r="L173" s="1155"/>
      <c r="M173" s="1155"/>
      <c r="N173" s="1155"/>
      <c r="O173" s="1155"/>
      <c r="P173" s="1155"/>
      <c r="Q173" s="1155"/>
      <c r="R173" s="1155"/>
      <c r="S173" s="1155"/>
      <c r="U173" s="62"/>
    </row>
    <row r="174" spans="1:21" x14ac:dyDescent="0.35">
      <c r="A174" s="1152" t="s">
        <v>54</v>
      </c>
      <c r="B174" s="1152"/>
      <c r="C174" s="1155"/>
      <c r="D174" s="1155">
        <f t="shared" ref="D174:O174" si="13">D71/1000</f>
        <v>0</v>
      </c>
      <c r="E174" s="1155">
        <f t="shared" si="13"/>
        <v>0.11</v>
      </c>
      <c r="F174" s="1155">
        <f t="shared" si="13"/>
        <v>0.73899999999999999</v>
      </c>
      <c r="G174" s="1155">
        <f t="shared" si="13"/>
        <v>1.1950000000000001</v>
      </c>
      <c r="H174" s="1155">
        <f t="shared" si="13"/>
        <v>1.4970000000000001</v>
      </c>
      <c r="I174" s="1155">
        <f t="shared" si="13"/>
        <v>1.91</v>
      </c>
      <c r="J174" s="1155">
        <f t="shared" si="13"/>
        <v>2.4049999999999998</v>
      </c>
      <c r="K174" s="1155">
        <f t="shared" si="13"/>
        <v>2.9220000000000002</v>
      </c>
      <c r="L174" s="1155">
        <f t="shared" si="13"/>
        <v>3.4630000000000001</v>
      </c>
      <c r="M174" s="1155">
        <f t="shared" si="13"/>
        <v>4.0069999999999997</v>
      </c>
      <c r="N174" s="1155">
        <f t="shared" si="13"/>
        <v>3.5409999999999999</v>
      </c>
      <c r="O174" s="1155">
        <f t="shared" si="13"/>
        <v>18.248000000000001</v>
      </c>
      <c r="P174" s="1155"/>
      <c r="Q174" s="1155"/>
      <c r="R174" s="1155"/>
      <c r="S174" s="1155"/>
      <c r="U174" s="62"/>
    </row>
    <row r="175" spans="1:21" x14ac:dyDescent="0.35">
      <c r="A175" s="1152" t="s">
        <v>1378</v>
      </c>
      <c r="B175" s="1152"/>
      <c r="C175" s="1155"/>
      <c r="D175" s="1155">
        <f t="shared" ref="D175:O175" si="14">D72/1000</f>
        <v>0</v>
      </c>
      <c r="E175" s="1155">
        <f t="shared" si="14"/>
        <v>-0.41499999999999998</v>
      </c>
      <c r="F175" s="1155">
        <f t="shared" si="14"/>
        <v>2.7679999999999998</v>
      </c>
      <c r="G175" s="1155">
        <f t="shared" si="14"/>
        <v>-12.473000000000001</v>
      </c>
      <c r="H175" s="1155">
        <f t="shared" si="14"/>
        <v>-5.3739999999999997</v>
      </c>
      <c r="I175" s="1155">
        <f t="shared" si="14"/>
        <v>-25.515000000000001</v>
      </c>
      <c r="J175" s="1155">
        <f t="shared" si="14"/>
        <v>-43.975000000000001</v>
      </c>
      <c r="K175" s="1155">
        <f t="shared" si="14"/>
        <v>-46.426000000000002</v>
      </c>
      <c r="L175" s="1155">
        <f t="shared" si="14"/>
        <v>-56.228000000000002</v>
      </c>
      <c r="M175" s="1155">
        <f t="shared" si="14"/>
        <v>-60.581000000000003</v>
      </c>
      <c r="N175" s="1155">
        <f t="shared" si="14"/>
        <v>-15.494</v>
      </c>
      <c r="O175" s="1155">
        <f t="shared" si="14"/>
        <v>-248.21899999999999</v>
      </c>
      <c r="P175" s="1155"/>
      <c r="Q175" s="1155"/>
      <c r="R175" s="1155"/>
      <c r="S175" s="1155"/>
      <c r="U175" s="62"/>
    </row>
    <row r="176" spans="1:21" x14ac:dyDescent="0.35">
      <c r="A176" s="1153" t="s">
        <v>57</v>
      </c>
      <c r="B176" s="1153"/>
      <c r="C176" s="1155"/>
      <c r="D176" s="1155">
        <f t="shared" ref="D176:O176" si="15">(D80+D73)/1000</f>
        <v>-0.622</v>
      </c>
      <c r="E176" s="1155">
        <f t="shared" si="15"/>
        <v>21.89</v>
      </c>
      <c r="F176" s="1155">
        <f t="shared" si="15"/>
        <v>15.439</v>
      </c>
      <c r="G176" s="1155">
        <f t="shared" si="15"/>
        <v>16.966999999999999</v>
      </c>
      <c r="H176" s="1155">
        <f t="shared" si="15"/>
        <v>0.72799999999999998</v>
      </c>
      <c r="I176" s="1155">
        <f t="shared" si="15"/>
        <v>7.657</v>
      </c>
      <c r="J176" s="1155">
        <f t="shared" si="15"/>
        <v>4.5590000000000002</v>
      </c>
      <c r="K176" s="1155">
        <f t="shared" si="15"/>
        <v>2.4649999999999999</v>
      </c>
      <c r="L176" s="1155">
        <f t="shared" si="15"/>
        <v>1.444</v>
      </c>
      <c r="M176" s="1155">
        <f t="shared" si="15"/>
        <v>0.77300000000000002</v>
      </c>
      <c r="N176" s="1155">
        <f t="shared" si="15"/>
        <v>54.402000000000001</v>
      </c>
      <c r="O176" s="1155">
        <f t="shared" si="15"/>
        <v>71.3</v>
      </c>
      <c r="P176" s="1155"/>
      <c r="Q176" s="1155"/>
      <c r="R176" s="1155"/>
      <c r="S176" s="1155"/>
      <c r="U176" s="62"/>
    </row>
    <row r="177" spans="1:21" x14ac:dyDescent="0.35">
      <c r="A177" s="1154" t="s">
        <v>1434</v>
      </c>
      <c r="B177" s="1154"/>
      <c r="C177" s="1155"/>
      <c r="D177" s="1142">
        <f t="shared" ref="D177:O177" si="16">D84/1000</f>
        <v>0</v>
      </c>
      <c r="E177" s="1142">
        <f t="shared" si="16"/>
        <v>-3.1549999999999998</v>
      </c>
      <c r="F177" s="1142">
        <f t="shared" si="16"/>
        <v>-2.2309999999999999</v>
      </c>
      <c r="G177" s="1142">
        <f t="shared" si="16"/>
        <v>-1.6080000000000001</v>
      </c>
      <c r="H177" s="1142">
        <f t="shared" si="16"/>
        <v>-0.77</v>
      </c>
      <c r="I177" s="1142">
        <f t="shared" si="16"/>
        <v>-0.98299999999999998</v>
      </c>
      <c r="J177" s="1142">
        <f t="shared" si="16"/>
        <v>-1.2110000000000001</v>
      </c>
      <c r="K177" s="1142">
        <f t="shared" si="16"/>
        <v>-1.4710000000000001</v>
      </c>
      <c r="L177" s="1142">
        <f t="shared" si="16"/>
        <v>-1.81</v>
      </c>
      <c r="M177" s="1142">
        <f t="shared" si="16"/>
        <v>-2.3250000000000002</v>
      </c>
      <c r="N177" s="1142">
        <f t="shared" si="16"/>
        <v>-7.7670000000000003</v>
      </c>
      <c r="O177" s="1142">
        <f t="shared" si="16"/>
        <v>-15.566000000000001</v>
      </c>
      <c r="P177" s="1142"/>
      <c r="Q177" s="1142"/>
      <c r="R177" s="1142"/>
      <c r="S177" s="1142"/>
      <c r="U177" s="62"/>
    </row>
    <row r="178" spans="1:21" x14ac:dyDescent="0.35">
      <c r="A178" s="1154" t="s">
        <v>239</v>
      </c>
      <c r="B178" s="1154"/>
      <c r="C178" s="1155"/>
      <c r="D178" s="1142">
        <f t="shared" ref="D178:O178" si="17">D85/1000</f>
        <v>0</v>
      </c>
      <c r="E178" s="1142">
        <f t="shared" si="17"/>
        <v>0.45200000000000001</v>
      </c>
      <c r="F178" s="1142">
        <f t="shared" si="17"/>
        <v>-8.67</v>
      </c>
      <c r="G178" s="1142">
        <f t="shared" si="17"/>
        <v>-4.5270000000000001</v>
      </c>
      <c r="H178" s="1142">
        <f t="shared" si="17"/>
        <v>-0.70499999999999996</v>
      </c>
      <c r="I178" s="1142">
        <f t="shared" si="17"/>
        <v>15.813000000000001</v>
      </c>
      <c r="J178" s="1142">
        <f t="shared" si="17"/>
        <v>20.372</v>
      </c>
      <c r="K178" s="1142">
        <f t="shared" si="17"/>
        <v>24.847000000000001</v>
      </c>
      <c r="L178" s="1142">
        <f t="shared" si="17"/>
        <v>28.113</v>
      </c>
      <c r="M178" s="1142">
        <f t="shared" si="17"/>
        <v>24.777000000000001</v>
      </c>
      <c r="N178" s="1142">
        <f t="shared" si="17"/>
        <v>-13.451000000000001</v>
      </c>
      <c r="O178" s="1142">
        <f t="shared" si="17"/>
        <v>100.468</v>
      </c>
      <c r="P178" s="1142"/>
      <c r="Q178" s="1142"/>
      <c r="R178" s="1142"/>
      <c r="S178" s="1142"/>
      <c r="U178" s="62"/>
    </row>
    <row r="179" spans="1:21" x14ac:dyDescent="0.35">
      <c r="A179" s="1154" t="s">
        <v>106</v>
      </c>
      <c r="B179" s="1154"/>
      <c r="C179" s="1155"/>
      <c r="D179" s="1142">
        <f t="shared" ref="D179:O179" si="18">D83/1000</f>
        <v>0</v>
      </c>
      <c r="E179" s="1142">
        <f t="shared" si="18"/>
        <v>35.317</v>
      </c>
      <c r="F179" s="1142">
        <f t="shared" si="18"/>
        <v>36.033000000000001</v>
      </c>
      <c r="G179" s="1142">
        <f t="shared" si="18"/>
        <v>21.076000000000001</v>
      </c>
      <c r="H179" s="1142">
        <f t="shared" si="18"/>
        <v>13.346</v>
      </c>
      <c r="I179" s="1142">
        <f t="shared" si="18"/>
        <v>27.507999999999999</v>
      </c>
      <c r="J179" s="1142">
        <f t="shared" si="18"/>
        <v>35.85</v>
      </c>
      <c r="K179" s="1142">
        <f t="shared" si="18"/>
        <v>18.64</v>
      </c>
      <c r="L179" s="1142">
        <f t="shared" si="18"/>
        <v>8.3940000000000001</v>
      </c>
      <c r="M179" s="1142">
        <f t="shared" si="18"/>
        <v>7.9820000000000002</v>
      </c>
      <c r="N179" s="1142">
        <f t="shared" si="18"/>
        <v>105.76900000000001</v>
      </c>
      <c r="O179" s="1142">
        <f t="shared" si="18"/>
        <v>204.14400000000001</v>
      </c>
      <c r="P179" s="1142"/>
      <c r="Q179" s="1142"/>
      <c r="R179" s="1142"/>
      <c r="S179" s="1142"/>
      <c r="U179" s="62"/>
    </row>
    <row r="182" spans="1:21" x14ac:dyDescent="0.35">
      <c r="A182" s="56" t="s">
        <v>1379</v>
      </c>
    </row>
    <row r="183" spans="1:21" x14ac:dyDescent="0.35">
      <c r="A183" s="1148"/>
      <c r="B183" s="1148"/>
      <c r="C183" s="1148"/>
      <c r="D183" s="1148" t="s">
        <v>183</v>
      </c>
      <c r="E183" s="1148" t="s">
        <v>184</v>
      </c>
      <c r="F183" s="1148" t="s">
        <v>185</v>
      </c>
      <c r="G183" s="1148" t="s">
        <v>186</v>
      </c>
      <c r="H183" s="1148" t="s">
        <v>187</v>
      </c>
      <c r="I183" s="1148" t="s">
        <v>188</v>
      </c>
      <c r="J183" s="1148" t="s">
        <v>189</v>
      </c>
      <c r="K183" s="1148" t="s">
        <v>190</v>
      </c>
      <c r="L183" s="1148" t="s">
        <v>191</v>
      </c>
      <c r="M183" s="1148" t="s">
        <v>175</v>
      </c>
      <c r="N183" s="1148" t="s">
        <v>176</v>
      </c>
      <c r="O183" s="1148" t="s">
        <v>177</v>
      </c>
      <c r="P183" s="1148" t="s">
        <v>768</v>
      </c>
      <c r="Q183" s="1148" t="s">
        <v>769</v>
      </c>
      <c r="R183" s="1148" t="s">
        <v>770</v>
      </c>
      <c r="S183" s="1148" t="s">
        <v>1162</v>
      </c>
      <c r="U183" s="62"/>
    </row>
    <row r="184" spans="1:21" x14ac:dyDescent="0.35">
      <c r="A184" s="1149" t="s">
        <v>1375</v>
      </c>
      <c r="B184" s="1149"/>
      <c r="C184" s="1156"/>
      <c r="D184" s="1156">
        <f t="shared" ref="D184:D191" si="19">D169</f>
        <v>0</v>
      </c>
      <c r="E184" s="1156">
        <f>D184</f>
        <v>0</v>
      </c>
      <c r="F184" s="1156">
        <f t="shared" ref="F184:F191" si="20">E169</f>
        <v>6.8000000000000005E-2</v>
      </c>
      <c r="G184" s="1156">
        <f>F184</f>
        <v>6.8000000000000005E-2</v>
      </c>
      <c r="H184" s="1156">
        <f>G184</f>
        <v>6.8000000000000005E-2</v>
      </c>
      <c r="I184" s="1156">
        <f>H184</f>
        <v>6.8000000000000005E-2</v>
      </c>
      <c r="J184" s="1156">
        <f t="shared" ref="J184:J191" si="21">F169</f>
        <v>1.363</v>
      </c>
      <c r="K184" s="1156">
        <f t="shared" ref="K184:M191" si="22">J184</f>
        <v>1.363</v>
      </c>
      <c r="L184" s="1156">
        <f t="shared" si="22"/>
        <v>1.363</v>
      </c>
      <c r="M184" s="1156">
        <f>L184</f>
        <v>1.363</v>
      </c>
      <c r="N184" s="1156">
        <f>G169</f>
        <v>2.4329999999999998</v>
      </c>
      <c r="O184" s="1156">
        <f>N184</f>
        <v>2.4329999999999998</v>
      </c>
      <c r="P184" s="1156">
        <f t="shared" ref="P184:Q184" si="23">O184</f>
        <v>2.4329999999999998</v>
      </c>
      <c r="Q184" s="1156">
        <f t="shared" si="23"/>
        <v>2.4329999999999998</v>
      </c>
      <c r="R184" s="1156">
        <f>H169</f>
        <v>2.8029999999999999</v>
      </c>
      <c r="S184" s="1156">
        <f>R184</f>
        <v>2.8029999999999999</v>
      </c>
      <c r="U184" s="62"/>
    </row>
    <row r="185" spans="1:21" x14ac:dyDescent="0.35">
      <c r="A185" s="1149" t="s">
        <v>1376</v>
      </c>
      <c r="B185" s="1149"/>
      <c r="C185" s="1156"/>
      <c r="D185" s="1156">
        <f t="shared" si="19"/>
        <v>0</v>
      </c>
      <c r="E185" s="1156">
        <f t="shared" ref="E185:E191" si="24">D185</f>
        <v>0</v>
      </c>
      <c r="F185" s="1156">
        <f t="shared" si="20"/>
        <v>0.81899999999999995</v>
      </c>
      <c r="G185" s="1156">
        <f t="shared" ref="G185:I191" si="25">F185</f>
        <v>0.81899999999999995</v>
      </c>
      <c r="H185" s="1156">
        <f t="shared" si="25"/>
        <v>0.81899999999999995</v>
      </c>
      <c r="I185" s="1156">
        <f t="shared" si="25"/>
        <v>0.81899999999999995</v>
      </c>
      <c r="J185" s="1156">
        <f>F170</f>
        <v>2.4780000000000002</v>
      </c>
      <c r="K185" s="1156">
        <f t="shared" si="22"/>
        <v>2.4780000000000002</v>
      </c>
      <c r="L185" s="1156">
        <f t="shared" si="22"/>
        <v>2.4780000000000002</v>
      </c>
      <c r="M185" s="1156">
        <f>L185</f>
        <v>2.4780000000000002</v>
      </c>
      <c r="N185" s="1156">
        <f>G170</f>
        <v>4.0720000000000001</v>
      </c>
      <c r="O185" s="1156">
        <f>N185</f>
        <v>4.0720000000000001</v>
      </c>
      <c r="P185" s="1156">
        <f t="shared" ref="P185:Q194" si="26">O185</f>
        <v>4.0720000000000001</v>
      </c>
      <c r="Q185" s="1156">
        <f t="shared" si="26"/>
        <v>4.0720000000000001</v>
      </c>
      <c r="R185" s="1156">
        <f>H170</f>
        <v>5.4480000000000004</v>
      </c>
      <c r="S185" s="1156">
        <f t="shared" ref="S185:S194" si="27">R185</f>
        <v>5.4480000000000004</v>
      </c>
      <c r="U185" s="62"/>
    </row>
    <row r="186" spans="1:21" x14ac:dyDescent="0.35">
      <c r="A186" s="1149" t="s">
        <v>1377</v>
      </c>
      <c r="B186" s="1149"/>
      <c r="C186" s="1156"/>
      <c r="D186" s="1156">
        <f t="shared" si="19"/>
        <v>0</v>
      </c>
      <c r="E186" s="1156">
        <f t="shared" si="24"/>
        <v>0</v>
      </c>
      <c r="F186" s="1156">
        <f t="shared" si="20"/>
        <v>4.5430000000000001</v>
      </c>
      <c r="G186" s="1156">
        <f t="shared" si="25"/>
        <v>4.5430000000000001</v>
      </c>
      <c r="H186" s="1156">
        <f t="shared" si="25"/>
        <v>4.5430000000000001</v>
      </c>
      <c r="I186" s="1156">
        <f t="shared" si="25"/>
        <v>4.5430000000000001</v>
      </c>
      <c r="J186" s="1156">
        <f t="shared" si="21"/>
        <v>5.6079999999999997</v>
      </c>
      <c r="K186" s="1156">
        <f t="shared" si="22"/>
        <v>5.6079999999999997</v>
      </c>
      <c r="L186" s="1156">
        <f t="shared" si="22"/>
        <v>5.6079999999999997</v>
      </c>
      <c r="M186" s="1156">
        <f t="shared" si="22"/>
        <v>5.6079999999999997</v>
      </c>
      <c r="N186" s="1156">
        <f>G171</f>
        <v>8.16</v>
      </c>
      <c r="O186" s="1156">
        <f t="shared" ref="O186:O191" si="28">N186</f>
        <v>8.16</v>
      </c>
      <c r="P186" s="1156">
        <f t="shared" si="26"/>
        <v>8.16</v>
      </c>
      <c r="Q186" s="1156">
        <f t="shared" si="26"/>
        <v>8.16</v>
      </c>
      <c r="R186" s="1156">
        <f t="shared" ref="R186:R194" si="29">H171</f>
        <v>10.069000000000001</v>
      </c>
      <c r="S186" s="1156">
        <f t="shared" si="27"/>
        <v>10.069000000000001</v>
      </c>
      <c r="U186" s="62"/>
    </row>
    <row r="187" spans="1:21" x14ac:dyDescent="0.35">
      <c r="A187" s="1150" t="s">
        <v>52</v>
      </c>
      <c r="B187" s="1150"/>
      <c r="C187" s="1156"/>
      <c r="D187" s="1156">
        <f t="shared" si="19"/>
        <v>0</v>
      </c>
      <c r="E187" s="1156">
        <f t="shared" si="24"/>
        <v>0</v>
      </c>
      <c r="F187" s="1156">
        <f t="shared" si="20"/>
        <v>1.2969999999999999</v>
      </c>
      <c r="G187" s="1156">
        <f t="shared" si="25"/>
        <v>1.2969999999999999</v>
      </c>
      <c r="H187" s="1156">
        <f t="shared" si="25"/>
        <v>1.2969999999999999</v>
      </c>
      <c r="I187" s="1156">
        <f t="shared" si="25"/>
        <v>1.2969999999999999</v>
      </c>
      <c r="J187" s="1156">
        <f t="shared" si="21"/>
        <v>3.8479999999999999</v>
      </c>
      <c r="K187" s="1156">
        <f t="shared" si="22"/>
        <v>3.8479999999999999</v>
      </c>
      <c r="L187" s="1156">
        <f t="shared" si="22"/>
        <v>3.8479999999999999</v>
      </c>
      <c r="M187" s="1156">
        <f t="shared" si="22"/>
        <v>3.8479999999999999</v>
      </c>
      <c r="N187" s="1156">
        <f t="shared" ref="N187:N191" si="30">G172</f>
        <v>6.4420000000000002</v>
      </c>
      <c r="O187" s="1156">
        <f t="shared" si="28"/>
        <v>6.4420000000000002</v>
      </c>
      <c r="P187" s="1156">
        <f t="shared" si="26"/>
        <v>6.4420000000000002</v>
      </c>
      <c r="Q187" s="1156">
        <f t="shared" si="26"/>
        <v>6.4420000000000002</v>
      </c>
      <c r="R187" s="1156">
        <f t="shared" si="29"/>
        <v>9.532</v>
      </c>
      <c r="S187" s="1156">
        <f t="shared" si="27"/>
        <v>9.532</v>
      </c>
      <c r="U187" s="62"/>
    </row>
    <row r="188" spans="1:21" x14ac:dyDescent="0.35">
      <c r="A188" s="1151" t="s">
        <v>531</v>
      </c>
      <c r="B188" s="1151"/>
      <c r="C188" s="1156"/>
      <c r="D188" s="1156">
        <f t="shared" si="19"/>
        <v>0</v>
      </c>
      <c r="E188" s="1156">
        <f t="shared" si="24"/>
        <v>0</v>
      </c>
      <c r="F188" s="1156">
        <f t="shared" si="20"/>
        <v>0</v>
      </c>
      <c r="G188" s="1156">
        <f t="shared" si="25"/>
        <v>0</v>
      </c>
      <c r="H188" s="1156">
        <f t="shared" si="25"/>
        <v>0</v>
      </c>
      <c r="I188" s="1156">
        <f t="shared" si="25"/>
        <v>0</v>
      </c>
      <c r="J188" s="1156">
        <f t="shared" si="21"/>
        <v>0</v>
      </c>
      <c r="K188" s="1156">
        <f t="shared" si="22"/>
        <v>0</v>
      </c>
      <c r="L188" s="1156">
        <f t="shared" si="22"/>
        <v>0</v>
      </c>
      <c r="M188" s="1156">
        <f t="shared" si="22"/>
        <v>0</v>
      </c>
      <c r="N188" s="1156">
        <f t="shared" si="30"/>
        <v>0</v>
      </c>
      <c r="O188" s="1156">
        <f t="shared" si="28"/>
        <v>0</v>
      </c>
      <c r="P188" s="1156">
        <f t="shared" si="26"/>
        <v>0</v>
      </c>
      <c r="Q188" s="1156">
        <f t="shared" si="26"/>
        <v>0</v>
      </c>
      <c r="R188" s="1156">
        <f t="shared" si="29"/>
        <v>0</v>
      </c>
      <c r="S188" s="1156">
        <f t="shared" si="27"/>
        <v>0</v>
      </c>
      <c r="U188" s="62"/>
    </row>
    <row r="189" spans="1:21" x14ac:dyDescent="0.35">
      <c r="A189" s="1152" t="s">
        <v>54</v>
      </c>
      <c r="B189" s="1152"/>
      <c r="C189" s="1156"/>
      <c r="D189" s="1156">
        <f t="shared" si="19"/>
        <v>0</v>
      </c>
      <c r="E189" s="1156">
        <f t="shared" si="24"/>
        <v>0</v>
      </c>
      <c r="F189" s="1156">
        <f t="shared" si="20"/>
        <v>0.11</v>
      </c>
      <c r="G189" s="1156">
        <f t="shared" si="25"/>
        <v>0.11</v>
      </c>
      <c r="H189" s="1156">
        <f t="shared" si="25"/>
        <v>0.11</v>
      </c>
      <c r="I189" s="1156">
        <f t="shared" si="25"/>
        <v>0.11</v>
      </c>
      <c r="J189" s="1156">
        <f t="shared" si="21"/>
        <v>0.73899999999999999</v>
      </c>
      <c r="K189" s="1156">
        <f t="shared" si="22"/>
        <v>0.73899999999999999</v>
      </c>
      <c r="L189" s="1156">
        <f t="shared" si="22"/>
        <v>0.73899999999999999</v>
      </c>
      <c r="M189" s="1156">
        <f t="shared" si="22"/>
        <v>0.73899999999999999</v>
      </c>
      <c r="N189" s="1156">
        <f t="shared" si="30"/>
        <v>1.1950000000000001</v>
      </c>
      <c r="O189" s="1156">
        <f t="shared" si="28"/>
        <v>1.1950000000000001</v>
      </c>
      <c r="P189" s="1156">
        <f t="shared" si="26"/>
        <v>1.1950000000000001</v>
      </c>
      <c r="Q189" s="1156">
        <f t="shared" si="26"/>
        <v>1.1950000000000001</v>
      </c>
      <c r="R189" s="1156">
        <f t="shared" si="29"/>
        <v>1.4970000000000001</v>
      </c>
      <c r="S189" s="1156">
        <f t="shared" si="27"/>
        <v>1.4970000000000001</v>
      </c>
      <c r="U189" s="62"/>
    </row>
    <row r="190" spans="1:21" x14ac:dyDescent="0.35">
      <c r="A190" s="1152" t="s">
        <v>1378</v>
      </c>
      <c r="B190" s="1152"/>
      <c r="C190" s="1156"/>
      <c r="D190" s="1156">
        <f t="shared" si="19"/>
        <v>0</v>
      </c>
      <c r="E190" s="1156">
        <f t="shared" si="24"/>
        <v>0</v>
      </c>
      <c r="F190" s="1156">
        <f t="shared" si="20"/>
        <v>-0.41499999999999998</v>
      </c>
      <c r="G190" s="1156">
        <f t="shared" si="25"/>
        <v>-0.41499999999999998</v>
      </c>
      <c r="H190" s="1156">
        <f t="shared" si="25"/>
        <v>-0.41499999999999998</v>
      </c>
      <c r="I190" s="1156">
        <f t="shared" si="25"/>
        <v>-0.41499999999999998</v>
      </c>
      <c r="J190" s="1156">
        <f t="shared" si="21"/>
        <v>2.7679999999999998</v>
      </c>
      <c r="K190" s="1156">
        <f t="shared" si="22"/>
        <v>2.7679999999999998</v>
      </c>
      <c r="L190" s="1156">
        <f t="shared" si="22"/>
        <v>2.7679999999999998</v>
      </c>
      <c r="M190" s="1156">
        <f t="shared" si="22"/>
        <v>2.7679999999999998</v>
      </c>
      <c r="N190" s="1156">
        <f t="shared" si="30"/>
        <v>-12.473000000000001</v>
      </c>
      <c r="O190" s="1156">
        <f t="shared" si="28"/>
        <v>-12.473000000000001</v>
      </c>
      <c r="P190" s="1156">
        <f t="shared" si="26"/>
        <v>-12.473000000000001</v>
      </c>
      <c r="Q190" s="1156">
        <f t="shared" si="26"/>
        <v>-12.473000000000001</v>
      </c>
      <c r="R190" s="1156">
        <f t="shared" si="29"/>
        <v>-5.3739999999999997</v>
      </c>
      <c r="S190" s="1156">
        <f t="shared" si="27"/>
        <v>-5.3739999999999997</v>
      </c>
      <c r="U190" s="62"/>
    </row>
    <row r="191" spans="1:21" x14ac:dyDescent="0.35">
      <c r="A191" s="1153" t="s">
        <v>57</v>
      </c>
      <c r="B191" s="1153"/>
      <c r="C191" s="1156"/>
      <c r="D191" s="1156">
        <f t="shared" si="19"/>
        <v>-0.622</v>
      </c>
      <c r="E191" s="1156">
        <f t="shared" si="24"/>
        <v>-0.622</v>
      </c>
      <c r="F191" s="1156">
        <f t="shared" si="20"/>
        <v>21.89</v>
      </c>
      <c r="G191" s="1156">
        <f t="shared" si="25"/>
        <v>21.89</v>
      </c>
      <c r="H191" s="1156">
        <f t="shared" si="25"/>
        <v>21.89</v>
      </c>
      <c r="I191" s="1156">
        <f t="shared" si="25"/>
        <v>21.89</v>
      </c>
      <c r="J191" s="1156">
        <f t="shared" si="21"/>
        <v>15.439</v>
      </c>
      <c r="K191" s="1156">
        <f t="shared" si="22"/>
        <v>15.439</v>
      </c>
      <c r="L191" s="1156">
        <f t="shared" si="22"/>
        <v>15.439</v>
      </c>
      <c r="M191" s="1156">
        <f t="shared" si="22"/>
        <v>15.439</v>
      </c>
      <c r="N191" s="1156">
        <f t="shared" si="30"/>
        <v>16.966999999999999</v>
      </c>
      <c r="O191" s="1156">
        <f t="shared" si="28"/>
        <v>16.966999999999999</v>
      </c>
      <c r="P191" s="1156">
        <f t="shared" si="26"/>
        <v>16.966999999999999</v>
      </c>
      <c r="Q191" s="1156">
        <f t="shared" si="26"/>
        <v>16.966999999999999</v>
      </c>
      <c r="R191" s="1156">
        <f t="shared" si="29"/>
        <v>0.72799999999999998</v>
      </c>
      <c r="S191" s="1156">
        <f t="shared" si="27"/>
        <v>0.72799999999999998</v>
      </c>
      <c r="U191" s="62"/>
    </row>
    <row r="192" spans="1:21" x14ac:dyDescent="0.35">
      <c r="A192" s="1154" t="s">
        <v>486</v>
      </c>
      <c r="B192" s="1154"/>
      <c r="C192" s="1156"/>
      <c r="D192" s="1142">
        <f t="shared" ref="D192:D194" si="31">D177</f>
        <v>0</v>
      </c>
      <c r="E192" s="1142">
        <f t="shared" ref="E192:E194" si="32">D192</f>
        <v>0</v>
      </c>
      <c r="F192" s="1142">
        <f t="shared" ref="F192:F194" si="33">E177</f>
        <v>-3.1549999999999998</v>
      </c>
      <c r="G192" s="1142">
        <f t="shared" ref="G192:G194" si="34">F192</f>
        <v>-3.1549999999999998</v>
      </c>
      <c r="H192" s="1142">
        <f t="shared" ref="H192:H194" si="35">G192</f>
        <v>-3.1549999999999998</v>
      </c>
      <c r="I192" s="1142">
        <f t="shared" ref="I192:I194" si="36">H192</f>
        <v>-3.1549999999999998</v>
      </c>
      <c r="J192" s="1142">
        <f t="shared" ref="J192:J194" si="37">F177</f>
        <v>-2.2309999999999999</v>
      </c>
      <c r="K192" s="1142">
        <f t="shared" ref="K192:K194" si="38">J192</f>
        <v>-2.2309999999999999</v>
      </c>
      <c r="L192" s="1142">
        <f t="shared" ref="L192:L194" si="39">K192</f>
        <v>-2.2309999999999999</v>
      </c>
      <c r="M192" s="1142">
        <f t="shared" ref="M192:M194" si="40">L192</f>
        <v>-2.2309999999999999</v>
      </c>
      <c r="N192" s="1142">
        <f t="shared" ref="N192:N194" si="41">G177</f>
        <v>-1.6080000000000001</v>
      </c>
      <c r="O192" s="1142">
        <f t="shared" ref="O192:O194" si="42">N192</f>
        <v>-1.6080000000000001</v>
      </c>
      <c r="P192" s="1142">
        <f t="shared" si="26"/>
        <v>-1.6080000000000001</v>
      </c>
      <c r="Q192" s="1142">
        <f t="shared" si="26"/>
        <v>-1.6080000000000001</v>
      </c>
      <c r="R192" s="1156">
        <f t="shared" si="29"/>
        <v>-0.77</v>
      </c>
      <c r="S192" s="1156">
        <f t="shared" si="27"/>
        <v>-0.77</v>
      </c>
      <c r="U192" s="62"/>
    </row>
    <row r="193" spans="1:21" x14ac:dyDescent="0.35">
      <c r="A193" s="1154" t="s">
        <v>484</v>
      </c>
      <c r="B193" s="1154"/>
      <c r="C193" s="1156"/>
      <c r="D193" s="1142">
        <f t="shared" si="31"/>
        <v>0</v>
      </c>
      <c r="E193" s="1142">
        <f t="shared" si="32"/>
        <v>0</v>
      </c>
      <c r="F193" s="1142">
        <f t="shared" si="33"/>
        <v>0.45200000000000001</v>
      </c>
      <c r="G193" s="1142">
        <f t="shared" si="34"/>
        <v>0.45200000000000001</v>
      </c>
      <c r="H193" s="1142">
        <f t="shared" si="35"/>
        <v>0.45200000000000001</v>
      </c>
      <c r="I193" s="1142">
        <f t="shared" si="36"/>
        <v>0.45200000000000001</v>
      </c>
      <c r="J193" s="1142">
        <f t="shared" si="37"/>
        <v>-8.67</v>
      </c>
      <c r="K193" s="1142">
        <f t="shared" si="38"/>
        <v>-8.67</v>
      </c>
      <c r="L193" s="1142">
        <f t="shared" si="39"/>
        <v>-8.67</v>
      </c>
      <c r="M193" s="1142">
        <f t="shared" si="40"/>
        <v>-8.67</v>
      </c>
      <c r="N193" s="1142">
        <f t="shared" si="41"/>
        <v>-4.5270000000000001</v>
      </c>
      <c r="O193" s="1142">
        <f t="shared" si="42"/>
        <v>-4.5270000000000001</v>
      </c>
      <c r="P193" s="1142">
        <f t="shared" si="26"/>
        <v>-4.5270000000000001</v>
      </c>
      <c r="Q193" s="1142">
        <f t="shared" si="26"/>
        <v>-4.5270000000000001</v>
      </c>
      <c r="R193" s="1156">
        <f t="shared" si="29"/>
        <v>-0.70499999999999996</v>
      </c>
      <c r="S193" s="1156">
        <f t="shared" si="27"/>
        <v>-0.70499999999999996</v>
      </c>
      <c r="U193" s="62"/>
    </row>
    <row r="194" spans="1:21" x14ac:dyDescent="0.35">
      <c r="A194" s="1154" t="s">
        <v>106</v>
      </c>
      <c r="B194" s="1154"/>
      <c r="C194" s="1156"/>
      <c r="D194" s="1142">
        <f t="shared" si="31"/>
        <v>0</v>
      </c>
      <c r="E194" s="1142">
        <f t="shared" si="32"/>
        <v>0</v>
      </c>
      <c r="F194" s="1142">
        <f t="shared" si="33"/>
        <v>35.317</v>
      </c>
      <c r="G194" s="1142">
        <f t="shared" si="34"/>
        <v>35.317</v>
      </c>
      <c r="H194" s="1142">
        <f t="shared" si="35"/>
        <v>35.317</v>
      </c>
      <c r="I194" s="1142">
        <f t="shared" si="36"/>
        <v>35.317</v>
      </c>
      <c r="J194" s="1142">
        <f t="shared" si="37"/>
        <v>36.033000000000001</v>
      </c>
      <c r="K194" s="1142">
        <f t="shared" si="38"/>
        <v>36.033000000000001</v>
      </c>
      <c r="L194" s="1142">
        <f t="shared" si="39"/>
        <v>36.033000000000001</v>
      </c>
      <c r="M194" s="1142">
        <f t="shared" si="40"/>
        <v>36.033000000000001</v>
      </c>
      <c r="N194" s="1142">
        <f t="shared" si="41"/>
        <v>21.076000000000001</v>
      </c>
      <c r="O194" s="1142">
        <f t="shared" si="42"/>
        <v>21.076000000000001</v>
      </c>
      <c r="P194" s="1142">
        <f t="shared" si="26"/>
        <v>21.076000000000001</v>
      </c>
      <c r="Q194" s="1142">
        <f t="shared" si="26"/>
        <v>21.076000000000001</v>
      </c>
      <c r="R194" s="1156">
        <f t="shared" si="29"/>
        <v>13.346</v>
      </c>
      <c r="S194" s="1156">
        <f t="shared" si="27"/>
        <v>13.346</v>
      </c>
      <c r="U194" s="62"/>
    </row>
    <row r="197" spans="1:21" x14ac:dyDescent="0.35">
      <c r="A197" s="56" t="s">
        <v>1381</v>
      </c>
    </row>
    <row r="198" spans="1:21" x14ac:dyDescent="0.35">
      <c r="A198" s="1150" t="s">
        <v>52</v>
      </c>
      <c r="D198" s="1157">
        <v>0</v>
      </c>
      <c r="E198" s="1157">
        <v>0</v>
      </c>
      <c r="F198" s="1157">
        <v>2.3250000000000002</v>
      </c>
      <c r="G198" s="1157">
        <v>2.3250000000000002</v>
      </c>
      <c r="H198" s="1157">
        <v>2.3250000000000002</v>
      </c>
      <c r="I198" s="1157">
        <v>2.3250000000000002</v>
      </c>
      <c r="J198" s="1157">
        <v>5.5830000000000002</v>
      </c>
      <c r="K198" s="1157">
        <v>5.5830000000000002</v>
      </c>
      <c r="L198" s="1157">
        <v>5.5830000000000002</v>
      </c>
      <c r="M198" s="1157">
        <v>5.5830000000000002</v>
      </c>
      <c r="N198" s="1157">
        <v>8.0220000000000002</v>
      </c>
      <c r="O198" s="1157">
        <v>8.0220000000000002</v>
      </c>
      <c r="P198" s="1157"/>
      <c r="Q198" s="1157"/>
      <c r="R198" s="1157"/>
      <c r="S198" s="1157"/>
    </row>
  </sheetData>
  <mergeCells count="5">
    <mergeCell ref="C2:O2"/>
    <mergeCell ref="C42:O42"/>
    <mergeCell ref="C68:O68"/>
    <mergeCell ref="C75:O75"/>
    <mergeCell ref="C82:O82"/>
  </mergeCells>
  <hyperlinks>
    <hyperlink ref="T157" r:id="rId1" xr:uid="{00000000-0004-0000-2100-000000000000}"/>
    <hyperlink ref="T115" r:id="rId2" xr:uid="{00000000-0004-0000-2100-000001000000}"/>
    <hyperlink ref="T153" r:id="rId3" location=":~:text=Who%20is%20eligible%20for%20Conservation,resource%20concerns%20when%20they%20apply." xr:uid="{00000000-0004-0000-2100-000002000000}"/>
    <hyperlink ref="A1" r:id="rId4" xr:uid="{00000000-0004-0000-2100-000003000000}"/>
  </hyperlinks>
  <pageMargins left="0.7" right="0.7" top="0.75" bottom="0.75" header="0.3" footer="0.3"/>
  <pageSetup orientation="portrait" horizontalDpi="1200" verticalDpi="1200"/>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F50"/>
  <sheetViews>
    <sheetView workbookViewId="0">
      <selection activeCell="E6" sqref="E6"/>
    </sheetView>
  </sheetViews>
  <sheetFormatPr defaultColWidth="10.90625" defaultRowHeight="14.5" x14ac:dyDescent="0.35"/>
  <cols>
    <col min="1" max="1" width="77.81640625" customWidth="1"/>
    <col min="2" max="2" width="21" customWidth="1"/>
    <col min="5" max="5" width="37.453125" customWidth="1"/>
    <col min="6" max="6" width="16" customWidth="1"/>
  </cols>
  <sheetData>
    <row r="1" spans="1:6" x14ac:dyDescent="0.35">
      <c r="A1" s="202" t="s">
        <v>557</v>
      </c>
    </row>
    <row r="2" spans="1:6" ht="20.9" customHeight="1" x14ac:dyDescent="0.4">
      <c r="A2" s="1162" t="s">
        <v>558</v>
      </c>
      <c r="B2" s="1162" t="s">
        <v>559</v>
      </c>
      <c r="C2" s="1162" t="s">
        <v>560</v>
      </c>
      <c r="D2" s="1162" t="s">
        <v>561</v>
      </c>
    </row>
    <row r="3" spans="1:6" x14ac:dyDescent="0.35">
      <c r="A3" s="1163" t="s">
        <v>562</v>
      </c>
      <c r="B3" s="640">
        <f>SUM(B4:B7)</f>
        <v>325</v>
      </c>
      <c r="E3" s="1447" t="s">
        <v>563</v>
      </c>
      <c r="F3" s="1447"/>
    </row>
    <row r="4" spans="1:6" x14ac:dyDescent="0.35">
      <c r="A4" s="839" t="s">
        <v>564</v>
      </c>
      <c r="B4" s="640">
        <v>284</v>
      </c>
      <c r="E4" s="478" t="s">
        <v>51</v>
      </c>
      <c r="F4" s="478" t="s">
        <v>565</v>
      </c>
    </row>
    <row r="5" spans="1:6" x14ac:dyDescent="0.35">
      <c r="A5" s="839" t="s">
        <v>414</v>
      </c>
      <c r="B5" s="640">
        <v>20</v>
      </c>
      <c r="E5" s="202" t="s">
        <v>150</v>
      </c>
      <c r="F5" s="202">
        <f>SUM(B11:B16)</f>
        <v>82</v>
      </c>
    </row>
    <row r="6" spans="1:6" x14ac:dyDescent="0.35">
      <c r="A6" s="839" t="s">
        <v>421</v>
      </c>
      <c r="B6" s="640">
        <v>15</v>
      </c>
      <c r="E6" s="202" t="s">
        <v>49</v>
      </c>
      <c r="F6" s="202">
        <f>B23</f>
        <v>3</v>
      </c>
    </row>
    <row r="7" spans="1:6" x14ac:dyDescent="0.35">
      <c r="A7" s="839" t="s">
        <v>422</v>
      </c>
      <c r="B7" s="640">
        <v>6</v>
      </c>
      <c r="E7" s="202" t="s">
        <v>343</v>
      </c>
      <c r="F7" s="202">
        <f>B27-B28</f>
        <v>29</v>
      </c>
    </row>
    <row r="8" spans="1:6" x14ac:dyDescent="0.35">
      <c r="A8" s="478" t="s">
        <v>566</v>
      </c>
      <c r="B8" s="640">
        <v>121</v>
      </c>
      <c r="E8" s="202" t="s">
        <v>360</v>
      </c>
      <c r="F8" s="202">
        <f>B42</f>
        <v>2</v>
      </c>
    </row>
    <row r="9" spans="1:6" x14ac:dyDescent="0.35">
      <c r="A9" s="1164" t="s">
        <v>567</v>
      </c>
      <c r="B9" s="640">
        <v>166</v>
      </c>
      <c r="E9" s="202" t="s">
        <v>568</v>
      </c>
      <c r="F9" s="202">
        <f>B18+B20+B21</f>
        <v>34</v>
      </c>
    </row>
    <row r="10" spans="1:6" x14ac:dyDescent="0.35">
      <c r="A10" s="1161" t="s">
        <v>569</v>
      </c>
      <c r="B10" s="640">
        <v>82</v>
      </c>
      <c r="E10" s="478" t="s">
        <v>570</v>
      </c>
      <c r="F10" s="478" t="s">
        <v>571</v>
      </c>
    </row>
    <row r="11" spans="1:6" x14ac:dyDescent="0.35">
      <c r="A11" s="839" t="s">
        <v>572</v>
      </c>
      <c r="B11" s="640">
        <v>54</v>
      </c>
      <c r="E11" s="202" t="s">
        <v>316</v>
      </c>
      <c r="F11" s="202">
        <f>B4</f>
        <v>284</v>
      </c>
    </row>
    <row r="12" spans="1:6" x14ac:dyDescent="0.35">
      <c r="A12" s="839" t="s">
        <v>573</v>
      </c>
      <c r="B12" s="640">
        <v>20</v>
      </c>
      <c r="E12" s="202" t="s">
        <v>574</v>
      </c>
      <c r="F12" s="202">
        <f>B5</f>
        <v>20</v>
      </c>
    </row>
    <row r="13" spans="1:6" x14ac:dyDescent="0.35">
      <c r="A13" s="839" t="s">
        <v>575</v>
      </c>
      <c r="B13" s="640">
        <v>4</v>
      </c>
      <c r="E13" s="202" t="s">
        <v>421</v>
      </c>
      <c r="F13" s="202">
        <f>B6</f>
        <v>15</v>
      </c>
    </row>
    <row r="14" spans="1:6" ht="27.65" customHeight="1" x14ac:dyDescent="0.35">
      <c r="A14" s="839" t="s">
        <v>576</v>
      </c>
      <c r="B14" s="640">
        <v>2</v>
      </c>
      <c r="E14" s="245" t="s">
        <v>422</v>
      </c>
      <c r="F14" s="202">
        <f>B7</f>
        <v>6</v>
      </c>
    </row>
    <row r="15" spans="1:6" ht="27.65" customHeight="1" x14ac:dyDescent="0.35">
      <c r="A15" s="839" t="s">
        <v>577</v>
      </c>
      <c r="B15" s="640">
        <v>1</v>
      </c>
      <c r="E15" s="245" t="s">
        <v>578</v>
      </c>
      <c r="F15" s="202">
        <f>B28</f>
        <v>15</v>
      </c>
    </row>
    <row r="16" spans="1:6" x14ac:dyDescent="0.35">
      <c r="A16" s="839" t="s">
        <v>579</v>
      </c>
      <c r="B16" s="640">
        <v>1</v>
      </c>
      <c r="E16" s="202" t="s">
        <v>580</v>
      </c>
      <c r="F16" s="202">
        <f>B37</f>
        <v>12</v>
      </c>
    </row>
    <row r="17" spans="1:6" x14ac:dyDescent="0.35">
      <c r="A17" s="478" t="s">
        <v>581</v>
      </c>
      <c r="B17" s="640">
        <v>72</v>
      </c>
      <c r="E17" s="202" t="s">
        <v>582</v>
      </c>
      <c r="F17" s="202">
        <f>B38</f>
        <v>10</v>
      </c>
    </row>
    <row r="18" spans="1:6" x14ac:dyDescent="0.35">
      <c r="A18" s="839" t="s">
        <v>583</v>
      </c>
      <c r="B18" s="640">
        <v>22</v>
      </c>
      <c r="C18" s="202" t="s">
        <v>584</v>
      </c>
    </row>
    <row r="19" spans="1:6" x14ac:dyDescent="0.35">
      <c r="A19" s="839" t="s">
        <v>585</v>
      </c>
      <c r="B19" s="640">
        <v>20</v>
      </c>
      <c r="C19" s="202" t="s">
        <v>109</v>
      </c>
    </row>
    <row r="20" spans="1:6" x14ac:dyDescent="0.35">
      <c r="A20" s="839" t="s">
        <v>586</v>
      </c>
      <c r="B20" s="640">
        <v>8</v>
      </c>
      <c r="C20" s="202" t="s">
        <v>584</v>
      </c>
    </row>
    <row r="21" spans="1:6" x14ac:dyDescent="0.35">
      <c r="A21" s="839" t="s">
        <v>587</v>
      </c>
      <c r="B21" s="640">
        <v>4</v>
      </c>
      <c r="C21" s="202" t="s">
        <v>51</v>
      </c>
    </row>
    <row r="22" spans="1:6" x14ac:dyDescent="0.35">
      <c r="A22" s="839" t="s">
        <v>588</v>
      </c>
      <c r="B22" s="640">
        <v>4</v>
      </c>
      <c r="C22" s="202" t="s">
        <v>109</v>
      </c>
    </row>
    <row r="23" spans="1:6" x14ac:dyDescent="0.35">
      <c r="A23" s="839" t="s">
        <v>589</v>
      </c>
      <c r="B23" s="640">
        <v>3</v>
      </c>
      <c r="C23" s="202" t="s">
        <v>590</v>
      </c>
    </row>
    <row r="24" spans="1:6" x14ac:dyDescent="0.35">
      <c r="A24" s="839" t="s">
        <v>591</v>
      </c>
      <c r="B24" s="640">
        <v>3</v>
      </c>
      <c r="C24" s="202" t="s">
        <v>592</v>
      </c>
    </row>
    <row r="25" spans="1:6" x14ac:dyDescent="0.35">
      <c r="A25" s="1165" t="s">
        <v>593</v>
      </c>
      <c r="B25" s="640">
        <v>3</v>
      </c>
      <c r="C25" s="202" t="s">
        <v>55</v>
      </c>
    </row>
    <row r="26" spans="1:6" x14ac:dyDescent="0.35">
      <c r="A26" s="839" t="s">
        <v>594</v>
      </c>
      <c r="B26" s="640">
        <v>4</v>
      </c>
      <c r="C26" s="202" t="s">
        <v>595</v>
      </c>
    </row>
    <row r="27" spans="1:6" x14ac:dyDescent="0.35">
      <c r="A27" s="478" t="s">
        <v>343</v>
      </c>
      <c r="B27" s="640">
        <v>44</v>
      </c>
    </row>
    <row r="28" spans="1:6" x14ac:dyDescent="0.35">
      <c r="A28" s="1158" t="s">
        <v>578</v>
      </c>
      <c r="B28" s="1159">
        <v>15</v>
      </c>
    </row>
    <row r="29" spans="1:6" x14ac:dyDescent="0.35">
      <c r="A29" s="839" t="s">
        <v>596</v>
      </c>
      <c r="B29" s="640">
        <v>14</v>
      </c>
    </row>
    <row r="30" spans="1:6" x14ac:dyDescent="0.35">
      <c r="A30" s="839" t="s">
        <v>597</v>
      </c>
      <c r="B30" s="640">
        <v>10</v>
      </c>
    </row>
    <row r="31" spans="1:6" x14ac:dyDescent="0.35">
      <c r="A31" s="839" t="s">
        <v>598</v>
      </c>
      <c r="B31" s="640">
        <v>2</v>
      </c>
    </row>
    <row r="32" spans="1:6" x14ac:dyDescent="0.35">
      <c r="A32" s="839" t="s">
        <v>599</v>
      </c>
      <c r="B32" s="640">
        <v>2</v>
      </c>
    </row>
    <row r="33" spans="1:6" x14ac:dyDescent="0.35">
      <c r="A33" s="839" t="s">
        <v>600</v>
      </c>
      <c r="B33" s="640">
        <v>1</v>
      </c>
    </row>
    <row r="34" spans="1:6" x14ac:dyDescent="0.35">
      <c r="A34" s="478" t="s">
        <v>601</v>
      </c>
      <c r="B34" s="640">
        <v>88</v>
      </c>
    </row>
    <row r="35" spans="1:6" x14ac:dyDescent="0.35">
      <c r="A35" s="1165" t="s">
        <v>602</v>
      </c>
      <c r="B35" s="640">
        <v>26</v>
      </c>
    </row>
    <row r="36" spans="1:6" x14ac:dyDescent="0.35">
      <c r="A36" s="839" t="s">
        <v>603</v>
      </c>
      <c r="B36" s="640">
        <v>25</v>
      </c>
    </row>
    <row r="37" spans="1:6" x14ac:dyDescent="0.35">
      <c r="A37" s="839" t="s">
        <v>580</v>
      </c>
      <c r="B37" s="640">
        <v>12</v>
      </c>
      <c r="C37" s="202" t="s">
        <v>604</v>
      </c>
      <c r="E37" s="202" t="s">
        <v>605</v>
      </c>
      <c r="F37" s="202" t="s">
        <v>606</v>
      </c>
    </row>
    <row r="38" spans="1:6" x14ac:dyDescent="0.35">
      <c r="A38" s="839" t="s">
        <v>582</v>
      </c>
      <c r="B38" s="640">
        <v>10</v>
      </c>
      <c r="C38" s="202" t="s">
        <v>604</v>
      </c>
      <c r="E38" s="202" t="s">
        <v>607</v>
      </c>
      <c r="F38" s="202" t="s">
        <v>608</v>
      </c>
    </row>
    <row r="39" spans="1:6" x14ac:dyDescent="0.35">
      <c r="A39" s="839" t="s">
        <v>609</v>
      </c>
      <c r="B39" s="640">
        <v>7</v>
      </c>
      <c r="C39" s="202" t="s">
        <v>595</v>
      </c>
      <c r="E39" s="202" t="s">
        <v>610</v>
      </c>
      <c r="F39" s="202" t="s">
        <v>611</v>
      </c>
    </row>
    <row r="40" spans="1:6" x14ac:dyDescent="0.35">
      <c r="A40" s="839" t="s">
        <v>612</v>
      </c>
      <c r="B40" s="640">
        <v>5</v>
      </c>
      <c r="C40" s="202" t="s">
        <v>109</v>
      </c>
      <c r="E40" s="202" t="s">
        <v>613</v>
      </c>
    </row>
    <row r="41" spans="1:6" x14ac:dyDescent="0.35">
      <c r="A41" s="839" t="s">
        <v>614</v>
      </c>
      <c r="B41" s="640">
        <v>2</v>
      </c>
      <c r="C41" s="202" t="s">
        <v>595</v>
      </c>
      <c r="E41" s="202" t="s">
        <v>615</v>
      </c>
    </row>
    <row r="42" spans="1:6" x14ac:dyDescent="0.35">
      <c r="A42" s="839" t="s">
        <v>616</v>
      </c>
      <c r="B42" s="640">
        <v>2</v>
      </c>
      <c r="C42" s="202" t="s">
        <v>584</v>
      </c>
      <c r="E42" s="1160" t="s">
        <v>617</v>
      </c>
    </row>
    <row r="43" spans="1:6" x14ac:dyDescent="0.35">
      <c r="A43" s="839" t="s">
        <v>618</v>
      </c>
      <c r="B43" s="640">
        <v>0</v>
      </c>
      <c r="E43" s="202" t="s">
        <v>619</v>
      </c>
    </row>
    <row r="44" spans="1:6" x14ac:dyDescent="0.35">
      <c r="A44" s="478" t="s">
        <v>620</v>
      </c>
      <c r="B44" s="640">
        <v>40</v>
      </c>
    </row>
    <row r="45" spans="1:6" x14ac:dyDescent="0.35">
      <c r="A45" s="1165" t="s">
        <v>621</v>
      </c>
      <c r="B45" s="1166">
        <v>21</v>
      </c>
    </row>
    <row r="46" spans="1:6" x14ac:dyDescent="0.35">
      <c r="A46" s="839" t="s">
        <v>622</v>
      </c>
      <c r="B46" s="640">
        <v>6</v>
      </c>
    </row>
    <row r="47" spans="1:6" x14ac:dyDescent="0.35">
      <c r="A47" s="1165" t="s">
        <v>623</v>
      </c>
      <c r="B47" s="1166">
        <v>4</v>
      </c>
    </row>
    <row r="48" spans="1:6" x14ac:dyDescent="0.35">
      <c r="A48" s="839" t="s">
        <v>624</v>
      </c>
      <c r="B48" s="640">
        <v>4</v>
      </c>
    </row>
    <row r="49" spans="1:2" x14ac:dyDescent="0.35">
      <c r="A49" s="1165" t="s">
        <v>625</v>
      </c>
      <c r="B49" s="1166">
        <v>3</v>
      </c>
    </row>
    <row r="50" spans="1:2" x14ac:dyDescent="0.35">
      <c r="A50" s="839" t="s">
        <v>626</v>
      </c>
      <c r="B50" s="640">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BJ502"/>
  <sheetViews>
    <sheetView topLeftCell="L1" zoomScale="105" zoomScaleNormal="90" workbookViewId="0">
      <selection activeCell="T6" sqref="T6"/>
    </sheetView>
  </sheetViews>
  <sheetFormatPr defaultColWidth="10.9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833</v>
      </c>
      <c r="I1" s="1448"/>
      <c r="J1" s="1448"/>
      <c r="K1" s="1448"/>
    </row>
    <row r="2" spans="1:62" ht="13.4" customHeight="1" x14ac:dyDescent="0.35">
      <c r="A2" s="1178"/>
      <c r="O2" s="1204" t="s">
        <v>798</v>
      </c>
      <c r="P2" s="1454" t="s">
        <v>627</v>
      </c>
      <c r="Q2" s="1454"/>
      <c r="R2" s="1454"/>
      <c r="S2" s="1454"/>
      <c r="T2" s="1207"/>
      <c r="U2" s="1207"/>
      <c r="V2" s="1207"/>
      <c r="W2" s="1207"/>
      <c r="X2" s="1207"/>
      <c r="Y2" s="1449" t="s">
        <v>628</v>
      </c>
      <c r="Z2" s="1450"/>
      <c r="AA2" s="1450"/>
      <c r="AB2" s="1450"/>
      <c r="AC2" s="1450"/>
      <c r="AD2" s="1450"/>
      <c r="AE2" s="1207"/>
      <c r="AF2" s="1207"/>
      <c r="AG2" s="1451" t="s">
        <v>629</v>
      </c>
      <c r="AH2" s="1450"/>
      <c r="AI2" s="1450"/>
      <c r="AJ2" s="1453" t="s">
        <v>630</v>
      </c>
      <c r="AK2" s="1453"/>
      <c r="AL2" s="1453"/>
      <c r="AM2" s="1453"/>
      <c r="AN2" s="1453"/>
      <c r="AO2" s="1453"/>
      <c r="AP2" s="1453"/>
      <c r="AQ2" s="1453"/>
      <c r="AR2" s="1453"/>
      <c r="AS2" s="1453"/>
      <c r="AT2" s="1208"/>
      <c r="AU2" s="1452" t="s">
        <v>385</v>
      </c>
      <c r="AV2" s="1452"/>
      <c r="AW2" s="1452"/>
      <c r="AX2" s="1452"/>
      <c r="AY2" s="1452"/>
      <c r="AZ2" s="1452"/>
      <c r="BA2" s="1452"/>
      <c r="BB2" s="1189"/>
      <c r="BC2" s="1189"/>
      <c r="BD2" s="1189"/>
      <c r="BE2" s="1189"/>
      <c r="BF2" s="1189"/>
      <c r="BG2" s="1189"/>
      <c r="BH2" s="1189"/>
      <c r="BI2" s="1189"/>
      <c r="BJ2" s="1195" t="s">
        <v>631</v>
      </c>
    </row>
    <row r="3" spans="1:62" ht="43.4" customHeight="1" x14ac:dyDescent="0.35">
      <c r="A3" s="1179"/>
      <c r="B3" s="1179"/>
      <c r="C3" s="1179"/>
      <c r="D3" s="1179"/>
      <c r="E3" s="1179"/>
      <c r="F3" s="1179"/>
      <c r="G3" s="1179"/>
      <c r="H3" s="1179"/>
      <c r="I3" s="1179"/>
      <c r="J3" s="1179"/>
      <c r="K3" s="1179"/>
      <c r="L3" s="1179"/>
      <c r="M3" s="1179"/>
      <c r="N3" s="1179"/>
      <c r="O3" s="1205" t="s">
        <v>632</v>
      </c>
      <c r="P3" s="1188" t="s">
        <v>633</v>
      </c>
      <c r="Q3" s="1188" t="s">
        <v>634</v>
      </c>
      <c r="R3" s="1188" t="s">
        <v>635</v>
      </c>
      <c r="S3" s="1188" t="s">
        <v>636</v>
      </c>
      <c r="T3" s="1188" t="s">
        <v>637</v>
      </c>
      <c r="U3" s="1188" t="s">
        <v>638</v>
      </c>
      <c r="V3" s="1188" t="s">
        <v>639</v>
      </c>
      <c r="W3" s="1188" t="s">
        <v>640</v>
      </c>
      <c r="X3" s="1188" t="s">
        <v>641</v>
      </c>
      <c r="Y3" s="1188" t="s">
        <v>642</v>
      </c>
      <c r="Z3" s="1188"/>
      <c r="AA3" s="1188"/>
      <c r="AB3" s="1188"/>
      <c r="AC3" s="1188" t="s">
        <v>643</v>
      </c>
      <c r="AD3" s="1188" t="s">
        <v>644</v>
      </c>
      <c r="AE3" s="1188" t="s">
        <v>645</v>
      </c>
      <c r="AF3" s="1188" t="s">
        <v>646</v>
      </c>
      <c r="AG3" s="1188" t="s">
        <v>647</v>
      </c>
      <c r="AH3" s="1188" t="s">
        <v>648</v>
      </c>
      <c r="AI3" s="1188" t="s">
        <v>649</v>
      </c>
      <c r="AJ3" s="1188" t="s">
        <v>650</v>
      </c>
      <c r="AK3" s="1188" t="s">
        <v>651</v>
      </c>
      <c r="AL3" s="1188" t="s">
        <v>652</v>
      </c>
      <c r="AM3" s="1188" t="s">
        <v>653</v>
      </c>
      <c r="AN3" s="1188" t="s">
        <v>654</v>
      </c>
      <c r="AO3" s="1188" t="s">
        <v>655</v>
      </c>
      <c r="AP3" s="1188" t="s">
        <v>656</v>
      </c>
      <c r="AQ3" s="1201" t="s">
        <v>657</v>
      </c>
      <c r="AR3" s="1188" t="s">
        <v>658</v>
      </c>
      <c r="AS3" s="1188" t="s">
        <v>659</v>
      </c>
      <c r="AT3" s="1188" t="s">
        <v>660</v>
      </c>
      <c r="AU3" s="1188" t="s">
        <v>661</v>
      </c>
      <c r="AV3" s="1188" t="s">
        <v>662</v>
      </c>
      <c r="AW3" s="1188" t="s">
        <v>663</v>
      </c>
      <c r="AX3" s="1188" t="s">
        <v>664</v>
      </c>
      <c r="AY3" s="1188" t="s">
        <v>665</v>
      </c>
      <c r="AZ3" s="1188" t="s">
        <v>666</v>
      </c>
      <c r="BA3" s="1188" t="s">
        <v>643</v>
      </c>
      <c r="BB3" s="1196" t="s">
        <v>667</v>
      </c>
      <c r="BC3" s="1196" t="s">
        <v>668</v>
      </c>
      <c r="BD3" s="1196" t="s">
        <v>669</v>
      </c>
      <c r="BE3" s="1196" t="s">
        <v>670</v>
      </c>
      <c r="BF3" s="1196" t="s">
        <v>671</v>
      </c>
      <c r="BG3" s="1196" t="s">
        <v>672</v>
      </c>
      <c r="BH3" s="1196" t="s">
        <v>673</v>
      </c>
      <c r="BI3" s="1196" t="s">
        <v>674</v>
      </c>
      <c r="BJ3" s="1190" t="s">
        <v>675</v>
      </c>
    </row>
    <row r="4" spans="1:62" ht="63" customHeight="1" x14ac:dyDescent="0.35">
      <c r="A4" s="1199" t="s">
        <v>676</v>
      </c>
      <c r="B4" s="1178" t="s">
        <v>56</v>
      </c>
      <c r="C4" s="1178" t="s">
        <v>677</v>
      </c>
      <c r="D4" s="1178" t="s">
        <v>547</v>
      </c>
      <c r="E4" s="1178" t="s">
        <v>678</v>
      </c>
      <c r="F4" s="1178" t="s">
        <v>679</v>
      </c>
      <c r="G4" s="1178" t="s">
        <v>680</v>
      </c>
      <c r="H4" s="1178" t="s">
        <v>131</v>
      </c>
      <c r="I4" s="1185" t="s">
        <v>348</v>
      </c>
      <c r="J4" s="1185" t="s">
        <v>150</v>
      </c>
      <c r="K4" s="1185" t="s">
        <v>681</v>
      </c>
      <c r="L4" s="1183" t="s">
        <v>159</v>
      </c>
      <c r="M4" s="1178" t="s">
        <v>109</v>
      </c>
      <c r="N4" s="1178" t="s">
        <v>682</v>
      </c>
      <c r="O4" s="1206" t="s">
        <v>683</v>
      </c>
      <c r="P4" s="1196" t="s">
        <v>684</v>
      </c>
      <c r="Q4" s="1196" t="s">
        <v>685</v>
      </c>
      <c r="R4" s="1196" t="s">
        <v>686</v>
      </c>
      <c r="S4" s="1196" t="s">
        <v>687</v>
      </c>
      <c r="T4" s="1196" t="s">
        <v>688</v>
      </c>
      <c r="U4" s="1196" t="s">
        <v>689</v>
      </c>
      <c r="V4" s="1196" t="s">
        <v>690</v>
      </c>
      <c r="W4" s="1196" t="s">
        <v>691</v>
      </c>
      <c r="X4" s="1196" t="s">
        <v>692</v>
      </c>
      <c r="Y4" s="1196" t="s">
        <v>693</v>
      </c>
      <c r="Z4" s="1196" t="s">
        <v>694</v>
      </c>
      <c r="AA4" s="1196" t="s">
        <v>695</v>
      </c>
      <c r="AB4" s="1196" t="s">
        <v>696</v>
      </c>
      <c r="AC4" s="1196" t="s">
        <v>697</v>
      </c>
      <c r="AD4" s="1196" t="s">
        <v>698</v>
      </c>
      <c r="AE4" s="1196" t="s">
        <v>699</v>
      </c>
      <c r="AF4" s="1196" t="s">
        <v>700</v>
      </c>
      <c r="AG4" s="1196" t="s">
        <v>210</v>
      </c>
      <c r="AH4" s="1196" t="s">
        <v>211</v>
      </c>
      <c r="AI4" s="1196" t="s">
        <v>701</v>
      </c>
      <c r="AJ4" s="1196" t="s">
        <v>702</v>
      </c>
      <c r="AK4" s="1196" t="s">
        <v>703</v>
      </c>
      <c r="AL4" s="1196" t="s">
        <v>704</v>
      </c>
      <c r="AM4" s="1196" t="s">
        <v>705</v>
      </c>
      <c r="AN4" s="1196" t="s">
        <v>706</v>
      </c>
      <c r="AO4" s="1196" t="s">
        <v>707</v>
      </c>
      <c r="AP4" s="1196" t="s">
        <v>708</v>
      </c>
      <c r="AQ4" s="1197" t="s">
        <v>709</v>
      </c>
      <c r="AR4" s="1196" t="s">
        <v>710</v>
      </c>
      <c r="AS4" s="1196" t="s">
        <v>711</v>
      </c>
      <c r="AT4" s="1196" t="s">
        <v>712</v>
      </c>
      <c r="AU4" s="1196" t="s">
        <v>713</v>
      </c>
      <c r="AV4" s="1196" t="s">
        <v>714</v>
      </c>
      <c r="AW4" s="1196" t="s">
        <v>715</v>
      </c>
      <c r="AX4" s="1196" t="s">
        <v>716</v>
      </c>
      <c r="AY4" s="1196" t="s">
        <v>717</v>
      </c>
      <c r="AZ4" s="1196" t="s">
        <v>718</v>
      </c>
      <c r="BA4" s="1196"/>
      <c r="BB4" s="1196" t="s">
        <v>426</v>
      </c>
      <c r="BC4" s="1196" t="s">
        <v>719</v>
      </c>
      <c r="BD4" s="1196" t="s">
        <v>720</v>
      </c>
      <c r="BE4" s="1196" t="s">
        <v>721</v>
      </c>
      <c r="BF4" s="1196" t="s">
        <v>722</v>
      </c>
      <c r="BG4" s="1196" t="s">
        <v>723</v>
      </c>
      <c r="BH4" s="1196" t="s">
        <v>724</v>
      </c>
      <c r="BI4" s="1196" t="s">
        <v>725</v>
      </c>
      <c r="BJ4" s="1198" t="s">
        <v>726</v>
      </c>
    </row>
    <row r="5" spans="1:62" x14ac:dyDescent="0.35">
      <c r="A5" s="1180">
        <v>2021</v>
      </c>
      <c r="B5" s="1182">
        <f>Q5</f>
        <v>394.202</v>
      </c>
      <c r="C5" s="1182">
        <f>SUM(Y5:AB5)</f>
        <v>195.7</v>
      </c>
      <c r="D5" s="1182">
        <f>T5</f>
        <v>18.823</v>
      </c>
      <c r="E5" s="1182">
        <f>SUM(P5:S5)-B5</f>
        <v>0.77600000000001046</v>
      </c>
      <c r="F5" s="1182">
        <f>SUM(T5:AF5)-C5-L5-D5 - 28</f>
        <v>19.722000000000016</v>
      </c>
      <c r="G5" s="1182">
        <f>SUM(BB5:BI5)-BC5</f>
        <v>81.642999999999986</v>
      </c>
      <c r="H5" s="1182">
        <f>SUM(AG5:AI5)</f>
        <v>7.798</v>
      </c>
      <c r="I5" s="1182">
        <f>AJ5</f>
        <v>283.95749999999998</v>
      </c>
      <c r="J5" s="1182">
        <f>AL5</f>
        <v>12.347</v>
      </c>
      <c r="K5" s="1182">
        <f>SUM(AM5:AT5)</f>
        <v>29.628</v>
      </c>
      <c r="L5" s="1186">
        <f>103/4</f>
        <v>25.75</v>
      </c>
      <c r="M5" s="1182">
        <f t="shared" ref="M5:M16" si="0">SUM(AU5:BA5)</f>
        <v>31.939</v>
      </c>
      <c r="N5" s="1182">
        <f>AK5</f>
        <v>3.4</v>
      </c>
      <c r="O5" s="1209">
        <v>50</v>
      </c>
      <c r="P5" s="1203">
        <v>0.55000000000000004</v>
      </c>
      <c r="Q5" s="1040">
        <v>394.202</v>
      </c>
      <c r="R5" s="1211">
        <v>0.14599999999999999</v>
      </c>
      <c r="S5" s="1211">
        <v>0.08</v>
      </c>
      <c r="T5" s="1211">
        <v>18.823</v>
      </c>
      <c r="U5" s="1040">
        <v>19</v>
      </c>
      <c r="V5" s="1211">
        <v>11.481999999999999</v>
      </c>
      <c r="W5" s="712">
        <v>1.5580000000000001</v>
      </c>
      <c r="X5" s="712">
        <v>0.74</v>
      </c>
      <c r="Y5" s="1040">
        <v>0.2</v>
      </c>
      <c r="Z5" s="1040">
        <v>43.1</v>
      </c>
      <c r="AA5" s="1040">
        <v>33.9</v>
      </c>
      <c r="AB5" s="1040">
        <v>118.5</v>
      </c>
      <c r="AC5" s="1040">
        <v>28</v>
      </c>
      <c r="AD5" s="712">
        <v>-2.0379999999999998</v>
      </c>
      <c r="AE5" s="1040">
        <v>14.31</v>
      </c>
      <c r="AF5" s="1211">
        <v>0.42</v>
      </c>
      <c r="AG5" s="1211">
        <v>7.7279999999999998</v>
      </c>
      <c r="AH5" s="1040">
        <v>7.0000000000000007E-2</v>
      </c>
      <c r="AI5" s="1040">
        <v>0</v>
      </c>
      <c r="AJ5" s="1040">
        <v>283.95749999999998</v>
      </c>
      <c r="AK5" s="1202">
        <v>3.4</v>
      </c>
      <c r="AL5" s="1202">
        <v>12.347</v>
      </c>
      <c r="AM5" s="1212">
        <v>0.28599999999999998</v>
      </c>
      <c r="AN5" s="1202">
        <v>2</v>
      </c>
      <c r="AO5" s="1040">
        <v>0.81</v>
      </c>
      <c r="AP5" s="1202">
        <v>0.52100000000000002</v>
      </c>
      <c r="AQ5" s="1213">
        <v>10</v>
      </c>
      <c r="AR5" s="1202">
        <v>2.7</v>
      </c>
      <c r="AS5" s="1202">
        <v>0.751</v>
      </c>
      <c r="AT5" s="1040">
        <v>12.56</v>
      </c>
      <c r="AU5" s="1040">
        <v>0</v>
      </c>
      <c r="AV5" s="1202">
        <v>1.415</v>
      </c>
      <c r="AW5" s="1202">
        <v>10.51</v>
      </c>
      <c r="AX5" s="1202">
        <v>2.6</v>
      </c>
      <c r="AY5" s="1040">
        <v>-0.33</v>
      </c>
      <c r="AZ5" s="1202">
        <v>17.744</v>
      </c>
      <c r="BA5" s="1040">
        <v>0</v>
      </c>
      <c r="BB5" s="1202">
        <v>4.0999999999999996</v>
      </c>
      <c r="BC5" s="1202">
        <v>7.25</v>
      </c>
      <c r="BD5" s="1202">
        <v>48.4</v>
      </c>
      <c r="BE5" s="1211">
        <v>0.83</v>
      </c>
      <c r="BF5" s="712">
        <v>4.5110000000000001</v>
      </c>
      <c r="BG5" s="1040">
        <v>3.0739999999999998</v>
      </c>
      <c r="BH5" s="1167">
        <v>-0.28399999999999997</v>
      </c>
      <c r="BI5" s="1202">
        <v>21.012</v>
      </c>
      <c r="BJ5" s="1191">
        <v>1.1599999999999999</v>
      </c>
    </row>
    <row r="6" spans="1:62" x14ac:dyDescent="0.35">
      <c r="A6" s="1180">
        <v>2022</v>
      </c>
      <c r="B6" s="1182">
        <f t="shared" ref="B6:B15" si="1">Q6</f>
        <v>17.465</v>
      </c>
      <c r="C6" s="1182">
        <f t="shared" ref="C6:C15" si="2">SUM(Y6:AB6)</f>
        <v>10.1</v>
      </c>
      <c r="D6" s="1182">
        <f t="shared" ref="D6:D15" si="3">T6</f>
        <v>2.5950000000000002</v>
      </c>
      <c r="E6" s="1182">
        <f t="shared" ref="E6:E15" si="4">SUM(P6:S6)-B6</f>
        <v>19.719000000000005</v>
      </c>
      <c r="F6" s="1182">
        <f>SUM(T6:AF6)-C6-L6-D6</f>
        <v>52.756999999999998</v>
      </c>
      <c r="G6" s="1182">
        <f t="shared" ref="G6:G16" si="5">SUM(BB6:BI6)-BC6</f>
        <v>110.24799999999999</v>
      </c>
      <c r="H6" s="1182">
        <f t="shared" ref="H6:H15" si="6">SUM(AG6:AI6)</f>
        <v>7.9489999999999998</v>
      </c>
      <c r="I6" s="1182">
        <f t="shared" ref="I6:I15" si="7">AJ6</f>
        <v>77.092500000000001</v>
      </c>
      <c r="J6" s="1182">
        <f t="shared" ref="J6:J15" si="8">AL6</f>
        <v>46.79</v>
      </c>
      <c r="K6" s="1182">
        <f t="shared" ref="K6:K16" si="9">SUM(AM6:AT6)</f>
        <v>35.671000000000006</v>
      </c>
      <c r="L6" s="1186">
        <v>0</v>
      </c>
      <c r="M6" s="1182">
        <f t="shared" si="0"/>
        <v>56.412999999999997</v>
      </c>
      <c r="N6" s="1182">
        <f t="shared" ref="N6:N15" si="10">AK6</f>
        <v>5.0999999999999996</v>
      </c>
      <c r="O6" s="1209">
        <v>55</v>
      </c>
      <c r="P6" s="1203">
        <v>15.61</v>
      </c>
      <c r="Q6" s="1040">
        <v>17.465</v>
      </c>
      <c r="R6" s="1211">
        <v>0.317</v>
      </c>
      <c r="S6" s="1211">
        <v>3.7919999999999998</v>
      </c>
      <c r="T6" s="1040">
        <v>2.5950000000000002</v>
      </c>
      <c r="U6" s="1202">
        <v>14.5</v>
      </c>
      <c r="V6" s="1040">
        <v>25.070999999999998</v>
      </c>
      <c r="W6" s="712">
        <v>1.952</v>
      </c>
      <c r="X6" s="712">
        <v>0.61399999999999999</v>
      </c>
      <c r="Y6" s="1202">
        <v>0</v>
      </c>
      <c r="Z6" s="1202">
        <v>2.2999999999999998</v>
      </c>
      <c r="AA6" s="1202">
        <v>1.6</v>
      </c>
      <c r="AB6" s="1202">
        <v>6.2</v>
      </c>
      <c r="AC6" s="1040">
        <v>0</v>
      </c>
      <c r="AD6" s="1040">
        <v>1.31</v>
      </c>
      <c r="AE6" s="1040">
        <v>8.61</v>
      </c>
      <c r="AF6" s="1040">
        <v>0.7</v>
      </c>
      <c r="AG6" s="1211">
        <v>7.782</v>
      </c>
      <c r="AH6" s="1040">
        <v>0.12</v>
      </c>
      <c r="AI6" s="1040">
        <v>4.7E-2</v>
      </c>
      <c r="AJ6" s="1040">
        <v>77.092500000000001</v>
      </c>
      <c r="AK6" s="1202">
        <v>5.0999999999999996</v>
      </c>
      <c r="AL6" s="1202">
        <v>46.79</v>
      </c>
      <c r="AM6" s="1167">
        <v>0.30499999999999999</v>
      </c>
      <c r="AN6" s="1202">
        <v>4.3</v>
      </c>
      <c r="AO6" s="712">
        <v>1.1000000000000001</v>
      </c>
      <c r="AP6" s="1202">
        <v>1.575</v>
      </c>
      <c r="AQ6" s="1213">
        <v>10</v>
      </c>
      <c r="AR6" s="1202">
        <v>4.5</v>
      </c>
      <c r="AS6" s="1202">
        <v>1.9810000000000001</v>
      </c>
      <c r="AT6" s="1040">
        <v>11.91</v>
      </c>
      <c r="AU6" s="1040">
        <v>0</v>
      </c>
      <c r="AV6" s="1202">
        <v>3.927</v>
      </c>
      <c r="AW6" s="1202">
        <v>4.2880000000000003</v>
      </c>
      <c r="AX6" s="1202">
        <v>3.7</v>
      </c>
      <c r="AY6" s="1040">
        <v>-1.34</v>
      </c>
      <c r="AZ6" s="1202">
        <v>45.838000000000001</v>
      </c>
      <c r="BA6" s="1040">
        <v>0</v>
      </c>
      <c r="BB6" s="1202">
        <v>11.3</v>
      </c>
      <c r="BC6" s="1202">
        <v>0</v>
      </c>
      <c r="BD6" s="1202">
        <v>1.1000000000000001</v>
      </c>
      <c r="BE6" s="1211">
        <v>1.75</v>
      </c>
      <c r="BF6" s="712">
        <v>1.7330000000000001</v>
      </c>
      <c r="BG6" s="712">
        <v>7.1440000000000001</v>
      </c>
      <c r="BH6" s="1168">
        <v>81.608999999999995</v>
      </c>
      <c r="BI6" s="1202">
        <v>5.6120000000000001</v>
      </c>
      <c r="BJ6" s="1191">
        <v>4.2</v>
      </c>
    </row>
    <row r="7" spans="1:62" x14ac:dyDescent="0.35">
      <c r="A7" s="1180">
        <v>2023</v>
      </c>
      <c r="B7" s="1182">
        <f t="shared" si="1"/>
        <v>0.48599999999999999</v>
      </c>
      <c r="C7" s="1182">
        <f t="shared" si="2"/>
        <v>0</v>
      </c>
      <c r="D7" s="1182">
        <f t="shared" si="3"/>
        <v>0.93700000000000006</v>
      </c>
      <c r="E7" s="1182">
        <f t="shared" si="4"/>
        <v>1.4159999999999999</v>
      </c>
      <c r="F7" s="1182">
        <f t="shared" ref="F7:F15" si="11">SUM(T7:AF7)-C7-L7-D7</f>
        <v>12</v>
      </c>
      <c r="G7" s="1182">
        <f t="shared" si="5"/>
        <v>12.726000000000001</v>
      </c>
      <c r="H7" s="1182">
        <f t="shared" si="6"/>
        <v>4.7519999999999998</v>
      </c>
      <c r="I7" s="1182">
        <f t="shared" si="7"/>
        <v>1</v>
      </c>
      <c r="J7" s="1182">
        <f t="shared" si="8"/>
        <v>38.595999999999997</v>
      </c>
      <c r="K7" s="1182">
        <f t="shared" si="9"/>
        <v>24.216000000000001</v>
      </c>
      <c r="L7" s="1186">
        <v>0</v>
      </c>
      <c r="M7" s="1182">
        <f t="shared" si="0"/>
        <v>15.652999999999999</v>
      </c>
      <c r="N7" s="1182">
        <f t="shared" si="10"/>
        <v>0</v>
      </c>
      <c r="O7" s="1209">
        <v>0.7</v>
      </c>
      <c r="P7" s="1203">
        <v>0.96</v>
      </c>
      <c r="Q7" s="1040">
        <v>0.48599999999999999</v>
      </c>
      <c r="R7" s="1211">
        <v>0.45600000000000002</v>
      </c>
      <c r="S7" s="1040">
        <v>0</v>
      </c>
      <c r="T7" s="1169">
        <v>0.93700000000000006</v>
      </c>
      <c r="U7" s="1202">
        <v>3</v>
      </c>
      <c r="V7" s="1211">
        <v>7.891</v>
      </c>
      <c r="W7" s="712">
        <v>0.61699999999999999</v>
      </c>
      <c r="X7" s="712">
        <v>8.4000000000000005E-2</v>
      </c>
      <c r="Y7" s="1202">
        <v>0</v>
      </c>
      <c r="Z7" s="1202">
        <v>0</v>
      </c>
      <c r="AA7" s="1202">
        <v>0</v>
      </c>
      <c r="AB7" s="1202">
        <v>0</v>
      </c>
      <c r="AC7" s="1040">
        <v>0</v>
      </c>
      <c r="AD7" s="1040">
        <v>0.318</v>
      </c>
      <c r="AE7" s="1211">
        <v>-0.11000000000000001</v>
      </c>
      <c r="AF7" s="1040">
        <v>0.2</v>
      </c>
      <c r="AG7" s="1211">
        <v>4.6749999999999998</v>
      </c>
      <c r="AH7" s="1040">
        <v>0.06</v>
      </c>
      <c r="AI7" s="1040">
        <v>1.7000000000000001E-2</v>
      </c>
      <c r="AJ7" s="1040">
        <v>1</v>
      </c>
      <c r="AK7" s="1202">
        <v>0</v>
      </c>
      <c r="AL7" s="1202">
        <v>38.595999999999997</v>
      </c>
      <c r="AM7" s="1040">
        <v>0.14899999999999999</v>
      </c>
      <c r="AN7" s="1202">
        <v>1.2</v>
      </c>
      <c r="AO7" s="712">
        <v>0.53</v>
      </c>
      <c r="AP7" s="1202">
        <v>0.38100000000000001</v>
      </c>
      <c r="AQ7" s="1213">
        <v>8</v>
      </c>
      <c r="AR7" s="1202">
        <v>4.5</v>
      </c>
      <c r="AS7" s="1202">
        <v>0.76600000000000001</v>
      </c>
      <c r="AT7" s="1040">
        <v>8.69</v>
      </c>
      <c r="AU7" s="1040">
        <v>0</v>
      </c>
      <c r="AV7" s="1202">
        <v>1.93</v>
      </c>
      <c r="AW7" s="1202">
        <v>1.4379999999999999</v>
      </c>
      <c r="AX7" s="1202">
        <v>2.6</v>
      </c>
      <c r="AY7" s="712">
        <v>-2.48</v>
      </c>
      <c r="AZ7" s="1202">
        <v>12.164999999999999</v>
      </c>
      <c r="BA7" s="712">
        <v>0</v>
      </c>
      <c r="BB7" s="1202">
        <v>8.4</v>
      </c>
      <c r="BC7" s="1202">
        <v>0</v>
      </c>
      <c r="BD7" s="1202">
        <v>0.3</v>
      </c>
      <c r="BE7" s="1211">
        <v>1.8</v>
      </c>
      <c r="BF7" s="712">
        <v>0</v>
      </c>
      <c r="BG7" s="712">
        <v>0</v>
      </c>
      <c r="BH7" s="1167">
        <v>1.3759999999999999</v>
      </c>
      <c r="BI7" s="1202">
        <v>0.85</v>
      </c>
      <c r="BJ7" s="1191">
        <v>2.7</v>
      </c>
    </row>
    <row r="8" spans="1:62" x14ac:dyDescent="0.35">
      <c r="A8" s="1180">
        <v>2024</v>
      </c>
      <c r="B8" s="1182">
        <f t="shared" si="1"/>
        <v>0</v>
      </c>
      <c r="C8" s="1182">
        <f t="shared" si="2"/>
        <v>0</v>
      </c>
      <c r="D8" s="1182">
        <f t="shared" si="3"/>
        <v>0.16</v>
      </c>
      <c r="E8" s="1182">
        <f t="shared" si="4"/>
        <v>1.4790000000000001</v>
      </c>
      <c r="F8" s="1182">
        <f t="shared" si="11"/>
        <v>4.2219999999999995</v>
      </c>
      <c r="G8" s="1182">
        <f t="shared" si="5"/>
        <v>1.365</v>
      </c>
      <c r="H8" s="1182">
        <f t="shared" si="6"/>
        <v>4.637999999999999</v>
      </c>
      <c r="I8" s="1182">
        <f t="shared" si="7"/>
        <v>0</v>
      </c>
      <c r="J8" s="1182">
        <f t="shared" si="8"/>
        <v>31.911000000000001</v>
      </c>
      <c r="K8" s="1182">
        <f t="shared" si="9"/>
        <v>9.6430000000000007</v>
      </c>
      <c r="L8" s="1186">
        <v>0</v>
      </c>
      <c r="M8" s="1182">
        <f t="shared" si="0"/>
        <v>3.9320000000000004</v>
      </c>
      <c r="N8" s="1182">
        <f t="shared" si="10"/>
        <v>0</v>
      </c>
      <c r="O8" s="1209">
        <v>0.7</v>
      </c>
      <c r="P8" s="1203">
        <v>0.96</v>
      </c>
      <c r="Q8" s="1202">
        <v>0</v>
      </c>
      <c r="R8" s="1211">
        <v>0.51900000000000002</v>
      </c>
      <c r="S8" s="1040">
        <v>0</v>
      </c>
      <c r="T8" s="1170">
        <v>0.16</v>
      </c>
      <c r="U8" s="1202">
        <v>2.8</v>
      </c>
      <c r="V8" s="1040">
        <v>0.504</v>
      </c>
      <c r="W8" s="712">
        <v>0.47199999999999998</v>
      </c>
      <c r="X8" s="712">
        <v>2E-3</v>
      </c>
      <c r="Y8" s="1202">
        <v>0</v>
      </c>
      <c r="Z8" s="1202">
        <v>0</v>
      </c>
      <c r="AA8" s="1202">
        <v>0</v>
      </c>
      <c r="AB8" s="1202">
        <v>0</v>
      </c>
      <c r="AC8" s="1040">
        <v>0</v>
      </c>
      <c r="AD8" s="1040">
        <v>0.34399999999999997</v>
      </c>
      <c r="AE8" s="1211">
        <v>0</v>
      </c>
      <c r="AF8" s="1211">
        <v>0.1</v>
      </c>
      <c r="AG8" s="1211">
        <v>4.5739999999999998</v>
      </c>
      <c r="AH8" s="1040">
        <v>0.06</v>
      </c>
      <c r="AI8" s="1040">
        <v>4.0000000000000001E-3</v>
      </c>
      <c r="AJ8" s="1040">
        <v>0</v>
      </c>
      <c r="AK8" s="1202">
        <v>0</v>
      </c>
      <c r="AL8" s="1202">
        <v>31.911000000000001</v>
      </c>
      <c r="AM8" s="1040">
        <v>4.1000000000000002E-2</v>
      </c>
      <c r="AN8" s="1202">
        <v>0.4</v>
      </c>
      <c r="AO8" s="712">
        <v>0.41</v>
      </c>
      <c r="AP8" s="1202">
        <v>0.13100000000000001</v>
      </c>
      <c r="AQ8" s="1213">
        <v>0</v>
      </c>
      <c r="AR8" s="1202">
        <v>3</v>
      </c>
      <c r="AS8" s="1202">
        <v>0.30099999999999999</v>
      </c>
      <c r="AT8" s="712">
        <v>5.36</v>
      </c>
      <c r="AU8" s="1040">
        <v>0</v>
      </c>
      <c r="AV8" s="1202">
        <v>0.79600000000000004</v>
      </c>
      <c r="AW8" s="1202">
        <v>0.27500000000000002</v>
      </c>
      <c r="AX8" s="1202">
        <v>1</v>
      </c>
      <c r="AY8" s="712">
        <v>-2.6</v>
      </c>
      <c r="AZ8" s="1202">
        <v>4.4610000000000003</v>
      </c>
      <c r="BA8" s="712">
        <v>0</v>
      </c>
      <c r="BB8" s="1202">
        <v>0.2</v>
      </c>
      <c r="BC8" s="1202">
        <v>0</v>
      </c>
      <c r="BD8" s="1202">
        <v>0</v>
      </c>
      <c r="BE8" s="1211">
        <v>1.95</v>
      </c>
      <c r="BF8" s="712">
        <v>0</v>
      </c>
      <c r="BG8" s="712">
        <v>0</v>
      </c>
      <c r="BH8" s="1167">
        <v>-0.875</v>
      </c>
      <c r="BI8" s="1202">
        <v>0.09</v>
      </c>
      <c r="BJ8" s="1192">
        <v>0.87</v>
      </c>
    </row>
    <row r="9" spans="1:62" x14ac:dyDescent="0.35">
      <c r="A9" s="1180">
        <v>2025</v>
      </c>
      <c r="B9" s="1182">
        <f t="shared" si="1"/>
        <v>0</v>
      </c>
      <c r="C9" s="1182">
        <f t="shared" si="2"/>
        <v>0</v>
      </c>
      <c r="D9" s="1182">
        <f t="shared" si="3"/>
        <v>3.3000000000000002E-2</v>
      </c>
      <c r="E9" s="1182">
        <f t="shared" si="4"/>
        <v>1.63</v>
      </c>
      <c r="F9" s="1182">
        <f t="shared" si="11"/>
        <v>2.3719999999999999</v>
      </c>
      <c r="G9" s="1182">
        <f t="shared" si="5"/>
        <v>-0.90100000000000025</v>
      </c>
      <c r="H9" s="1182">
        <f t="shared" si="6"/>
        <v>1.8800000000000001</v>
      </c>
      <c r="I9" s="1182">
        <f t="shared" si="7"/>
        <v>0</v>
      </c>
      <c r="J9" s="1182">
        <f t="shared" si="8"/>
        <v>23.099</v>
      </c>
      <c r="K9" s="1182">
        <f t="shared" si="9"/>
        <v>4.5789999999999997</v>
      </c>
      <c r="L9" s="1186">
        <v>0</v>
      </c>
      <c r="M9" s="1182">
        <f t="shared" si="0"/>
        <v>-0.74299999999999988</v>
      </c>
      <c r="N9" s="1182">
        <f t="shared" si="10"/>
        <v>0</v>
      </c>
      <c r="O9" s="1209">
        <v>0.7</v>
      </c>
      <c r="P9" s="1203">
        <v>1.06</v>
      </c>
      <c r="Q9" s="1202">
        <v>0</v>
      </c>
      <c r="R9" s="1211">
        <v>0.56999999999999995</v>
      </c>
      <c r="S9" s="1040">
        <v>0</v>
      </c>
      <c r="T9" s="1171">
        <v>3.3000000000000002E-2</v>
      </c>
      <c r="U9" s="1202">
        <v>2</v>
      </c>
      <c r="V9" s="1171">
        <v>0</v>
      </c>
      <c r="W9" s="712">
        <v>0.21299999999999999</v>
      </c>
      <c r="X9" s="712">
        <v>2E-3</v>
      </c>
      <c r="Y9" s="1202">
        <v>0</v>
      </c>
      <c r="Z9" s="1202">
        <v>0</v>
      </c>
      <c r="AA9" s="1202">
        <v>0</v>
      </c>
      <c r="AB9" s="1202">
        <v>0</v>
      </c>
      <c r="AC9" s="1040">
        <v>0</v>
      </c>
      <c r="AD9" s="1040">
        <v>0.157</v>
      </c>
      <c r="AE9" s="1211">
        <v>0</v>
      </c>
      <c r="AF9" s="1211">
        <v>0</v>
      </c>
      <c r="AG9" s="1040">
        <v>1.81</v>
      </c>
      <c r="AH9" s="1040">
        <v>7.0000000000000007E-2</v>
      </c>
      <c r="AI9" s="1040">
        <v>0</v>
      </c>
      <c r="AJ9" s="1202">
        <v>0</v>
      </c>
      <c r="AK9" s="1202">
        <v>0</v>
      </c>
      <c r="AL9" s="1202">
        <v>23.099</v>
      </c>
      <c r="AM9" s="1040">
        <v>1.2999999999999999E-2</v>
      </c>
      <c r="AN9" s="1202">
        <v>0.3</v>
      </c>
      <c r="AO9" s="1200">
        <v>0.15</v>
      </c>
      <c r="AP9" s="1202">
        <v>0.112</v>
      </c>
      <c r="AQ9" s="1213">
        <v>0</v>
      </c>
      <c r="AR9" s="1202">
        <v>0.2</v>
      </c>
      <c r="AS9" s="1202">
        <v>7.3999999999999996E-2</v>
      </c>
      <c r="AT9" s="712">
        <v>3.73</v>
      </c>
      <c r="AU9" s="1040">
        <v>0</v>
      </c>
      <c r="AV9" s="1202">
        <v>5.3999999999999999E-2</v>
      </c>
      <c r="AW9" s="1202">
        <v>0.13100000000000001</v>
      </c>
      <c r="AX9" s="1202">
        <v>0</v>
      </c>
      <c r="AY9" s="712">
        <v>-2.71</v>
      </c>
      <c r="AZ9" s="1202">
        <v>1.782</v>
      </c>
      <c r="BA9" s="712">
        <v>0</v>
      </c>
      <c r="BB9" s="1202">
        <v>0</v>
      </c>
      <c r="BC9" s="1202">
        <v>0</v>
      </c>
      <c r="BD9" s="1202">
        <v>0</v>
      </c>
      <c r="BE9" s="1211">
        <v>1.43</v>
      </c>
      <c r="BF9" s="712">
        <v>0</v>
      </c>
      <c r="BG9" s="712">
        <v>0</v>
      </c>
      <c r="BH9" s="1167">
        <v>-2.3410000000000002</v>
      </c>
      <c r="BI9" s="1202">
        <v>0.01</v>
      </c>
      <c r="BJ9" s="1192">
        <v>0.33</v>
      </c>
    </row>
    <row r="10" spans="1:62" x14ac:dyDescent="0.35">
      <c r="A10" s="1180">
        <v>2026</v>
      </c>
      <c r="B10" s="1182">
        <f t="shared" si="1"/>
        <v>0</v>
      </c>
      <c r="C10" s="1182">
        <f t="shared" si="2"/>
        <v>0</v>
      </c>
      <c r="D10" s="1182">
        <f t="shared" si="3"/>
        <v>3.2000000000000001E-2</v>
      </c>
      <c r="E10" s="1182">
        <f t="shared" si="4"/>
        <v>1.671</v>
      </c>
      <c r="F10" s="1182">
        <f t="shared" si="11"/>
        <v>0.49</v>
      </c>
      <c r="G10" s="1182">
        <f t="shared" si="5"/>
        <v>-2.1500000000000004</v>
      </c>
      <c r="H10" s="1182">
        <f t="shared" si="6"/>
        <v>1.446</v>
      </c>
      <c r="I10" s="1182">
        <f t="shared" si="7"/>
        <v>0</v>
      </c>
      <c r="J10" s="1182">
        <f t="shared" si="8"/>
        <v>10.766999999999999</v>
      </c>
      <c r="K10" s="1182">
        <f t="shared" si="9"/>
        <v>2.9130000000000003</v>
      </c>
      <c r="L10" s="1186"/>
      <c r="M10" s="1182">
        <f t="shared" si="0"/>
        <v>-21.606000000000002</v>
      </c>
      <c r="N10" s="1182">
        <f t="shared" si="10"/>
        <v>0</v>
      </c>
      <c r="O10" s="1209">
        <v>0.7</v>
      </c>
      <c r="P10" s="1203">
        <v>1.07</v>
      </c>
      <c r="Q10" s="1202">
        <v>0</v>
      </c>
      <c r="R10" s="1211">
        <v>0.60099999999999998</v>
      </c>
      <c r="S10" s="1040">
        <v>0</v>
      </c>
      <c r="T10" s="1167">
        <v>3.2000000000000001E-2</v>
      </c>
      <c r="U10" s="1202">
        <v>0.3</v>
      </c>
      <c r="V10" s="1211">
        <v>0</v>
      </c>
      <c r="W10" s="712">
        <v>0.188</v>
      </c>
      <c r="X10" s="712">
        <v>2E-3</v>
      </c>
      <c r="Y10" s="1202">
        <v>0</v>
      </c>
      <c r="Z10" s="1202">
        <v>0</v>
      </c>
      <c r="AA10" s="1202">
        <v>0</v>
      </c>
      <c r="AB10" s="1202">
        <v>0</v>
      </c>
      <c r="AC10" s="1040">
        <v>0</v>
      </c>
      <c r="AD10" s="1040">
        <v>0</v>
      </c>
      <c r="AE10" s="1040">
        <v>0</v>
      </c>
      <c r="AF10" s="1211">
        <v>0</v>
      </c>
      <c r="AG10" s="1040">
        <v>1.3759999999999999</v>
      </c>
      <c r="AH10" s="1040">
        <v>7.0000000000000007E-2</v>
      </c>
      <c r="AI10" s="1040">
        <v>0</v>
      </c>
      <c r="AJ10" s="1172">
        <v>0</v>
      </c>
      <c r="AK10" s="1202">
        <v>0</v>
      </c>
      <c r="AL10" s="1202">
        <v>10.766999999999999</v>
      </c>
      <c r="AM10" s="1040">
        <v>3.0000000000000001E-3</v>
      </c>
      <c r="AN10" s="1202">
        <v>0.2</v>
      </c>
      <c r="AO10" s="1200">
        <v>0.1</v>
      </c>
      <c r="AP10" s="1202">
        <v>0.05</v>
      </c>
      <c r="AQ10" s="1213">
        <v>0</v>
      </c>
      <c r="AR10" s="1202">
        <v>0</v>
      </c>
      <c r="AS10" s="1202">
        <v>0</v>
      </c>
      <c r="AT10" s="712">
        <v>2.56</v>
      </c>
      <c r="AU10" s="1040">
        <v>0</v>
      </c>
      <c r="AV10" s="1202">
        <v>3.7999999999999999E-2</v>
      </c>
      <c r="AW10" s="1202">
        <v>2.5999999999999999E-2</v>
      </c>
      <c r="AX10" s="1202">
        <v>0</v>
      </c>
      <c r="AY10" s="712">
        <v>-2.6700000000000004</v>
      </c>
      <c r="AZ10" s="1202">
        <v>0</v>
      </c>
      <c r="BA10" s="712">
        <v>-19</v>
      </c>
      <c r="BB10" s="1202">
        <v>0</v>
      </c>
      <c r="BC10" s="1202">
        <v>0</v>
      </c>
      <c r="BD10" s="1202">
        <v>0</v>
      </c>
      <c r="BE10" s="712">
        <v>0.88</v>
      </c>
      <c r="BF10" s="712">
        <v>0</v>
      </c>
      <c r="BG10" s="712">
        <v>0</v>
      </c>
      <c r="BH10" s="1040">
        <v>-2.8200000000000003</v>
      </c>
      <c r="BI10" s="1202">
        <v>-0.21</v>
      </c>
      <c r="BJ10" s="1192">
        <v>0.17</v>
      </c>
    </row>
    <row r="11" spans="1:62" x14ac:dyDescent="0.35">
      <c r="A11" s="1180">
        <v>2027</v>
      </c>
      <c r="B11" s="1182">
        <f t="shared" si="1"/>
        <v>0</v>
      </c>
      <c r="C11" s="1182">
        <f t="shared" si="2"/>
        <v>0</v>
      </c>
      <c r="D11" s="1182">
        <f t="shared" si="3"/>
        <v>3.2000000000000001E-2</v>
      </c>
      <c r="E11" s="1182">
        <f t="shared" si="4"/>
        <v>1.7130000000000001</v>
      </c>
      <c r="F11" s="1182">
        <f t="shared" si="11"/>
        <v>0</v>
      </c>
      <c r="G11" s="1182">
        <f t="shared" si="5"/>
        <v>-4.8169999999999993</v>
      </c>
      <c r="H11" s="1182">
        <f t="shared" si="6"/>
        <v>0.65699999999999992</v>
      </c>
      <c r="I11" s="1182">
        <f t="shared" si="7"/>
        <v>0</v>
      </c>
      <c r="J11" s="1182">
        <f t="shared" si="8"/>
        <v>4.0789999999999997</v>
      </c>
      <c r="K11" s="1182">
        <f t="shared" si="9"/>
        <v>2.46</v>
      </c>
      <c r="L11" s="1186"/>
      <c r="M11" s="1182">
        <f t="shared" si="0"/>
        <v>-14.713000000000001</v>
      </c>
      <c r="N11" s="1182">
        <f t="shared" si="10"/>
        <v>0</v>
      </c>
      <c r="O11" s="1209">
        <v>0.3</v>
      </c>
      <c r="P11" s="1203">
        <v>1.08</v>
      </c>
      <c r="Q11" s="1202">
        <v>0</v>
      </c>
      <c r="R11" s="1211">
        <v>0.63300000000000001</v>
      </c>
      <c r="S11" s="1170">
        <v>0</v>
      </c>
      <c r="T11" s="1202">
        <v>3.2000000000000001E-2</v>
      </c>
      <c r="U11" s="1202">
        <v>0</v>
      </c>
      <c r="V11" s="1040">
        <v>0</v>
      </c>
      <c r="W11" s="712">
        <v>0</v>
      </c>
      <c r="X11" s="712">
        <v>0</v>
      </c>
      <c r="Y11" s="1202">
        <v>0</v>
      </c>
      <c r="Z11" s="1202">
        <v>0</v>
      </c>
      <c r="AA11" s="1202">
        <v>0</v>
      </c>
      <c r="AB11" s="1202">
        <v>0</v>
      </c>
      <c r="AC11" s="1040">
        <v>0</v>
      </c>
      <c r="AD11" s="1211">
        <v>0</v>
      </c>
      <c r="AE11" s="1040">
        <v>0</v>
      </c>
      <c r="AF11" s="1211">
        <v>0</v>
      </c>
      <c r="AG11" s="1040">
        <v>0.57699999999999996</v>
      </c>
      <c r="AH11" s="1040">
        <v>0.08</v>
      </c>
      <c r="AI11" s="1040">
        <v>0</v>
      </c>
      <c r="AJ11" s="1040">
        <v>0</v>
      </c>
      <c r="AK11" s="1202">
        <v>0</v>
      </c>
      <c r="AL11" s="1202">
        <v>4.0789999999999997</v>
      </c>
      <c r="AM11" s="1202">
        <v>0</v>
      </c>
      <c r="AN11" s="1202">
        <v>0.1</v>
      </c>
      <c r="AO11" s="1200">
        <v>0.1</v>
      </c>
      <c r="AP11" s="1202">
        <v>0.03</v>
      </c>
      <c r="AQ11" s="1213">
        <v>0</v>
      </c>
      <c r="AR11" s="1202">
        <v>0</v>
      </c>
      <c r="AS11" s="1202">
        <v>0</v>
      </c>
      <c r="AT11" s="1200">
        <v>2.23</v>
      </c>
      <c r="AU11" s="1040">
        <v>0</v>
      </c>
      <c r="AV11" s="1202">
        <v>1.7000000000000001E-2</v>
      </c>
      <c r="AW11" s="1202">
        <v>0</v>
      </c>
      <c r="AX11" s="1202">
        <v>0</v>
      </c>
      <c r="AY11" s="712">
        <v>-2.73</v>
      </c>
      <c r="AZ11" s="1202">
        <v>0</v>
      </c>
      <c r="BA11" s="712">
        <v>-12</v>
      </c>
      <c r="BB11" s="1202">
        <v>0</v>
      </c>
      <c r="BC11" s="1202">
        <v>0</v>
      </c>
      <c r="BD11" s="1202">
        <v>0</v>
      </c>
      <c r="BE11" s="712">
        <v>0.28000000000000003</v>
      </c>
      <c r="BF11" s="712">
        <v>0</v>
      </c>
      <c r="BG11" s="712">
        <v>0</v>
      </c>
      <c r="BH11" s="1171">
        <v>-5.0069999999999997</v>
      </c>
      <c r="BI11" s="1202">
        <v>-0.09</v>
      </c>
      <c r="BJ11" s="1193">
        <v>0.06</v>
      </c>
    </row>
    <row r="12" spans="1:62" x14ac:dyDescent="0.35">
      <c r="A12" s="1180">
        <v>2028</v>
      </c>
      <c r="B12" s="1182">
        <f t="shared" si="1"/>
        <v>0</v>
      </c>
      <c r="C12" s="1182">
        <f t="shared" si="2"/>
        <v>0</v>
      </c>
      <c r="D12" s="1182">
        <f t="shared" si="3"/>
        <v>3.3000000000000002E-2</v>
      </c>
      <c r="E12" s="1182">
        <f t="shared" si="4"/>
        <v>1.7130000000000001</v>
      </c>
      <c r="F12" s="1182">
        <f t="shared" si="11"/>
        <v>0</v>
      </c>
      <c r="G12" s="1182">
        <f t="shared" si="5"/>
        <v>-5.0590000000000002</v>
      </c>
      <c r="H12" s="1182">
        <f t="shared" si="6"/>
        <v>-1.071</v>
      </c>
      <c r="I12" s="1182">
        <f t="shared" si="7"/>
        <v>0</v>
      </c>
      <c r="J12" s="1182">
        <f t="shared" si="8"/>
        <v>1.635</v>
      </c>
      <c r="K12" s="1182">
        <f t="shared" si="9"/>
        <v>1.81</v>
      </c>
      <c r="L12" s="1186"/>
      <c r="M12" s="1182">
        <f t="shared" si="0"/>
        <v>-2.7690000000000001</v>
      </c>
      <c r="N12" s="1182">
        <f t="shared" si="10"/>
        <v>0</v>
      </c>
      <c r="O12" s="1209">
        <v>0.3</v>
      </c>
      <c r="P12" s="1203">
        <v>1.08</v>
      </c>
      <c r="Q12" s="1202">
        <v>0</v>
      </c>
      <c r="R12" s="1211">
        <v>0.63300000000000001</v>
      </c>
      <c r="S12" s="1170">
        <v>0</v>
      </c>
      <c r="T12" s="1173">
        <v>3.3000000000000002E-2</v>
      </c>
      <c r="U12" s="1202">
        <v>0</v>
      </c>
      <c r="V12" s="1040">
        <v>0</v>
      </c>
      <c r="W12" s="712">
        <v>0</v>
      </c>
      <c r="X12" s="712">
        <v>0</v>
      </c>
      <c r="Y12" s="1202">
        <v>0</v>
      </c>
      <c r="Z12" s="1202">
        <v>0</v>
      </c>
      <c r="AA12" s="1202">
        <v>0</v>
      </c>
      <c r="AB12" s="1202">
        <v>0</v>
      </c>
      <c r="AC12" s="1040">
        <v>0</v>
      </c>
      <c r="AD12" s="1040">
        <v>0</v>
      </c>
      <c r="AE12" s="1040">
        <v>0</v>
      </c>
      <c r="AF12" s="1040">
        <v>0</v>
      </c>
      <c r="AG12" s="1040">
        <v>-1.151</v>
      </c>
      <c r="AH12" s="1040">
        <v>0.08</v>
      </c>
      <c r="AI12" s="1040">
        <v>0</v>
      </c>
      <c r="AJ12" s="1040">
        <v>0</v>
      </c>
      <c r="AK12" s="1202">
        <v>0</v>
      </c>
      <c r="AL12" s="1202">
        <v>1.635</v>
      </c>
      <c r="AM12" s="1202">
        <v>0</v>
      </c>
      <c r="AN12" s="1202">
        <v>0.1</v>
      </c>
      <c r="AO12" s="712">
        <v>0</v>
      </c>
      <c r="AP12" s="1202">
        <v>0</v>
      </c>
      <c r="AQ12" s="1213">
        <v>0</v>
      </c>
      <c r="AR12" s="1202">
        <v>0</v>
      </c>
      <c r="AS12" s="1202">
        <v>0</v>
      </c>
      <c r="AT12" s="1200">
        <v>1.71</v>
      </c>
      <c r="AU12" s="1040">
        <v>0</v>
      </c>
      <c r="AV12" s="1202">
        <v>1E-3</v>
      </c>
      <c r="AW12" s="1202">
        <v>0</v>
      </c>
      <c r="AX12" s="1202">
        <v>0</v>
      </c>
      <c r="AY12" s="712">
        <v>-2.77</v>
      </c>
      <c r="AZ12" s="1202">
        <v>0</v>
      </c>
      <c r="BA12" s="712">
        <v>0</v>
      </c>
      <c r="BB12" s="1202">
        <v>0</v>
      </c>
      <c r="BC12" s="1202">
        <v>0</v>
      </c>
      <c r="BD12" s="1202">
        <v>0</v>
      </c>
      <c r="BE12" s="712">
        <v>0.1</v>
      </c>
      <c r="BF12" s="712">
        <v>0</v>
      </c>
      <c r="BG12" s="712">
        <v>0</v>
      </c>
      <c r="BH12" s="1171">
        <v>-5.069</v>
      </c>
      <c r="BI12" s="1202">
        <v>-0.09</v>
      </c>
      <c r="BJ12" s="1193">
        <v>0.03</v>
      </c>
    </row>
    <row r="13" spans="1:62" x14ac:dyDescent="0.35">
      <c r="A13" s="1180">
        <v>2029</v>
      </c>
      <c r="B13" s="1182">
        <f t="shared" si="1"/>
        <v>0</v>
      </c>
      <c r="C13" s="1182">
        <f t="shared" si="2"/>
        <v>0</v>
      </c>
      <c r="D13" s="1182">
        <f t="shared" si="3"/>
        <v>3.3000000000000002E-2</v>
      </c>
      <c r="E13" s="1182">
        <f t="shared" si="4"/>
        <v>1.7130000000000001</v>
      </c>
      <c r="F13" s="1182">
        <f t="shared" si="11"/>
        <v>0</v>
      </c>
      <c r="G13" s="1182">
        <f t="shared" si="5"/>
        <v>-5.218</v>
      </c>
      <c r="H13" s="1182">
        <f t="shared" si="6"/>
        <v>-1.964</v>
      </c>
      <c r="I13" s="1182">
        <f t="shared" si="7"/>
        <v>0</v>
      </c>
      <c r="J13" s="1182">
        <f t="shared" si="8"/>
        <v>-1.7000000000000001E-2</v>
      </c>
      <c r="K13" s="1182">
        <f t="shared" si="9"/>
        <v>1</v>
      </c>
      <c r="L13" s="1186"/>
      <c r="M13" s="1182">
        <f t="shared" si="0"/>
        <v>-2.75</v>
      </c>
      <c r="N13" s="1182">
        <f t="shared" si="10"/>
        <v>0</v>
      </c>
      <c r="O13" s="1209">
        <v>0.3</v>
      </c>
      <c r="P13" s="1203">
        <v>1.08</v>
      </c>
      <c r="Q13" s="1202">
        <v>0</v>
      </c>
      <c r="R13" s="1211">
        <v>0.63300000000000001</v>
      </c>
      <c r="S13" s="1170">
        <v>0</v>
      </c>
      <c r="T13" s="1040">
        <v>3.3000000000000002E-2</v>
      </c>
      <c r="U13" s="1202">
        <v>0</v>
      </c>
      <c r="V13" s="1040">
        <v>0</v>
      </c>
      <c r="W13" s="712">
        <v>0</v>
      </c>
      <c r="X13" s="712">
        <v>0</v>
      </c>
      <c r="Y13" s="1202">
        <v>0</v>
      </c>
      <c r="Z13" s="1202">
        <v>0</v>
      </c>
      <c r="AA13" s="1202">
        <v>0</v>
      </c>
      <c r="AB13" s="1202">
        <v>0</v>
      </c>
      <c r="AC13" s="1040">
        <v>0</v>
      </c>
      <c r="AD13" s="1040">
        <v>0</v>
      </c>
      <c r="AE13" s="1040">
        <v>0</v>
      </c>
      <c r="AF13" s="1040">
        <v>0</v>
      </c>
      <c r="AG13" s="1202">
        <v>-2.044</v>
      </c>
      <c r="AH13" s="1040">
        <v>0.08</v>
      </c>
      <c r="AI13" s="1040">
        <v>0</v>
      </c>
      <c r="AJ13" s="1174">
        <v>0</v>
      </c>
      <c r="AK13" s="1202">
        <v>0</v>
      </c>
      <c r="AL13" s="1202">
        <v>-1.7000000000000001E-2</v>
      </c>
      <c r="AM13" s="1202">
        <v>0</v>
      </c>
      <c r="AN13" s="1202">
        <v>0</v>
      </c>
      <c r="AO13" s="712">
        <v>0</v>
      </c>
      <c r="AP13" s="1202">
        <v>0</v>
      </c>
      <c r="AQ13" s="1213">
        <v>0</v>
      </c>
      <c r="AR13" s="1202">
        <v>0</v>
      </c>
      <c r="AS13" s="1202">
        <v>0</v>
      </c>
      <c r="AT13" s="1200">
        <v>1</v>
      </c>
      <c r="AU13" s="1040">
        <v>0</v>
      </c>
      <c r="AV13" s="1202">
        <v>0</v>
      </c>
      <c r="AW13" s="1202">
        <v>0</v>
      </c>
      <c r="AX13" s="1202">
        <v>0</v>
      </c>
      <c r="AY13" s="712">
        <v>-2.75</v>
      </c>
      <c r="AZ13" s="1202">
        <v>0</v>
      </c>
      <c r="BA13" s="712">
        <v>0</v>
      </c>
      <c r="BB13" s="1202">
        <v>0</v>
      </c>
      <c r="BC13" s="1202">
        <v>0</v>
      </c>
      <c r="BD13" s="1202">
        <v>0</v>
      </c>
      <c r="BE13" s="712">
        <v>0</v>
      </c>
      <c r="BF13" s="1175">
        <v>0</v>
      </c>
      <c r="BG13" s="712">
        <v>0</v>
      </c>
      <c r="BH13" s="1171">
        <v>-5.1180000000000003</v>
      </c>
      <c r="BI13" s="1202">
        <v>-0.1</v>
      </c>
      <c r="BJ13" s="1193">
        <v>0.01</v>
      </c>
    </row>
    <row r="14" spans="1:62" x14ac:dyDescent="0.35">
      <c r="A14" s="1180">
        <v>2030</v>
      </c>
      <c r="B14" s="1182">
        <f t="shared" si="1"/>
        <v>0</v>
      </c>
      <c r="C14" s="1182">
        <f t="shared" si="2"/>
        <v>0</v>
      </c>
      <c r="D14" s="1182">
        <f t="shared" si="3"/>
        <v>3.3000000000000002E-2</v>
      </c>
      <c r="E14" s="1182">
        <f t="shared" si="4"/>
        <v>1.8130000000000002</v>
      </c>
      <c r="F14" s="1182">
        <f t="shared" si="11"/>
        <v>0</v>
      </c>
      <c r="G14" s="1182">
        <f t="shared" si="5"/>
        <v>-5.9420000000000002</v>
      </c>
      <c r="H14" s="1182">
        <f t="shared" si="6"/>
        <v>-2.0210000000000004</v>
      </c>
      <c r="I14" s="1182">
        <f t="shared" si="7"/>
        <v>0</v>
      </c>
      <c r="J14" s="1182">
        <f t="shared" si="8"/>
        <v>-1.9E-2</v>
      </c>
      <c r="K14" s="1182">
        <f t="shared" si="9"/>
        <v>0.8</v>
      </c>
      <c r="L14" s="1186"/>
      <c r="M14" s="1182">
        <f t="shared" si="0"/>
        <v>-8.1189999999999998</v>
      </c>
      <c r="N14" s="1182">
        <f t="shared" si="10"/>
        <v>0</v>
      </c>
      <c r="O14" s="1209">
        <v>0.3</v>
      </c>
      <c r="P14" s="1203">
        <v>1.1800000000000002</v>
      </c>
      <c r="Q14" s="1202">
        <v>0</v>
      </c>
      <c r="R14" s="1211">
        <v>0.63300000000000001</v>
      </c>
      <c r="S14" s="1170">
        <v>0</v>
      </c>
      <c r="T14" s="1040">
        <v>3.3000000000000002E-2</v>
      </c>
      <c r="U14" s="1202">
        <v>0</v>
      </c>
      <c r="V14" s="1040">
        <v>0</v>
      </c>
      <c r="W14" s="712">
        <v>0</v>
      </c>
      <c r="X14" s="712">
        <v>0</v>
      </c>
      <c r="Y14" s="1202">
        <v>0</v>
      </c>
      <c r="Z14" s="1202">
        <v>0</v>
      </c>
      <c r="AA14" s="1202">
        <v>0</v>
      </c>
      <c r="AB14" s="1202">
        <v>0</v>
      </c>
      <c r="AC14" s="1040">
        <v>0</v>
      </c>
      <c r="AD14" s="1211">
        <v>0</v>
      </c>
      <c r="AE14" s="1202">
        <v>0</v>
      </c>
      <c r="AF14" s="1040">
        <v>0</v>
      </c>
      <c r="AG14" s="1040">
        <v>-2.1110000000000002</v>
      </c>
      <c r="AH14" s="1040">
        <v>0.09</v>
      </c>
      <c r="AI14" s="1040">
        <v>0</v>
      </c>
      <c r="AJ14" s="1176">
        <v>0</v>
      </c>
      <c r="AK14" s="1202">
        <v>0</v>
      </c>
      <c r="AL14" s="1202">
        <v>-1.9E-2</v>
      </c>
      <c r="AM14" s="1202">
        <v>0</v>
      </c>
      <c r="AN14" s="1202">
        <v>0</v>
      </c>
      <c r="AO14" s="712">
        <v>0</v>
      </c>
      <c r="AP14" s="1202">
        <v>0</v>
      </c>
      <c r="AQ14" s="1213">
        <v>0</v>
      </c>
      <c r="AR14" s="1202">
        <v>0</v>
      </c>
      <c r="AS14" s="1202">
        <v>0</v>
      </c>
      <c r="AT14" s="712">
        <v>0.8</v>
      </c>
      <c r="AU14" s="1040">
        <v>-5.4089999999999998</v>
      </c>
      <c r="AV14" s="1202">
        <v>0</v>
      </c>
      <c r="AW14" s="1202">
        <v>0</v>
      </c>
      <c r="AX14" s="1202">
        <v>0</v>
      </c>
      <c r="AY14" s="712">
        <v>-2.71</v>
      </c>
      <c r="AZ14" s="1202">
        <v>0</v>
      </c>
      <c r="BA14" s="712">
        <v>0</v>
      </c>
      <c r="BB14" s="1202">
        <v>0</v>
      </c>
      <c r="BC14" s="1202">
        <v>0</v>
      </c>
      <c r="BD14" s="1202">
        <v>0</v>
      </c>
      <c r="BE14" s="1202">
        <v>0</v>
      </c>
      <c r="BF14" s="712">
        <v>0</v>
      </c>
      <c r="BG14" s="712">
        <v>0</v>
      </c>
      <c r="BH14" s="1040">
        <v>-5.8319999999999999</v>
      </c>
      <c r="BI14" s="1202">
        <v>-0.11</v>
      </c>
      <c r="BJ14" s="1192">
        <v>0.01</v>
      </c>
    </row>
    <row r="15" spans="1:62" ht="17.25" customHeight="1" x14ac:dyDescent="0.35">
      <c r="A15" s="1180">
        <v>2031</v>
      </c>
      <c r="B15" s="1182">
        <f t="shared" si="1"/>
        <v>0</v>
      </c>
      <c r="C15" s="1182">
        <f t="shared" si="2"/>
        <v>0</v>
      </c>
      <c r="D15" s="1182">
        <f t="shared" si="3"/>
        <v>0</v>
      </c>
      <c r="E15" s="1182">
        <f t="shared" si="4"/>
        <v>1.8230000000000002</v>
      </c>
      <c r="F15" s="1182">
        <f t="shared" si="11"/>
        <v>0</v>
      </c>
      <c r="G15" s="1182">
        <f t="shared" si="5"/>
        <v>-7.7250000000000005</v>
      </c>
      <c r="H15" s="1182">
        <f t="shared" si="6"/>
        <v>-2.4630000000000001</v>
      </c>
      <c r="I15" s="1182">
        <f t="shared" si="7"/>
        <v>0</v>
      </c>
      <c r="J15" s="1182">
        <f t="shared" si="8"/>
        <v>-1.9E-2</v>
      </c>
      <c r="K15" s="1182">
        <f t="shared" si="9"/>
        <v>0</v>
      </c>
      <c r="L15" s="1186"/>
      <c r="M15" s="1182">
        <f t="shared" si="0"/>
        <v>-3.0390000000000001</v>
      </c>
      <c r="N15" s="1182">
        <f t="shared" si="10"/>
        <v>0</v>
      </c>
      <c r="O15" s="1209">
        <v>0.3</v>
      </c>
      <c r="P15" s="1203">
        <v>1.1900000000000002</v>
      </c>
      <c r="Q15" s="1202">
        <v>0</v>
      </c>
      <c r="R15" s="1211">
        <v>0.63300000000000001</v>
      </c>
      <c r="S15" s="1170">
        <v>0</v>
      </c>
      <c r="T15" s="712">
        <v>0</v>
      </c>
      <c r="U15" s="1202">
        <v>0</v>
      </c>
      <c r="V15" s="1202">
        <v>0</v>
      </c>
      <c r="W15" s="712">
        <v>0</v>
      </c>
      <c r="X15" s="712">
        <v>0</v>
      </c>
      <c r="Y15" s="1202">
        <v>0</v>
      </c>
      <c r="Z15" s="1202">
        <v>0</v>
      </c>
      <c r="AA15" s="1202">
        <v>0</v>
      </c>
      <c r="AB15" s="1202">
        <v>0</v>
      </c>
      <c r="AC15" s="1040">
        <v>0</v>
      </c>
      <c r="AD15" s="1202">
        <v>0</v>
      </c>
      <c r="AE15" s="1040">
        <v>0</v>
      </c>
      <c r="AF15" s="1040">
        <v>0</v>
      </c>
      <c r="AG15" s="1040">
        <v>-2.5529999999999999</v>
      </c>
      <c r="AH15" s="1040">
        <v>0.09</v>
      </c>
      <c r="AI15" s="1040">
        <v>0</v>
      </c>
      <c r="AJ15" s="1177">
        <v>0</v>
      </c>
      <c r="AK15" s="1202">
        <v>0</v>
      </c>
      <c r="AL15" s="1202">
        <v>-1.9E-2</v>
      </c>
      <c r="AM15" s="1202">
        <v>0</v>
      </c>
      <c r="AN15" s="1202">
        <v>0</v>
      </c>
      <c r="AO15" s="712">
        <v>0</v>
      </c>
      <c r="AP15" s="1202">
        <v>0</v>
      </c>
      <c r="AQ15" s="1213">
        <v>0</v>
      </c>
      <c r="AR15" s="1202">
        <v>0</v>
      </c>
      <c r="AS15" s="1202">
        <v>0</v>
      </c>
      <c r="AT15" s="712">
        <v>0</v>
      </c>
      <c r="AU15" s="1040">
        <v>-0.26900000000000002</v>
      </c>
      <c r="AV15" s="1202">
        <v>0</v>
      </c>
      <c r="AW15" s="1202">
        <v>0</v>
      </c>
      <c r="AX15" s="1202">
        <v>0</v>
      </c>
      <c r="AY15" s="712">
        <v>-2.77</v>
      </c>
      <c r="AZ15" s="1202">
        <v>0</v>
      </c>
      <c r="BA15" s="712">
        <v>0</v>
      </c>
      <c r="BB15" s="1202">
        <v>0</v>
      </c>
      <c r="BC15" s="1202">
        <v>0</v>
      </c>
      <c r="BD15" s="1202">
        <v>0</v>
      </c>
      <c r="BE15" s="1202">
        <v>0</v>
      </c>
      <c r="BF15" s="712">
        <v>0</v>
      </c>
      <c r="BG15" s="712">
        <v>0</v>
      </c>
      <c r="BH15" s="1040">
        <v>-5.4350000000000005</v>
      </c>
      <c r="BI15" s="1202">
        <v>-2.29</v>
      </c>
      <c r="BJ15" s="1192">
        <v>0</v>
      </c>
    </row>
    <row r="16" spans="1:62" x14ac:dyDescent="0.35">
      <c r="A16" s="1181" t="s">
        <v>312</v>
      </c>
      <c r="B16" s="1181">
        <f>SUM(B5:B15)</f>
        <v>412.15299999999996</v>
      </c>
      <c r="C16" s="1181">
        <f>SUM(C5:C15)</f>
        <v>205.79999999999998</v>
      </c>
      <c r="D16" s="1181">
        <f>SUM(D5:D15)</f>
        <v>22.711000000000006</v>
      </c>
      <c r="E16" s="1181">
        <f t="shared" ref="E16:H16" si="12">SUM(E5:E15)</f>
        <v>35.466000000000015</v>
      </c>
      <c r="F16" s="1181">
        <f t="shared" si="12"/>
        <v>91.563000000000002</v>
      </c>
      <c r="G16" s="1182">
        <f t="shared" si="5"/>
        <v>174.17</v>
      </c>
      <c r="H16" s="1181">
        <f t="shared" si="12"/>
        <v>21.600999999999996</v>
      </c>
      <c r="I16" s="1186">
        <f t="shared" ref="I16" si="13">SUM(I5:I15)</f>
        <v>362.04999999999995</v>
      </c>
      <c r="J16" s="1186">
        <f t="shared" ref="J16" si="14">SUM(J5:J15)</f>
        <v>169.16899999999998</v>
      </c>
      <c r="K16" s="1182">
        <f t="shared" si="9"/>
        <v>112.72</v>
      </c>
      <c r="L16" s="1186">
        <f>SUM(L5:L15)</f>
        <v>25.75</v>
      </c>
      <c r="M16" s="1182">
        <f t="shared" si="0"/>
        <v>85.197999999999993</v>
      </c>
      <c r="N16" s="1182">
        <f>AK16</f>
        <v>8.5</v>
      </c>
      <c r="O16" s="1210">
        <f t="shared" ref="O16:BI16" si="15">SUM(O5:O15)</f>
        <v>109.3</v>
      </c>
      <c r="P16" s="1202">
        <f t="shared" si="15"/>
        <v>25.819999999999997</v>
      </c>
      <c r="Q16" s="1202">
        <f t="shared" si="15"/>
        <v>412.15299999999996</v>
      </c>
      <c r="R16" s="1202">
        <f t="shared" si="15"/>
        <v>5.774</v>
      </c>
      <c r="S16" s="1202">
        <f t="shared" si="15"/>
        <v>3.8719999999999999</v>
      </c>
      <c r="T16" s="1202">
        <f t="shared" si="15"/>
        <v>22.711000000000006</v>
      </c>
      <c r="U16" s="1202">
        <f t="shared" si="15"/>
        <v>41.599999999999994</v>
      </c>
      <c r="V16" s="1202">
        <f t="shared" si="15"/>
        <v>44.947999999999993</v>
      </c>
      <c r="W16" s="1202">
        <f t="shared" si="15"/>
        <v>5</v>
      </c>
      <c r="X16" s="1202">
        <f t="shared" si="15"/>
        <v>1.4440000000000002</v>
      </c>
      <c r="Y16" s="1202">
        <f t="shared" si="15"/>
        <v>0.2</v>
      </c>
      <c r="Z16" s="1202">
        <f t="shared" si="15"/>
        <v>45.4</v>
      </c>
      <c r="AA16" s="1202">
        <f t="shared" si="15"/>
        <v>35.5</v>
      </c>
      <c r="AB16" s="1202">
        <f t="shared" si="15"/>
        <v>124.7</v>
      </c>
      <c r="AC16" s="1202">
        <f t="shared" si="15"/>
        <v>28</v>
      </c>
      <c r="AD16" s="1202">
        <f t="shared" si="15"/>
        <v>9.100000000000022E-2</v>
      </c>
      <c r="AE16" s="1202">
        <f t="shared" si="15"/>
        <v>22.810000000000002</v>
      </c>
      <c r="AF16" s="1202">
        <f t="shared" si="15"/>
        <v>1.42</v>
      </c>
      <c r="AG16" s="1202">
        <f t="shared" si="15"/>
        <v>20.662999999999997</v>
      </c>
      <c r="AH16" s="1202">
        <f t="shared" si="15"/>
        <v>0.86999999999999988</v>
      </c>
      <c r="AI16" s="1202">
        <f t="shared" si="15"/>
        <v>6.8000000000000005E-2</v>
      </c>
      <c r="AJ16" s="1202">
        <f t="shared" si="15"/>
        <v>362.04999999999995</v>
      </c>
      <c r="AK16" s="1202">
        <f t="shared" ref="AK16:AO16" si="16">SUM(AK5:AK15)</f>
        <v>8.5</v>
      </c>
      <c r="AL16" s="1202">
        <f t="shared" si="16"/>
        <v>169.16899999999998</v>
      </c>
      <c r="AM16" s="1184">
        <f t="shared" si="16"/>
        <v>0.79700000000000004</v>
      </c>
      <c r="AN16" s="1202">
        <f t="shared" si="16"/>
        <v>8.6</v>
      </c>
      <c r="AO16" s="1202">
        <f t="shared" si="16"/>
        <v>3.2000000000000006</v>
      </c>
      <c r="AP16" s="1202">
        <f t="shared" si="15"/>
        <v>2.8000000000000003</v>
      </c>
      <c r="AQ16" s="1187">
        <f>SUM(AQ5:AQ15)</f>
        <v>28</v>
      </c>
      <c r="AR16" s="1202">
        <f>SUM(AR5:AR15)</f>
        <v>14.899999999999999</v>
      </c>
      <c r="AS16" s="1202">
        <f>SUM(AS5:AS15)</f>
        <v>3.8730000000000002</v>
      </c>
      <c r="AT16" s="1202">
        <f t="shared" ref="AT16" si="17">SUM(AT5:AT15)</f>
        <v>50.54999999999999</v>
      </c>
      <c r="AU16" s="1202">
        <f t="shared" si="15"/>
        <v>-5.6779999999999999</v>
      </c>
      <c r="AV16" s="1202">
        <f t="shared" si="15"/>
        <v>8.177999999999999</v>
      </c>
      <c r="AW16" s="1202">
        <f t="shared" si="15"/>
        <v>16.667999999999999</v>
      </c>
      <c r="AX16" s="1202">
        <f t="shared" si="15"/>
        <v>9.9</v>
      </c>
      <c r="AY16" s="1202">
        <f t="shared" si="15"/>
        <v>-25.860000000000003</v>
      </c>
      <c r="AZ16" s="1202">
        <f t="shared" si="15"/>
        <v>81.99</v>
      </c>
      <c r="BA16" s="1202">
        <v>0</v>
      </c>
      <c r="BB16" s="1202">
        <f t="shared" si="15"/>
        <v>24</v>
      </c>
      <c r="BC16" s="1202">
        <f t="shared" si="15"/>
        <v>7.25</v>
      </c>
      <c r="BD16" s="1202">
        <f t="shared" si="15"/>
        <v>49.8</v>
      </c>
      <c r="BE16" s="1202">
        <f t="shared" si="15"/>
        <v>9.02</v>
      </c>
      <c r="BF16" s="1202">
        <f t="shared" si="15"/>
        <v>6.2439999999999998</v>
      </c>
      <c r="BG16" s="1202">
        <f t="shared" si="15"/>
        <v>10.218</v>
      </c>
      <c r="BH16" s="1202">
        <f t="shared" si="15"/>
        <v>50.203999999999979</v>
      </c>
      <c r="BI16" s="1202">
        <f t="shared" si="15"/>
        <v>24.684000000000005</v>
      </c>
      <c r="BJ16" s="1194">
        <f>SUM(BJ5:BJ15)</f>
        <v>9.5399999999999991</v>
      </c>
    </row>
    <row r="17" spans="2:61" x14ac:dyDescent="0.35">
      <c r="R17" s="1211"/>
      <c r="S17" s="1211"/>
      <c r="W17" s="1211"/>
      <c r="X17" s="1211"/>
      <c r="AE17" s="1211"/>
      <c r="AF17" s="1211"/>
      <c r="AV17" s="1211"/>
      <c r="AW17" s="1211"/>
      <c r="AX17" s="1211"/>
      <c r="AY17" s="1211"/>
      <c r="AZ17" s="1211"/>
      <c r="BA17" s="1211"/>
      <c r="BC17" s="1211"/>
      <c r="BE17" s="1211"/>
      <c r="BF17" s="1211"/>
      <c r="BG17" s="1211"/>
    </row>
    <row r="18" spans="2:61" x14ac:dyDescent="0.35">
      <c r="R18" s="1211"/>
      <c r="S18" s="1211"/>
      <c r="W18" s="1211"/>
      <c r="X18" s="1211"/>
      <c r="AE18" s="1211"/>
      <c r="AF18" s="1211"/>
      <c r="AV18" s="1211"/>
      <c r="AW18" s="1211"/>
      <c r="AX18" s="1211"/>
      <c r="AY18" s="1211"/>
      <c r="AZ18" s="1211"/>
      <c r="BA18" s="1211"/>
      <c r="BC18" s="1211" t="s">
        <v>727</v>
      </c>
      <c r="BD18" s="1211" t="s">
        <v>727</v>
      </c>
      <c r="BE18" s="1211"/>
      <c r="BF18" s="1211" t="s">
        <v>727</v>
      </c>
      <c r="BG18" s="1211" t="s">
        <v>727</v>
      </c>
      <c r="BI18" s="1211" t="s">
        <v>727</v>
      </c>
    </row>
    <row r="19" spans="2:61" x14ac:dyDescent="0.35">
      <c r="B19" s="963"/>
      <c r="C19" s="963"/>
      <c r="D19" s="963"/>
      <c r="E19" s="963"/>
      <c r="F19" s="963"/>
      <c r="H19" s="963"/>
      <c r="I19" s="963"/>
      <c r="J19" s="963"/>
      <c r="K19" s="963"/>
      <c r="M19" s="963"/>
      <c r="N19" s="963"/>
      <c r="R19" s="1211"/>
      <c r="S19" s="1211"/>
      <c r="W19" s="1211"/>
      <c r="X19" s="1211"/>
      <c r="AE19" s="1211"/>
      <c r="AF19" s="1211"/>
      <c r="AV19" s="1211"/>
      <c r="AW19" s="1211"/>
      <c r="AX19" s="1211"/>
      <c r="AY19" s="1211"/>
      <c r="AZ19" s="1211"/>
      <c r="BA19" s="1211"/>
      <c r="BC19" s="1211"/>
      <c r="BD19" t="s">
        <v>728</v>
      </c>
      <c r="BE19" s="1211"/>
      <c r="BF19" s="1211"/>
      <c r="BG19" s="1211"/>
    </row>
    <row r="20" spans="2:61" x14ac:dyDescent="0.35">
      <c r="R20" s="1211"/>
      <c r="S20" s="1211"/>
      <c r="W20" s="1211"/>
      <c r="X20" s="1211"/>
      <c r="AE20" s="1211"/>
      <c r="AF20" s="1211"/>
      <c r="AV20" s="1211"/>
      <c r="AW20" s="1211"/>
      <c r="AX20" s="1211"/>
      <c r="AY20" s="1211"/>
      <c r="AZ20" s="1211"/>
      <c r="BA20" s="1211"/>
      <c r="BC20" s="1211"/>
      <c r="BE20" s="1211"/>
      <c r="BF20" s="1211"/>
      <c r="BG20" s="1211"/>
    </row>
    <row r="21" spans="2:61" x14ac:dyDescent="0.35">
      <c r="R21" s="1211"/>
      <c r="S21" s="1211"/>
      <c r="W21" s="1211"/>
      <c r="X21" s="1211"/>
      <c r="AE21" s="1211"/>
      <c r="AF21" s="1211"/>
      <c r="AV21" s="1211"/>
      <c r="AW21" s="1211"/>
      <c r="AX21" s="1211"/>
      <c r="AY21" s="1211"/>
      <c r="AZ21" s="1211"/>
      <c r="BA21" s="1211"/>
      <c r="BC21" s="1211"/>
      <c r="BE21" s="1211"/>
      <c r="BF21" s="1211"/>
      <c r="BG21" s="1211"/>
    </row>
    <row r="22" spans="2:61" x14ac:dyDescent="0.35">
      <c r="B22" s="963"/>
      <c r="R22" s="1211"/>
      <c r="S22" s="1211"/>
      <c r="W22" s="1211"/>
      <c r="X22" s="1211"/>
      <c r="AE22" s="1211"/>
      <c r="AF22" s="1211"/>
      <c r="AV22" s="1211"/>
      <c r="AW22" s="1211"/>
      <c r="AX22" s="1211"/>
      <c r="AY22" s="1211"/>
      <c r="AZ22" s="1211"/>
      <c r="BA22" s="1211"/>
      <c r="BC22" s="1211"/>
      <c r="BE22" s="1211"/>
      <c r="BF22" s="1211"/>
      <c r="BG22" s="1211"/>
    </row>
    <row r="23" spans="2:61" x14ac:dyDescent="0.35">
      <c r="B23" s="963"/>
      <c r="R23" s="1211"/>
      <c r="S23" s="1211"/>
      <c r="W23" s="1211"/>
      <c r="X23" s="1211"/>
      <c r="AE23" s="1211"/>
      <c r="AF23" s="1211"/>
      <c r="AV23" s="1211"/>
      <c r="AW23" s="1211"/>
      <c r="AX23" s="1211"/>
      <c r="AY23" s="1211"/>
      <c r="AZ23" s="1211"/>
      <c r="BA23" s="1211"/>
      <c r="BC23" s="1211"/>
      <c r="BE23" s="1211"/>
      <c r="BF23" s="1211"/>
      <c r="BG23" s="1211"/>
    </row>
    <row r="24" spans="2:61" x14ac:dyDescent="0.35">
      <c r="B24" s="963"/>
      <c r="R24" s="1211"/>
      <c r="S24" s="1211"/>
      <c r="W24" s="1211"/>
      <c r="X24" s="1211"/>
      <c r="AE24" s="1211"/>
      <c r="AF24" s="1211"/>
      <c r="AV24" s="1211"/>
      <c r="AW24" s="1211"/>
      <c r="AX24" s="1211"/>
      <c r="AY24" s="1211"/>
      <c r="AZ24" s="1211"/>
      <c r="BA24" s="1211"/>
      <c r="BC24" s="1211"/>
      <c r="BE24" s="1211"/>
      <c r="BF24" s="1211"/>
      <c r="BG24" s="1211"/>
    </row>
    <row r="25" spans="2:61" x14ac:dyDescent="0.35">
      <c r="B25" s="963"/>
      <c r="R25" s="1211"/>
      <c r="S25" s="1211"/>
      <c r="W25" s="1211"/>
      <c r="X25" s="1211"/>
      <c r="AE25" s="1211"/>
      <c r="AF25" s="1211"/>
      <c r="AV25" s="1211"/>
      <c r="AW25" s="1211"/>
      <c r="AX25" s="1211"/>
      <c r="AY25" s="1211"/>
      <c r="AZ25" s="1211"/>
      <c r="BA25" s="1211"/>
      <c r="BC25" s="1211"/>
      <c r="BE25" s="1211"/>
      <c r="BF25" s="1211"/>
      <c r="BG25" s="1211"/>
    </row>
    <row r="26" spans="2:61" x14ac:dyDescent="0.35">
      <c r="B26" s="963"/>
      <c r="R26" s="1211"/>
      <c r="S26" s="1211"/>
      <c r="W26" s="1211"/>
      <c r="X26" s="1211"/>
      <c r="AE26" s="1211"/>
      <c r="AF26" s="1211"/>
      <c r="AV26" s="1211"/>
      <c r="AW26" s="1211"/>
      <c r="AX26" s="1211"/>
      <c r="AY26" s="1211"/>
      <c r="AZ26" s="1211"/>
      <c r="BA26" s="1211"/>
      <c r="BC26" s="1211"/>
      <c r="BE26" s="1211"/>
      <c r="BF26" s="1211"/>
      <c r="BG26" s="1211"/>
    </row>
    <row r="27" spans="2:61" x14ac:dyDescent="0.35">
      <c r="B27" s="963"/>
      <c r="R27" s="1211"/>
      <c r="S27" s="1211"/>
      <c r="W27" s="1211"/>
      <c r="X27" s="1211"/>
      <c r="AE27" s="1211"/>
      <c r="AF27" s="1211"/>
      <c r="AV27" s="1211"/>
      <c r="AW27" s="1211"/>
      <c r="AX27" s="1211"/>
      <c r="AY27" s="1211"/>
      <c r="AZ27" s="1211"/>
      <c r="BA27" s="1211"/>
      <c r="BC27" s="1211"/>
      <c r="BE27" s="1211"/>
      <c r="BF27" s="1211"/>
      <c r="BG27" s="1211"/>
    </row>
    <row r="28" spans="2:61" x14ac:dyDescent="0.35">
      <c r="B28" s="963"/>
      <c r="R28" s="1211"/>
      <c r="S28" s="1211"/>
      <c r="W28" s="1211"/>
      <c r="X28" s="1211"/>
      <c r="AE28" s="1211"/>
      <c r="AF28" s="1211"/>
      <c r="AV28" s="1211"/>
      <c r="AW28" s="1211"/>
      <c r="AX28" s="1211"/>
      <c r="AY28" s="1211"/>
      <c r="AZ28" s="1211"/>
      <c r="BA28" s="1211"/>
      <c r="BC28" s="1211"/>
      <c r="BE28" s="1211"/>
      <c r="BF28" s="1211"/>
      <c r="BG28" s="1211"/>
    </row>
    <row r="29" spans="2:61" x14ac:dyDescent="0.35">
      <c r="R29" s="1211"/>
      <c r="S29" s="1211"/>
      <c r="W29" s="1211"/>
      <c r="X29" s="1211"/>
      <c r="AE29" s="1211"/>
      <c r="AF29" s="1211"/>
      <c r="AV29" s="1211"/>
      <c r="AW29" s="1211"/>
      <c r="AX29" s="1211"/>
      <c r="AY29" s="1211"/>
      <c r="AZ29" s="1211"/>
      <c r="BA29" s="1211"/>
      <c r="BC29" s="1211"/>
      <c r="BE29" s="1211"/>
      <c r="BF29" s="1211"/>
      <c r="BG29" s="1211"/>
    </row>
    <row r="30" spans="2:61" x14ac:dyDescent="0.35">
      <c r="R30" s="1211"/>
      <c r="S30" s="1211"/>
      <c r="W30" s="1211"/>
      <c r="X30" s="1211"/>
      <c r="AE30" s="1211"/>
      <c r="AF30" s="1211"/>
      <c r="AV30" s="1211"/>
      <c r="AW30" s="1211"/>
      <c r="AX30" s="1211"/>
      <c r="AY30" s="1211"/>
      <c r="AZ30" s="1211"/>
      <c r="BA30" s="1211"/>
      <c r="BC30" s="1211"/>
      <c r="BE30" s="1211"/>
      <c r="BF30" s="1211"/>
      <c r="BG30" s="1211"/>
    </row>
    <row r="31" spans="2:61" x14ac:dyDescent="0.35">
      <c r="R31" s="1211"/>
      <c r="S31" s="1211"/>
      <c r="W31" s="1211"/>
      <c r="X31" s="1211"/>
      <c r="AE31" s="1211"/>
      <c r="AF31" s="1211"/>
      <c r="AV31" s="1211"/>
      <c r="AW31" s="1211"/>
      <c r="AX31" s="1211"/>
      <c r="AY31" s="1211"/>
      <c r="AZ31" s="1211"/>
      <c r="BA31" s="1211"/>
      <c r="BC31" s="1211"/>
      <c r="BE31" s="1211"/>
      <c r="BF31" s="1211"/>
      <c r="BG31" s="1211"/>
    </row>
    <row r="32" spans="2:61" x14ac:dyDescent="0.35">
      <c r="R32" s="1211"/>
      <c r="S32" s="1211"/>
      <c r="W32" s="1211"/>
      <c r="X32" s="1211"/>
      <c r="AE32" s="1211"/>
      <c r="AF32" s="1211"/>
      <c r="AV32" s="1211"/>
      <c r="AW32" s="1211"/>
      <c r="AX32" s="1211"/>
      <c r="AY32" s="1211"/>
      <c r="AZ32" s="1211"/>
      <c r="BA32" s="1211"/>
      <c r="BC32" s="1211"/>
      <c r="BE32" s="1211"/>
      <c r="BF32" s="1211"/>
      <c r="BG32" s="1211"/>
    </row>
    <row r="33" spans="18:59" x14ac:dyDescent="0.35">
      <c r="R33" s="1211"/>
      <c r="S33" s="1211"/>
      <c r="W33" s="1211"/>
      <c r="X33" s="1211"/>
      <c r="AE33" s="1211"/>
      <c r="AF33" s="1211"/>
      <c r="AV33" s="1211"/>
      <c r="AW33" s="1211"/>
      <c r="AX33" s="1211"/>
      <c r="AY33" s="1211"/>
      <c r="AZ33" s="1211"/>
      <c r="BA33" s="1211"/>
      <c r="BC33" s="1211"/>
      <c r="BE33" s="1211"/>
      <c r="BF33" s="1211"/>
      <c r="BG33" s="1211"/>
    </row>
    <row r="34" spans="18:59" x14ac:dyDescent="0.35">
      <c r="R34" s="1211"/>
      <c r="S34" s="1211"/>
      <c r="W34" s="1211"/>
      <c r="X34" s="1211"/>
      <c r="AE34" s="1211"/>
      <c r="AF34" s="1211"/>
      <c r="AV34" s="1211"/>
      <c r="AW34" s="1211"/>
      <c r="AX34" s="1211"/>
      <c r="AY34" s="1211"/>
      <c r="AZ34" s="1211"/>
      <c r="BA34" s="1211"/>
      <c r="BC34" s="1211"/>
      <c r="BE34" s="1211"/>
      <c r="BF34" s="1211"/>
      <c r="BG34" s="1211"/>
    </row>
    <row r="35" spans="18:59" x14ac:dyDescent="0.35">
      <c r="R35" s="1211"/>
      <c r="S35" s="1211"/>
      <c r="W35" s="1211"/>
      <c r="X35" s="1211"/>
      <c r="AE35" s="1211"/>
      <c r="AF35" s="1211"/>
      <c r="AV35" s="1211"/>
      <c r="AW35" s="1211"/>
      <c r="AX35" s="1211"/>
      <c r="AY35" s="1211"/>
      <c r="AZ35" s="1211"/>
      <c r="BA35" s="1211"/>
      <c r="BC35" s="1211"/>
      <c r="BE35" s="1211"/>
      <c r="BF35" s="1211"/>
      <c r="BG35" s="1211"/>
    </row>
    <row r="36" spans="18:59" x14ac:dyDescent="0.35">
      <c r="R36" s="1211"/>
      <c r="S36" s="1211"/>
      <c r="W36" s="1211"/>
      <c r="X36" s="1211"/>
      <c r="AE36" s="1211"/>
      <c r="AF36" s="1211"/>
      <c r="AV36" s="1211"/>
      <c r="AW36" s="1211"/>
      <c r="AX36" s="1211"/>
      <c r="AY36" s="1211"/>
      <c r="AZ36" s="1211"/>
      <c r="BA36" s="1211"/>
      <c r="BC36" s="1211"/>
      <c r="BE36" s="1211"/>
      <c r="BF36" s="1211"/>
      <c r="BG36" s="1211"/>
    </row>
    <row r="37" spans="18:59" x14ac:dyDescent="0.35">
      <c r="R37" s="1211"/>
      <c r="S37" s="1211"/>
      <c r="W37" s="1211"/>
      <c r="X37" s="1211"/>
      <c r="AE37" s="1211"/>
      <c r="AF37" s="1211"/>
      <c r="AV37" s="1211"/>
      <c r="AW37" s="1211"/>
      <c r="AX37" s="1211"/>
      <c r="AY37" s="1211"/>
      <c r="AZ37" s="1211"/>
      <c r="BA37" s="1211"/>
      <c r="BC37" s="1211"/>
      <c r="BE37" s="1211"/>
      <c r="BF37" s="1211"/>
      <c r="BG37" s="1211"/>
    </row>
    <row r="38" spans="18:59" x14ac:dyDescent="0.35">
      <c r="R38" s="1211"/>
      <c r="S38" s="1211"/>
      <c r="W38" s="1211"/>
      <c r="X38" s="1211"/>
      <c r="AE38" s="1211"/>
      <c r="AF38" s="1211"/>
      <c r="AV38" s="1211"/>
      <c r="AW38" s="1211"/>
      <c r="AX38" s="1211"/>
      <c r="AY38" s="1211"/>
      <c r="AZ38" s="1211"/>
      <c r="BA38" s="1211"/>
      <c r="BC38" s="1211"/>
      <c r="BE38" s="1211"/>
      <c r="BF38" s="1211"/>
      <c r="BG38" s="1211"/>
    </row>
    <row r="39" spans="18:59" x14ac:dyDescent="0.35">
      <c r="R39" s="1211"/>
      <c r="S39" s="1211"/>
      <c r="W39" s="1211"/>
      <c r="X39" s="1211"/>
      <c r="AE39" s="1211"/>
      <c r="AF39" s="1211"/>
      <c r="AV39" s="1211"/>
      <c r="AW39" s="1211"/>
      <c r="AX39" s="1211"/>
      <c r="AY39" s="1211"/>
      <c r="AZ39" s="1211"/>
      <c r="BA39" s="1211"/>
      <c r="BC39" s="1211"/>
      <c r="BE39" s="1211"/>
      <c r="BF39" s="1211"/>
      <c r="BG39" s="1211"/>
    </row>
    <row r="40" spans="18:59" x14ac:dyDescent="0.35">
      <c r="R40" s="1211"/>
      <c r="S40" s="1211"/>
      <c r="W40" s="1211"/>
      <c r="X40" s="1211"/>
      <c r="AE40" s="1211"/>
      <c r="AF40" s="1211"/>
      <c r="AV40" s="1211"/>
      <c r="AW40" s="1211"/>
      <c r="AX40" s="1211"/>
      <c r="AY40" s="1211"/>
      <c r="AZ40" s="1211"/>
      <c r="BA40" s="1211"/>
      <c r="BC40" s="1211"/>
      <c r="BE40" s="1211"/>
      <c r="BF40" s="1211"/>
      <c r="BG40" s="1211"/>
    </row>
    <row r="41" spans="18:59" x14ac:dyDescent="0.35">
      <c r="R41" s="1211"/>
      <c r="S41" s="1211"/>
      <c r="W41" s="1211"/>
      <c r="X41" s="1211"/>
      <c r="AE41" s="1211"/>
      <c r="AF41" s="1211"/>
      <c r="AV41" s="1211"/>
      <c r="AW41" s="1211"/>
      <c r="AX41" s="1211"/>
      <c r="AY41" s="1211"/>
      <c r="AZ41" s="1211"/>
      <c r="BA41" s="1211"/>
      <c r="BC41" s="1211"/>
      <c r="BE41" s="1211"/>
      <c r="BF41" s="1211"/>
      <c r="BG41" s="1211"/>
    </row>
    <row r="42" spans="18:59" x14ac:dyDescent="0.35">
      <c r="R42" s="1211"/>
      <c r="S42" s="1211"/>
      <c r="W42" s="1211"/>
      <c r="X42" s="1211"/>
      <c r="AE42" s="1211"/>
      <c r="AF42" s="1211"/>
      <c r="AV42" s="1211"/>
      <c r="AW42" s="1211"/>
      <c r="AX42" s="1211"/>
      <c r="AY42" s="1211"/>
      <c r="AZ42" s="1211"/>
      <c r="BA42" s="1211"/>
      <c r="BC42" s="1211"/>
      <c r="BE42" s="1211"/>
      <c r="BF42" s="1211"/>
      <c r="BG42" s="1211"/>
    </row>
    <row r="43" spans="18:59" x14ac:dyDescent="0.35">
      <c r="R43" s="1211"/>
      <c r="S43" s="1211"/>
      <c r="W43" s="1211"/>
      <c r="X43" s="1211"/>
      <c r="AE43" s="1211"/>
      <c r="AF43" s="1211"/>
      <c r="AV43" s="1211"/>
      <c r="AW43" s="1211"/>
      <c r="AX43" s="1211"/>
      <c r="AY43" s="1211"/>
      <c r="AZ43" s="1211"/>
      <c r="BA43" s="1211"/>
      <c r="BC43" s="1211"/>
      <c r="BE43" s="1211"/>
      <c r="BF43" s="1211"/>
      <c r="BG43" s="1211"/>
    </row>
    <row r="44" spans="18:59" x14ac:dyDescent="0.35">
      <c r="R44" s="1211"/>
      <c r="S44" s="1211"/>
      <c r="W44" s="1211"/>
      <c r="X44" s="1211"/>
      <c r="AE44" s="1211"/>
      <c r="AF44" s="1211"/>
      <c r="AV44" s="1211"/>
      <c r="AW44" s="1211"/>
      <c r="AX44" s="1211"/>
      <c r="AY44" s="1211"/>
      <c r="AZ44" s="1211"/>
      <c r="BA44" s="1211"/>
      <c r="BC44" s="1211"/>
      <c r="BE44" s="1211"/>
      <c r="BF44" s="1211"/>
      <c r="BG44" s="1211"/>
    </row>
    <row r="45" spans="18:59" x14ac:dyDescent="0.35">
      <c r="R45" s="1211"/>
      <c r="S45" s="1211"/>
      <c r="W45" s="1211"/>
      <c r="X45" s="1211"/>
      <c r="AE45" s="1211"/>
      <c r="AF45" s="1211"/>
      <c r="AV45" s="1211"/>
      <c r="AW45" s="1211"/>
      <c r="AX45" s="1211"/>
      <c r="AY45" s="1211"/>
      <c r="AZ45" s="1211"/>
      <c r="BA45" s="1211"/>
      <c r="BC45" s="1211"/>
      <c r="BE45" s="1211"/>
      <c r="BF45" s="1211"/>
      <c r="BG45" s="1211"/>
    </row>
    <row r="46" spans="18:59" x14ac:dyDescent="0.35">
      <c r="R46" s="1211"/>
      <c r="S46" s="1211"/>
      <c r="W46" s="1211"/>
      <c r="X46" s="1211"/>
      <c r="AE46" s="1211"/>
      <c r="AF46" s="1211"/>
      <c r="AV46" s="1211"/>
      <c r="AW46" s="1211"/>
      <c r="AX46" s="1211"/>
      <c r="AY46" s="1211"/>
      <c r="AZ46" s="1211"/>
      <c r="BA46" s="1211"/>
      <c r="BC46" s="1211"/>
      <c r="BE46" s="1211"/>
      <c r="BF46" s="1211"/>
      <c r="BG46" s="1211"/>
    </row>
    <row r="47" spans="18:59" x14ac:dyDescent="0.35">
      <c r="R47" s="1211"/>
      <c r="S47" s="1211"/>
      <c r="W47" s="1211"/>
      <c r="X47" s="1211"/>
      <c r="AE47" s="1211"/>
      <c r="AF47" s="1211"/>
      <c r="AV47" s="1211"/>
      <c r="AW47" s="1211"/>
      <c r="AX47" s="1211"/>
      <c r="AY47" s="1211"/>
      <c r="AZ47" s="1211"/>
      <c r="BA47" s="1211"/>
      <c r="BC47" s="1211"/>
      <c r="BE47" s="1211"/>
      <c r="BF47" s="1211"/>
      <c r="BG47" s="1211"/>
    </row>
    <row r="48" spans="18:59" x14ac:dyDescent="0.35">
      <c r="R48" s="1211"/>
      <c r="S48" s="1211"/>
      <c r="W48" s="1211"/>
      <c r="X48" s="1211"/>
      <c r="AE48" s="1211"/>
      <c r="AF48" s="1211"/>
      <c r="AV48" s="1211"/>
      <c r="AW48" s="1211"/>
      <c r="AX48" s="1211"/>
      <c r="AY48" s="1211"/>
      <c r="AZ48" s="1211"/>
      <c r="BA48" s="1211"/>
      <c r="BC48" s="1211"/>
      <c r="BE48" s="1211"/>
      <c r="BF48" s="1211"/>
      <c r="BG48" s="1211"/>
    </row>
    <row r="49" spans="18:59" x14ac:dyDescent="0.35">
      <c r="R49" s="1211"/>
      <c r="S49" s="1211"/>
      <c r="W49" s="1211"/>
      <c r="X49" s="1211"/>
      <c r="AE49" s="1211"/>
      <c r="AF49" s="1211"/>
      <c r="AV49" s="1211"/>
      <c r="AW49" s="1211"/>
      <c r="AX49" s="1211"/>
      <c r="AY49" s="1211"/>
      <c r="AZ49" s="1211"/>
      <c r="BA49" s="1211"/>
      <c r="BC49" s="1211"/>
      <c r="BE49" s="1211"/>
      <c r="BF49" s="1211"/>
      <c r="BG49" s="1211"/>
    </row>
    <row r="50" spans="18:59" x14ac:dyDescent="0.35">
      <c r="R50" s="1211"/>
      <c r="S50" s="1211"/>
      <c r="W50" s="1211"/>
      <c r="X50" s="1211"/>
      <c r="AE50" s="1211"/>
      <c r="AF50" s="1211"/>
      <c r="AV50" s="1211"/>
      <c r="AW50" s="1211"/>
      <c r="AX50" s="1211"/>
      <c r="AY50" s="1211"/>
      <c r="AZ50" s="1211"/>
      <c r="BA50" s="1211"/>
      <c r="BC50" s="1211"/>
      <c r="BE50" s="1211"/>
      <c r="BF50" s="1211"/>
      <c r="BG50" s="1211"/>
    </row>
    <row r="51" spans="18:59" x14ac:dyDescent="0.35">
      <c r="R51" s="1211"/>
      <c r="S51" s="1211"/>
      <c r="W51" s="1211"/>
      <c r="X51" s="1211"/>
      <c r="AE51" s="1211"/>
      <c r="AF51" s="1211"/>
      <c r="AV51" s="1211"/>
      <c r="AW51" s="1211"/>
      <c r="AX51" s="1211"/>
      <c r="AY51" s="1211"/>
      <c r="AZ51" s="1211"/>
      <c r="BA51" s="1211"/>
      <c r="BC51" s="1211"/>
      <c r="BE51" s="1211"/>
      <c r="BF51" s="1211"/>
      <c r="BG51" s="1211"/>
    </row>
    <row r="52" spans="18:59" x14ac:dyDescent="0.35">
      <c r="R52" s="1211"/>
      <c r="S52" s="1211"/>
      <c r="W52" s="1211"/>
      <c r="X52" s="1211"/>
      <c r="AE52" s="1211"/>
      <c r="AF52" s="1211"/>
      <c r="AV52" s="1211"/>
      <c r="AW52" s="1211"/>
      <c r="AX52" s="1211"/>
      <c r="AY52" s="1211"/>
      <c r="AZ52" s="1211"/>
      <c r="BA52" s="1211"/>
      <c r="BC52" s="1211"/>
      <c r="BE52" s="1211"/>
      <c r="BF52" s="1211"/>
      <c r="BG52" s="1211"/>
    </row>
    <row r="53" spans="18:59" x14ac:dyDescent="0.35">
      <c r="R53" s="1211"/>
      <c r="S53" s="1211"/>
      <c r="W53" s="1211"/>
      <c r="X53" s="1211"/>
      <c r="AE53" s="1211"/>
      <c r="AF53" s="1211"/>
      <c r="AV53" s="1211"/>
      <c r="AW53" s="1211"/>
      <c r="AX53" s="1211"/>
      <c r="AY53" s="1211"/>
      <c r="AZ53" s="1211"/>
      <c r="BA53" s="1211"/>
      <c r="BC53" s="1211"/>
      <c r="BE53" s="1211"/>
      <c r="BF53" s="1211"/>
      <c r="BG53" s="1211"/>
    </row>
    <row r="54" spans="18:59" x14ac:dyDescent="0.35">
      <c r="R54" s="1211"/>
      <c r="S54" s="1211"/>
      <c r="W54" s="1211"/>
      <c r="X54" s="1211"/>
      <c r="AE54" s="1211"/>
      <c r="AF54" s="1211"/>
      <c r="AV54" s="1211"/>
      <c r="AW54" s="1211"/>
      <c r="AX54" s="1211"/>
      <c r="AY54" s="1211"/>
      <c r="AZ54" s="1211"/>
      <c r="BA54" s="1211"/>
      <c r="BC54" s="1211"/>
      <c r="BE54" s="1211"/>
      <c r="BF54" s="1211"/>
      <c r="BG54" s="1211"/>
    </row>
    <row r="55" spans="18:59" x14ac:dyDescent="0.35">
      <c r="R55" s="1211"/>
      <c r="S55" s="1211"/>
      <c r="W55" s="1211"/>
      <c r="X55" s="1211"/>
      <c r="AE55" s="1211"/>
      <c r="AF55" s="1211"/>
      <c r="AV55" s="1211"/>
      <c r="AW55" s="1211"/>
      <c r="AX55" s="1211"/>
      <c r="AY55" s="1211"/>
      <c r="AZ55" s="1211"/>
      <c r="BA55" s="1211"/>
      <c r="BC55" s="1211"/>
      <c r="BE55" s="1211"/>
      <c r="BF55" s="1211"/>
      <c r="BG55" s="1211"/>
    </row>
    <row r="56" spans="18:59" x14ac:dyDescent="0.35">
      <c r="R56" s="1211"/>
      <c r="S56" s="1211"/>
      <c r="W56" s="1211"/>
      <c r="X56" s="1211"/>
      <c r="AE56" s="1211"/>
      <c r="AF56" s="1211"/>
      <c r="AV56" s="1211"/>
      <c r="AW56" s="1211"/>
      <c r="AX56" s="1211"/>
      <c r="AY56" s="1211"/>
      <c r="AZ56" s="1211"/>
      <c r="BA56" s="1211"/>
      <c r="BC56" s="1211"/>
      <c r="BE56" s="1211"/>
      <c r="BF56" s="1211"/>
      <c r="BG56" s="1211"/>
    </row>
    <row r="57" spans="18:59" x14ac:dyDescent="0.35">
      <c r="R57" s="1211"/>
      <c r="S57" s="1211"/>
      <c r="W57" s="1211"/>
      <c r="X57" s="1211"/>
      <c r="AE57" s="1211"/>
      <c r="AF57" s="1211"/>
      <c r="AV57" s="1211"/>
      <c r="AW57" s="1211"/>
      <c r="AX57" s="1211"/>
      <c r="AY57" s="1211"/>
      <c r="AZ57" s="1211"/>
      <c r="BA57" s="1211"/>
      <c r="BC57" s="1211"/>
      <c r="BE57" s="1211"/>
      <c r="BF57" s="1211"/>
      <c r="BG57" s="1211"/>
    </row>
    <row r="58" spans="18:59" x14ac:dyDescent="0.35">
      <c r="R58" s="1211"/>
      <c r="S58" s="1211"/>
      <c r="W58" s="1211"/>
      <c r="X58" s="1211"/>
      <c r="AE58" s="1211"/>
      <c r="AF58" s="1211"/>
      <c r="AV58" s="1211"/>
      <c r="AW58" s="1211"/>
      <c r="AX58" s="1211"/>
      <c r="AY58" s="1211"/>
      <c r="AZ58" s="1211"/>
      <c r="BA58" s="1211"/>
      <c r="BC58" s="1211"/>
      <c r="BE58" s="1211"/>
      <c r="BF58" s="1211"/>
      <c r="BG58" s="1211"/>
    </row>
    <row r="59" spans="18:59" x14ac:dyDescent="0.35">
      <c r="R59" s="1211"/>
      <c r="S59" s="1211"/>
      <c r="W59" s="1211"/>
      <c r="X59" s="1211"/>
      <c r="AE59" s="1211"/>
      <c r="AF59" s="1211"/>
      <c r="AV59" s="1211"/>
      <c r="AW59" s="1211"/>
      <c r="AX59" s="1211"/>
      <c r="AY59" s="1211"/>
      <c r="AZ59" s="1211"/>
      <c r="BA59" s="1211"/>
      <c r="BC59" s="1211"/>
      <c r="BE59" s="1211"/>
      <c r="BF59" s="1211"/>
      <c r="BG59" s="1211"/>
    </row>
    <row r="60" spans="18:59" x14ac:dyDescent="0.35">
      <c r="R60" s="1211"/>
      <c r="S60" s="1211"/>
      <c r="W60" s="1211"/>
      <c r="X60" s="1211"/>
      <c r="AE60" s="1211"/>
      <c r="AF60" s="1211"/>
      <c r="AV60" s="1211"/>
      <c r="AW60" s="1211"/>
      <c r="AX60" s="1211"/>
      <c r="AY60" s="1211"/>
      <c r="AZ60" s="1211"/>
      <c r="BA60" s="1211"/>
      <c r="BC60" s="1211"/>
      <c r="BE60" s="1211"/>
      <c r="BF60" s="1211"/>
      <c r="BG60" s="1211"/>
    </row>
    <row r="61" spans="18:59" x14ac:dyDescent="0.35">
      <c r="R61" s="1211"/>
      <c r="S61" s="1211"/>
      <c r="W61" s="1211"/>
      <c r="X61" s="1211"/>
      <c r="AE61" s="1211"/>
      <c r="AF61" s="1211"/>
      <c r="AV61" s="1211"/>
      <c r="AW61" s="1211"/>
      <c r="AX61" s="1211"/>
      <c r="AY61" s="1211"/>
      <c r="AZ61" s="1211"/>
      <c r="BA61" s="1211"/>
      <c r="BC61" s="1211"/>
      <c r="BE61" s="1211"/>
      <c r="BF61" s="1211"/>
      <c r="BG61" s="1211"/>
    </row>
    <row r="62" spans="18:59" x14ac:dyDescent="0.35">
      <c r="R62" s="1211"/>
      <c r="S62" s="1211"/>
      <c r="W62" s="1211"/>
      <c r="X62" s="1211"/>
      <c r="AE62" s="1211"/>
      <c r="AF62" s="1211"/>
      <c r="AV62" s="1211"/>
      <c r="AW62" s="1211"/>
      <c r="AX62" s="1211"/>
      <c r="AY62" s="1211"/>
      <c r="AZ62" s="1211"/>
      <c r="BA62" s="1211"/>
      <c r="BC62" s="1211"/>
      <c r="BE62" s="1211"/>
      <c r="BF62" s="1211"/>
      <c r="BG62" s="1211"/>
    </row>
    <row r="63" spans="18:59" x14ac:dyDescent="0.35">
      <c r="R63" s="1211"/>
      <c r="S63" s="1211"/>
      <c r="W63" s="1211"/>
      <c r="X63" s="1211"/>
      <c r="AE63" s="1211"/>
      <c r="AF63" s="1211"/>
      <c r="AV63" s="1211"/>
      <c r="AW63" s="1211"/>
      <c r="AX63" s="1211"/>
      <c r="AY63" s="1211"/>
      <c r="AZ63" s="1211"/>
      <c r="BA63" s="1211"/>
      <c r="BC63" s="1211"/>
      <c r="BE63" s="1211"/>
      <c r="BF63" s="1211"/>
      <c r="BG63" s="1211"/>
    </row>
    <row r="64" spans="18:59" x14ac:dyDescent="0.35">
      <c r="R64" s="1211"/>
      <c r="S64" s="1211"/>
      <c r="W64" s="1211"/>
      <c r="X64" s="1211"/>
      <c r="AE64" s="1211"/>
      <c r="AF64" s="1211"/>
      <c r="AV64" s="1211"/>
      <c r="AW64" s="1211"/>
      <c r="AX64" s="1211"/>
      <c r="AY64" s="1211"/>
      <c r="AZ64" s="1211"/>
      <c r="BA64" s="1211"/>
      <c r="BC64" s="1211"/>
      <c r="BE64" s="1211"/>
      <c r="BF64" s="1211"/>
      <c r="BG64" s="1211"/>
    </row>
    <row r="65" spans="18:59" x14ac:dyDescent="0.35">
      <c r="R65" s="1211"/>
      <c r="S65" s="1211"/>
      <c r="W65" s="1211"/>
      <c r="X65" s="1211"/>
      <c r="AE65" s="1211"/>
      <c r="AF65" s="1211"/>
      <c r="AV65" s="1211"/>
      <c r="AW65" s="1211"/>
      <c r="AX65" s="1211"/>
      <c r="AY65" s="1211"/>
      <c r="AZ65" s="1211"/>
      <c r="BA65" s="1211"/>
      <c r="BC65" s="1211"/>
      <c r="BE65" s="1211"/>
      <c r="BF65" s="1211"/>
      <c r="BG65" s="1211"/>
    </row>
    <row r="66" spans="18:59" x14ac:dyDescent="0.35">
      <c r="R66" s="1211"/>
      <c r="S66" s="1211"/>
      <c r="W66" s="1211"/>
      <c r="X66" s="1211"/>
      <c r="AE66" s="1211"/>
      <c r="AF66" s="1211"/>
      <c r="AV66" s="1211"/>
      <c r="AW66" s="1211"/>
      <c r="AX66" s="1211"/>
      <c r="AY66" s="1211"/>
      <c r="AZ66" s="1211"/>
      <c r="BA66" s="1211"/>
      <c r="BC66" s="1211"/>
      <c r="BE66" s="1211"/>
      <c r="BF66" s="1211"/>
      <c r="BG66" s="1211"/>
    </row>
    <row r="67" spans="18:59" x14ac:dyDescent="0.35">
      <c r="R67" s="1211"/>
      <c r="S67" s="1211"/>
      <c r="W67" s="1211"/>
      <c r="X67" s="1211"/>
      <c r="AE67" s="1211"/>
      <c r="AF67" s="1211"/>
      <c r="AV67" s="1211"/>
      <c r="AW67" s="1211"/>
      <c r="AX67" s="1211"/>
      <c r="AY67" s="1211"/>
      <c r="AZ67" s="1211"/>
      <c r="BA67" s="1211"/>
      <c r="BC67" s="1211"/>
      <c r="BE67" s="1211"/>
      <c r="BF67" s="1211"/>
      <c r="BG67" s="1211"/>
    </row>
    <row r="68" spans="18:59" x14ac:dyDescent="0.35">
      <c r="R68" s="1211"/>
      <c r="S68" s="1211"/>
      <c r="W68" s="1211"/>
      <c r="X68" s="1211"/>
      <c r="AE68" s="1211"/>
      <c r="AF68" s="1211"/>
      <c r="AV68" s="1211"/>
      <c r="AW68" s="1211"/>
      <c r="AX68" s="1211"/>
      <c r="AY68" s="1211"/>
      <c r="AZ68" s="1211"/>
      <c r="BA68" s="1211"/>
      <c r="BC68" s="1211"/>
      <c r="BE68" s="1211"/>
      <c r="BF68" s="1211"/>
      <c r="BG68" s="1211"/>
    </row>
    <row r="69" spans="18:59" x14ac:dyDescent="0.35">
      <c r="R69" s="1211"/>
      <c r="S69" s="1211"/>
      <c r="W69" s="1211"/>
      <c r="X69" s="1211"/>
      <c r="AE69" s="1211"/>
      <c r="AF69" s="1211"/>
      <c r="AV69" s="1211"/>
      <c r="AW69" s="1211"/>
      <c r="AX69" s="1211"/>
      <c r="AY69" s="1211"/>
      <c r="AZ69" s="1211"/>
      <c r="BA69" s="1211"/>
      <c r="BC69" s="1211"/>
      <c r="BE69" s="1211"/>
      <c r="BF69" s="1211"/>
      <c r="BG69" s="1211"/>
    </row>
    <row r="70" spans="18:59" x14ac:dyDescent="0.35">
      <c r="R70" s="1211"/>
      <c r="S70" s="1211"/>
      <c r="W70" s="1211"/>
      <c r="X70" s="1211"/>
      <c r="AE70" s="1211"/>
      <c r="AF70" s="1211"/>
      <c r="AV70" s="1211"/>
      <c r="AW70" s="1211"/>
      <c r="AX70" s="1211"/>
      <c r="AY70" s="1211"/>
      <c r="AZ70" s="1211"/>
      <c r="BA70" s="1211"/>
      <c r="BC70" s="1211"/>
      <c r="BE70" s="1211"/>
      <c r="BF70" s="1211"/>
      <c r="BG70" s="1211"/>
    </row>
    <row r="71" spans="18:59" x14ac:dyDescent="0.35">
      <c r="R71" s="1211"/>
      <c r="S71" s="1211"/>
      <c r="W71" s="1211"/>
      <c r="X71" s="1211"/>
      <c r="AE71" s="1211"/>
      <c r="AF71" s="1211"/>
      <c r="AV71" s="1211"/>
      <c r="AW71" s="1211"/>
      <c r="AX71" s="1211"/>
      <c r="AY71" s="1211"/>
      <c r="AZ71" s="1211"/>
      <c r="BA71" s="1211"/>
      <c r="BC71" s="1211"/>
      <c r="BE71" s="1211"/>
      <c r="BF71" s="1211"/>
      <c r="BG71" s="1211"/>
    </row>
    <row r="72" spans="18:59" x14ac:dyDescent="0.35">
      <c r="R72" s="1211"/>
      <c r="S72" s="1211"/>
      <c r="W72" s="1211"/>
      <c r="X72" s="1211"/>
      <c r="AE72" s="1211"/>
      <c r="AF72" s="1211"/>
      <c r="AV72" s="1211"/>
      <c r="AW72" s="1211"/>
      <c r="AX72" s="1211"/>
      <c r="AY72" s="1211"/>
      <c r="AZ72" s="1211"/>
      <c r="BA72" s="1211"/>
      <c r="BC72" s="1211"/>
      <c r="BE72" s="1211"/>
      <c r="BF72" s="1211"/>
      <c r="BG72" s="1211"/>
    </row>
    <row r="73" spans="18:59" x14ac:dyDescent="0.35">
      <c r="R73" s="1211"/>
      <c r="S73" s="1211"/>
      <c r="W73" s="1211"/>
      <c r="X73" s="1211"/>
      <c r="AE73" s="1211"/>
      <c r="AF73" s="1211"/>
      <c r="AV73" s="1211"/>
      <c r="AW73" s="1211"/>
      <c r="AX73" s="1211"/>
      <c r="AY73" s="1211"/>
      <c r="AZ73" s="1211"/>
      <c r="BA73" s="1211"/>
      <c r="BC73" s="1211"/>
      <c r="BE73" s="1211"/>
      <c r="BF73" s="1211"/>
      <c r="BG73" s="1211"/>
    </row>
    <row r="74" spans="18:59" x14ac:dyDescent="0.35">
      <c r="R74" s="1211"/>
      <c r="S74" s="1211"/>
      <c r="W74" s="1211"/>
      <c r="X74" s="1211"/>
      <c r="AE74" s="1211"/>
      <c r="AF74" s="1211"/>
      <c r="AV74" s="1211"/>
      <c r="AW74" s="1211"/>
      <c r="AX74" s="1211"/>
      <c r="AY74" s="1211"/>
      <c r="AZ74" s="1211"/>
      <c r="BA74" s="1211"/>
      <c r="BC74" s="1211"/>
      <c r="BE74" s="1211"/>
      <c r="BF74" s="1211"/>
      <c r="BG74" s="1211"/>
    </row>
    <row r="75" spans="18:59" x14ac:dyDescent="0.35">
      <c r="R75" s="1211"/>
      <c r="S75" s="1211"/>
      <c r="W75" s="1211"/>
      <c r="X75" s="1211"/>
      <c r="AE75" s="1211"/>
      <c r="AF75" s="1211"/>
      <c r="AV75" s="1211"/>
      <c r="AW75" s="1211"/>
      <c r="AX75" s="1211"/>
      <c r="AY75" s="1211"/>
      <c r="AZ75" s="1211"/>
      <c r="BA75" s="1211"/>
      <c r="BC75" s="1211"/>
      <c r="BE75" s="1211"/>
      <c r="BF75" s="1211"/>
      <c r="BG75" s="1211"/>
    </row>
    <row r="76" spans="18:59" x14ac:dyDescent="0.35">
      <c r="R76" s="1211"/>
      <c r="S76" s="1211"/>
      <c r="W76" s="1211"/>
      <c r="X76" s="1211"/>
      <c r="AE76" s="1211"/>
      <c r="AF76" s="1211"/>
      <c r="AV76" s="1211"/>
      <c r="AW76" s="1211"/>
      <c r="AX76" s="1211"/>
      <c r="AY76" s="1211"/>
      <c r="AZ76" s="1211"/>
      <c r="BA76" s="1211"/>
      <c r="BC76" s="1211"/>
      <c r="BE76" s="1211"/>
      <c r="BF76" s="1211"/>
      <c r="BG76" s="1211"/>
    </row>
    <row r="77" spans="18:59" x14ac:dyDescent="0.35">
      <c r="R77" s="1211"/>
      <c r="S77" s="1211"/>
      <c r="W77" s="1211"/>
      <c r="X77" s="1211"/>
      <c r="AE77" s="1211"/>
      <c r="AF77" s="1211"/>
      <c r="AV77" s="1211"/>
      <c r="AW77" s="1211"/>
      <c r="AX77" s="1211"/>
      <c r="AY77" s="1211"/>
      <c r="AZ77" s="1211"/>
      <c r="BA77" s="1211"/>
      <c r="BC77" s="1211"/>
      <c r="BE77" s="1211"/>
      <c r="BF77" s="1211"/>
      <c r="BG77" s="1211"/>
    </row>
    <row r="78" spans="18:59" x14ac:dyDescent="0.35">
      <c r="R78" s="1211"/>
      <c r="S78" s="1211"/>
      <c r="W78" s="1211"/>
      <c r="X78" s="1211"/>
      <c r="AE78" s="1211"/>
      <c r="AF78" s="1211"/>
      <c r="AV78" s="1211"/>
      <c r="AW78" s="1211"/>
      <c r="AX78" s="1211"/>
      <c r="AY78" s="1211"/>
      <c r="AZ78" s="1211"/>
      <c r="BA78" s="1211"/>
      <c r="BC78" s="1211"/>
      <c r="BE78" s="1211"/>
      <c r="BF78" s="1211"/>
      <c r="BG78" s="1211"/>
    </row>
    <row r="79" spans="18:59" x14ac:dyDescent="0.35">
      <c r="R79" s="1211"/>
      <c r="S79" s="1211"/>
      <c r="W79" s="1211"/>
      <c r="X79" s="1211"/>
      <c r="AE79" s="1211"/>
      <c r="AF79" s="1211"/>
      <c r="AV79" s="1211"/>
      <c r="AW79" s="1211"/>
      <c r="AX79" s="1211"/>
      <c r="AY79" s="1211"/>
      <c r="AZ79" s="1211"/>
      <c r="BA79" s="1211"/>
      <c r="BC79" s="1211"/>
      <c r="BE79" s="1211"/>
      <c r="BF79" s="1211"/>
      <c r="BG79" s="1211"/>
    </row>
    <row r="80" spans="18:59" x14ac:dyDescent="0.35">
      <c r="R80" s="1211"/>
      <c r="S80" s="1211"/>
      <c r="W80" s="1211"/>
      <c r="X80" s="1211"/>
      <c r="AE80" s="1211"/>
      <c r="AF80" s="1211"/>
      <c r="AV80" s="1211"/>
      <c r="AW80" s="1211"/>
      <c r="AX80" s="1211"/>
      <c r="AY80" s="1211"/>
      <c r="AZ80" s="1211"/>
      <c r="BA80" s="1211"/>
      <c r="BC80" s="1211"/>
      <c r="BE80" s="1211"/>
      <c r="BF80" s="1211"/>
      <c r="BG80" s="1211"/>
    </row>
    <row r="81" spans="18:59" x14ac:dyDescent="0.35">
      <c r="R81" s="1211"/>
      <c r="S81" s="1211"/>
      <c r="W81" s="1211"/>
      <c r="X81" s="1211"/>
      <c r="AE81" s="1211"/>
      <c r="AF81" s="1211"/>
      <c r="AV81" s="1211"/>
      <c r="AW81" s="1211"/>
      <c r="AX81" s="1211"/>
      <c r="AY81" s="1211"/>
      <c r="AZ81" s="1211"/>
      <c r="BA81" s="1211"/>
      <c r="BC81" s="1211"/>
      <c r="BE81" s="1211"/>
      <c r="BF81" s="1211"/>
      <c r="BG81" s="1211"/>
    </row>
    <row r="82" spans="18:59" x14ac:dyDescent="0.35">
      <c r="R82" s="1211"/>
      <c r="S82" s="1211"/>
      <c r="W82" s="1211"/>
      <c r="X82" s="1211"/>
      <c r="AE82" s="1211"/>
      <c r="AF82" s="1211"/>
      <c r="AV82" s="1211"/>
      <c r="AW82" s="1211"/>
      <c r="AX82" s="1211"/>
      <c r="AY82" s="1211"/>
      <c r="AZ82" s="1211"/>
      <c r="BA82" s="1211"/>
      <c r="BC82" s="1211"/>
      <c r="BE82" s="1211"/>
      <c r="BF82" s="1211"/>
      <c r="BG82" s="1211"/>
    </row>
    <row r="83" spans="18:59" x14ac:dyDescent="0.35">
      <c r="R83" s="1211"/>
      <c r="S83" s="1211"/>
      <c r="W83" s="1211"/>
      <c r="X83" s="1211"/>
      <c r="AE83" s="1211"/>
      <c r="AF83" s="1211"/>
      <c r="AV83" s="1211"/>
      <c r="AW83" s="1211"/>
      <c r="AX83" s="1211"/>
      <c r="AY83" s="1211"/>
      <c r="AZ83" s="1211"/>
      <c r="BA83" s="1211"/>
      <c r="BC83" s="1211"/>
      <c r="BE83" s="1211"/>
      <c r="BF83" s="1211"/>
      <c r="BG83" s="1211"/>
    </row>
    <row r="84" spans="18:59" x14ac:dyDescent="0.35">
      <c r="R84" s="1211"/>
      <c r="S84" s="1211"/>
      <c r="W84" s="1211"/>
      <c r="X84" s="1211"/>
      <c r="AE84" s="1211"/>
      <c r="AF84" s="1211"/>
      <c r="AV84" s="1211"/>
      <c r="AW84" s="1211"/>
      <c r="AX84" s="1211"/>
      <c r="AY84" s="1211"/>
      <c r="AZ84" s="1211"/>
      <c r="BA84" s="1211"/>
      <c r="BC84" s="1211"/>
      <c r="BE84" s="1211"/>
      <c r="BF84" s="1211"/>
      <c r="BG84" s="1211"/>
    </row>
    <row r="85" spans="18:59" x14ac:dyDescent="0.35">
      <c r="R85" s="1211"/>
      <c r="S85" s="1211"/>
      <c r="W85" s="1211"/>
      <c r="X85" s="1211"/>
      <c r="AE85" s="1211"/>
      <c r="AF85" s="1211"/>
      <c r="AV85" s="1211"/>
      <c r="AW85" s="1211"/>
      <c r="AX85" s="1211"/>
      <c r="AY85" s="1211"/>
      <c r="AZ85" s="1211"/>
      <c r="BA85" s="1211"/>
      <c r="BC85" s="1211"/>
      <c r="BE85" s="1211"/>
      <c r="BF85" s="1211"/>
      <c r="BG85" s="1211"/>
    </row>
    <row r="86" spans="18:59" x14ac:dyDescent="0.35">
      <c r="R86" s="1211"/>
      <c r="S86" s="1211"/>
      <c r="W86" s="1211"/>
      <c r="X86" s="1211"/>
      <c r="AE86" s="1211"/>
      <c r="AF86" s="1211"/>
      <c r="AV86" s="1211"/>
      <c r="AW86" s="1211"/>
      <c r="AX86" s="1211"/>
      <c r="AY86" s="1211"/>
      <c r="AZ86" s="1211"/>
      <c r="BA86" s="1211"/>
      <c r="BC86" s="1211"/>
      <c r="BE86" s="1211"/>
      <c r="BF86" s="1211"/>
      <c r="BG86" s="1211"/>
    </row>
    <row r="87" spans="18:59" x14ac:dyDescent="0.35">
      <c r="R87" s="1211"/>
      <c r="S87" s="1211"/>
      <c r="W87" s="1211"/>
      <c r="X87" s="1211"/>
      <c r="AE87" s="1211"/>
      <c r="AF87" s="1211"/>
      <c r="AV87" s="1211"/>
      <c r="AW87" s="1211"/>
      <c r="AX87" s="1211"/>
      <c r="AY87" s="1211"/>
      <c r="AZ87" s="1211"/>
      <c r="BA87" s="1211"/>
      <c r="BC87" s="1211"/>
      <c r="BE87" s="1211"/>
      <c r="BF87" s="1211"/>
      <c r="BG87" s="1211"/>
    </row>
    <row r="88" spans="18:59" x14ac:dyDescent="0.35">
      <c r="R88" s="1211"/>
      <c r="S88" s="1211"/>
      <c r="W88" s="1211"/>
      <c r="X88" s="1211"/>
      <c r="AE88" s="1211"/>
      <c r="AF88" s="1211"/>
      <c r="AV88" s="1211"/>
      <c r="AW88" s="1211"/>
      <c r="AX88" s="1211"/>
      <c r="AY88" s="1211"/>
      <c r="AZ88" s="1211"/>
      <c r="BA88" s="1211"/>
      <c r="BC88" s="1211"/>
      <c r="BE88" s="1211"/>
      <c r="BF88" s="1211"/>
      <c r="BG88" s="1211"/>
    </row>
    <row r="89" spans="18:59" x14ac:dyDescent="0.35">
      <c r="R89" s="1211"/>
      <c r="S89" s="1211"/>
      <c r="W89" s="1211"/>
      <c r="X89" s="1211"/>
      <c r="AE89" s="1211"/>
      <c r="AF89" s="1211"/>
      <c r="AV89" s="1211"/>
      <c r="AW89" s="1211"/>
      <c r="AX89" s="1211"/>
      <c r="AY89" s="1211"/>
      <c r="AZ89" s="1211"/>
      <c r="BA89" s="1211"/>
      <c r="BC89" s="1211"/>
      <c r="BE89" s="1211"/>
      <c r="BF89" s="1211"/>
      <c r="BG89" s="1211"/>
    </row>
    <row r="90" spans="18:59" x14ac:dyDescent="0.35">
      <c r="R90" s="1211"/>
      <c r="S90" s="1211"/>
      <c r="W90" s="1211"/>
      <c r="X90" s="1211"/>
      <c r="AE90" s="1211"/>
      <c r="AF90" s="1211"/>
      <c r="AV90" s="1211"/>
      <c r="AW90" s="1211"/>
      <c r="AX90" s="1211"/>
      <c r="AY90" s="1211"/>
      <c r="AZ90" s="1211"/>
      <c r="BA90" s="1211"/>
      <c r="BC90" s="1211"/>
      <c r="BE90" s="1211"/>
      <c r="BF90" s="1211"/>
      <c r="BG90" s="1211"/>
    </row>
    <row r="91" spans="18:59" x14ac:dyDescent="0.35">
      <c r="R91" s="1211"/>
      <c r="S91" s="1211"/>
      <c r="W91" s="1211"/>
      <c r="X91" s="1211"/>
      <c r="AE91" s="1211"/>
      <c r="AF91" s="1211"/>
      <c r="AV91" s="1211"/>
      <c r="AW91" s="1211"/>
      <c r="AX91" s="1211"/>
      <c r="AY91" s="1211"/>
      <c r="AZ91" s="1211"/>
      <c r="BA91" s="1211"/>
      <c r="BC91" s="1211"/>
      <c r="BE91" s="1211"/>
      <c r="BF91" s="1211"/>
      <c r="BG91" s="1211"/>
    </row>
    <row r="92" spans="18:59" x14ac:dyDescent="0.35">
      <c r="R92" s="1211"/>
      <c r="S92" s="1211"/>
      <c r="W92" s="1211"/>
      <c r="X92" s="1211"/>
      <c r="AE92" s="1211"/>
      <c r="AF92" s="1211"/>
      <c r="AV92" s="1211"/>
      <c r="AW92" s="1211"/>
      <c r="AX92" s="1211"/>
      <c r="AY92" s="1211"/>
      <c r="AZ92" s="1211"/>
      <c r="BA92" s="1211"/>
      <c r="BC92" s="1211"/>
      <c r="BE92" s="1211"/>
      <c r="BF92" s="1211"/>
      <c r="BG92" s="1211"/>
    </row>
    <row r="93" spans="18:59" x14ac:dyDescent="0.35">
      <c r="R93" s="1211"/>
      <c r="S93" s="1211"/>
      <c r="W93" s="1211"/>
      <c r="X93" s="1211"/>
      <c r="AE93" s="1211"/>
      <c r="AF93" s="1211"/>
      <c r="AV93" s="1211"/>
      <c r="AW93" s="1211"/>
      <c r="AX93" s="1211"/>
      <c r="AY93" s="1211"/>
      <c r="AZ93" s="1211"/>
      <c r="BA93" s="1211"/>
      <c r="BC93" s="1211"/>
      <c r="BE93" s="1211"/>
      <c r="BF93" s="1211"/>
      <c r="BG93" s="1211"/>
    </row>
    <row r="94" spans="18:59" x14ac:dyDescent="0.35">
      <c r="R94" s="1211"/>
      <c r="S94" s="1211"/>
      <c r="W94" s="1211"/>
      <c r="X94" s="1211"/>
      <c r="AE94" s="1211"/>
      <c r="AF94" s="1211"/>
      <c r="AV94" s="1211"/>
      <c r="AW94" s="1211"/>
      <c r="AX94" s="1211"/>
      <c r="AY94" s="1211"/>
      <c r="AZ94" s="1211"/>
      <c r="BA94" s="1211"/>
      <c r="BC94" s="1211"/>
      <c r="BE94" s="1211"/>
      <c r="BF94" s="1211"/>
      <c r="BG94" s="1211"/>
    </row>
    <row r="95" spans="18:59" x14ac:dyDescent="0.35">
      <c r="R95" s="1211"/>
      <c r="S95" s="1211"/>
      <c r="W95" s="1211"/>
      <c r="X95" s="1211"/>
      <c r="AE95" s="1211"/>
      <c r="AF95" s="1211"/>
      <c r="AV95" s="1211"/>
      <c r="AW95" s="1211"/>
      <c r="AX95" s="1211"/>
      <c r="AY95" s="1211"/>
      <c r="AZ95" s="1211"/>
      <c r="BA95" s="1211"/>
      <c r="BC95" s="1211"/>
      <c r="BE95" s="1211"/>
      <c r="BF95" s="1211"/>
      <c r="BG95" s="1211"/>
    </row>
    <row r="96" spans="18:59" x14ac:dyDescent="0.35">
      <c r="R96" s="1211"/>
      <c r="S96" s="1211"/>
      <c r="W96" s="1211"/>
      <c r="X96" s="1211"/>
      <c r="AE96" s="1211"/>
      <c r="AF96" s="1211"/>
      <c r="AV96" s="1211"/>
      <c r="AW96" s="1211"/>
      <c r="AX96" s="1211"/>
      <c r="AY96" s="1211"/>
      <c r="AZ96" s="1211"/>
      <c r="BA96" s="1211"/>
      <c r="BC96" s="1211"/>
      <c r="BE96" s="1211"/>
      <c r="BF96" s="1211"/>
      <c r="BG96" s="1211"/>
    </row>
    <row r="97" spans="18:59" x14ac:dyDescent="0.35">
      <c r="R97" s="1211"/>
      <c r="S97" s="1211"/>
      <c r="W97" s="1211"/>
      <c r="X97" s="1211"/>
      <c r="AE97" s="1211"/>
      <c r="AF97" s="1211"/>
      <c r="AV97" s="1211"/>
      <c r="AW97" s="1211"/>
      <c r="AX97" s="1211"/>
      <c r="AY97" s="1211"/>
      <c r="AZ97" s="1211"/>
      <c r="BA97" s="1211"/>
      <c r="BC97" s="1211"/>
      <c r="BE97" s="1211"/>
      <c r="BF97" s="1211"/>
      <c r="BG97" s="1211"/>
    </row>
    <row r="98" spans="18:59" x14ac:dyDescent="0.35">
      <c r="R98" s="1211"/>
      <c r="S98" s="1211"/>
      <c r="W98" s="1211"/>
      <c r="X98" s="1211"/>
      <c r="AE98" s="1211"/>
      <c r="AF98" s="1211"/>
      <c r="AV98" s="1211"/>
      <c r="AW98" s="1211"/>
      <c r="AX98" s="1211"/>
      <c r="AY98" s="1211"/>
      <c r="AZ98" s="1211"/>
      <c r="BA98" s="1211"/>
      <c r="BC98" s="1211"/>
      <c r="BE98" s="1211"/>
      <c r="BF98" s="1211"/>
      <c r="BG98" s="1211"/>
    </row>
    <row r="99" spans="18:59" x14ac:dyDescent="0.35">
      <c r="R99" s="1211"/>
      <c r="S99" s="1211"/>
      <c r="W99" s="1211"/>
      <c r="X99" s="1211"/>
      <c r="AE99" s="1211"/>
      <c r="AF99" s="1211"/>
      <c r="AV99" s="1211"/>
      <c r="AW99" s="1211"/>
      <c r="AX99" s="1211"/>
      <c r="AY99" s="1211"/>
      <c r="AZ99" s="1211"/>
      <c r="BA99" s="1211"/>
      <c r="BC99" s="1211"/>
      <c r="BE99" s="1211"/>
      <c r="BF99" s="1211"/>
      <c r="BG99" s="1211"/>
    </row>
    <row r="100" spans="18:59" x14ac:dyDescent="0.35">
      <c r="R100" s="1211"/>
      <c r="S100" s="1211"/>
      <c r="W100" s="1211"/>
      <c r="X100" s="1211"/>
      <c r="AE100" s="1211"/>
      <c r="AF100" s="1211"/>
      <c r="AV100" s="1211"/>
      <c r="AW100" s="1211"/>
      <c r="AX100" s="1211"/>
      <c r="AY100" s="1211"/>
      <c r="AZ100" s="1211"/>
      <c r="BA100" s="1211"/>
      <c r="BC100" s="1211"/>
      <c r="BE100" s="1211"/>
      <c r="BF100" s="1211"/>
      <c r="BG100" s="1211"/>
    </row>
    <row r="101" spans="18:59" x14ac:dyDescent="0.35">
      <c r="R101" s="1211"/>
      <c r="S101" s="1211"/>
      <c r="W101" s="1211"/>
      <c r="X101" s="1211"/>
      <c r="AE101" s="1211"/>
      <c r="AF101" s="1211"/>
      <c r="AV101" s="1211"/>
      <c r="AW101" s="1211"/>
      <c r="AX101" s="1211"/>
      <c r="AY101" s="1211"/>
      <c r="AZ101" s="1211"/>
      <c r="BA101" s="1211"/>
      <c r="BC101" s="1211"/>
      <c r="BE101" s="1211"/>
      <c r="BF101" s="1211"/>
      <c r="BG101" s="1211"/>
    </row>
    <row r="102" spans="18:59" x14ac:dyDescent="0.35">
      <c r="R102" s="1211"/>
      <c r="S102" s="1211"/>
      <c r="W102" s="1211"/>
      <c r="X102" s="1211"/>
      <c r="AE102" s="1211"/>
      <c r="AF102" s="1211"/>
      <c r="AV102" s="1211"/>
      <c r="AW102" s="1211"/>
      <c r="AX102" s="1211"/>
      <c r="AY102" s="1211"/>
      <c r="AZ102" s="1211"/>
      <c r="BA102" s="1211"/>
      <c r="BC102" s="1211"/>
      <c r="BE102" s="1211"/>
      <c r="BF102" s="1211"/>
      <c r="BG102" s="1211"/>
    </row>
    <row r="103" spans="18:59" x14ac:dyDescent="0.35">
      <c r="R103" s="1211"/>
      <c r="S103" s="1211"/>
      <c r="W103" s="1211"/>
      <c r="X103" s="1211"/>
      <c r="AE103" s="1211"/>
      <c r="AF103" s="1211"/>
      <c r="AV103" s="1211"/>
      <c r="AW103" s="1211"/>
      <c r="AX103" s="1211"/>
      <c r="AY103" s="1211"/>
      <c r="AZ103" s="1211"/>
      <c r="BA103" s="1211"/>
      <c r="BC103" s="1211"/>
      <c r="BE103" s="1211"/>
      <c r="BF103" s="1211"/>
      <c r="BG103" s="1211"/>
    </row>
    <row r="104" spans="18:59" x14ac:dyDescent="0.35">
      <c r="R104" s="1211"/>
      <c r="S104" s="1211"/>
      <c r="W104" s="1211"/>
      <c r="X104" s="1211"/>
      <c r="AE104" s="1211"/>
      <c r="AF104" s="1211"/>
      <c r="AV104" s="1211"/>
      <c r="AW104" s="1211"/>
      <c r="AX104" s="1211"/>
      <c r="AY104" s="1211"/>
      <c r="AZ104" s="1211"/>
      <c r="BA104" s="1211"/>
      <c r="BC104" s="1211"/>
      <c r="BE104" s="1211"/>
      <c r="BF104" s="1211"/>
      <c r="BG104" s="1211"/>
    </row>
    <row r="105" spans="18:59" x14ac:dyDescent="0.35">
      <c r="R105" s="1211"/>
      <c r="S105" s="1211"/>
      <c r="W105" s="1211"/>
      <c r="X105" s="1211"/>
      <c r="AE105" s="1211"/>
      <c r="AF105" s="1211"/>
      <c r="AV105" s="1211"/>
      <c r="AW105" s="1211"/>
      <c r="AX105" s="1211"/>
      <c r="AY105" s="1211"/>
      <c r="AZ105" s="1211"/>
      <c r="BA105" s="1211"/>
      <c r="BC105" s="1211"/>
      <c r="BE105" s="1211"/>
      <c r="BF105" s="1211"/>
      <c r="BG105" s="1211"/>
    </row>
    <row r="106" spans="18:59" x14ac:dyDescent="0.35">
      <c r="R106" s="1211"/>
      <c r="S106" s="1211"/>
      <c r="W106" s="1211"/>
      <c r="X106" s="1211"/>
      <c r="AE106" s="1211"/>
      <c r="AF106" s="1211"/>
      <c r="AV106" s="1211"/>
      <c r="AW106" s="1211"/>
      <c r="AX106" s="1211"/>
      <c r="AY106" s="1211"/>
      <c r="AZ106" s="1211"/>
      <c r="BA106" s="1211"/>
      <c r="BC106" s="1211"/>
      <c r="BE106" s="1211"/>
      <c r="BF106" s="1211"/>
      <c r="BG106" s="1211"/>
    </row>
    <row r="107" spans="18:59" x14ac:dyDescent="0.35">
      <c r="R107" s="1211"/>
      <c r="S107" s="1211"/>
      <c r="W107" s="1211"/>
      <c r="X107" s="1211"/>
      <c r="AE107" s="1211"/>
      <c r="AF107" s="1211"/>
      <c r="AV107" s="1211"/>
      <c r="AW107" s="1211"/>
      <c r="AX107" s="1211"/>
      <c r="AY107" s="1211"/>
      <c r="AZ107" s="1211"/>
      <c r="BA107" s="1211"/>
      <c r="BC107" s="1211"/>
      <c r="BE107" s="1211"/>
      <c r="BF107" s="1211"/>
      <c r="BG107" s="1211"/>
    </row>
    <row r="108" spans="18:59" x14ac:dyDescent="0.35">
      <c r="R108" s="1211"/>
      <c r="S108" s="1211"/>
      <c r="W108" s="1211"/>
      <c r="X108" s="1211"/>
      <c r="AE108" s="1211"/>
      <c r="AF108" s="1211"/>
      <c r="AV108" s="1211"/>
      <c r="AW108" s="1211"/>
      <c r="AX108" s="1211"/>
      <c r="AY108" s="1211"/>
      <c r="AZ108" s="1211"/>
      <c r="BA108" s="1211"/>
      <c r="BC108" s="1211"/>
      <c r="BE108" s="1211"/>
      <c r="BF108" s="1211"/>
      <c r="BG108" s="1211"/>
    </row>
    <row r="109" spans="18:59" x14ac:dyDescent="0.35">
      <c r="R109" s="1211"/>
      <c r="S109" s="1211"/>
      <c r="W109" s="1211"/>
      <c r="X109" s="1211"/>
      <c r="AE109" s="1211"/>
      <c r="AF109" s="1211"/>
      <c r="AV109" s="1211"/>
      <c r="AW109" s="1211"/>
      <c r="AX109" s="1211"/>
      <c r="AY109" s="1211"/>
      <c r="AZ109" s="1211"/>
      <c r="BA109" s="1211"/>
      <c r="BC109" s="1211"/>
      <c r="BE109" s="1211"/>
      <c r="BF109" s="1211"/>
      <c r="BG109" s="1211"/>
    </row>
    <row r="110" spans="18:59" x14ac:dyDescent="0.35">
      <c r="R110" s="1211"/>
      <c r="S110" s="1211"/>
      <c r="W110" s="1211"/>
      <c r="X110" s="1211"/>
      <c r="AE110" s="1211"/>
      <c r="AF110" s="1211"/>
      <c r="AV110" s="1211"/>
      <c r="AW110" s="1211"/>
      <c r="AX110" s="1211"/>
      <c r="AY110" s="1211"/>
      <c r="AZ110" s="1211"/>
      <c r="BA110" s="1211"/>
      <c r="BC110" s="1211"/>
      <c r="BE110" s="1211"/>
      <c r="BF110" s="1211"/>
      <c r="BG110" s="1211"/>
    </row>
    <row r="111" spans="18:59" x14ac:dyDescent="0.35">
      <c r="R111" s="1211"/>
      <c r="S111" s="1211"/>
      <c r="W111" s="1211"/>
      <c r="X111" s="1211"/>
      <c r="AE111" s="1211"/>
      <c r="AF111" s="1211"/>
      <c r="AV111" s="1211"/>
      <c r="AW111" s="1211"/>
      <c r="AX111" s="1211"/>
      <c r="AY111" s="1211"/>
      <c r="AZ111" s="1211"/>
      <c r="BA111" s="1211"/>
      <c r="BC111" s="1211"/>
      <c r="BE111" s="1211"/>
      <c r="BF111" s="1211"/>
      <c r="BG111" s="1211"/>
    </row>
    <row r="112" spans="18:59" x14ac:dyDescent="0.35">
      <c r="R112" s="1211"/>
      <c r="S112" s="1211"/>
      <c r="W112" s="1211"/>
      <c r="X112" s="1211"/>
      <c r="AE112" s="1211"/>
      <c r="AF112" s="1211"/>
      <c r="AV112" s="1211"/>
      <c r="AW112" s="1211"/>
      <c r="AX112" s="1211"/>
      <c r="AY112" s="1211"/>
      <c r="AZ112" s="1211"/>
      <c r="BA112" s="1211"/>
      <c r="BC112" s="1211"/>
      <c r="BE112" s="1211"/>
      <c r="BF112" s="1211"/>
      <c r="BG112" s="1211"/>
    </row>
    <row r="113" spans="18:59" x14ac:dyDescent="0.35">
      <c r="R113" s="1211"/>
      <c r="S113" s="1211"/>
      <c r="W113" s="1211"/>
      <c r="X113" s="1211"/>
      <c r="AE113" s="1211"/>
      <c r="AF113" s="1211"/>
      <c r="AV113" s="1211"/>
      <c r="AW113" s="1211"/>
      <c r="AX113" s="1211"/>
      <c r="AY113" s="1211"/>
      <c r="AZ113" s="1211"/>
      <c r="BA113" s="1211"/>
      <c r="BC113" s="1211"/>
      <c r="BE113" s="1211"/>
      <c r="BF113" s="1211"/>
      <c r="BG113" s="1211"/>
    </row>
    <row r="114" spans="18:59" x14ac:dyDescent="0.35">
      <c r="R114" s="1211"/>
      <c r="S114" s="1211"/>
      <c r="W114" s="1211"/>
      <c r="X114" s="1211"/>
      <c r="AE114" s="1211"/>
      <c r="AF114" s="1211"/>
      <c r="AV114" s="1211"/>
      <c r="AW114" s="1211"/>
      <c r="AX114" s="1211"/>
      <c r="AY114" s="1211"/>
      <c r="AZ114" s="1211"/>
      <c r="BA114" s="1211"/>
      <c r="BC114" s="1211"/>
      <c r="BE114" s="1211"/>
      <c r="BF114" s="1211"/>
      <c r="BG114" s="1211"/>
    </row>
    <row r="115" spans="18:59" x14ac:dyDescent="0.35">
      <c r="R115" s="1211"/>
      <c r="S115" s="1211"/>
      <c r="W115" s="1211"/>
      <c r="X115" s="1211"/>
      <c r="AE115" s="1211"/>
      <c r="AF115" s="1211"/>
      <c r="AV115" s="1211"/>
      <c r="AW115" s="1211"/>
      <c r="AX115" s="1211"/>
      <c r="AY115" s="1211"/>
      <c r="AZ115" s="1211"/>
      <c r="BA115" s="1211"/>
      <c r="BC115" s="1211"/>
      <c r="BE115" s="1211"/>
      <c r="BF115" s="1211"/>
      <c r="BG115" s="1211"/>
    </row>
    <row r="116" spans="18:59" x14ac:dyDescent="0.35">
      <c r="R116" s="1211"/>
      <c r="S116" s="1211"/>
      <c r="W116" s="1211"/>
      <c r="X116" s="1211"/>
      <c r="AE116" s="1211"/>
      <c r="AF116" s="1211"/>
      <c r="AV116" s="1211"/>
      <c r="AW116" s="1211"/>
      <c r="AX116" s="1211"/>
      <c r="AY116" s="1211"/>
      <c r="AZ116" s="1211"/>
      <c r="BA116" s="1211"/>
      <c r="BC116" s="1211"/>
      <c r="BE116" s="1211"/>
      <c r="BF116" s="1211"/>
      <c r="BG116" s="1211"/>
    </row>
    <row r="117" spans="18:59" x14ac:dyDescent="0.35">
      <c r="R117" s="1211"/>
      <c r="S117" s="1211"/>
      <c r="W117" s="1211"/>
      <c r="X117" s="1211"/>
      <c r="AE117" s="1211"/>
      <c r="AF117" s="1211"/>
      <c r="AV117" s="1211"/>
      <c r="AW117" s="1211"/>
      <c r="AX117" s="1211"/>
      <c r="AY117" s="1211"/>
      <c r="AZ117" s="1211"/>
      <c r="BA117" s="1211"/>
      <c r="BC117" s="1211"/>
      <c r="BE117" s="1211"/>
      <c r="BF117" s="1211"/>
      <c r="BG117" s="1211"/>
    </row>
    <row r="118" spans="18:59" x14ac:dyDescent="0.35">
      <c r="R118" s="1211"/>
      <c r="S118" s="1211"/>
      <c r="W118" s="1211"/>
      <c r="X118" s="1211"/>
      <c r="AE118" s="1211"/>
      <c r="AF118" s="1211"/>
      <c r="AV118" s="1211"/>
      <c r="AW118" s="1211"/>
      <c r="AX118" s="1211"/>
      <c r="AY118" s="1211"/>
      <c r="AZ118" s="1211"/>
      <c r="BA118" s="1211"/>
      <c r="BC118" s="1211"/>
      <c r="BE118" s="1211"/>
      <c r="BF118" s="1211"/>
      <c r="BG118" s="1211"/>
    </row>
    <row r="119" spans="18:59" x14ac:dyDescent="0.35">
      <c r="R119" s="1211"/>
      <c r="S119" s="1211"/>
      <c r="W119" s="1211"/>
      <c r="X119" s="1211"/>
      <c r="AE119" s="1211"/>
      <c r="AF119" s="1211"/>
      <c r="AV119" s="1211"/>
      <c r="AW119" s="1211"/>
      <c r="AX119" s="1211"/>
      <c r="AY119" s="1211"/>
      <c r="AZ119" s="1211"/>
      <c r="BA119" s="1211"/>
      <c r="BC119" s="1211"/>
      <c r="BE119" s="1211"/>
      <c r="BF119" s="1211"/>
      <c r="BG119" s="1211"/>
    </row>
    <row r="120" spans="18:59" x14ac:dyDescent="0.35">
      <c r="R120" s="1211"/>
      <c r="S120" s="1211"/>
      <c r="W120" s="1211"/>
      <c r="X120" s="1211"/>
      <c r="AE120" s="1211"/>
      <c r="AF120" s="1211"/>
      <c r="AV120" s="1211"/>
      <c r="AW120" s="1211"/>
      <c r="AX120" s="1211"/>
      <c r="AY120" s="1211"/>
      <c r="AZ120" s="1211"/>
      <c r="BA120" s="1211"/>
      <c r="BC120" s="1211"/>
      <c r="BE120" s="1211"/>
      <c r="BF120" s="1211"/>
      <c r="BG120" s="1211"/>
    </row>
    <row r="121" spans="18:59" x14ac:dyDescent="0.35">
      <c r="R121" s="1211"/>
      <c r="S121" s="1211"/>
      <c r="W121" s="1211"/>
      <c r="X121" s="1211"/>
      <c r="AE121" s="1211"/>
      <c r="AF121" s="1211"/>
      <c r="AV121" s="1211"/>
      <c r="AW121" s="1211"/>
      <c r="AX121" s="1211"/>
      <c r="AY121" s="1211"/>
      <c r="AZ121" s="1211"/>
      <c r="BA121" s="1211"/>
      <c r="BC121" s="1211"/>
      <c r="BE121" s="1211"/>
      <c r="BF121" s="1211"/>
      <c r="BG121" s="1211"/>
    </row>
    <row r="122" spans="18:59" x14ac:dyDescent="0.35">
      <c r="R122" s="1211"/>
      <c r="S122" s="1211"/>
      <c r="W122" s="1211"/>
      <c r="X122" s="1211"/>
      <c r="AE122" s="1211"/>
      <c r="AF122" s="1211"/>
      <c r="AV122" s="1211"/>
      <c r="AW122" s="1211"/>
      <c r="AX122" s="1211"/>
      <c r="AY122" s="1211"/>
      <c r="AZ122" s="1211"/>
      <c r="BA122" s="1211"/>
      <c r="BC122" s="1211"/>
      <c r="BE122" s="1211"/>
      <c r="BF122" s="1211"/>
      <c r="BG122" s="1211"/>
    </row>
    <row r="123" spans="18:59" x14ac:dyDescent="0.35">
      <c r="R123" s="1211"/>
      <c r="S123" s="1211"/>
      <c r="W123" s="1211"/>
      <c r="X123" s="1211"/>
      <c r="AE123" s="1211"/>
      <c r="AF123" s="1211"/>
      <c r="AV123" s="1211"/>
      <c r="AW123" s="1211"/>
      <c r="AX123" s="1211"/>
      <c r="AY123" s="1211"/>
      <c r="AZ123" s="1211"/>
      <c r="BA123" s="1211"/>
      <c r="BC123" s="1211"/>
      <c r="BE123" s="1211"/>
      <c r="BF123" s="1211"/>
      <c r="BG123" s="1211"/>
    </row>
    <row r="124" spans="18:59" x14ac:dyDescent="0.35">
      <c r="R124" s="1211"/>
      <c r="S124" s="1211"/>
      <c r="W124" s="1211"/>
      <c r="X124" s="1211"/>
      <c r="AE124" s="1211"/>
      <c r="AF124" s="1211"/>
      <c r="AV124" s="1211"/>
      <c r="AW124" s="1211"/>
      <c r="AX124" s="1211"/>
      <c r="AY124" s="1211"/>
      <c r="AZ124" s="1211"/>
      <c r="BA124" s="1211"/>
      <c r="BC124" s="1211"/>
      <c r="BE124" s="1211"/>
      <c r="BF124" s="1211"/>
      <c r="BG124" s="1211"/>
    </row>
    <row r="125" spans="18:59" x14ac:dyDescent="0.35">
      <c r="R125" s="1211"/>
      <c r="S125" s="1211"/>
      <c r="W125" s="1211"/>
      <c r="X125" s="1211"/>
      <c r="AE125" s="1211"/>
      <c r="AF125" s="1211"/>
      <c r="AV125" s="1211"/>
      <c r="AW125" s="1211"/>
      <c r="AX125" s="1211"/>
      <c r="AY125" s="1211"/>
      <c r="AZ125" s="1211"/>
      <c r="BA125" s="1211"/>
      <c r="BC125" s="1211"/>
      <c r="BE125" s="1211"/>
      <c r="BF125" s="1211"/>
      <c r="BG125" s="1211"/>
    </row>
    <row r="126" spans="18:59" x14ac:dyDescent="0.35">
      <c r="R126" s="1211"/>
      <c r="S126" s="1211"/>
      <c r="W126" s="1211"/>
      <c r="X126" s="1211"/>
      <c r="AE126" s="1211"/>
      <c r="AF126" s="1211"/>
      <c r="AV126" s="1211"/>
      <c r="AW126" s="1211"/>
      <c r="AX126" s="1211"/>
      <c r="AY126" s="1211"/>
      <c r="AZ126" s="1211"/>
      <c r="BA126" s="1211"/>
      <c r="BC126" s="1211"/>
      <c r="BE126" s="1211"/>
      <c r="BF126" s="1211"/>
      <c r="BG126" s="1211"/>
    </row>
    <row r="127" spans="18:59" x14ac:dyDescent="0.35">
      <c r="R127" s="1211"/>
      <c r="S127" s="1211"/>
      <c r="W127" s="1211"/>
      <c r="X127" s="1211"/>
      <c r="AE127" s="1211"/>
      <c r="AF127" s="1211"/>
      <c r="AV127" s="1211"/>
      <c r="AW127" s="1211"/>
      <c r="AX127" s="1211"/>
      <c r="AY127" s="1211"/>
      <c r="AZ127" s="1211"/>
      <c r="BA127" s="1211"/>
      <c r="BC127" s="1211"/>
      <c r="BE127" s="1211"/>
      <c r="BF127" s="1211"/>
      <c r="BG127" s="1211"/>
    </row>
    <row r="128" spans="18:59" x14ac:dyDescent="0.35">
      <c r="R128" s="1211"/>
      <c r="S128" s="1211"/>
      <c r="W128" s="1211"/>
      <c r="X128" s="1211"/>
      <c r="AE128" s="1211"/>
      <c r="AF128" s="1211"/>
      <c r="AV128" s="1211"/>
      <c r="AW128" s="1211"/>
      <c r="AX128" s="1211"/>
      <c r="AY128" s="1211"/>
      <c r="AZ128" s="1211"/>
      <c r="BA128" s="1211"/>
      <c r="BC128" s="1211"/>
      <c r="BE128" s="1211"/>
      <c r="BF128" s="1211"/>
      <c r="BG128" s="1211"/>
    </row>
    <row r="129" spans="18:59" x14ac:dyDescent="0.35">
      <c r="R129" s="1211"/>
      <c r="S129" s="1211"/>
      <c r="W129" s="1211"/>
      <c r="X129" s="1211"/>
      <c r="AE129" s="1211"/>
      <c r="AF129" s="1211"/>
      <c r="AV129" s="1211"/>
      <c r="AW129" s="1211"/>
      <c r="AX129" s="1211"/>
      <c r="AY129" s="1211"/>
      <c r="AZ129" s="1211"/>
      <c r="BA129" s="1211"/>
      <c r="BC129" s="1211"/>
      <c r="BE129" s="1211"/>
      <c r="BF129" s="1211"/>
      <c r="BG129" s="1211"/>
    </row>
    <row r="130" spans="18:59" x14ac:dyDescent="0.35">
      <c r="R130" s="1211"/>
      <c r="S130" s="1211"/>
      <c r="W130" s="1211"/>
      <c r="X130" s="1211"/>
      <c r="AE130" s="1211"/>
      <c r="AF130" s="1211"/>
      <c r="AV130" s="1211"/>
      <c r="AW130" s="1211"/>
      <c r="AX130" s="1211"/>
      <c r="AY130" s="1211"/>
      <c r="AZ130" s="1211"/>
      <c r="BA130" s="1211"/>
      <c r="BC130" s="1211"/>
      <c r="BE130" s="1211"/>
      <c r="BF130" s="1211"/>
      <c r="BG130" s="1211"/>
    </row>
    <row r="131" spans="18:59" x14ac:dyDescent="0.35">
      <c r="R131" s="1211"/>
      <c r="S131" s="1211"/>
      <c r="W131" s="1211"/>
      <c r="X131" s="1211"/>
      <c r="AE131" s="1211"/>
      <c r="AF131" s="1211"/>
      <c r="AV131" s="1211"/>
      <c r="AW131" s="1211"/>
      <c r="AX131" s="1211"/>
      <c r="AY131" s="1211"/>
      <c r="AZ131" s="1211"/>
      <c r="BA131" s="1211"/>
      <c r="BC131" s="1211"/>
      <c r="BE131" s="1211"/>
      <c r="BF131" s="1211"/>
      <c r="BG131" s="1211"/>
    </row>
    <row r="132" spans="18:59" x14ac:dyDescent="0.35">
      <c r="R132" s="1211"/>
      <c r="S132" s="1211"/>
      <c r="W132" s="1211"/>
      <c r="X132" s="1211"/>
      <c r="AE132" s="1211"/>
      <c r="AF132" s="1211"/>
      <c r="AV132" s="1211"/>
      <c r="AW132" s="1211"/>
      <c r="AX132" s="1211"/>
      <c r="AY132" s="1211"/>
      <c r="AZ132" s="1211"/>
      <c r="BA132" s="1211"/>
      <c r="BC132" s="1211"/>
      <c r="BE132" s="1211"/>
      <c r="BF132" s="1211"/>
      <c r="BG132" s="1211"/>
    </row>
    <row r="133" spans="18:59" x14ac:dyDescent="0.35">
      <c r="R133" s="1211"/>
      <c r="S133" s="1211"/>
      <c r="W133" s="1211"/>
      <c r="X133" s="1211"/>
      <c r="AE133" s="1211"/>
      <c r="AF133" s="1211"/>
      <c r="AV133" s="1211"/>
      <c r="AW133" s="1211"/>
      <c r="AX133" s="1211"/>
      <c r="AY133" s="1211"/>
      <c r="AZ133" s="1211"/>
      <c r="BA133" s="1211"/>
      <c r="BC133" s="1211"/>
      <c r="BE133" s="1211"/>
      <c r="BF133" s="1211"/>
      <c r="BG133" s="1211"/>
    </row>
    <row r="134" spans="18:59" x14ac:dyDescent="0.35">
      <c r="R134" s="1211"/>
      <c r="S134" s="1211"/>
      <c r="W134" s="1211"/>
      <c r="X134" s="1211"/>
      <c r="AE134" s="1211"/>
      <c r="AF134" s="1211"/>
      <c r="AV134" s="1211"/>
      <c r="AW134" s="1211"/>
      <c r="AX134" s="1211"/>
      <c r="AY134" s="1211"/>
      <c r="AZ134" s="1211"/>
      <c r="BA134" s="1211"/>
      <c r="BC134" s="1211"/>
      <c r="BE134" s="1211"/>
      <c r="BF134" s="1211"/>
      <c r="BG134" s="1211"/>
    </row>
    <row r="135" spans="18:59" x14ac:dyDescent="0.35">
      <c r="R135" s="1211"/>
      <c r="S135" s="1211"/>
      <c r="W135" s="1211"/>
      <c r="X135" s="1211"/>
      <c r="AE135" s="1211"/>
      <c r="AF135" s="1211"/>
      <c r="AV135" s="1211"/>
      <c r="AW135" s="1211"/>
      <c r="AX135" s="1211"/>
      <c r="AY135" s="1211"/>
      <c r="AZ135" s="1211"/>
      <c r="BA135" s="1211"/>
      <c r="BC135" s="1211"/>
      <c r="BE135" s="1211"/>
      <c r="BF135" s="1211"/>
      <c r="BG135" s="1211"/>
    </row>
    <row r="136" spans="18:59" x14ac:dyDescent="0.35">
      <c r="R136" s="1211"/>
      <c r="S136" s="1211"/>
      <c r="W136" s="1211"/>
      <c r="X136" s="1211"/>
      <c r="AE136" s="1211"/>
      <c r="AF136" s="1211"/>
      <c r="AV136" s="1211"/>
      <c r="AW136" s="1211"/>
      <c r="AX136" s="1211"/>
      <c r="AY136" s="1211"/>
      <c r="AZ136" s="1211"/>
      <c r="BA136" s="1211"/>
      <c r="BC136" s="1211"/>
      <c r="BE136" s="1211"/>
      <c r="BF136" s="1211"/>
      <c r="BG136" s="1211"/>
    </row>
    <row r="137" spans="18:59" x14ac:dyDescent="0.35">
      <c r="R137" s="1211"/>
      <c r="S137" s="1211"/>
      <c r="W137" s="1211"/>
      <c r="X137" s="1211"/>
      <c r="AE137" s="1211"/>
      <c r="AF137" s="1211"/>
      <c r="AV137" s="1211"/>
      <c r="AW137" s="1211"/>
      <c r="AX137" s="1211"/>
      <c r="AY137" s="1211"/>
      <c r="AZ137" s="1211"/>
      <c r="BA137" s="1211"/>
      <c r="BC137" s="1211"/>
      <c r="BE137" s="1211"/>
      <c r="BF137" s="1211"/>
      <c r="BG137" s="1211"/>
    </row>
    <row r="138" spans="18:59" x14ac:dyDescent="0.35">
      <c r="R138" s="1211"/>
      <c r="S138" s="1211"/>
      <c r="W138" s="1211"/>
      <c r="X138" s="1211"/>
      <c r="AE138" s="1211"/>
      <c r="AF138" s="1211"/>
      <c r="AV138" s="1211"/>
      <c r="AW138" s="1211"/>
      <c r="AX138" s="1211"/>
      <c r="AY138" s="1211"/>
      <c r="AZ138" s="1211"/>
      <c r="BA138" s="1211"/>
      <c r="BC138" s="1211"/>
      <c r="BE138" s="1211"/>
      <c r="BF138" s="1211"/>
      <c r="BG138" s="1211"/>
    </row>
    <row r="139" spans="18:59" x14ac:dyDescent="0.35">
      <c r="R139" s="1211"/>
      <c r="S139" s="1211"/>
      <c r="W139" s="1211"/>
      <c r="X139" s="1211"/>
      <c r="AE139" s="1211"/>
      <c r="AF139" s="1211"/>
      <c r="AV139" s="1211"/>
      <c r="AW139" s="1211"/>
      <c r="AX139" s="1211"/>
      <c r="AY139" s="1211"/>
      <c r="AZ139" s="1211"/>
      <c r="BA139" s="1211"/>
      <c r="BC139" s="1211"/>
      <c r="BE139" s="1211"/>
      <c r="BF139" s="1211"/>
      <c r="BG139" s="1211"/>
    </row>
    <row r="140" spans="18:59" x14ac:dyDescent="0.35">
      <c r="R140" s="1211"/>
      <c r="S140" s="1211"/>
      <c r="W140" s="1211"/>
      <c r="X140" s="1211"/>
      <c r="AE140" s="1211"/>
      <c r="AF140" s="1211"/>
      <c r="AV140" s="1211"/>
      <c r="AW140" s="1211"/>
      <c r="AX140" s="1211"/>
      <c r="AY140" s="1211"/>
      <c r="AZ140" s="1211"/>
      <c r="BA140" s="1211"/>
      <c r="BC140" s="1211"/>
      <c r="BE140" s="1211"/>
      <c r="BF140" s="1211"/>
      <c r="BG140" s="1211"/>
    </row>
    <row r="141" spans="18:59" x14ac:dyDescent="0.35">
      <c r="R141" s="1211"/>
      <c r="S141" s="1211"/>
      <c r="W141" s="1211"/>
      <c r="X141" s="1211"/>
      <c r="AE141" s="1211"/>
      <c r="AF141" s="1211"/>
      <c r="AV141" s="1211"/>
      <c r="AW141" s="1211"/>
      <c r="AX141" s="1211"/>
      <c r="AY141" s="1211"/>
      <c r="AZ141" s="1211"/>
      <c r="BA141" s="1211"/>
      <c r="BC141" s="1211"/>
      <c r="BE141" s="1211"/>
      <c r="BF141" s="1211"/>
      <c r="BG141" s="1211"/>
    </row>
    <row r="142" spans="18:59" x14ac:dyDescent="0.35">
      <c r="R142" s="1211"/>
      <c r="S142" s="1211"/>
      <c r="W142" s="1211"/>
      <c r="X142" s="1211"/>
      <c r="AE142" s="1211"/>
      <c r="AF142" s="1211"/>
      <c r="AV142" s="1211"/>
      <c r="AW142" s="1211"/>
      <c r="AX142" s="1211"/>
      <c r="AY142" s="1211"/>
      <c r="AZ142" s="1211"/>
      <c r="BA142" s="1211"/>
      <c r="BC142" s="1211"/>
      <c r="BE142" s="1211"/>
      <c r="BF142" s="1211"/>
      <c r="BG142" s="1211"/>
    </row>
    <row r="143" spans="18:59" x14ac:dyDescent="0.35">
      <c r="R143" s="1211"/>
      <c r="S143" s="1211"/>
      <c r="W143" s="1211"/>
      <c r="X143" s="1211"/>
      <c r="AE143" s="1211"/>
      <c r="AF143" s="1211"/>
      <c r="AV143" s="1211"/>
      <c r="AW143" s="1211"/>
      <c r="AX143" s="1211"/>
      <c r="AY143" s="1211"/>
      <c r="AZ143" s="1211"/>
      <c r="BA143" s="1211"/>
      <c r="BC143" s="1211"/>
      <c r="BE143" s="1211"/>
      <c r="BF143" s="1211"/>
      <c r="BG143" s="1211"/>
    </row>
    <row r="144" spans="18:59" x14ac:dyDescent="0.35">
      <c r="R144" s="1211"/>
      <c r="S144" s="1211"/>
      <c r="W144" s="1211"/>
      <c r="X144" s="1211"/>
      <c r="AE144" s="1211"/>
      <c r="AF144" s="1211"/>
      <c r="AV144" s="1211"/>
      <c r="AW144" s="1211"/>
      <c r="AX144" s="1211"/>
      <c r="AY144" s="1211"/>
      <c r="AZ144" s="1211"/>
      <c r="BA144" s="1211"/>
      <c r="BC144" s="1211"/>
      <c r="BE144" s="1211"/>
      <c r="BF144" s="1211"/>
      <c r="BG144" s="1211"/>
    </row>
    <row r="145" spans="18:59" x14ac:dyDescent="0.35">
      <c r="R145" s="1211"/>
      <c r="S145" s="1211"/>
      <c r="W145" s="1211"/>
      <c r="X145" s="1211"/>
      <c r="AE145" s="1211"/>
      <c r="AF145" s="1211"/>
      <c r="AV145" s="1211"/>
      <c r="AW145" s="1211"/>
      <c r="AX145" s="1211"/>
      <c r="AY145" s="1211"/>
      <c r="AZ145" s="1211"/>
      <c r="BA145" s="1211"/>
      <c r="BC145" s="1211"/>
      <c r="BE145" s="1211"/>
      <c r="BF145" s="1211"/>
      <c r="BG145" s="1211"/>
    </row>
    <row r="146" spans="18:59" x14ac:dyDescent="0.35">
      <c r="R146" s="1211"/>
      <c r="S146" s="1211"/>
      <c r="W146" s="1211"/>
      <c r="X146" s="1211"/>
      <c r="AE146" s="1211"/>
      <c r="AF146" s="1211"/>
      <c r="AV146" s="1211"/>
      <c r="AW146" s="1211"/>
      <c r="AX146" s="1211"/>
      <c r="AY146" s="1211"/>
      <c r="AZ146" s="1211"/>
      <c r="BA146" s="1211"/>
      <c r="BC146" s="1211"/>
      <c r="BE146" s="1211"/>
      <c r="BF146" s="1211"/>
      <c r="BG146" s="1211"/>
    </row>
    <row r="147" spans="18:59" x14ac:dyDescent="0.35">
      <c r="R147" s="1211"/>
      <c r="S147" s="1211"/>
      <c r="W147" s="1211"/>
      <c r="X147" s="1211"/>
      <c r="AE147" s="1211"/>
      <c r="AF147" s="1211"/>
      <c r="AV147" s="1211"/>
      <c r="AW147" s="1211"/>
      <c r="AX147" s="1211"/>
      <c r="AY147" s="1211"/>
      <c r="AZ147" s="1211"/>
      <c r="BA147" s="1211"/>
      <c r="BC147" s="1211"/>
      <c r="BE147" s="1211"/>
      <c r="BF147" s="1211"/>
      <c r="BG147" s="1211"/>
    </row>
    <row r="148" spans="18:59" x14ac:dyDescent="0.35">
      <c r="R148" s="1211"/>
      <c r="S148" s="1211"/>
      <c r="W148" s="1211"/>
      <c r="X148" s="1211"/>
      <c r="AE148" s="1211"/>
      <c r="AF148" s="1211"/>
      <c r="AV148" s="1211"/>
      <c r="AW148" s="1211"/>
      <c r="AX148" s="1211"/>
      <c r="AY148" s="1211"/>
      <c r="AZ148" s="1211"/>
      <c r="BA148" s="1211"/>
      <c r="BC148" s="1211"/>
      <c r="BE148" s="1211"/>
      <c r="BF148" s="1211"/>
      <c r="BG148" s="1211"/>
    </row>
    <row r="149" spans="18:59" x14ac:dyDescent="0.35">
      <c r="R149" s="1211"/>
      <c r="S149" s="1211"/>
      <c r="W149" s="1211"/>
      <c r="X149" s="1211"/>
      <c r="AE149" s="1211"/>
      <c r="AF149" s="1211"/>
      <c r="AV149" s="1211"/>
      <c r="AW149" s="1211"/>
      <c r="AX149" s="1211"/>
      <c r="AY149" s="1211"/>
      <c r="AZ149" s="1211"/>
      <c r="BA149" s="1211"/>
      <c r="BC149" s="1211"/>
      <c r="BE149" s="1211"/>
      <c r="BF149" s="1211"/>
      <c r="BG149" s="1211"/>
    </row>
    <row r="150" spans="18:59" x14ac:dyDescent="0.35">
      <c r="R150" s="1211"/>
      <c r="S150" s="1211"/>
      <c r="W150" s="1211"/>
      <c r="X150" s="1211"/>
      <c r="AE150" s="1211"/>
      <c r="AF150" s="1211"/>
      <c r="AV150" s="1211"/>
      <c r="AW150" s="1211"/>
      <c r="AX150" s="1211"/>
      <c r="AY150" s="1211"/>
      <c r="AZ150" s="1211"/>
      <c r="BA150" s="1211"/>
      <c r="BC150" s="1211"/>
      <c r="BE150" s="1211"/>
      <c r="BF150" s="1211"/>
      <c r="BG150" s="1211"/>
    </row>
    <row r="151" spans="18:59" x14ac:dyDescent="0.35">
      <c r="R151" s="1211"/>
      <c r="S151" s="1211"/>
      <c r="W151" s="1211"/>
      <c r="X151" s="1211"/>
      <c r="AE151" s="1211"/>
      <c r="AF151" s="1211"/>
      <c r="AV151" s="1211"/>
      <c r="AW151" s="1211"/>
      <c r="AX151" s="1211"/>
      <c r="AY151" s="1211"/>
      <c r="AZ151" s="1211"/>
      <c r="BA151" s="1211"/>
      <c r="BC151" s="1211"/>
      <c r="BE151" s="1211"/>
      <c r="BF151" s="1211"/>
      <c r="BG151" s="1211"/>
    </row>
    <row r="152" spans="18:59" x14ac:dyDescent="0.35">
      <c r="R152" s="1211"/>
      <c r="S152" s="1211"/>
      <c r="W152" s="1211"/>
      <c r="X152" s="1211"/>
      <c r="AE152" s="1211"/>
      <c r="AF152" s="1211"/>
      <c r="AV152" s="1211"/>
      <c r="AW152" s="1211"/>
      <c r="AX152" s="1211"/>
      <c r="AY152" s="1211"/>
      <c r="AZ152" s="1211"/>
      <c r="BA152" s="1211"/>
      <c r="BC152" s="1211"/>
      <c r="BE152" s="1211"/>
      <c r="BF152" s="1211"/>
      <c r="BG152" s="1211"/>
    </row>
    <row r="153" spans="18:59" x14ac:dyDescent="0.35">
      <c r="R153" s="1211"/>
      <c r="S153" s="1211"/>
      <c r="W153" s="1211"/>
      <c r="X153" s="1211"/>
      <c r="AE153" s="1211"/>
      <c r="AF153" s="1211"/>
      <c r="AV153" s="1211"/>
      <c r="AW153" s="1211"/>
      <c r="AX153" s="1211"/>
      <c r="AY153" s="1211"/>
      <c r="AZ153" s="1211"/>
      <c r="BA153" s="1211"/>
      <c r="BC153" s="1211"/>
      <c r="BE153" s="1211"/>
      <c r="BF153" s="1211"/>
      <c r="BG153" s="1211"/>
    </row>
    <row r="154" spans="18:59" x14ac:dyDescent="0.35">
      <c r="R154" s="1211"/>
      <c r="S154" s="1211"/>
      <c r="W154" s="1211"/>
      <c r="X154" s="1211"/>
      <c r="AE154" s="1211"/>
      <c r="AF154" s="1211"/>
      <c r="AV154" s="1211"/>
      <c r="AW154" s="1211"/>
      <c r="AX154" s="1211"/>
      <c r="AY154" s="1211"/>
      <c r="AZ154" s="1211"/>
      <c r="BA154" s="1211"/>
      <c r="BC154" s="1211"/>
      <c r="BE154" s="1211"/>
      <c r="BF154" s="1211"/>
      <c r="BG154" s="1211"/>
    </row>
    <row r="155" spans="18:59" x14ac:dyDescent="0.35">
      <c r="R155" s="1211"/>
      <c r="S155" s="1211"/>
      <c r="W155" s="1211"/>
      <c r="X155" s="1211"/>
      <c r="AE155" s="1211"/>
      <c r="AF155" s="1211"/>
      <c r="AV155" s="1211"/>
      <c r="AW155" s="1211"/>
      <c r="AX155" s="1211"/>
      <c r="AY155" s="1211"/>
      <c r="AZ155" s="1211"/>
      <c r="BA155" s="1211"/>
      <c r="BC155" s="1211"/>
      <c r="BE155" s="1211"/>
      <c r="BF155" s="1211"/>
      <c r="BG155" s="1211"/>
    </row>
    <row r="156" spans="18:59" x14ac:dyDescent="0.35">
      <c r="R156" s="1211"/>
      <c r="S156" s="1211"/>
      <c r="W156" s="1211"/>
      <c r="X156" s="1211"/>
      <c r="AE156" s="1211"/>
      <c r="AF156" s="1211"/>
      <c r="AV156" s="1211"/>
      <c r="AW156" s="1211"/>
      <c r="AX156" s="1211"/>
      <c r="AY156" s="1211"/>
      <c r="AZ156" s="1211"/>
      <c r="BA156" s="1211"/>
      <c r="BC156" s="1211"/>
      <c r="BE156" s="1211"/>
      <c r="BF156" s="1211"/>
      <c r="BG156" s="1211"/>
    </row>
    <row r="157" spans="18:59" x14ac:dyDescent="0.35">
      <c r="R157" s="1211"/>
      <c r="S157" s="1211"/>
      <c r="W157" s="1211"/>
      <c r="X157" s="1211"/>
      <c r="AE157" s="1211"/>
      <c r="AF157" s="1211"/>
      <c r="AV157" s="1211"/>
      <c r="AW157" s="1211"/>
      <c r="AX157" s="1211"/>
      <c r="AY157" s="1211"/>
      <c r="AZ157" s="1211"/>
      <c r="BA157" s="1211"/>
      <c r="BC157" s="1211"/>
      <c r="BE157" s="1211"/>
      <c r="BF157" s="1211"/>
      <c r="BG157" s="1211"/>
    </row>
    <row r="158" spans="18:59" x14ac:dyDescent="0.35">
      <c r="R158" s="1211"/>
      <c r="S158" s="1211"/>
      <c r="W158" s="1211"/>
      <c r="X158" s="1211"/>
      <c r="AE158" s="1211"/>
      <c r="AF158" s="1211"/>
      <c r="AV158" s="1211"/>
      <c r="AW158" s="1211"/>
      <c r="AX158" s="1211"/>
      <c r="AY158" s="1211"/>
      <c r="AZ158" s="1211"/>
      <c r="BA158" s="1211"/>
      <c r="BC158" s="1211"/>
      <c r="BE158" s="1211"/>
      <c r="BF158" s="1211"/>
      <c r="BG158" s="1211"/>
    </row>
    <row r="159" spans="18:59" x14ac:dyDescent="0.35">
      <c r="R159" s="1211"/>
      <c r="S159" s="1211"/>
      <c r="W159" s="1211"/>
      <c r="X159" s="1211"/>
      <c r="AE159" s="1211"/>
      <c r="AF159" s="1211"/>
      <c r="AV159" s="1211"/>
      <c r="AW159" s="1211"/>
      <c r="AX159" s="1211"/>
      <c r="AY159" s="1211"/>
      <c r="AZ159" s="1211"/>
      <c r="BA159" s="1211"/>
      <c r="BC159" s="1211"/>
      <c r="BE159" s="1211"/>
      <c r="BF159" s="1211"/>
      <c r="BG159" s="1211"/>
    </row>
    <row r="160" spans="18:59" x14ac:dyDescent="0.35">
      <c r="R160" s="1211"/>
      <c r="S160" s="1211"/>
      <c r="W160" s="1211"/>
      <c r="X160" s="1211"/>
      <c r="AE160" s="1211"/>
      <c r="AF160" s="1211"/>
      <c r="AV160" s="1211"/>
      <c r="AW160" s="1211"/>
      <c r="AX160" s="1211"/>
      <c r="AY160" s="1211"/>
      <c r="AZ160" s="1211"/>
      <c r="BA160" s="1211"/>
      <c r="BC160" s="1211"/>
      <c r="BE160" s="1211"/>
      <c r="BF160" s="1211"/>
      <c r="BG160" s="1211"/>
    </row>
    <row r="161" spans="18:59" x14ac:dyDescent="0.35">
      <c r="R161" s="1211"/>
      <c r="S161" s="1211"/>
      <c r="W161" s="1211"/>
      <c r="X161" s="1211"/>
      <c r="AE161" s="1211"/>
      <c r="AF161" s="1211"/>
      <c r="AV161" s="1211"/>
      <c r="AW161" s="1211"/>
      <c r="AX161" s="1211"/>
      <c r="AY161" s="1211"/>
      <c r="AZ161" s="1211"/>
      <c r="BA161" s="1211"/>
      <c r="BC161" s="1211"/>
      <c r="BE161" s="1211"/>
      <c r="BF161" s="1211"/>
      <c r="BG161" s="1211"/>
    </row>
    <row r="162" spans="18:59" x14ac:dyDescent="0.35">
      <c r="R162" s="1211"/>
      <c r="S162" s="1211"/>
      <c r="W162" s="1211"/>
      <c r="X162" s="1211"/>
      <c r="AE162" s="1211"/>
      <c r="AF162" s="1211"/>
      <c r="AV162" s="1211"/>
      <c r="AW162" s="1211"/>
      <c r="AX162" s="1211"/>
      <c r="AY162" s="1211"/>
      <c r="AZ162" s="1211"/>
      <c r="BA162" s="1211"/>
      <c r="BC162" s="1211"/>
      <c r="BE162" s="1211"/>
      <c r="BF162" s="1211"/>
      <c r="BG162" s="1211"/>
    </row>
    <row r="163" spans="18:59" x14ac:dyDescent="0.35">
      <c r="R163" s="1211"/>
      <c r="S163" s="1211"/>
      <c r="W163" s="1211"/>
      <c r="X163" s="1211"/>
      <c r="AE163" s="1211"/>
      <c r="AF163" s="1211"/>
      <c r="AV163" s="1211"/>
      <c r="AW163" s="1211"/>
      <c r="AX163" s="1211"/>
      <c r="AY163" s="1211"/>
      <c r="AZ163" s="1211"/>
      <c r="BA163" s="1211"/>
      <c r="BC163" s="1211"/>
      <c r="BE163" s="1211"/>
      <c r="BF163" s="1211"/>
      <c r="BG163" s="1211"/>
    </row>
    <row r="164" spans="18:59" x14ac:dyDescent="0.35">
      <c r="R164" s="1211"/>
      <c r="S164" s="1211"/>
      <c r="W164" s="1211"/>
      <c r="X164" s="1211"/>
      <c r="AE164" s="1211"/>
      <c r="AF164" s="1211"/>
      <c r="AV164" s="1211"/>
      <c r="AW164" s="1211"/>
      <c r="AX164" s="1211"/>
      <c r="AY164" s="1211"/>
      <c r="AZ164" s="1211"/>
      <c r="BA164" s="1211"/>
      <c r="BC164" s="1211"/>
      <c r="BE164" s="1211"/>
      <c r="BF164" s="1211"/>
      <c r="BG164" s="1211"/>
    </row>
    <row r="165" spans="18:59" x14ac:dyDescent="0.35">
      <c r="R165" s="1211"/>
      <c r="S165" s="1211"/>
      <c r="W165" s="1211"/>
      <c r="X165" s="1211"/>
      <c r="AE165" s="1211"/>
      <c r="AF165" s="1211"/>
      <c r="AV165" s="1211"/>
      <c r="AW165" s="1211"/>
      <c r="AX165" s="1211"/>
      <c r="AY165" s="1211"/>
      <c r="AZ165" s="1211"/>
      <c r="BA165" s="1211"/>
      <c r="BC165" s="1211"/>
      <c r="BE165" s="1211"/>
      <c r="BF165" s="1211"/>
      <c r="BG165" s="1211"/>
    </row>
    <row r="166" spans="18:59" x14ac:dyDescent="0.35">
      <c r="R166" s="1211"/>
      <c r="S166" s="1211"/>
      <c r="W166" s="1211"/>
      <c r="X166" s="1211"/>
      <c r="AE166" s="1211"/>
      <c r="AF166" s="1211"/>
      <c r="AV166" s="1211"/>
      <c r="AW166" s="1211"/>
      <c r="AX166" s="1211"/>
      <c r="AY166" s="1211"/>
      <c r="AZ166" s="1211"/>
      <c r="BA166" s="1211"/>
      <c r="BC166" s="1211"/>
      <c r="BE166" s="1211"/>
      <c r="BF166" s="1211"/>
      <c r="BG166" s="1211"/>
    </row>
    <row r="167" spans="18:59" x14ac:dyDescent="0.35">
      <c r="R167" s="1211"/>
      <c r="S167" s="1211"/>
      <c r="W167" s="1211"/>
      <c r="X167" s="1211"/>
      <c r="AE167" s="1211"/>
      <c r="AF167" s="1211"/>
      <c r="AV167" s="1211"/>
      <c r="AW167" s="1211"/>
      <c r="AX167" s="1211"/>
      <c r="AY167" s="1211"/>
      <c r="AZ167" s="1211"/>
      <c r="BA167" s="1211"/>
      <c r="BC167" s="1211"/>
      <c r="BE167" s="1211"/>
      <c r="BF167" s="1211"/>
      <c r="BG167" s="1211"/>
    </row>
    <row r="168" spans="18:59" x14ac:dyDescent="0.35">
      <c r="R168" s="1211"/>
      <c r="S168" s="1211"/>
      <c r="W168" s="1211"/>
      <c r="X168" s="1211"/>
      <c r="AE168" s="1211"/>
      <c r="AF168" s="1211"/>
      <c r="AV168" s="1211"/>
      <c r="AW168" s="1211"/>
      <c r="AX168" s="1211"/>
      <c r="AY168" s="1211"/>
      <c r="AZ168" s="1211"/>
      <c r="BA168" s="1211"/>
      <c r="BC168" s="1211"/>
      <c r="BE168" s="1211"/>
      <c r="BF168" s="1211"/>
      <c r="BG168" s="1211"/>
    </row>
    <row r="169" spans="18:59" x14ac:dyDescent="0.35">
      <c r="R169" s="1211"/>
      <c r="S169" s="1211"/>
      <c r="W169" s="1211"/>
      <c r="X169" s="1211"/>
      <c r="AE169" s="1211"/>
      <c r="AF169" s="1211"/>
      <c r="AV169" s="1211"/>
      <c r="AW169" s="1211"/>
      <c r="AX169" s="1211"/>
      <c r="AY169" s="1211"/>
      <c r="AZ169" s="1211"/>
      <c r="BA169" s="1211"/>
      <c r="BC169" s="1211"/>
      <c r="BE169" s="1211"/>
      <c r="BF169" s="1211"/>
      <c r="BG169" s="1211"/>
    </row>
    <row r="170" spans="18:59" x14ac:dyDescent="0.35">
      <c r="R170" s="1211"/>
      <c r="S170" s="1211"/>
      <c r="W170" s="1211"/>
      <c r="X170" s="1211"/>
      <c r="AE170" s="1211"/>
      <c r="AF170" s="1211"/>
      <c r="AV170" s="1211"/>
      <c r="AW170" s="1211"/>
      <c r="AX170" s="1211"/>
      <c r="AY170" s="1211"/>
      <c r="AZ170" s="1211"/>
      <c r="BA170" s="1211"/>
      <c r="BC170" s="1211"/>
      <c r="BE170" s="1211"/>
      <c r="BF170" s="1211"/>
      <c r="BG170" s="1211"/>
    </row>
    <row r="171" spans="18:59" x14ac:dyDescent="0.35">
      <c r="R171" s="1211"/>
      <c r="S171" s="1211"/>
      <c r="W171" s="1211"/>
      <c r="X171" s="1211"/>
      <c r="AE171" s="1211"/>
      <c r="AF171" s="1211"/>
      <c r="AV171" s="1211"/>
      <c r="AW171" s="1211"/>
      <c r="AX171" s="1211"/>
      <c r="AY171" s="1211"/>
      <c r="AZ171" s="1211"/>
      <c r="BA171" s="1211"/>
      <c r="BC171" s="1211"/>
      <c r="BE171" s="1211"/>
      <c r="BF171" s="1211"/>
      <c r="BG171" s="1211"/>
    </row>
    <row r="172" spans="18:59" x14ac:dyDescent="0.35">
      <c r="R172" s="1211"/>
      <c r="S172" s="1211"/>
      <c r="W172" s="1211"/>
      <c r="X172" s="1211"/>
      <c r="AE172" s="1211"/>
      <c r="AF172" s="1211"/>
      <c r="AV172" s="1211"/>
      <c r="AW172" s="1211"/>
      <c r="AX172" s="1211"/>
      <c r="AY172" s="1211"/>
      <c r="AZ172" s="1211"/>
      <c r="BA172" s="1211"/>
      <c r="BC172" s="1211"/>
      <c r="BE172" s="1211"/>
      <c r="BF172" s="1211"/>
      <c r="BG172" s="1211"/>
    </row>
    <row r="173" spans="18:59" x14ac:dyDescent="0.35">
      <c r="R173" s="1211"/>
      <c r="S173" s="1211"/>
      <c r="W173" s="1211"/>
      <c r="X173" s="1211"/>
      <c r="AE173" s="1211"/>
      <c r="AF173" s="1211"/>
      <c r="AV173" s="1211"/>
      <c r="AW173" s="1211"/>
      <c r="AX173" s="1211"/>
      <c r="AY173" s="1211"/>
      <c r="AZ173" s="1211"/>
      <c r="BA173" s="1211"/>
      <c r="BC173" s="1211"/>
      <c r="BE173" s="1211"/>
      <c r="BF173" s="1211"/>
      <c r="BG173" s="1211"/>
    </row>
    <row r="174" spans="18:59" x14ac:dyDescent="0.35">
      <c r="R174" s="1211"/>
      <c r="S174" s="1211"/>
      <c r="W174" s="1211"/>
      <c r="X174" s="1211"/>
      <c r="AE174" s="1211"/>
      <c r="AF174" s="1211"/>
      <c r="AV174" s="1211"/>
      <c r="AW174" s="1211"/>
      <c r="AX174" s="1211"/>
      <c r="AY174" s="1211"/>
      <c r="AZ174" s="1211"/>
      <c r="BA174" s="1211"/>
      <c r="BC174" s="1211"/>
      <c r="BE174" s="1211"/>
      <c r="BF174" s="1211"/>
      <c r="BG174" s="1211"/>
    </row>
    <row r="175" spans="18:59" x14ac:dyDescent="0.35">
      <c r="R175" s="1211"/>
      <c r="S175" s="1211"/>
      <c r="W175" s="1211"/>
      <c r="X175" s="1211"/>
      <c r="AE175" s="1211"/>
      <c r="AF175" s="1211"/>
      <c r="AV175" s="1211"/>
      <c r="AW175" s="1211"/>
      <c r="AX175" s="1211"/>
      <c r="AY175" s="1211"/>
      <c r="AZ175" s="1211"/>
      <c r="BA175" s="1211"/>
      <c r="BC175" s="1211"/>
      <c r="BE175" s="1211"/>
      <c r="BF175" s="1211"/>
      <c r="BG175" s="1211"/>
    </row>
    <row r="176" spans="18:59" x14ac:dyDescent="0.35">
      <c r="R176" s="1211"/>
      <c r="S176" s="1211"/>
      <c r="W176" s="1211"/>
      <c r="X176" s="1211"/>
      <c r="AE176" s="1211"/>
      <c r="AF176" s="1211"/>
      <c r="AV176" s="1211"/>
      <c r="AW176" s="1211"/>
      <c r="AX176" s="1211"/>
      <c r="AY176" s="1211"/>
      <c r="AZ176" s="1211"/>
      <c r="BA176" s="1211"/>
      <c r="BC176" s="1211"/>
      <c r="BE176" s="1211"/>
      <c r="BF176" s="1211"/>
      <c r="BG176" s="1211"/>
    </row>
    <row r="177" spans="18:59" x14ac:dyDescent="0.35">
      <c r="R177" s="1211"/>
      <c r="S177" s="1211"/>
      <c r="W177" s="1211"/>
      <c r="X177" s="1211"/>
      <c r="AE177" s="1211"/>
      <c r="AF177" s="1211"/>
      <c r="AV177" s="1211"/>
      <c r="AW177" s="1211"/>
      <c r="AX177" s="1211"/>
      <c r="AY177" s="1211"/>
      <c r="AZ177" s="1211"/>
      <c r="BA177" s="1211"/>
      <c r="BC177" s="1211"/>
      <c r="BE177" s="1211"/>
      <c r="BF177" s="1211"/>
      <c r="BG177" s="1211"/>
    </row>
    <row r="178" spans="18:59" x14ac:dyDescent="0.35">
      <c r="R178" s="1211"/>
      <c r="S178" s="1211"/>
      <c r="W178" s="1211"/>
      <c r="X178" s="1211"/>
      <c r="AE178" s="1211"/>
      <c r="AF178" s="1211"/>
      <c r="AV178" s="1211"/>
      <c r="AW178" s="1211"/>
      <c r="AX178" s="1211"/>
      <c r="AY178" s="1211"/>
      <c r="AZ178" s="1211"/>
      <c r="BA178" s="1211"/>
      <c r="BC178" s="1211"/>
      <c r="BE178" s="1211"/>
      <c r="BF178" s="1211"/>
      <c r="BG178" s="1211"/>
    </row>
    <row r="179" spans="18:59" x14ac:dyDescent="0.35">
      <c r="R179" s="1211"/>
      <c r="S179" s="1211"/>
      <c r="W179" s="1211"/>
      <c r="X179" s="1211"/>
      <c r="AE179" s="1211"/>
      <c r="AF179" s="1211"/>
      <c r="AV179" s="1211"/>
      <c r="AW179" s="1211"/>
      <c r="AX179" s="1211"/>
      <c r="AY179" s="1211"/>
      <c r="AZ179" s="1211"/>
      <c r="BA179" s="1211"/>
      <c r="BC179" s="1211"/>
      <c r="BE179" s="1211"/>
      <c r="BF179" s="1211"/>
      <c r="BG179" s="1211"/>
    </row>
    <row r="180" spans="18:59" x14ac:dyDescent="0.35">
      <c r="R180" s="1211"/>
      <c r="S180" s="1211"/>
      <c r="W180" s="1211"/>
      <c r="X180" s="1211"/>
      <c r="AE180" s="1211"/>
      <c r="AF180" s="1211"/>
      <c r="AV180" s="1211"/>
      <c r="AW180" s="1211"/>
      <c r="AX180" s="1211"/>
      <c r="AY180" s="1211"/>
      <c r="AZ180" s="1211"/>
      <c r="BA180" s="1211"/>
      <c r="BC180" s="1211"/>
      <c r="BE180" s="1211"/>
      <c r="BF180" s="1211"/>
      <c r="BG180" s="1211"/>
    </row>
    <row r="181" spans="18:59" x14ac:dyDescent="0.35">
      <c r="R181" s="1211"/>
      <c r="S181" s="1211"/>
      <c r="W181" s="1211"/>
      <c r="X181" s="1211"/>
      <c r="AE181" s="1211"/>
      <c r="AF181" s="1211"/>
      <c r="AV181" s="1211"/>
      <c r="AW181" s="1211"/>
      <c r="AX181" s="1211"/>
      <c r="AY181" s="1211"/>
      <c r="AZ181" s="1211"/>
      <c r="BA181" s="1211"/>
      <c r="BC181" s="1211"/>
      <c r="BE181" s="1211"/>
      <c r="BF181" s="1211"/>
      <c r="BG181" s="1211"/>
    </row>
    <row r="182" spans="18:59" x14ac:dyDescent="0.35">
      <c r="R182" s="1211"/>
      <c r="S182" s="1211"/>
      <c r="W182" s="1211"/>
      <c r="X182" s="1211"/>
      <c r="AE182" s="1211"/>
      <c r="AF182" s="1211"/>
      <c r="AV182" s="1211"/>
      <c r="AW182" s="1211"/>
      <c r="AX182" s="1211"/>
      <c r="AY182" s="1211"/>
      <c r="AZ182" s="1211"/>
      <c r="BA182" s="1211"/>
      <c r="BC182" s="1211"/>
      <c r="BE182" s="1211"/>
      <c r="BF182" s="1211"/>
      <c r="BG182" s="1211"/>
    </row>
    <row r="183" spans="18:59" x14ac:dyDescent="0.35">
      <c r="R183" s="1211"/>
      <c r="S183" s="1211"/>
      <c r="W183" s="1211"/>
      <c r="X183" s="1211"/>
      <c r="AE183" s="1211"/>
      <c r="AF183" s="1211"/>
      <c r="AV183" s="1211"/>
      <c r="AW183" s="1211"/>
      <c r="AX183" s="1211"/>
      <c r="AY183" s="1211"/>
      <c r="AZ183" s="1211"/>
      <c r="BA183" s="1211"/>
      <c r="BC183" s="1211"/>
      <c r="BE183" s="1211"/>
      <c r="BF183" s="1211"/>
      <c r="BG183" s="1211"/>
    </row>
    <row r="184" spans="18:59" x14ac:dyDescent="0.35">
      <c r="R184" s="1211"/>
      <c r="S184" s="1211"/>
      <c r="W184" s="1211"/>
      <c r="X184" s="1211"/>
      <c r="AE184" s="1211"/>
      <c r="AF184" s="1211"/>
      <c r="AV184" s="1211"/>
      <c r="AW184" s="1211"/>
      <c r="AX184" s="1211"/>
      <c r="AY184" s="1211"/>
      <c r="AZ184" s="1211"/>
      <c r="BA184" s="1211"/>
      <c r="BC184" s="1211"/>
      <c r="BE184" s="1211"/>
      <c r="BF184" s="1211"/>
      <c r="BG184" s="1211"/>
    </row>
    <row r="185" spans="18:59" x14ac:dyDescent="0.35">
      <c r="R185" s="1211"/>
      <c r="S185" s="1211"/>
      <c r="W185" s="1211"/>
      <c r="X185" s="1211"/>
      <c r="AE185" s="1211"/>
      <c r="AF185" s="1211"/>
      <c r="AV185" s="1211"/>
      <c r="AW185" s="1211"/>
      <c r="AX185" s="1211"/>
      <c r="AY185" s="1211"/>
      <c r="AZ185" s="1211"/>
      <c r="BA185" s="1211"/>
      <c r="BC185" s="1211"/>
      <c r="BE185" s="1211"/>
      <c r="BF185" s="1211"/>
      <c r="BG185" s="1211"/>
    </row>
    <row r="186" spans="18:59" x14ac:dyDescent="0.35">
      <c r="R186" s="1211"/>
      <c r="S186" s="1211"/>
      <c r="W186" s="1211"/>
      <c r="X186" s="1211"/>
      <c r="AE186" s="1211"/>
      <c r="AF186" s="1211"/>
      <c r="AV186" s="1211"/>
      <c r="AW186" s="1211"/>
      <c r="AX186" s="1211"/>
      <c r="AY186" s="1211"/>
      <c r="AZ186" s="1211"/>
      <c r="BA186" s="1211"/>
      <c r="BC186" s="1211"/>
      <c r="BE186" s="1211"/>
      <c r="BF186" s="1211"/>
      <c r="BG186" s="1211"/>
    </row>
    <row r="187" spans="18:59" x14ac:dyDescent="0.35">
      <c r="R187" s="1211"/>
      <c r="S187" s="1211"/>
      <c r="W187" s="1211"/>
      <c r="X187" s="1211"/>
      <c r="AE187" s="1211"/>
      <c r="AF187" s="1211"/>
      <c r="AV187" s="1211"/>
      <c r="AW187" s="1211"/>
      <c r="AX187" s="1211"/>
      <c r="AY187" s="1211"/>
      <c r="AZ187" s="1211"/>
      <c r="BA187" s="1211"/>
      <c r="BC187" s="1211"/>
      <c r="BE187" s="1211"/>
      <c r="BF187" s="1211"/>
      <c r="BG187" s="1211"/>
    </row>
    <row r="188" spans="18:59" x14ac:dyDescent="0.35">
      <c r="R188" s="1211"/>
      <c r="S188" s="1211"/>
      <c r="W188" s="1211"/>
      <c r="X188" s="1211"/>
      <c r="AE188" s="1211"/>
      <c r="AF188" s="1211"/>
      <c r="AV188" s="1211"/>
      <c r="AW188" s="1211"/>
      <c r="AX188" s="1211"/>
      <c r="AY188" s="1211"/>
      <c r="AZ188" s="1211"/>
      <c r="BA188" s="1211"/>
      <c r="BC188" s="1211"/>
      <c r="BE188" s="1211"/>
      <c r="BF188" s="1211"/>
      <c r="BG188" s="1211"/>
    </row>
    <row r="189" spans="18:59" x14ac:dyDescent="0.35">
      <c r="R189" s="1211"/>
      <c r="S189" s="1211"/>
      <c r="W189" s="1211"/>
      <c r="X189" s="1211"/>
      <c r="AE189" s="1211"/>
      <c r="AF189" s="1211"/>
      <c r="AV189" s="1211"/>
      <c r="AW189" s="1211"/>
      <c r="AX189" s="1211"/>
      <c r="AY189" s="1211"/>
      <c r="AZ189" s="1211"/>
      <c r="BA189" s="1211"/>
      <c r="BC189" s="1211"/>
      <c r="BE189" s="1211"/>
      <c r="BF189" s="1211"/>
      <c r="BG189" s="1211"/>
    </row>
    <row r="190" spans="18:59" x14ac:dyDescent="0.35">
      <c r="R190" s="1211"/>
      <c r="S190" s="1211"/>
      <c r="W190" s="1211"/>
      <c r="X190" s="1211"/>
      <c r="AE190" s="1211"/>
      <c r="AF190" s="1211"/>
      <c r="AV190" s="1211"/>
      <c r="AW190" s="1211"/>
      <c r="AX190" s="1211"/>
      <c r="AY190" s="1211"/>
      <c r="AZ190" s="1211"/>
      <c r="BA190" s="1211"/>
      <c r="BC190" s="1211"/>
      <c r="BE190" s="1211"/>
      <c r="BF190" s="1211"/>
      <c r="BG190" s="1211"/>
    </row>
    <row r="191" spans="18:59" x14ac:dyDescent="0.35">
      <c r="R191" s="1211"/>
      <c r="S191" s="1211"/>
      <c r="W191" s="1211"/>
      <c r="X191" s="1211"/>
      <c r="AE191" s="1211"/>
      <c r="AF191" s="1211"/>
      <c r="AV191" s="1211"/>
      <c r="AW191" s="1211"/>
      <c r="AX191" s="1211"/>
      <c r="AY191" s="1211"/>
      <c r="AZ191" s="1211"/>
      <c r="BA191" s="1211"/>
      <c r="BC191" s="1211"/>
      <c r="BE191" s="1211"/>
      <c r="BF191" s="1211"/>
      <c r="BG191" s="1211"/>
    </row>
    <row r="192" spans="18:59" x14ac:dyDescent="0.35">
      <c r="R192" s="1211"/>
      <c r="S192" s="1211"/>
      <c r="W192" s="1211"/>
      <c r="X192" s="1211"/>
      <c r="AE192" s="1211"/>
      <c r="AF192" s="1211"/>
      <c r="AV192" s="1211"/>
      <c r="AW192" s="1211"/>
      <c r="AX192" s="1211"/>
      <c r="AY192" s="1211"/>
      <c r="AZ192" s="1211"/>
      <c r="BA192" s="1211"/>
      <c r="BC192" s="1211"/>
      <c r="BE192" s="1211"/>
      <c r="BF192" s="1211"/>
      <c r="BG192" s="1211"/>
    </row>
    <row r="193" spans="18:59" x14ac:dyDescent="0.35">
      <c r="R193" s="1211"/>
      <c r="S193" s="1211"/>
      <c r="W193" s="1211"/>
      <c r="X193" s="1211"/>
      <c r="AE193" s="1211"/>
      <c r="AF193" s="1211"/>
      <c r="AV193" s="1211"/>
      <c r="AW193" s="1211"/>
      <c r="AX193" s="1211"/>
      <c r="AY193" s="1211"/>
      <c r="AZ193" s="1211"/>
      <c r="BA193" s="1211"/>
      <c r="BC193" s="1211"/>
      <c r="BE193" s="1211"/>
      <c r="BF193" s="1211"/>
      <c r="BG193" s="1211"/>
    </row>
    <row r="194" spans="18:59" x14ac:dyDescent="0.35">
      <c r="R194" s="1211"/>
      <c r="S194" s="1211"/>
      <c r="W194" s="1211"/>
      <c r="X194" s="1211"/>
      <c r="AE194" s="1211"/>
      <c r="AF194" s="1211"/>
      <c r="AV194" s="1211"/>
      <c r="AW194" s="1211"/>
      <c r="AX194" s="1211"/>
      <c r="AY194" s="1211"/>
      <c r="AZ194" s="1211"/>
      <c r="BA194" s="1211"/>
      <c r="BC194" s="1211"/>
      <c r="BE194" s="1211"/>
      <c r="BF194" s="1211"/>
      <c r="BG194" s="1211"/>
    </row>
    <row r="195" spans="18:59" x14ac:dyDescent="0.35">
      <c r="R195" s="1211"/>
      <c r="S195" s="1211"/>
      <c r="W195" s="1211"/>
      <c r="X195" s="1211"/>
      <c r="AE195" s="1211"/>
      <c r="AF195" s="1211"/>
      <c r="AV195" s="1211"/>
      <c r="AW195" s="1211"/>
      <c r="AX195" s="1211"/>
      <c r="AY195" s="1211"/>
      <c r="AZ195" s="1211"/>
      <c r="BA195" s="1211"/>
      <c r="BC195" s="1211"/>
      <c r="BE195" s="1211"/>
      <c r="BF195" s="1211"/>
      <c r="BG195" s="1211"/>
    </row>
    <row r="196" spans="18:59" x14ac:dyDescent="0.35">
      <c r="R196" s="1211"/>
      <c r="S196" s="1211"/>
      <c r="W196" s="1211"/>
      <c r="X196" s="1211"/>
      <c r="AE196" s="1211"/>
      <c r="AF196" s="1211"/>
      <c r="AV196" s="1211"/>
      <c r="AW196" s="1211"/>
      <c r="AX196" s="1211"/>
      <c r="AY196" s="1211"/>
      <c r="AZ196" s="1211"/>
      <c r="BA196" s="1211"/>
      <c r="BC196" s="1211"/>
      <c r="BE196" s="1211"/>
      <c r="BF196" s="1211"/>
      <c r="BG196" s="1211"/>
    </row>
    <row r="197" spans="18:59" x14ac:dyDescent="0.35">
      <c r="R197" s="1211"/>
      <c r="S197" s="1211"/>
      <c r="W197" s="1211"/>
      <c r="X197" s="1211"/>
      <c r="AE197" s="1211"/>
      <c r="AF197" s="1211"/>
      <c r="AV197" s="1211"/>
      <c r="AW197" s="1211"/>
      <c r="AX197" s="1211"/>
      <c r="AY197" s="1211"/>
      <c r="AZ197" s="1211"/>
      <c r="BA197" s="1211"/>
      <c r="BC197" s="1211"/>
      <c r="BE197" s="1211"/>
      <c r="BF197" s="1211"/>
      <c r="BG197" s="1211"/>
    </row>
    <row r="198" spans="18:59" x14ac:dyDescent="0.35">
      <c r="R198" s="1211"/>
      <c r="S198" s="1211"/>
      <c r="W198" s="1211"/>
      <c r="X198" s="1211"/>
      <c r="AE198" s="1211"/>
      <c r="AF198" s="1211"/>
      <c r="AV198" s="1211"/>
      <c r="AW198" s="1211"/>
      <c r="AX198" s="1211"/>
      <c r="AY198" s="1211"/>
      <c r="AZ198" s="1211"/>
      <c r="BA198" s="1211"/>
      <c r="BC198" s="1211"/>
      <c r="BE198" s="1211"/>
      <c r="BF198" s="1211"/>
      <c r="BG198" s="1211"/>
    </row>
    <row r="199" spans="18:59" x14ac:dyDescent="0.35">
      <c r="R199" s="1211"/>
      <c r="S199" s="1211"/>
      <c r="W199" s="1211"/>
      <c r="X199" s="1211"/>
      <c r="AE199" s="1211"/>
      <c r="AF199" s="1211"/>
      <c r="AV199" s="1211"/>
      <c r="AW199" s="1211"/>
      <c r="AX199" s="1211"/>
      <c r="AY199" s="1211"/>
      <c r="AZ199" s="1211"/>
      <c r="BA199" s="1211"/>
      <c r="BC199" s="1211"/>
      <c r="BE199" s="1211"/>
      <c r="BF199" s="1211"/>
      <c r="BG199" s="1211"/>
    </row>
    <row r="200" spans="18:59" x14ac:dyDescent="0.35">
      <c r="R200" s="1211"/>
      <c r="S200" s="1211"/>
      <c r="W200" s="1211"/>
      <c r="X200" s="1211"/>
      <c r="AE200" s="1211"/>
      <c r="AF200" s="1211"/>
      <c r="AV200" s="1211"/>
      <c r="AW200" s="1211"/>
      <c r="AX200" s="1211"/>
      <c r="AY200" s="1211"/>
      <c r="AZ200" s="1211"/>
      <c r="BA200" s="1211"/>
      <c r="BC200" s="1211"/>
      <c r="BE200" s="1211"/>
      <c r="BF200" s="1211"/>
      <c r="BG200" s="1211"/>
    </row>
    <row r="201" spans="18:59" x14ac:dyDescent="0.35">
      <c r="R201" s="1211"/>
      <c r="S201" s="1211"/>
      <c r="W201" s="1211"/>
      <c r="X201" s="1211"/>
      <c r="AE201" s="1211"/>
      <c r="AF201" s="1211"/>
      <c r="AV201" s="1211"/>
      <c r="AW201" s="1211"/>
      <c r="AX201" s="1211"/>
      <c r="AY201" s="1211"/>
      <c r="AZ201" s="1211"/>
      <c r="BA201" s="1211"/>
      <c r="BC201" s="1211"/>
      <c r="BE201" s="1211"/>
      <c r="BF201" s="1211"/>
      <c r="BG201" s="1211"/>
    </row>
    <row r="202" spans="18:59" x14ac:dyDescent="0.35">
      <c r="R202" s="1211"/>
      <c r="S202" s="1211"/>
      <c r="W202" s="1211"/>
      <c r="X202" s="1211"/>
      <c r="AE202" s="1211"/>
      <c r="AF202" s="1211"/>
      <c r="AV202" s="1211"/>
      <c r="AW202" s="1211"/>
      <c r="AX202" s="1211"/>
      <c r="AY202" s="1211"/>
      <c r="AZ202" s="1211"/>
      <c r="BA202" s="1211"/>
      <c r="BC202" s="1211"/>
      <c r="BE202" s="1211"/>
      <c r="BF202" s="1211"/>
      <c r="BG202" s="1211"/>
    </row>
    <row r="203" spans="18:59" x14ac:dyDescent="0.35">
      <c r="R203" s="1211"/>
      <c r="S203" s="1211"/>
      <c r="W203" s="1211"/>
      <c r="X203" s="1211"/>
      <c r="AE203" s="1211"/>
      <c r="AF203" s="1211"/>
      <c r="AV203" s="1211"/>
      <c r="AW203" s="1211"/>
      <c r="AX203" s="1211"/>
      <c r="AY203" s="1211"/>
      <c r="AZ203" s="1211"/>
      <c r="BA203" s="1211"/>
      <c r="BC203" s="1211"/>
      <c r="BE203" s="1211"/>
      <c r="BF203" s="1211"/>
      <c r="BG203" s="1211"/>
    </row>
    <row r="204" spans="18:59" x14ac:dyDescent="0.35">
      <c r="R204" s="1211"/>
      <c r="S204" s="1211"/>
      <c r="W204" s="1211"/>
      <c r="X204" s="1211"/>
      <c r="AE204" s="1211"/>
      <c r="AF204" s="1211"/>
      <c r="AV204" s="1211"/>
      <c r="AW204" s="1211"/>
      <c r="AX204" s="1211"/>
      <c r="AY204" s="1211"/>
      <c r="AZ204" s="1211"/>
      <c r="BA204" s="1211"/>
      <c r="BC204" s="1211"/>
      <c r="BE204" s="1211"/>
      <c r="BF204" s="1211"/>
      <c r="BG204" s="1211"/>
    </row>
    <row r="205" spans="18:59" x14ac:dyDescent="0.35">
      <c r="R205" s="1211"/>
      <c r="S205" s="1211"/>
      <c r="W205" s="1211"/>
      <c r="X205" s="1211"/>
      <c r="AE205" s="1211"/>
      <c r="AF205" s="1211"/>
      <c r="AV205" s="1211"/>
      <c r="AW205" s="1211"/>
      <c r="AX205" s="1211"/>
      <c r="AY205" s="1211"/>
      <c r="AZ205" s="1211"/>
      <c r="BA205" s="1211"/>
      <c r="BC205" s="1211"/>
      <c r="BE205" s="1211"/>
      <c r="BF205" s="1211"/>
      <c r="BG205" s="1211"/>
    </row>
    <row r="206" spans="18:59" x14ac:dyDescent="0.35">
      <c r="R206" s="1211"/>
      <c r="S206" s="1211"/>
      <c r="W206" s="1211"/>
      <c r="X206" s="1211"/>
      <c r="AE206" s="1211"/>
      <c r="AF206" s="1211"/>
      <c r="AV206" s="1211"/>
      <c r="AW206" s="1211"/>
      <c r="AX206" s="1211"/>
      <c r="AY206" s="1211"/>
      <c r="AZ206" s="1211"/>
      <c r="BA206" s="1211"/>
      <c r="BC206" s="1211"/>
      <c r="BE206" s="1211"/>
      <c r="BF206" s="1211"/>
      <c r="BG206" s="1211"/>
    </row>
    <row r="207" spans="18:59" x14ac:dyDescent="0.35">
      <c r="R207" s="1211"/>
      <c r="S207" s="1211"/>
      <c r="W207" s="1211"/>
      <c r="X207" s="1211"/>
      <c r="AE207" s="1211"/>
      <c r="AF207" s="1211"/>
      <c r="AV207" s="1211"/>
      <c r="AW207" s="1211"/>
      <c r="AX207" s="1211"/>
      <c r="AY207" s="1211"/>
      <c r="AZ207" s="1211"/>
      <c r="BA207" s="1211"/>
      <c r="BC207" s="1211"/>
      <c r="BE207" s="1211"/>
      <c r="BF207" s="1211"/>
      <c r="BG207" s="1211"/>
    </row>
    <row r="208" spans="18:59" x14ac:dyDescent="0.35">
      <c r="R208" s="1211"/>
      <c r="S208" s="1211"/>
      <c r="W208" s="1211"/>
      <c r="X208" s="1211"/>
      <c r="AE208" s="1211"/>
      <c r="AF208" s="1211"/>
      <c r="AV208" s="1211"/>
      <c r="AW208" s="1211"/>
      <c r="AX208" s="1211"/>
      <c r="AY208" s="1211"/>
      <c r="AZ208" s="1211"/>
      <c r="BA208" s="1211"/>
      <c r="BC208" s="1211"/>
      <c r="BE208" s="1211"/>
      <c r="BF208" s="1211"/>
      <c r="BG208" s="1211"/>
    </row>
    <row r="209" spans="18:59" x14ac:dyDescent="0.35">
      <c r="R209" s="1211"/>
      <c r="S209" s="1211"/>
      <c r="W209" s="1211"/>
      <c r="X209" s="1211"/>
      <c r="AE209" s="1211"/>
      <c r="AF209" s="1211"/>
      <c r="AV209" s="1211"/>
      <c r="AW209" s="1211"/>
      <c r="AX209" s="1211"/>
      <c r="AY209" s="1211"/>
      <c r="AZ209" s="1211"/>
      <c r="BA209" s="1211"/>
      <c r="BC209" s="1211"/>
      <c r="BE209" s="1211"/>
      <c r="BF209" s="1211"/>
      <c r="BG209" s="1211"/>
    </row>
    <row r="210" spans="18:59" x14ac:dyDescent="0.35">
      <c r="R210" s="1211"/>
      <c r="S210" s="1211"/>
      <c r="W210" s="1211"/>
      <c r="X210" s="1211"/>
      <c r="AE210" s="1211"/>
      <c r="AF210" s="1211"/>
      <c r="AV210" s="1211"/>
      <c r="AW210" s="1211"/>
      <c r="AX210" s="1211"/>
      <c r="AY210" s="1211"/>
      <c r="AZ210" s="1211"/>
      <c r="BA210" s="1211"/>
      <c r="BC210" s="1211"/>
      <c r="BE210" s="1211"/>
      <c r="BF210" s="1211"/>
      <c r="BG210" s="1211"/>
    </row>
    <row r="211" spans="18:59" x14ac:dyDescent="0.35">
      <c r="R211" s="1211"/>
      <c r="S211" s="1211"/>
      <c r="W211" s="1211"/>
      <c r="X211" s="1211"/>
      <c r="AE211" s="1211"/>
      <c r="AF211" s="1211"/>
      <c r="AV211" s="1211"/>
      <c r="AW211" s="1211"/>
      <c r="AX211" s="1211"/>
      <c r="AY211" s="1211"/>
      <c r="AZ211" s="1211"/>
      <c r="BA211" s="1211"/>
      <c r="BC211" s="1211"/>
      <c r="BE211" s="1211"/>
      <c r="BF211" s="1211"/>
      <c r="BG211" s="1211"/>
    </row>
    <row r="212" spans="18:59" x14ac:dyDescent="0.35">
      <c r="R212" s="1211"/>
      <c r="S212" s="1211"/>
      <c r="W212" s="1211"/>
      <c r="X212" s="1211"/>
      <c r="AE212" s="1211"/>
      <c r="AF212" s="1211"/>
      <c r="AV212" s="1211"/>
      <c r="AW212" s="1211"/>
      <c r="AX212" s="1211"/>
      <c r="AY212" s="1211"/>
      <c r="AZ212" s="1211"/>
      <c r="BA212" s="1211"/>
      <c r="BC212" s="1211"/>
      <c r="BE212" s="1211"/>
      <c r="BF212" s="1211"/>
      <c r="BG212" s="1211"/>
    </row>
    <row r="213" spans="18:59" x14ac:dyDescent="0.35">
      <c r="R213" s="1211"/>
      <c r="S213" s="1211"/>
      <c r="W213" s="1211"/>
      <c r="X213" s="1211"/>
      <c r="AE213" s="1211"/>
      <c r="AF213" s="1211"/>
      <c r="AV213" s="1211"/>
      <c r="AW213" s="1211"/>
      <c r="AX213" s="1211"/>
      <c r="AY213" s="1211"/>
      <c r="AZ213" s="1211"/>
      <c r="BA213" s="1211"/>
      <c r="BC213" s="1211"/>
      <c r="BE213" s="1211"/>
      <c r="BF213" s="1211"/>
      <c r="BG213" s="1211"/>
    </row>
    <row r="214" spans="18:59" x14ac:dyDescent="0.35">
      <c r="R214" s="1211"/>
      <c r="S214" s="1211"/>
      <c r="W214" s="1211"/>
      <c r="X214" s="1211"/>
      <c r="AE214" s="1211"/>
      <c r="AF214" s="1211"/>
      <c r="AV214" s="1211"/>
      <c r="AW214" s="1211"/>
      <c r="AX214" s="1211"/>
      <c r="AY214" s="1211"/>
      <c r="AZ214" s="1211"/>
      <c r="BA214" s="1211"/>
      <c r="BC214" s="1211"/>
      <c r="BE214" s="1211"/>
      <c r="BF214" s="1211"/>
      <c r="BG214" s="1211"/>
    </row>
    <row r="215" spans="18:59" x14ac:dyDescent="0.35">
      <c r="R215" s="1211"/>
      <c r="S215" s="1211"/>
      <c r="W215" s="1211"/>
      <c r="X215" s="1211"/>
      <c r="AE215" s="1211"/>
      <c r="AF215" s="1211"/>
      <c r="AV215" s="1211"/>
      <c r="AW215" s="1211"/>
      <c r="AX215" s="1211"/>
      <c r="AY215" s="1211"/>
      <c r="AZ215" s="1211"/>
      <c r="BA215" s="1211"/>
      <c r="BC215" s="1211"/>
      <c r="BE215" s="1211"/>
      <c r="BF215" s="1211"/>
      <c r="BG215" s="1211"/>
    </row>
    <row r="216" spans="18:59" x14ac:dyDescent="0.35">
      <c r="R216" s="1211"/>
      <c r="S216" s="1211"/>
      <c r="W216" s="1211"/>
      <c r="X216" s="1211"/>
      <c r="AE216" s="1211"/>
      <c r="AF216" s="1211"/>
      <c r="AV216" s="1211"/>
      <c r="AW216" s="1211"/>
      <c r="AX216" s="1211"/>
      <c r="AY216" s="1211"/>
      <c r="AZ216" s="1211"/>
      <c r="BA216" s="1211"/>
      <c r="BC216" s="1211"/>
      <c r="BE216" s="1211"/>
      <c r="BF216" s="1211"/>
      <c r="BG216" s="1211"/>
    </row>
    <row r="217" spans="18:59" x14ac:dyDescent="0.35">
      <c r="R217" s="1211"/>
      <c r="S217" s="1211"/>
      <c r="W217" s="1211"/>
      <c r="X217" s="1211"/>
      <c r="AE217" s="1211"/>
      <c r="AF217" s="1211"/>
      <c r="AV217" s="1211"/>
      <c r="AW217" s="1211"/>
      <c r="AX217" s="1211"/>
      <c r="AY217" s="1211"/>
      <c r="AZ217" s="1211"/>
      <c r="BA217" s="1211"/>
      <c r="BC217" s="1211"/>
      <c r="BE217" s="1211"/>
      <c r="BF217" s="1211"/>
      <c r="BG217" s="1211"/>
    </row>
    <row r="218" spans="18:59" x14ac:dyDescent="0.35">
      <c r="R218" s="1211"/>
      <c r="S218" s="1211"/>
      <c r="W218" s="1211"/>
      <c r="X218" s="1211"/>
      <c r="AE218" s="1211"/>
      <c r="AF218" s="1211"/>
      <c r="AV218" s="1211"/>
      <c r="AW218" s="1211"/>
      <c r="AX218" s="1211"/>
      <c r="AY218" s="1211"/>
      <c r="AZ218" s="1211"/>
      <c r="BA218" s="1211"/>
      <c r="BC218" s="1211"/>
      <c r="BE218" s="1211"/>
      <c r="BF218" s="1211"/>
      <c r="BG218" s="1211"/>
    </row>
    <row r="219" spans="18:59" x14ac:dyDescent="0.35">
      <c r="R219" s="1211"/>
      <c r="S219" s="1211"/>
      <c r="W219" s="1211"/>
      <c r="X219" s="1211"/>
      <c r="AE219" s="1211"/>
      <c r="AF219" s="1211"/>
      <c r="AV219" s="1211"/>
      <c r="AW219" s="1211"/>
      <c r="AX219" s="1211"/>
      <c r="AY219" s="1211"/>
      <c r="AZ219" s="1211"/>
      <c r="BA219" s="1211"/>
      <c r="BC219" s="1211"/>
      <c r="BE219" s="1211"/>
      <c r="BF219" s="1211"/>
      <c r="BG219" s="1211"/>
    </row>
    <row r="220" spans="18:59" x14ac:dyDescent="0.35">
      <c r="R220" s="1211"/>
      <c r="S220" s="1211"/>
      <c r="W220" s="1211"/>
      <c r="X220" s="1211"/>
      <c r="AE220" s="1211"/>
      <c r="AF220" s="1211"/>
      <c r="AV220" s="1211"/>
      <c r="AW220" s="1211"/>
      <c r="AX220" s="1211"/>
      <c r="AY220" s="1211"/>
      <c r="AZ220" s="1211"/>
      <c r="BA220" s="1211"/>
      <c r="BC220" s="1211"/>
      <c r="BE220" s="1211"/>
      <c r="BF220" s="1211"/>
      <c r="BG220" s="1211"/>
    </row>
    <row r="221" spans="18:59" x14ac:dyDescent="0.35">
      <c r="R221" s="1211"/>
      <c r="S221" s="1211"/>
      <c r="W221" s="1211"/>
      <c r="X221" s="1211"/>
      <c r="AE221" s="1211"/>
      <c r="AF221" s="1211"/>
      <c r="AV221" s="1211"/>
      <c r="AW221" s="1211"/>
      <c r="AX221" s="1211"/>
      <c r="AY221" s="1211"/>
      <c r="AZ221" s="1211"/>
      <c r="BA221" s="1211"/>
      <c r="BC221" s="1211"/>
      <c r="BE221" s="1211"/>
      <c r="BF221" s="1211"/>
      <c r="BG221" s="1211"/>
    </row>
    <row r="222" spans="18:59" x14ac:dyDescent="0.35">
      <c r="R222" s="1211"/>
      <c r="S222" s="1211"/>
      <c r="W222" s="1211"/>
      <c r="X222" s="1211"/>
      <c r="AE222" s="1211"/>
      <c r="AF222" s="1211"/>
      <c r="AV222" s="1211"/>
      <c r="AW222" s="1211"/>
      <c r="AX222" s="1211"/>
      <c r="AY222" s="1211"/>
      <c r="AZ222" s="1211"/>
      <c r="BA222" s="1211"/>
      <c r="BC222" s="1211"/>
      <c r="BE222" s="1211"/>
      <c r="BF222" s="1211"/>
      <c r="BG222" s="1211"/>
    </row>
    <row r="223" spans="18:59" x14ac:dyDescent="0.35">
      <c r="R223" s="1211"/>
      <c r="S223" s="1211"/>
      <c r="W223" s="1211"/>
      <c r="X223" s="1211"/>
      <c r="AE223" s="1211"/>
      <c r="AF223" s="1211"/>
      <c r="AV223" s="1211"/>
      <c r="AW223" s="1211"/>
      <c r="AX223" s="1211"/>
      <c r="AY223" s="1211"/>
      <c r="AZ223" s="1211"/>
      <c r="BA223" s="1211"/>
      <c r="BC223" s="1211"/>
      <c r="BE223" s="1211"/>
      <c r="BF223" s="1211"/>
      <c r="BG223" s="1211"/>
    </row>
    <row r="224" spans="18:59" x14ac:dyDescent="0.35">
      <c r="R224" s="1211"/>
      <c r="S224" s="1211"/>
      <c r="W224" s="1211"/>
      <c r="X224" s="1211"/>
      <c r="AE224" s="1211"/>
      <c r="AF224" s="1211"/>
      <c r="AV224" s="1211"/>
      <c r="AW224" s="1211"/>
      <c r="AX224" s="1211"/>
      <c r="AY224" s="1211"/>
      <c r="AZ224" s="1211"/>
      <c r="BA224" s="1211"/>
      <c r="BC224" s="1211"/>
      <c r="BE224" s="1211"/>
      <c r="BF224" s="1211"/>
      <c r="BG224" s="1211"/>
    </row>
    <row r="225" spans="18:59" x14ac:dyDescent="0.35">
      <c r="R225" s="1211"/>
      <c r="S225" s="1211"/>
      <c r="W225" s="1211"/>
      <c r="X225" s="1211"/>
      <c r="AE225" s="1211"/>
      <c r="AF225" s="1211"/>
      <c r="AV225" s="1211"/>
      <c r="AW225" s="1211"/>
      <c r="AX225" s="1211"/>
      <c r="AY225" s="1211"/>
      <c r="AZ225" s="1211"/>
      <c r="BA225" s="1211"/>
      <c r="BC225" s="1211"/>
      <c r="BE225" s="1211"/>
      <c r="BF225" s="1211"/>
      <c r="BG225" s="1211"/>
    </row>
    <row r="226" spans="18:59" x14ac:dyDescent="0.35">
      <c r="R226" s="1211"/>
      <c r="S226" s="1211"/>
      <c r="W226" s="1211"/>
      <c r="X226" s="1211"/>
      <c r="AE226" s="1211"/>
      <c r="AF226" s="1211"/>
      <c r="AV226" s="1211"/>
      <c r="AW226" s="1211"/>
      <c r="AX226" s="1211"/>
      <c r="AY226" s="1211"/>
      <c r="AZ226" s="1211"/>
      <c r="BA226" s="1211"/>
      <c r="BC226" s="1211"/>
      <c r="BE226" s="1211"/>
      <c r="BF226" s="1211"/>
      <c r="BG226" s="1211"/>
    </row>
    <row r="227" spans="18:59" x14ac:dyDescent="0.35">
      <c r="R227" s="1211"/>
      <c r="S227" s="1211"/>
      <c r="W227" s="1211"/>
      <c r="X227" s="1211"/>
      <c r="AE227" s="1211"/>
      <c r="AF227" s="1211"/>
      <c r="AV227" s="1211"/>
      <c r="AW227" s="1211"/>
      <c r="AX227" s="1211"/>
      <c r="AY227" s="1211"/>
      <c r="AZ227" s="1211"/>
      <c r="BA227" s="1211"/>
      <c r="BC227" s="1211"/>
      <c r="BE227" s="1211"/>
      <c r="BF227" s="1211"/>
      <c r="BG227" s="1211"/>
    </row>
    <row r="228" spans="18:59" x14ac:dyDescent="0.35">
      <c r="R228" s="1211"/>
      <c r="S228" s="1211"/>
      <c r="W228" s="1211"/>
      <c r="X228" s="1211"/>
      <c r="AE228" s="1211"/>
      <c r="AF228" s="1211"/>
      <c r="AV228" s="1211"/>
      <c r="AW228" s="1211"/>
      <c r="AX228" s="1211"/>
      <c r="AY228" s="1211"/>
      <c r="AZ228" s="1211"/>
      <c r="BA228" s="1211"/>
      <c r="BC228" s="1211"/>
      <c r="BE228" s="1211"/>
      <c r="BF228" s="1211"/>
      <c r="BG228" s="1211"/>
    </row>
    <row r="229" spans="18:59" x14ac:dyDescent="0.35">
      <c r="R229" s="1211"/>
      <c r="S229" s="1211"/>
      <c r="W229" s="1211"/>
      <c r="X229" s="1211"/>
      <c r="AE229" s="1211"/>
      <c r="AF229" s="1211"/>
      <c r="AV229" s="1211"/>
      <c r="AW229" s="1211"/>
      <c r="AX229" s="1211"/>
      <c r="AY229" s="1211"/>
      <c r="AZ229" s="1211"/>
      <c r="BA229" s="1211"/>
      <c r="BC229" s="1211"/>
      <c r="BE229" s="1211"/>
      <c r="BF229" s="1211"/>
      <c r="BG229" s="1211"/>
    </row>
    <row r="230" spans="18:59" x14ac:dyDescent="0.35">
      <c r="R230" s="1211"/>
      <c r="S230" s="1211"/>
      <c r="W230" s="1211"/>
      <c r="X230" s="1211"/>
      <c r="AE230" s="1211"/>
      <c r="AF230" s="1211"/>
      <c r="AV230" s="1211"/>
      <c r="AW230" s="1211"/>
      <c r="AX230" s="1211"/>
      <c r="AY230" s="1211"/>
      <c r="AZ230" s="1211"/>
      <c r="BA230" s="1211"/>
      <c r="BC230" s="1211"/>
      <c r="BE230" s="1211"/>
      <c r="BF230" s="1211"/>
      <c r="BG230" s="1211"/>
    </row>
    <row r="231" spans="18:59" x14ac:dyDescent="0.35">
      <c r="R231" s="1211"/>
      <c r="S231" s="1211"/>
      <c r="W231" s="1211"/>
      <c r="X231" s="1211"/>
      <c r="AE231" s="1211"/>
      <c r="AF231" s="1211"/>
      <c r="AV231" s="1211"/>
      <c r="AW231" s="1211"/>
      <c r="AX231" s="1211"/>
      <c r="AY231" s="1211"/>
      <c r="AZ231" s="1211"/>
      <c r="BA231" s="1211"/>
      <c r="BC231" s="1211"/>
      <c r="BE231" s="1211"/>
      <c r="BF231" s="1211"/>
      <c r="BG231" s="1211"/>
    </row>
    <row r="232" spans="18:59" x14ac:dyDescent="0.35">
      <c r="R232" s="1211"/>
      <c r="S232" s="1211"/>
      <c r="W232" s="1211"/>
      <c r="X232" s="1211"/>
      <c r="AE232" s="1211"/>
      <c r="AF232" s="1211"/>
      <c r="AV232" s="1211"/>
      <c r="AW232" s="1211"/>
      <c r="AX232" s="1211"/>
      <c r="AY232" s="1211"/>
      <c r="AZ232" s="1211"/>
      <c r="BA232" s="1211"/>
      <c r="BC232" s="1211"/>
      <c r="BE232" s="1211"/>
      <c r="BF232" s="1211"/>
      <c r="BG232" s="1211"/>
    </row>
    <row r="233" spans="18:59" x14ac:dyDescent="0.35">
      <c r="R233" s="1211"/>
      <c r="S233" s="1211"/>
      <c r="W233" s="1211"/>
      <c r="X233" s="1211"/>
      <c r="AE233" s="1211"/>
      <c r="AF233" s="1211"/>
      <c r="AV233" s="1211"/>
      <c r="AW233" s="1211"/>
      <c r="AX233" s="1211"/>
      <c r="AY233" s="1211"/>
      <c r="AZ233" s="1211"/>
      <c r="BA233" s="1211"/>
      <c r="BC233" s="1211"/>
      <c r="BE233" s="1211"/>
      <c r="BF233" s="1211"/>
      <c r="BG233" s="1211"/>
    </row>
    <row r="234" spans="18:59" x14ac:dyDescent="0.35">
      <c r="R234" s="1211"/>
      <c r="S234" s="1211"/>
      <c r="W234" s="1211"/>
      <c r="X234" s="1211"/>
      <c r="AE234" s="1211"/>
      <c r="AF234" s="1211"/>
      <c r="AV234" s="1211"/>
      <c r="AW234" s="1211"/>
      <c r="AX234" s="1211"/>
      <c r="AY234" s="1211"/>
      <c r="AZ234" s="1211"/>
      <c r="BA234" s="1211"/>
      <c r="BC234" s="1211"/>
      <c r="BE234" s="1211"/>
      <c r="BF234" s="1211"/>
      <c r="BG234" s="1211"/>
    </row>
    <row r="235" spans="18:59" x14ac:dyDescent="0.35">
      <c r="R235" s="1211"/>
      <c r="S235" s="1211"/>
      <c r="W235" s="1211"/>
      <c r="X235" s="1211"/>
      <c r="AE235" s="1211"/>
      <c r="AF235" s="1211"/>
      <c r="AV235" s="1211"/>
      <c r="AW235" s="1211"/>
      <c r="AX235" s="1211"/>
      <c r="AY235" s="1211"/>
      <c r="AZ235" s="1211"/>
      <c r="BA235" s="1211"/>
      <c r="BC235" s="1211"/>
      <c r="BE235" s="1211"/>
      <c r="BF235" s="1211"/>
      <c r="BG235" s="1211"/>
    </row>
    <row r="236" spans="18:59" x14ac:dyDescent="0.35">
      <c r="R236" s="1211"/>
      <c r="S236" s="1211"/>
      <c r="W236" s="1211"/>
      <c r="X236" s="1211"/>
      <c r="AE236" s="1211"/>
      <c r="AF236" s="1211"/>
      <c r="AV236" s="1211"/>
      <c r="AW236" s="1211"/>
      <c r="AX236" s="1211"/>
      <c r="AY236" s="1211"/>
      <c r="AZ236" s="1211"/>
      <c r="BA236" s="1211"/>
      <c r="BC236" s="1211"/>
      <c r="BE236" s="1211"/>
      <c r="BF236" s="1211"/>
      <c r="BG236" s="1211"/>
    </row>
    <row r="237" spans="18:59" x14ac:dyDescent="0.35">
      <c r="R237" s="1211"/>
      <c r="S237" s="1211"/>
      <c r="W237" s="1211"/>
      <c r="X237" s="1211"/>
      <c r="AE237" s="1211"/>
      <c r="AF237" s="1211"/>
      <c r="AV237" s="1211"/>
      <c r="AW237" s="1211"/>
      <c r="AX237" s="1211"/>
      <c r="AY237" s="1211"/>
      <c r="AZ237" s="1211"/>
      <c r="BA237" s="1211"/>
      <c r="BC237" s="1211"/>
      <c r="BE237" s="1211"/>
      <c r="BF237" s="1211"/>
      <c r="BG237" s="1211"/>
    </row>
    <row r="238" spans="18:59" x14ac:dyDescent="0.35">
      <c r="R238" s="1211"/>
      <c r="S238" s="1211"/>
      <c r="W238" s="1211"/>
      <c r="X238" s="1211"/>
      <c r="AE238" s="1211"/>
      <c r="AF238" s="1211"/>
      <c r="AV238" s="1211"/>
      <c r="AW238" s="1211"/>
      <c r="AX238" s="1211"/>
      <c r="AY238" s="1211"/>
      <c r="AZ238" s="1211"/>
      <c r="BA238" s="1211"/>
      <c r="BC238" s="1211"/>
      <c r="BE238" s="1211"/>
      <c r="BF238" s="1211"/>
      <c r="BG238" s="1211"/>
    </row>
    <row r="239" spans="18:59" x14ac:dyDescent="0.35">
      <c r="R239" s="1211"/>
      <c r="S239" s="1211"/>
      <c r="W239" s="1211"/>
      <c r="X239" s="1211"/>
      <c r="AE239" s="1211"/>
      <c r="AF239" s="1211"/>
      <c r="AV239" s="1211"/>
      <c r="AW239" s="1211"/>
      <c r="AX239" s="1211"/>
      <c r="AY239" s="1211"/>
      <c r="AZ239" s="1211"/>
      <c r="BA239" s="1211"/>
      <c r="BC239" s="1211"/>
      <c r="BE239" s="1211"/>
      <c r="BF239" s="1211"/>
      <c r="BG239" s="1211"/>
    </row>
    <row r="240" spans="18:59" x14ac:dyDescent="0.35">
      <c r="R240" s="1211"/>
      <c r="S240" s="1211"/>
      <c r="W240" s="1211"/>
      <c r="X240" s="1211"/>
      <c r="AE240" s="1211"/>
      <c r="AF240" s="1211"/>
      <c r="AV240" s="1211"/>
      <c r="AW240" s="1211"/>
      <c r="AX240" s="1211"/>
      <c r="AY240" s="1211"/>
      <c r="AZ240" s="1211"/>
      <c r="BA240" s="1211"/>
      <c r="BC240" s="1211"/>
      <c r="BE240" s="1211"/>
      <c r="BF240" s="1211"/>
      <c r="BG240" s="1211"/>
    </row>
    <row r="241" spans="18:59" x14ac:dyDescent="0.35">
      <c r="R241" s="1211"/>
      <c r="S241" s="1211"/>
      <c r="W241" s="1211"/>
      <c r="X241" s="1211"/>
      <c r="AE241" s="1211"/>
      <c r="AF241" s="1211"/>
      <c r="AV241" s="1211"/>
      <c r="AW241" s="1211"/>
      <c r="AX241" s="1211"/>
      <c r="AY241" s="1211"/>
      <c r="AZ241" s="1211"/>
      <c r="BA241" s="1211"/>
      <c r="BC241" s="1211"/>
      <c r="BE241" s="1211"/>
      <c r="BF241" s="1211"/>
      <c r="BG241" s="1211"/>
    </row>
    <row r="242" spans="18:59" x14ac:dyDescent="0.35">
      <c r="R242" s="1211"/>
      <c r="S242" s="1211"/>
      <c r="W242" s="1211"/>
      <c r="X242" s="1211"/>
      <c r="AE242" s="1211"/>
      <c r="AF242" s="1211"/>
      <c r="AV242" s="1211"/>
      <c r="AW242" s="1211"/>
      <c r="AX242" s="1211"/>
      <c r="AY242" s="1211"/>
      <c r="AZ242" s="1211"/>
      <c r="BA242" s="1211"/>
      <c r="BC242" s="1211"/>
      <c r="BE242" s="1211"/>
      <c r="BF242" s="1211"/>
      <c r="BG242" s="1211"/>
    </row>
    <row r="243" spans="18:59" x14ac:dyDescent="0.35">
      <c r="R243" s="1211"/>
      <c r="S243" s="1211"/>
      <c r="W243" s="1211"/>
      <c r="X243" s="1211"/>
      <c r="AE243" s="1211"/>
      <c r="AF243" s="1211"/>
      <c r="AV243" s="1211"/>
      <c r="AW243" s="1211"/>
      <c r="AX243" s="1211"/>
      <c r="AY243" s="1211"/>
      <c r="AZ243" s="1211"/>
      <c r="BA243" s="1211"/>
      <c r="BC243" s="1211"/>
      <c r="BE243" s="1211"/>
      <c r="BF243" s="1211"/>
      <c r="BG243" s="1211"/>
    </row>
    <row r="244" spans="18:59" x14ac:dyDescent="0.35">
      <c r="R244" s="1211"/>
      <c r="S244" s="1211"/>
      <c r="W244" s="1211"/>
      <c r="X244" s="1211"/>
      <c r="AE244" s="1211"/>
      <c r="AF244" s="1211"/>
      <c r="AV244" s="1211"/>
      <c r="AW244" s="1211"/>
      <c r="AX244" s="1211"/>
      <c r="AY244" s="1211"/>
      <c r="AZ244" s="1211"/>
      <c r="BA244" s="1211"/>
      <c r="BC244" s="1211"/>
      <c r="BE244" s="1211"/>
      <c r="BF244" s="1211"/>
      <c r="BG244" s="1211"/>
    </row>
    <row r="245" spans="18:59" x14ac:dyDescent="0.35">
      <c r="R245" s="1211"/>
      <c r="S245" s="1211"/>
      <c r="W245" s="1211"/>
      <c r="X245" s="1211"/>
      <c r="AE245" s="1211"/>
      <c r="AF245" s="1211"/>
      <c r="AV245" s="1211"/>
      <c r="AW245" s="1211"/>
      <c r="AX245" s="1211"/>
      <c r="AY245" s="1211"/>
      <c r="AZ245" s="1211"/>
      <c r="BA245" s="1211"/>
      <c r="BC245" s="1211"/>
      <c r="BE245" s="1211"/>
      <c r="BF245" s="1211"/>
      <c r="BG245" s="1211"/>
    </row>
    <row r="246" spans="18:59" x14ac:dyDescent="0.35">
      <c r="R246" s="1211"/>
      <c r="S246" s="1211"/>
      <c r="W246" s="1211"/>
      <c r="X246" s="1211"/>
      <c r="AE246" s="1211"/>
      <c r="AF246" s="1211"/>
      <c r="AV246" s="1211"/>
      <c r="AW246" s="1211"/>
      <c r="AX246" s="1211"/>
      <c r="AY246" s="1211"/>
      <c r="AZ246" s="1211"/>
      <c r="BA246" s="1211"/>
      <c r="BC246" s="1211"/>
      <c r="BE246" s="1211"/>
      <c r="BF246" s="1211"/>
      <c r="BG246" s="1211"/>
    </row>
    <row r="247" spans="18:59" x14ac:dyDescent="0.35">
      <c r="R247" s="1211"/>
      <c r="S247" s="1211"/>
      <c r="W247" s="1211"/>
      <c r="X247" s="1211"/>
      <c r="AE247" s="1211"/>
      <c r="AF247" s="1211"/>
      <c r="AV247" s="1211"/>
      <c r="AW247" s="1211"/>
      <c r="AX247" s="1211"/>
      <c r="AY247" s="1211"/>
      <c r="AZ247" s="1211"/>
      <c r="BA247" s="1211"/>
      <c r="BC247" s="1211"/>
      <c r="BE247" s="1211"/>
      <c r="BF247" s="1211"/>
      <c r="BG247" s="1211"/>
    </row>
    <row r="248" spans="18:59" x14ac:dyDescent="0.35">
      <c r="R248" s="1211"/>
      <c r="S248" s="1211"/>
      <c r="W248" s="1211"/>
      <c r="X248" s="1211"/>
      <c r="AE248" s="1211"/>
      <c r="AF248" s="1211"/>
      <c r="AV248" s="1211"/>
      <c r="AW248" s="1211"/>
      <c r="AX248" s="1211"/>
      <c r="AY248" s="1211"/>
      <c r="AZ248" s="1211"/>
      <c r="BA248" s="1211"/>
      <c r="BC248" s="1211"/>
      <c r="BE248" s="1211"/>
      <c r="BF248" s="1211"/>
      <c r="BG248" s="1211"/>
    </row>
    <row r="249" spans="18:59" x14ac:dyDescent="0.35">
      <c r="R249" s="1211"/>
      <c r="S249" s="1211"/>
      <c r="W249" s="1211"/>
      <c r="X249" s="1211"/>
      <c r="AE249" s="1211"/>
      <c r="AF249" s="1211"/>
      <c r="AV249" s="1211"/>
      <c r="AW249" s="1211"/>
      <c r="AX249" s="1211"/>
      <c r="AY249" s="1211"/>
      <c r="AZ249" s="1211"/>
      <c r="BA249" s="1211"/>
      <c r="BC249" s="1211"/>
      <c r="BE249" s="1211"/>
      <c r="BF249" s="1211"/>
      <c r="BG249" s="1211"/>
    </row>
    <row r="250" spans="18:59" x14ac:dyDescent="0.35">
      <c r="R250" s="1211"/>
      <c r="S250" s="1211"/>
      <c r="W250" s="1211"/>
      <c r="X250" s="1211"/>
      <c r="AE250" s="1211"/>
      <c r="AF250" s="1211"/>
      <c r="AV250" s="1211"/>
      <c r="AW250" s="1211"/>
      <c r="AX250" s="1211"/>
      <c r="AY250" s="1211"/>
      <c r="AZ250" s="1211"/>
      <c r="BA250" s="1211"/>
      <c r="BC250" s="1211"/>
      <c r="BE250" s="1211"/>
      <c r="BF250" s="1211"/>
      <c r="BG250" s="1211"/>
    </row>
    <row r="251" spans="18:59" x14ac:dyDescent="0.35">
      <c r="R251" s="1211"/>
      <c r="S251" s="1211"/>
      <c r="W251" s="1211"/>
      <c r="X251" s="1211"/>
      <c r="AE251" s="1211"/>
      <c r="AF251" s="1211"/>
      <c r="AV251" s="1211"/>
      <c r="AW251" s="1211"/>
      <c r="AX251" s="1211"/>
      <c r="AY251" s="1211"/>
      <c r="AZ251" s="1211"/>
      <c r="BA251" s="1211"/>
      <c r="BC251" s="1211"/>
      <c r="BE251" s="1211"/>
      <c r="BF251" s="1211"/>
      <c r="BG251" s="1211"/>
    </row>
    <row r="252" spans="18:59" x14ac:dyDescent="0.35">
      <c r="R252" s="1211"/>
      <c r="S252" s="1211"/>
      <c r="W252" s="1211"/>
      <c r="X252" s="1211"/>
      <c r="AE252" s="1211"/>
      <c r="AF252" s="1211"/>
      <c r="AV252" s="1211"/>
      <c r="AW252" s="1211"/>
      <c r="AX252" s="1211"/>
      <c r="AY252" s="1211"/>
      <c r="AZ252" s="1211"/>
      <c r="BA252" s="1211"/>
      <c r="BC252" s="1211"/>
      <c r="BE252" s="1211"/>
      <c r="BF252" s="1211"/>
      <c r="BG252" s="1211"/>
    </row>
    <row r="253" spans="18:59" x14ac:dyDescent="0.35">
      <c r="R253" s="1211"/>
      <c r="S253" s="1211"/>
      <c r="W253" s="1211"/>
      <c r="X253" s="1211"/>
      <c r="AE253" s="1211"/>
      <c r="AF253" s="1211"/>
      <c r="AV253" s="1211"/>
      <c r="AW253" s="1211"/>
      <c r="AX253" s="1211"/>
      <c r="AY253" s="1211"/>
      <c r="AZ253" s="1211"/>
      <c r="BA253" s="1211"/>
      <c r="BC253" s="1211"/>
      <c r="BE253" s="1211"/>
      <c r="BF253" s="1211"/>
      <c r="BG253" s="1211"/>
    </row>
    <row r="254" spans="18:59" x14ac:dyDescent="0.35">
      <c r="R254" s="1211"/>
      <c r="S254" s="1211"/>
      <c r="W254" s="1211"/>
      <c r="X254" s="1211"/>
      <c r="AE254" s="1211"/>
      <c r="AF254" s="1211"/>
      <c r="AV254" s="1211"/>
      <c r="AW254" s="1211"/>
      <c r="AX254" s="1211"/>
      <c r="AY254" s="1211"/>
      <c r="AZ254" s="1211"/>
      <c r="BA254" s="1211"/>
      <c r="BC254" s="1211"/>
      <c r="BE254" s="1211"/>
      <c r="BF254" s="1211"/>
      <c r="BG254" s="1211"/>
    </row>
    <row r="255" spans="18:59" x14ac:dyDescent="0.35">
      <c r="R255" s="1211"/>
      <c r="S255" s="1211"/>
      <c r="W255" s="1211"/>
      <c r="X255" s="1211"/>
      <c r="AE255" s="1211"/>
      <c r="AF255" s="1211"/>
      <c r="AV255" s="1211"/>
      <c r="AW255" s="1211"/>
      <c r="AX255" s="1211"/>
      <c r="AY255" s="1211"/>
      <c r="AZ255" s="1211"/>
      <c r="BA255" s="1211"/>
      <c r="BC255" s="1211"/>
      <c r="BE255" s="1211"/>
      <c r="BF255" s="1211"/>
      <c r="BG255" s="1211"/>
    </row>
    <row r="256" spans="18:59" x14ac:dyDescent="0.35">
      <c r="R256" s="1211"/>
      <c r="S256" s="1211"/>
      <c r="W256" s="1211"/>
      <c r="X256" s="1211"/>
      <c r="AE256" s="1211"/>
      <c r="AF256" s="1211"/>
      <c r="AV256" s="1211"/>
      <c r="AW256" s="1211"/>
      <c r="AX256" s="1211"/>
      <c r="AY256" s="1211"/>
      <c r="AZ256" s="1211"/>
      <c r="BA256" s="1211"/>
      <c r="BC256" s="1211"/>
      <c r="BE256" s="1211"/>
      <c r="BF256" s="1211"/>
      <c r="BG256" s="1211"/>
    </row>
    <row r="257" spans="18:59" x14ac:dyDescent="0.35">
      <c r="R257" s="1211"/>
      <c r="S257" s="1211"/>
      <c r="W257" s="1211"/>
      <c r="X257" s="1211"/>
      <c r="AE257" s="1211"/>
      <c r="AF257" s="1211"/>
      <c r="AV257" s="1211"/>
      <c r="AW257" s="1211"/>
      <c r="AX257" s="1211"/>
      <c r="AY257" s="1211"/>
      <c r="AZ257" s="1211"/>
      <c r="BA257" s="1211"/>
      <c r="BC257" s="1211"/>
      <c r="BE257" s="1211"/>
      <c r="BF257" s="1211"/>
      <c r="BG257" s="1211"/>
    </row>
    <row r="258" spans="18:59" x14ac:dyDescent="0.35">
      <c r="R258" s="1211"/>
      <c r="S258" s="1211"/>
      <c r="W258" s="1211"/>
      <c r="X258" s="1211"/>
      <c r="AE258" s="1211"/>
      <c r="AF258" s="1211"/>
      <c r="AV258" s="1211"/>
      <c r="AW258" s="1211"/>
      <c r="AX258" s="1211"/>
      <c r="AY258" s="1211"/>
      <c r="AZ258" s="1211"/>
      <c r="BA258" s="1211"/>
      <c r="BC258" s="1211"/>
      <c r="BE258" s="1211"/>
      <c r="BF258" s="1211"/>
      <c r="BG258" s="1211"/>
    </row>
    <row r="259" spans="18:59" x14ac:dyDescent="0.35">
      <c r="R259" s="1211"/>
      <c r="S259" s="1211"/>
      <c r="W259" s="1211"/>
      <c r="X259" s="1211"/>
      <c r="AE259" s="1211"/>
      <c r="AF259" s="1211"/>
      <c r="AV259" s="1211"/>
      <c r="AW259" s="1211"/>
      <c r="AX259" s="1211"/>
      <c r="AY259" s="1211"/>
      <c r="AZ259" s="1211"/>
      <c r="BA259" s="1211"/>
      <c r="BC259" s="1211"/>
      <c r="BE259" s="1211"/>
      <c r="BF259" s="1211"/>
      <c r="BG259" s="1211"/>
    </row>
    <row r="260" spans="18:59" x14ac:dyDescent="0.35">
      <c r="R260" s="1211"/>
      <c r="S260" s="1211"/>
      <c r="W260" s="1211"/>
      <c r="X260" s="1211"/>
      <c r="AE260" s="1211"/>
      <c r="AF260" s="1211"/>
      <c r="AV260" s="1211"/>
      <c r="AW260" s="1211"/>
      <c r="AX260" s="1211"/>
      <c r="AY260" s="1211"/>
      <c r="AZ260" s="1211"/>
      <c r="BA260" s="1211"/>
      <c r="BC260" s="1211"/>
      <c r="BE260" s="1211"/>
      <c r="BF260" s="1211"/>
      <c r="BG260" s="1211"/>
    </row>
    <row r="261" spans="18:59" x14ac:dyDescent="0.35">
      <c r="R261" s="1211"/>
      <c r="S261" s="1211"/>
      <c r="W261" s="1211"/>
      <c r="X261" s="1211"/>
      <c r="AE261" s="1211"/>
      <c r="AF261" s="1211"/>
      <c r="AV261" s="1211"/>
      <c r="AW261" s="1211"/>
      <c r="AX261" s="1211"/>
      <c r="AY261" s="1211"/>
      <c r="AZ261" s="1211"/>
      <c r="BA261" s="1211"/>
      <c r="BC261" s="1211"/>
      <c r="BE261" s="1211"/>
      <c r="BF261" s="1211"/>
      <c r="BG261" s="1211"/>
    </row>
    <row r="262" spans="18:59" x14ac:dyDescent="0.35">
      <c r="R262" s="1211"/>
      <c r="S262" s="1211"/>
      <c r="W262" s="1211"/>
      <c r="X262" s="1211"/>
      <c r="AE262" s="1211"/>
      <c r="AF262" s="1211"/>
      <c r="AV262" s="1211"/>
      <c r="AW262" s="1211"/>
      <c r="AX262" s="1211"/>
      <c r="AY262" s="1211"/>
      <c r="AZ262" s="1211"/>
      <c r="BA262" s="1211"/>
      <c r="BC262" s="1211"/>
      <c r="BE262" s="1211"/>
      <c r="BF262" s="1211"/>
      <c r="BG262" s="1211"/>
    </row>
    <row r="263" spans="18:59" x14ac:dyDescent="0.35">
      <c r="R263" s="1211"/>
      <c r="S263" s="1211"/>
      <c r="W263" s="1211"/>
      <c r="X263" s="1211"/>
      <c r="AE263" s="1211"/>
      <c r="AF263" s="1211"/>
      <c r="AV263" s="1211"/>
      <c r="AW263" s="1211"/>
      <c r="AX263" s="1211"/>
      <c r="AY263" s="1211"/>
      <c r="AZ263" s="1211"/>
      <c r="BA263" s="1211"/>
      <c r="BC263" s="1211"/>
      <c r="BE263" s="1211"/>
      <c r="BF263" s="1211"/>
      <c r="BG263" s="1211"/>
    </row>
    <row r="264" spans="18:59" x14ac:dyDescent="0.35">
      <c r="R264" s="1211"/>
      <c r="S264" s="1211"/>
      <c r="W264" s="1211"/>
      <c r="X264" s="1211"/>
      <c r="AE264" s="1211"/>
      <c r="AF264" s="1211"/>
      <c r="AV264" s="1211"/>
      <c r="AW264" s="1211"/>
      <c r="AX264" s="1211"/>
      <c r="AY264" s="1211"/>
      <c r="AZ264" s="1211"/>
      <c r="BA264" s="1211"/>
      <c r="BC264" s="1211"/>
      <c r="BE264" s="1211"/>
      <c r="BF264" s="1211"/>
      <c r="BG264" s="1211"/>
    </row>
    <row r="265" spans="18:59" x14ac:dyDescent="0.35">
      <c r="R265" s="1211"/>
      <c r="S265" s="1211"/>
      <c r="W265" s="1211"/>
      <c r="X265" s="1211"/>
      <c r="AE265" s="1211"/>
      <c r="AF265" s="1211"/>
      <c r="AV265" s="1211"/>
      <c r="AW265" s="1211"/>
      <c r="AX265" s="1211"/>
      <c r="AY265" s="1211"/>
      <c r="AZ265" s="1211"/>
      <c r="BA265" s="1211"/>
      <c r="BC265" s="1211"/>
      <c r="BE265" s="1211"/>
      <c r="BF265" s="1211"/>
      <c r="BG265" s="1211"/>
    </row>
    <row r="266" spans="18:59" x14ac:dyDescent="0.35">
      <c r="R266" s="1211"/>
      <c r="S266" s="1211"/>
      <c r="W266" s="1211"/>
      <c r="X266" s="1211"/>
      <c r="AE266" s="1211"/>
      <c r="AF266" s="1211"/>
      <c r="AV266" s="1211"/>
      <c r="AW266" s="1211"/>
      <c r="AX266" s="1211"/>
      <c r="AY266" s="1211"/>
      <c r="AZ266" s="1211"/>
      <c r="BA266" s="1211"/>
      <c r="BC266" s="1211"/>
      <c r="BE266" s="1211"/>
      <c r="BF266" s="1211"/>
      <c r="BG266" s="1211"/>
    </row>
    <row r="267" spans="18:59" x14ac:dyDescent="0.35">
      <c r="R267" s="1211"/>
      <c r="S267" s="1211"/>
      <c r="W267" s="1211"/>
      <c r="X267" s="1211"/>
      <c r="AE267" s="1211"/>
      <c r="AF267" s="1211"/>
      <c r="AV267" s="1211"/>
      <c r="AW267" s="1211"/>
      <c r="AX267" s="1211"/>
      <c r="AY267" s="1211"/>
      <c r="AZ267" s="1211"/>
      <c r="BA267" s="1211"/>
      <c r="BC267" s="1211"/>
      <c r="BE267" s="1211"/>
      <c r="BF267" s="1211"/>
      <c r="BG267" s="1211"/>
    </row>
    <row r="268" spans="18:59" x14ac:dyDescent="0.35">
      <c r="R268" s="1211"/>
      <c r="S268" s="1211"/>
      <c r="W268" s="1211"/>
      <c r="X268" s="1211"/>
      <c r="AE268" s="1211"/>
      <c r="AF268" s="1211"/>
      <c r="AV268" s="1211"/>
      <c r="AW268" s="1211"/>
      <c r="AX268" s="1211"/>
      <c r="AY268" s="1211"/>
      <c r="AZ268" s="1211"/>
      <c r="BA268" s="1211"/>
      <c r="BC268" s="1211"/>
      <c r="BE268" s="1211"/>
      <c r="BF268" s="1211"/>
      <c r="BG268" s="1211"/>
    </row>
    <row r="269" spans="18:59" x14ac:dyDescent="0.35">
      <c r="R269" s="1211"/>
      <c r="S269" s="1211"/>
      <c r="W269" s="1211"/>
      <c r="X269" s="1211"/>
      <c r="AE269" s="1211"/>
      <c r="AF269" s="1211"/>
      <c r="AV269" s="1211"/>
      <c r="AW269" s="1211"/>
      <c r="AX269" s="1211"/>
      <c r="AY269" s="1211"/>
      <c r="AZ269" s="1211"/>
      <c r="BA269" s="1211"/>
      <c r="BC269" s="1211"/>
      <c r="BE269" s="1211"/>
      <c r="BF269" s="1211"/>
      <c r="BG269" s="1211"/>
    </row>
    <row r="270" spans="18:59" x14ac:dyDescent="0.35">
      <c r="R270" s="1211"/>
      <c r="S270" s="1211"/>
      <c r="W270" s="1211"/>
      <c r="X270" s="1211"/>
      <c r="AE270" s="1211"/>
      <c r="AF270" s="1211"/>
      <c r="AV270" s="1211"/>
      <c r="AW270" s="1211"/>
      <c r="AX270" s="1211"/>
      <c r="AY270" s="1211"/>
      <c r="AZ270" s="1211"/>
      <c r="BA270" s="1211"/>
      <c r="BC270" s="1211"/>
      <c r="BE270" s="1211"/>
      <c r="BF270" s="1211"/>
      <c r="BG270" s="1211"/>
    </row>
    <row r="271" spans="18:59" x14ac:dyDescent="0.35">
      <c r="R271" s="1211"/>
      <c r="S271" s="1211"/>
      <c r="W271" s="1211"/>
      <c r="X271" s="1211"/>
      <c r="AE271" s="1211"/>
      <c r="AF271" s="1211"/>
      <c r="AV271" s="1211"/>
      <c r="AW271" s="1211"/>
      <c r="AX271" s="1211"/>
      <c r="AY271" s="1211"/>
      <c r="AZ271" s="1211"/>
      <c r="BA271" s="1211"/>
      <c r="BC271" s="1211"/>
      <c r="BE271" s="1211"/>
      <c r="BF271" s="1211"/>
      <c r="BG271" s="1211"/>
    </row>
    <row r="272" spans="18:59" x14ac:dyDescent="0.35">
      <c r="R272" s="1211"/>
      <c r="S272" s="1211"/>
      <c r="W272" s="1211"/>
      <c r="X272" s="1211"/>
      <c r="AE272" s="1211"/>
      <c r="AF272" s="1211"/>
      <c r="AV272" s="1211"/>
      <c r="AW272" s="1211"/>
      <c r="AX272" s="1211"/>
      <c r="AY272" s="1211"/>
      <c r="AZ272" s="1211"/>
      <c r="BA272" s="1211"/>
      <c r="BC272" s="1211"/>
      <c r="BE272" s="1211"/>
      <c r="BF272" s="1211"/>
      <c r="BG272" s="1211"/>
    </row>
    <row r="273" spans="18:59" x14ac:dyDescent="0.35">
      <c r="R273" s="1211"/>
      <c r="S273" s="1211"/>
      <c r="W273" s="1211"/>
      <c r="X273" s="1211"/>
      <c r="AE273" s="1211"/>
      <c r="AF273" s="1211"/>
      <c r="AV273" s="1211"/>
      <c r="AW273" s="1211"/>
      <c r="AX273" s="1211"/>
      <c r="AY273" s="1211"/>
      <c r="AZ273" s="1211"/>
      <c r="BA273" s="1211"/>
      <c r="BC273" s="1211"/>
      <c r="BE273" s="1211"/>
      <c r="BF273" s="1211"/>
      <c r="BG273" s="1211"/>
    </row>
    <row r="274" spans="18:59" x14ac:dyDescent="0.35">
      <c r="R274" s="1211"/>
      <c r="S274" s="1211"/>
      <c r="W274" s="1211"/>
      <c r="X274" s="1211"/>
      <c r="AE274" s="1211"/>
      <c r="AF274" s="1211"/>
      <c r="AV274" s="1211"/>
      <c r="AW274" s="1211"/>
      <c r="AX274" s="1211"/>
      <c r="AY274" s="1211"/>
      <c r="AZ274" s="1211"/>
      <c r="BA274" s="1211"/>
      <c r="BC274" s="1211"/>
      <c r="BE274" s="1211"/>
      <c r="BF274" s="1211"/>
      <c r="BG274" s="1211"/>
    </row>
    <row r="275" spans="18:59" x14ac:dyDescent="0.35">
      <c r="R275" s="1211"/>
      <c r="S275" s="1211"/>
      <c r="W275" s="1211"/>
      <c r="X275" s="1211"/>
      <c r="AE275" s="1211"/>
      <c r="AF275" s="1211"/>
      <c r="AV275" s="1211"/>
      <c r="AW275" s="1211"/>
      <c r="AX275" s="1211"/>
      <c r="AY275" s="1211"/>
      <c r="AZ275" s="1211"/>
      <c r="BA275" s="1211"/>
      <c r="BC275" s="1211"/>
      <c r="BE275" s="1211"/>
      <c r="BF275" s="1211"/>
      <c r="BG275" s="1211"/>
    </row>
    <row r="276" spans="18:59" x14ac:dyDescent="0.35">
      <c r="R276" s="1211"/>
      <c r="S276" s="1211"/>
      <c r="W276" s="1211"/>
      <c r="X276" s="1211"/>
      <c r="AE276" s="1211"/>
      <c r="AF276" s="1211"/>
      <c r="AV276" s="1211"/>
      <c r="AW276" s="1211"/>
      <c r="AX276" s="1211"/>
      <c r="AY276" s="1211"/>
      <c r="AZ276" s="1211"/>
      <c r="BA276" s="1211"/>
      <c r="BC276" s="1211"/>
      <c r="BE276" s="1211"/>
      <c r="BF276" s="1211"/>
      <c r="BG276" s="1211"/>
    </row>
    <row r="277" spans="18:59" x14ac:dyDescent="0.35">
      <c r="R277" s="1211"/>
      <c r="S277" s="1211"/>
      <c r="W277" s="1211"/>
      <c r="X277" s="1211"/>
      <c r="AE277" s="1211"/>
      <c r="AF277" s="1211"/>
      <c r="AV277" s="1211"/>
      <c r="AW277" s="1211"/>
      <c r="AX277" s="1211"/>
      <c r="AY277" s="1211"/>
      <c r="AZ277" s="1211"/>
      <c r="BA277" s="1211"/>
      <c r="BC277" s="1211"/>
      <c r="BE277" s="1211"/>
      <c r="BF277" s="1211"/>
      <c r="BG277" s="1211"/>
    </row>
    <row r="278" spans="18:59" x14ac:dyDescent="0.35">
      <c r="R278" s="1211"/>
      <c r="S278" s="1211"/>
      <c r="W278" s="1211"/>
      <c r="X278" s="1211"/>
      <c r="AE278" s="1211"/>
      <c r="AF278" s="1211"/>
      <c r="AV278" s="1211"/>
      <c r="AW278" s="1211"/>
      <c r="AX278" s="1211"/>
      <c r="AY278" s="1211"/>
      <c r="AZ278" s="1211"/>
      <c r="BA278" s="1211"/>
      <c r="BC278" s="1211"/>
      <c r="BE278" s="1211"/>
      <c r="BF278" s="1211"/>
      <c r="BG278" s="1211"/>
    </row>
    <row r="279" spans="18:59" x14ac:dyDescent="0.35">
      <c r="R279" s="1211"/>
      <c r="S279" s="1211"/>
      <c r="W279" s="1211"/>
      <c r="X279" s="1211"/>
      <c r="AE279" s="1211"/>
      <c r="AF279" s="1211"/>
      <c r="AV279" s="1211"/>
      <c r="AW279" s="1211"/>
      <c r="AX279" s="1211"/>
      <c r="AY279" s="1211"/>
      <c r="AZ279" s="1211"/>
      <c r="BA279" s="1211"/>
      <c r="BC279" s="1211"/>
      <c r="BE279" s="1211"/>
      <c r="BF279" s="1211"/>
      <c r="BG279" s="1211"/>
    </row>
    <row r="280" spans="18:59" x14ac:dyDescent="0.35">
      <c r="R280" s="1211"/>
      <c r="S280" s="1211"/>
      <c r="W280" s="1211"/>
      <c r="X280" s="1211"/>
      <c r="AE280" s="1211"/>
      <c r="AF280" s="1211"/>
      <c r="AV280" s="1211"/>
      <c r="AW280" s="1211"/>
      <c r="AX280" s="1211"/>
      <c r="AY280" s="1211"/>
      <c r="AZ280" s="1211"/>
      <c r="BA280" s="1211"/>
      <c r="BC280" s="1211"/>
      <c r="BE280" s="1211"/>
      <c r="BF280" s="1211"/>
      <c r="BG280" s="1211"/>
    </row>
    <row r="281" spans="18:59" x14ac:dyDescent="0.35">
      <c r="R281" s="1211"/>
      <c r="S281" s="1211"/>
      <c r="W281" s="1211"/>
      <c r="X281" s="1211"/>
      <c r="AE281" s="1211"/>
      <c r="AF281" s="1211"/>
      <c r="AV281" s="1211"/>
      <c r="AW281" s="1211"/>
      <c r="AX281" s="1211"/>
      <c r="AY281" s="1211"/>
      <c r="AZ281" s="1211"/>
      <c r="BA281" s="1211"/>
      <c r="BC281" s="1211"/>
      <c r="BE281" s="1211"/>
      <c r="BF281" s="1211"/>
      <c r="BG281" s="1211"/>
    </row>
    <row r="282" spans="18:59" x14ac:dyDescent="0.35">
      <c r="R282" s="1211"/>
      <c r="S282" s="1211"/>
      <c r="W282" s="1211"/>
      <c r="X282" s="1211"/>
      <c r="AE282" s="1211"/>
      <c r="AF282" s="1211"/>
      <c r="AV282" s="1211"/>
      <c r="AW282" s="1211"/>
      <c r="AX282" s="1211"/>
      <c r="AY282" s="1211"/>
      <c r="AZ282" s="1211"/>
      <c r="BA282" s="1211"/>
      <c r="BC282" s="1211"/>
      <c r="BE282" s="1211"/>
      <c r="BF282" s="1211"/>
      <c r="BG282" s="1211"/>
    </row>
    <row r="283" spans="18:59" x14ac:dyDescent="0.35">
      <c r="R283" s="1211"/>
      <c r="S283" s="1211"/>
      <c r="W283" s="1211"/>
      <c r="X283" s="1211"/>
      <c r="AE283" s="1211"/>
      <c r="AF283" s="1211"/>
      <c r="AV283" s="1211"/>
      <c r="AW283" s="1211"/>
      <c r="AX283" s="1211"/>
      <c r="AY283" s="1211"/>
      <c r="AZ283" s="1211"/>
      <c r="BA283" s="1211"/>
      <c r="BC283" s="1211"/>
      <c r="BE283" s="1211"/>
      <c r="BF283" s="1211"/>
      <c r="BG283" s="1211"/>
    </row>
    <row r="284" spans="18:59" x14ac:dyDescent="0.35">
      <c r="R284" s="1211"/>
      <c r="S284" s="1211"/>
      <c r="W284" s="1211"/>
      <c r="X284" s="1211"/>
      <c r="AE284" s="1211"/>
      <c r="AF284" s="1211"/>
      <c r="AV284" s="1211"/>
      <c r="AW284" s="1211"/>
      <c r="AX284" s="1211"/>
      <c r="AY284" s="1211"/>
      <c r="AZ284" s="1211"/>
      <c r="BA284" s="1211"/>
      <c r="BC284" s="1211"/>
      <c r="BE284" s="1211"/>
      <c r="BF284" s="1211"/>
      <c r="BG284" s="1211"/>
    </row>
    <row r="285" spans="18:59" x14ac:dyDescent="0.35">
      <c r="R285" s="1211"/>
      <c r="S285" s="1211"/>
      <c r="W285" s="1211"/>
      <c r="X285" s="1211"/>
      <c r="AE285" s="1211"/>
      <c r="AF285" s="1211"/>
      <c r="AV285" s="1211"/>
      <c r="AW285" s="1211"/>
      <c r="AX285" s="1211"/>
      <c r="AY285" s="1211"/>
      <c r="AZ285" s="1211"/>
      <c r="BA285" s="1211"/>
      <c r="BC285" s="1211"/>
      <c r="BE285" s="1211"/>
      <c r="BF285" s="1211"/>
      <c r="BG285" s="1211"/>
    </row>
    <row r="286" spans="18:59" x14ac:dyDescent="0.35">
      <c r="R286" s="1211"/>
      <c r="S286" s="1211"/>
      <c r="W286" s="1211"/>
      <c r="X286" s="1211"/>
      <c r="AE286" s="1211"/>
      <c r="AF286" s="1211"/>
      <c r="AV286" s="1211"/>
      <c r="AW286" s="1211"/>
      <c r="AX286" s="1211"/>
      <c r="AY286" s="1211"/>
      <c r="AZ286" s="1211"/>
      <c r="BA286" s="1211"/>
      <c r="BC286" s="1211"/>
      <c r="BE286" s="1211"/>
      <c r="BF286" s="1211"/>
      <c r="BG286" s="1211"/>
    </row>
    <row r="287" spans="18:59" x14ac:dyDescent="0.35">
      <c r="R287" s="1211"/>
      <c r="S287" s="1211"/>
      <c r="W287" s="1211"/>
      <c r="X287" s="1211"/>
      <c r="AE287" s="1211"/>
      <c r="AF287" s="1211"/>
      <c r="AV287" s="1211"/>
      <c r="AW287" s="1211"/>
      <c r="AX287" s="1211"/>
      <c r="AY287" s="1211"/>
      <c r="AZ287" s="1211"/>
      <c r="BA287" s="1211"/>
      <c r="BC287" s="1211"/>
      <c r="BE287" s="1211"/>
      <c r="BF287" s="1211"/>
      <c r="BG287" s="1211"/>
    </row>
    <row r="288" spans="18:59" x14ac:dyDescent="0.35">
      <c r="R288" s="1211"/>
      <c r="S288" s="1211"/>
      <c r="W288" s="1211"/>
      <c r="X288" s="1211"/>
      <c r="AE288" s="1211"/>
      <c r="AF288" s="1211"/>
      <c r="AV288" s="1211"/>
      <c r="AW288" s="1211"/>
      <c r="AX288" s="1211"/>
      <c r="AY288" s="1211"/>
      <c r="AZ288" s="1211"/>
      <c r="BA288" s="1211"/>
      <c r="BC288" s="1211"/>
      <c r="BE288" s="1211"/>
      <c r="BF288" s="1211"/>
      <c r="BG288" s="1211"/>
    </row>
    <row r="289" spans="18:59" x14ac:dyDescent="0.35">
      <c r="R289" s="1211"/>
      <c r="S289" s="1211"/>
      <c r="W289" s="1211"/>
      <c r="X289" s="1211"/>
      <c r="AE289" s="1211"/>
      <c r="AF289" s="1211"/>
      <c r="AV289" s="1211"/>
      <c r="AW289" s="1211"/>
      <c r="AX289" s="1211"/>
      <c r="AY289" s="1211"/>
      <c r="AZ289" s="1211"/>
      <c r="BA289" s="1211"/>
      <c r="BC289" s="1211"/>
      <c r="BE289" s="1211"/>
      <c r="BF289" s="1211"/>
      <c r="BG289" s="1211"/>
    </row>
    <row r="290" spans="18:59" x14ac:dyDescent="0.35">
      <c r="R290" s="1211"/>
      <c r="S290" s="1211"/>
      <c r="W290" s="1211"/>
      <c r="X290" s="1211"/>
      <c r="AE290" s="1211"/>
      <c r="AF290" s="1211"/>
      <c r="AV290" s="1211"/>
      <c r="AW290" s="1211"/>
      <c r="AX290" s="1211"/>
      <c r="AY290" s="1211"/>
      <c r="AZ290" s="1211"/>
      <c r="BA290" s="1211"/>
      <c r="BC290" s="1211"/>
      <c r="BE290" s="1211"/>
      <c r="BF290" s="1211"/>
      <c r="BG290" s="1211"/>
    </row>
    <row r="291" spans="18:59" x14ac:dyDescent="0.35">
      <c r="R291" s="1211"/>
      <c r="S291" s="1211"/>
      <c r="W291" s="1211"/>
      <c r="X291" s="1211"/>
      <c r="AE291" s="1211"/>
      <c r="AF291" s="1211"/>
      <c r="AV291" s="1211"/>
      <c r="AW291" s="1211"/>
      <c r="AX291" s="1211"/>
      <c r="AY291" s="1211"/>
      <c r="AZ291" s="1211"/>
      <c r="BA291" s="1211"/>
      <c r="BC291" s="1211"/>
      <c r="BE291" s="1211"/>
      <c r="BF291" s="1211"/>
      <c r="BG291" s="1211"/>
    </row>
    <row r="292" spans="18:59" x14ac:dyDescent="0.35">
      <c r="R292" s="1211"/>
      <c r="S292" s="1211"/>
      <c r="W292" s="1211"/>
      <c r="X292" s="1211"/>
      <c r="AE292" s="1211"/>
      <c r="AF292" s="1211"/>
      <c r="AV292" s="1211"/>
      <c r="AW292" s="1211"/>
      <c r="AX292" s="1211"/>
      <c r="AY292" s="1211"/>
      <c r="AZ292" s="1211"/>
      <c r="BA292" s="1211"/>
      <c r="BC292" s="1211"/>
      <c r="BE292" s="1211"/>
      <c r="BF292" s="1211"/>
      <c r="BG292" s="1211"/>
    </row>
    <row r="293" spans="18:59" x14ac:dyDescent="0.35">
      <c r="R293" s="1211"/>
      <c r="S293" s="1211"/>
      <c r="W293" s="1211"/>
      <c r="X293" s="1211"/>
      <c r="AE293" s="1211"/>
      <c r="AF293" s="1211"/>
      <c r="AV293" s="1211"/>
      <c r="AW293" s="1211"/>
      <c r="AX293" s="1211"/>
      <c r="AY293" s="1211"/>
      <c r="AZ293" s="1211"/>
      <c r="BA293" s="1211"/>
      <c r="BC293" s="1211"/>
      <c r="BE293" s="1211"/>
      <c r="BF293" s="1211"/>
      <c r="BG293" s="1211"/>
    </row>
    <row r="294" spans="18:59" x14ac:dyDescent="0.35">
      <c r="R294" s="1211"/>
      <c r="S294" s="1211"/>
      <c r="W294" s="1211"/>
      <c r="X294" s="1211"/>
      <c r="AE294" s="1211"/>
      <c r="AF294" s="1211"/>
      <c r="AV294" s="1211"/>
      <c r="AW294" s="1211"/>
      <c r="AX294" s="1211"/>
      <c r="AY294" s="1211"/>
      <c r="AZ294" s="1211"/>
      <c r="BA294" s="1211"/>
      <c r="BC294" s="1211"/>
      <c r="BE294" s="1211"/>
      <c r="BF294" s="1211"/>
      <c r="BG294" s="1211"/>
    </row>
    <row r="295" spans="18:59" x14ac:dyDescent="0.35">
      <c r="R295" s="1211"/>
      <c r="S295" s="1211"/>
      <c r="W295" s="1211"/>
      <c r="X295" s="1211"/>
      <c r="AE295" s="1211"/>
      <c r="AF295" s="1211"/>
      <c r="AV295" s="1211"/>
      <c r="AW295" s="1211"/>
      <c r="AX295" s="1211"/>
      <c r="AY295" s="1211"/>
      <c r="AZ295" s="1211"/>
      <c r="BA295" s="1211"/>
      <c r="BC295" s="1211"/>
      <c r="BE295" s="1211"/>
      <c r="BF295" s="1211"/>
      <c r="BG295" s="1211"/>
    </row>
    <row r="296" spans="18:59" x14ac:dyDescent="0.35">
      <c r="R296" s="1211"/>
      <c r="S296" s="1211"/>
      <c r="W296" s="1211"/>
      <c r="X296" s="1211"/>
      <c r="AE296" s="1211"/>
      <c r="AF296" s="1211"/>
      <c r="AV296" s="1211"/>
      <c r="AW296" s="1211"/>
      <c r="AX296" s="1211"/>
      <c r="AY296" s="1211"/>
      <c r="AZ296" s="1211"/>
      <c r="BA296" s="1211"/>
      <c r="BC296" s="1211"/>
      <c r="BE296" s="1211"/>
      <c r="BF296" s="1211"/>
      <c r="BG296" s="1211"/>
    </row>
    <row r="297" spans="18:59" x14ac:dyDescent="0.35">
      <c r="R297" s="1211"/>
      <c r="S297" s="1211"/>
      <c r="W297" s="1211"/>
      <c r="X297" s="1211"/>
      <c r="AE297" s="1211"/>
      <c r="AF297" s="1211"/>
      <c r="AV297" s="1211"/>
      <c r="AW297" s="1211"/>
      <c r="AX297" s="1211"/>
      <c r="AY297" s="1211"/>
      <c r="AZ297" s="1211"/>
      <c r="BA297" s="1211"/>
      <c r="BC297" s="1211"/>
      <c r="BE297" s="1211"/>
      <c r="BF297" s="1211"/>
      <c r="BG297" s="1211"/>
    </row>
    <row r="298" spans="18:59" x14ac:dyDescent="0.35">
      <c r="R298" s="1211"/>
      <c r="S298" s="1211"/>
      <c r="W298" s="1211"/>
      <c r="X298" s="1211"/>
      <c r="AE298" s="1211"/>
      <c r="AF298" s="1211"/>
      <c r="AV298" s="1211"/>
      <c r="AW298" s="1211"/>
      <c r="AX298" s="1211"/>
      <c r="AY298" s="1211"/>
      <c r="AZ298" s="1211"/>
      <c r="BA298" s="1211"/>
      <c r="BC298" s="1211"/>
      <c r="BE298" s="1211"/>
      <c r="BF298" s="1211"/>
      <c r="BG298" s="1211"/>
    </row>
    <row r="299" spans="18:59" x14ac:dyDescent="0.35">
      <c r="R299" s="1211"/>
      <c r="S299" s="1211"/>
      <c r="W299" s="1211"/>
      <c r="X299" s="1211"/>
      <c r="AE299" s="1211"/>
      <c r="AF299" s="1211"/>
      <c r="AV299" s="1211"/>
      <c r="AW299" s="1211"/>
      <c r="AX299" s="1211"/>
      <c r="AY299" s="1211"/>
      <c r="AZ299" s="1211"/>
      <c r="BA299" s="1211"/>
      <c r="BC299" s="1211"/>
      <c r="BE299" s="1211"/>
      <c r="BF299" s="1211"/>
      <c r="BG299" s="1211"/>
    </row>
    <row r="300" spans="18:59" x14ac:dyDescent="0.35">
      <c r="R300" s="1211"/>
      <c r="S300" s="1211"/>
      <c r="W300" s="1211"/>
      <c r="X300" s="1211"/>
      <c r="AE300" s="1211"/>
      <c r="AF300" s="1211"/>
      <c r="AV300" s="1211"/>
      <c r="AW300" s="1211"/>
      <c r="AX300" s="1211"/>
      <c r="AY300" s="1211"/>
      <c r="AZ300" s="1211"/>
      <c r="BA300" s="1211"/>
      <c r="BC300" s="1211"/>
      <c r="BE300" s="1211"/>
      <c r="BF300" s="1211"/>
      <c r="BG300" s="1211"/>
    </row>
    <row r="301" spans="18:59" x14ac:dyDescent="0.35">
      <c r="R301" s="1211"/>
      <c r="S301" s="1211"/>
      <c r="W301" s="1211"/>
      <c r="X301" s="1211"/>
      <c r="AE301" s="1211"/>
      <c r="AF301" s="1211"/>
      <c r="AV301" s="1211"/>
      <c r="AW301" s="1211"/>
      <c r="AX301" s="1211"/>
      <c r="AY301" s="1211"/>
      <c r="AZ301" s="1211"/>
      <c r="BA301" s="1211"/>
      <c r="BC301" s="1211"/>
      <c r="BE301" s="1211"/>
      <c r="BF301" s="1211"/>
      <c r="BG301" s="1211"/>
    </row>
    <row r="302" spans="18:59" x14ac:dyDescent="0.35">
      <c r="R302" s="1211"/>
      <c r="S302" s="1211"/>
      <c r="W302" s="1211"/>
      <c r="X302" s="1211"/>
      <c r="AE302" s="1211"/>
      <c r="AF302" s="1211"/>
      <c r="AV302" s="1211"/>
      <c r="AW302" s="1211"/>
      <c r="AX302" s="1211"/>
      <c r="AY302" s="1211"/>
      <c r="AZ302" s="1211"/>
      <c r="BA302" s="1211"/>
      <c r="BC302" s="1211"/>
      <c r="BE302" s="1211"/>
      <c r="BF302" s="1211"/>
      <c r="BG302" s="1211"/>
    </row>
    <row r="303" spans="18:59" x14ac:dyDescent="0.35">
      <c r="R303" s="1211"/>
      <c r="S303" s="1211"/>
      <c r="W303" s="1211"/>
      <c r="X303" s="1211"/>
      <c r="AE303" s="1211"/>
      <c r="AF303" s="1211"/>
      <c r="AV303" s="1211"/>
      <c r="AW303" s="1211"/>
      <c r="AX303" s="1211"/>
      <c r="AY303" s="1211"/>
      <c r="AZ303" s="1211"/>
      <c r="BA303" s="1211"/>
      <c r="BC303" s="1211"/>
      <c r="BE303" s="1211"/>
      <c r="BF303" s="1211"/>
      <c r="BG303" s="1211"/>
    </row>
    <row r="304" spans="18:59" x14ac:dyDescent="0.35">
      <c r="R304" s="1211"/>
      <c r="S304" s="1211"/>
      <c r="W304" s="1211"/>
      <c r="X304" s="1211"/>
      <c r="AE304" s="1211"/>
      <c r="AF304" s="1211"/>
      <c r="AV304" s="1211"/>
      <c r="AW304" s="1211"/>
      <c r="AX304" s="1211"/>
      <c r="AY304" s="1211"/>
      <c r="AZ304" s="1211"/>
      <c r="BA304" s="1211"/>
      <c r="BC304" s="1211"/>
      <c r="BE304" s="1211"/>
      <c r="BF304" s="1211"/>
      <c r="BG304" s="1211"/>
    </row>
    <row r="305" spans="18:59" x14ac:dyDescent="0.35">
      <c r="R305" s="1211"/>
      <c r="S305" s="1211"/>
      <c r="W305" s="1211"/>
      <c r="X305" s="1211"/>
      <c r="AE305" s="1211"/>
      <c r="AF305" s="1211"/>
      <c r="AV305" s="1211"/>
      <c r="AW305" s="1211"/>
      <c r="AX305" s="1211"/>
      <c r="AY305" s="1211"/>
      <c r="AZ305" s="1211"/>
      <c r="BA305" s="1211"/>
      <c r="BC305" s="1211"/>
      <c r="BE305" s="1211"/>
      <c r="BF305" s="1211"/>
      <c r="BG305" s="1211"/>
    </row>
    <row r="306" spans="18:59" x14ac:dyDescent="0.35">
      <c r="R306" s="1211"/>
      <c r="S306" s="1211"/>
      <c r="W306" s="1211"/>
      <c r="X306" s="1211"/>
      <c r="AE306" s="1211"/>
      <c r="AF306" s="1211"/>
      <c r="AV306" s="1211"/>
      <c r="AW306" s="1211"/>
      <c r="AX306" s="1211"/>
      <c r="AY306" s="1211"/>
      <c r="AZ306" s="1211"/>
      <c r="BA306" s="1211"/>
      <c r="BC306" s="1211"/>
      <c r="BE306" s="1211"/>
      <c r="BF306" s="1211"/>
      <c r="BG306" s="1211"/>
    </row>
    <row r="307" spans="18:59" x14ac:dyDescent="0.35">
      <c r="R307" s="1211"/>
      <c r="S307" s="1211"/>
      <c r="W307" s="1211"/>
      <c r="X307" s="1211"/>
      <c r="AE307" s="1211"/>
      <c r="AF307" s="1211"/>
      <c r="AV307" s="1211"/>
      <c r="AW307" s="1211"/>
      <c r="AX307" s="1211"/>
      <c r="AY307" s="1211"/>
      <c r="AZ307" s="1211"/>
      <c r="BA307" s="1211"/>
      <c r="BC307" s="1211"/>
      <c r="BE307" s="1211"/>
      <c r="BF307" s="1211"/>
      <c r="BG307" s="1211"/>
    </row>
    <row r="308" spans="18:59" x14ac:dyDescent="0.35">
      <c r="R308" s="1211"/>
      <c r="S308" s="1211"/>
      <c r="W308" s="1211"/>
      <c r="X308" s="1211"/>
      <c r="AE308" s="1211"/>
      <c r="AF308" s="1211"/>
      <c r="AV308" s="1211"/>
      <c r="AW308" s="1211"/>
      <c r="AX308" s="1211"/>
      <c r="AY308" s="1211"/>
      <c r="AZ308" s="1211"/>
      <c r="BA308" s="1211"/>
      <c r="BC308" s="1211"/>
      <c r="BE308" s="1211"/>
      <c r="BF308" s="1211"/>
      <c r="BG308" s="1211"/>
    </row>
    <row r="309" spans="18:59" x14ac:dyDescent="0.35">
      <c r="R309" s="1211"/>
      <c r="S309" s="1211"/>
      <c r="W309" s="1211"/>
      <c r="X309" s="1211"/>
      <c r="AE309" s="1211"/>
      <c r="AF309" s="1211"/>
      <c r="AV309" s="1211"/>
      <c r="AW309" s="1211"/>
      <c r="AX309" s="1211"/>
      <c r="AY309" s="1211"/>
      <c r="AZ309" s="1211"/>
      <c r="BA309" s="1211"/>
      <c r="BC309" s="1211"/>
      <c r="BE309" s="1211"/>
      <c r="BF309" s="1211"/>
      <c r="BG309" s="1211"/>
    </row>
    <row r="310" spans="18:59" x14ac:dyDescent="0.35">
      <c r="R310" s="1211"/>
      <c r="S310" s="1211"/>
      <c r="W310" s="1211"/>
      <c r="X310" s="1211"/>
      <c r="AE310" s="1211"/>
      <c r="AF310" s="1211"/>
      <c r="AV310" s="1211"/>
      <c r="AW310" s="1211"/>
      <c r="AX310" s="1211"/>
      <c r="AY310" s="1211"/>
      <c r="AZ310" s="1211"/>
      <c r="BA310" s="1211"/>
      <c r="BC310" s="1211"/>
      <c r="BE310" s="1211"/>
      <c r="BF310" s="1211"/>
      <c r="BG310" s="1211"/>
    </row>
    <row r="311" spans="18:59" x14ac:dyDescent="0.35">
      <c r="R311" s="1211"/>
      <c r="S311" s="1211"/>
      <c r="W311" s="1211"/>
      <c r="X311" s="1211"/>
      <c r="AE311" s="1211"/>
      <c r="AF311" s="1211"/>
      <c r="AV311" s="1211"/>
      <c r="AW311" s="1211"/>
      <c r="AX311" s="1211"/>
      <c r="AY311" s="1211"/>
      <c r="AZ311" s="1211"/>
      <c r="BA311" s="1211"/>
      <c r="BC311" s="1211"/>
      <c r="BE311" s="1211"/>
      <c r="BF311" s="1211"/>
      <c r="BG311" s="1211"/>
    </row>
    <row r="312" spans="18:59" x14ac:dyDescent="0.35">
      <c r="R312" s="1211"/>
      <c r="S312" s="1211"/>
      <c r="W312" s="1211"/>
      <c r="X312" s="1211"/>
      <c r="AE312" s="1211"/>
      <c r="AF312" s="1211"/>
      <c r="AV312" s="1211"/>
      <c r="AW312" s="1211"/>
      <c r="AX312" s="1211"/>
      <c r="AY312" s="1211"/>
      <c r="AZ312" s="1211"/>
      <c r="BA312" s="1211"/>
      <c r="BC312" s="1211"/>
      <c r="BE312" s="1211"/>
      <c r="BF312" s="1211"/>
      <c r="BG312" s="1211"/>
    </row>
    <row r="313" spans="18:59" x14ac:dyDescent="0.35">
      <c r="R313" s="1211"/>
      <c r="S313" s="1211"/>
      <c r="W313" s="1211"/>
      <c r="X313" s="1211"/>
      <c r="AE313" s="1211"/>
      <c r="AF313" s="1211"/>
      <c r="AV313" s="1211"/>
      <c r="AW313" s="1211"/>
      <c r="AX313" s="1211"/>
      <c r="AY313" s="1211"/>
      <c r="AZ313" s="1211"/>
      <c r="BA313" s="1211"/>
      <c r="BC313" s="1211"/>
      <c r="BE313" s="1211"/>
      <c r="BF313" s="1211"/>
      <c r="BG313" s="1211"/>
    </row>
    <row r="314" spans="18:59" x14ac:dyDescent="0.35">
      <c r="R314" s="1211"/>
      <c r="S314" s="1211"/>
      <c r="W314" s="1211"/>
      <c r="X314" s="1211"/>
      <c r="AE314" s="1211"/>
      <c r="AF314" s="1211"/>
      <c r="AV314" s="1211"/>
      <c r="AW314" s="1211"/>
      <c r="AX314" s="1211"/>
      <c r="AY314" s="1211"/>
      <c r="AZ314" s="1211"/>
      <c r="BA314" s="1211"/>
      <c r="BC314" s="1211"/>
      <c r="BE314" s="1211"/>
      <c r="BF314" s="1211"/>
      <c r="BG314" s="1211"/>
    </row>
    <row r="315" spans="18:59" x14ac:dyDescent="0.35">
      <c r="R315" s="1211"/>
      <c r="S315" s="1211"/>
      <c r="W315" s="1211"/>
      <c r="X315" s="1211"/>
      <c r="AE315" s="1211"/>
      <c r="AF315" s="1211"/>
      <c r="AV315" s="1211"/>
      <c r="AW315" s="1211"/>
      <c r="AX315" s="1211"/>
      <c r="AY315" s="1211"/>
      <c r="AZ315" s="1211"/>
      <c r="BA315" s="1211"/>
      <c r="BC315" s="1211"/>
      <c r="BE315" s="1211"/>
      <c r="BF315" s="1211"/>
      <c r="BG315" s="1211"/>
    </row>
    <row r="316" spans="18:59" x14ac:dyDescent="0.35">
      <c r="R316" s="1211"/>
      <c r="S316" s="1211"/>
      <c r="W316" s="1211"/>
      <c r="X316" s="1211"/>
      <c r="AE316" s="1211"/>
      <c r="AF316" s="1211"/>
      <c r="AV316" s="1211"/>
      <c r="AW316" s="1211"/>
      <c r="AX316" s="1211"/>
      <c r="AY316" s="1211"/>
      <c r="AZ316" s="1211"/>
      <c r="BA316" s="1211"/>
      <c r="BC316" s="1211"/>
      <c r="BE316" s="1211"/>
      <c r="BF316" s="1211"/>
      <c r="BG316" s="1211"/>
    </row>
    <row r="317" spans="18:59" x14ac:dyDescent="0.35">
      <c r="R317" s="1211"/>
      <c r="S317" s="1211"/>
      <c r="W317" s="1211"/>
      <c r="X317" s="1211"/>
      <c r="AE317" s="1211"/>
      <c r="AF317" s="1211"/>
      <c r="AV317" s="1211"/>
      <c r="AW317" s="1211"/>
      <c r="AX317" s="1211"/>
      <c r="AY317" s="1211"/>
      <c r="AZ317" s="1211"/>
      <c r="BA317" s="1211"/>
      <c r="BC317" s="1211"/>
      <c r="BE317" s="1211"/>
      <c r="BF317" s="1211"/>
      <c r="BG317" s="1211"/>
    </row>
    <row r="318" spans="18:59" x14ac:dyDescent="0.35">
      <c r="R318" s="1211"/>
      <c r="S318" s="1211"/>
      <c r="W318" s="1211"/>
      <c r="X318" s="1211"/>
      <c r="AE318" s="1211"/>
      <c r="AF318" s="1211"/>
      <c r="AV318" s="1211"/>
      <c r="AW318" s="1211"/>
      <c r="AX318" s="1211"/>
      <c r="AY318" s="1211"/>
      <c r="AZ318" s="1211"/>
      <c r="BA318" s="1211"/>
      <c r="BC318" s="1211"/>
      <c r="BE318" s="1211"/>
      <c r="BF318" s="1211"/>
      <c r="BG318" s="1211"/>
    </row>
    <row r="319" spans="18:59" x14ac:dyDescent="0.35">
      <c r="R319" s="1211"/>
      <c r="S319" s="1211"/>
      <c r="W319" s="1211"/>
      <c r="X319" s="1211"/>
      <c r="AE319" s="1211"/>
      <c r="AF319" s="1211"/>
      <c r="AV319" s="1211"/>
      <c r="AW319" s="1211"/>
      <c r="AX319" s="1211"/>
      <c r="AY319" s="1211"/>
      <c r="AZ319" s="1211"/>
      <c r="BA319" s="1211"/>
      <c r="BC319" s="1211"/>
      <c r="BE319" s="1211"/>
      <c r="BF319" s="1211"/>
      <c r="BG319" s="1211"/>
    </row>
    <row r="320" spans="18:59" x14ac:dyDescent="0.35">
      <c r="R320" s="1211"/>
      <c r="S320" s="1211"/>
      <c r="W320" s="1211"/>
      <c r="X320" s="1211"/>
      <c r="AE320" s="1211"/>
      <c r="AF320" s="1211"/>
      <c r="AV320" s="1211"/>
      <c r="AW320" s="1211"/>
      <c r="AX320" s="1211"/>
      <c r="AY320" s="1211"/>
      <c r="AZ320" s="1211"/>
      <c r="BA320" s="1211"/>
      <c r="BC320" s="1211"/>
      <c r="BE320" s="1211"/>
      <c r="BF320" s="1211"/>
      <c r="BG320" s="1211"/>
    </row>
    <row r="321" spans="18:59" x14ac:dyDescent="0.35">
      <c r="R321" s="1211"/>
      <c r="S321" s="1211"/>
      <c r="W321" s="1211"/>
      <c r="X321" s="1211"/>
      <c r="AE321" s="1211"/>
      <c r="AF321" s="1211"/>
      <c r="AV321" s="1211"/>
      <c r="AW321" s="1211"/>
      <c r="AX321" s="1211"/>
      <c r="AY321" s="1211"/>
      <c r="AZ321" s="1211"/>
      <c r="BA321" s="1211"/>
      <c r="BC321" s="1211"/>
      <c r="BE321" s="1211"/>
      <c r="BF321" s="1211"/>
      <c r="BG321" s="1211"/>
    </row>
    <row r="322" spans="18:59" x14ac:dyDescent="0.35">
      <c r="R322" s="1211"/>
      <c r="S322" s="1211"/>
      <c r="W322" s="1211"/>
      <c r="X322" s="1211"/>
      <c r="AE322" s="1211"/>
      <c r="AF322" s="1211"/>
      <c r="AV322" s="1211"/>
      <c r="AW322" s="1211"/>
      <c r="AX322" s="1211"/>
      <c r="AY322" s="1211"/>
      <c r="AZ322" s="1211"/>
      <c r="BA322" s="1211"/>
      <c r="BC322" s="1211"/>
      <c r="BE322" s="1211"/>
      <c r="BF322" s="1211"/>
      <c r="BG322" s="1211"/>
    </row>
    <row r="323" spans="18:59" x14ac:dyDescent="0.35">
      <c r="R323" s="1211"/>
      <c r="S323" s="1211"/>
      <c r="W323" s="1211"/>
      <c r="X323" s="1211"/>
      <c r="AE323" s="1211"/>
      <c r="AF323" s="1211"/>
      <c r="AV323" s="1211"/>
      <c r="AW323" s="1211"/>
      <c r="AX323" s="1211"/>
      <c r="AY323" s="1211"/>
      <c r="AZ323" s="1211"/>
      <c r="BA323" s="1211"/>
      <c r="BC323" s="1211"/>
      <c r="BE323" s="1211"/>
      <c r="BF323" s="1211"/>
      <c r="BG323" s="1211"/>
    </row>
    <row r="324" spans="18:59" x14ac:dyDescent="0.35">
      <c r="R324" s="1211"/>
      <c r="S324" s="1211"/>
      <c r="W324" s="1211"/>
      <c r="X324" s="1211"/>
      <c r="AE324" s="1211"/>
      <c r="AF324" s="1211"/>
      <c r="AV324" s="1211"/>
      <c r="AW324" s="1211"/>
      <c r="AX324" s="1211"/>
      <c r="AY324" s="1211"/>
      <c r="AZ324" s="1211"/>
      <c r="BA324" s="1211"/>
      <c r="BC324" s="1211"/>
      <c r="BE324" s="1211"/>
      <c r="BF324" s="1211"/>
      <c r="BG324" s="1211"/>
    </row>
    <row r="325" spans="18:59" x14ac:dyDescent="0.35">
      <c r="R325" s="1211"/>
      <c r="S325" s="1211"/>
      <c r="W325" s="1211"/>
      <c r="X325" s="1211"/>
      <c r="AE325" s="1211"/>
      <c r="AF325" s="1211"/>
      <c r="AV325" s="1211"/>
      <c r="AW325" s="1211"/>
      <c r="AX325" s="1211"/>
      <c r="AY325" s="1211"/>
      <c r="AZ325" s="1211"/>
      <c r="BA325" s="1211"/>
      <c r="BC325" s="1211"/>
      <c r="BE325" s="1211"/>
      <c r="BF325" s="1211"/>
      <c r="BG325" s="1211"/>
    </row>
    <row r="326" spans="18:59" x14ac:dyDescent="0.35">
      <c r="R326" s="1211"/>
      <c r="S326" s="1211"/>
      <c r="W326" s="1211"/>
      <c r="X326" s="1211"/>
      <c r="AE326" s="1211"/>
      <c r="AF326" s="1211"/>
      <c r="AV326" s="1211"/>
      <c r="AW326" s="1211"/>
      <c r="AX326" s="1211"/>
      <c r="AY326" s="1211"/>
      <c r="AZ326" s="1211"/>
      <c r="BA326" s="1211"/>
      <c r="BC326" s="1211"/>
      <c r="BE326" s="1211"/>
      <c r="BF326" s="1211"/>
      <c r="BG326" s="1211"/>
    </row>
    <row r="327" spans="18:59" x14ac:dyDescent="0.35">
      <c r="R327" s="1211"/>
      <c r="S327" s="1211"/>
      <c r="W327" s="1211"/>
      <c r="X327" s="1211"/>
      <c r="AE327" s="1211"/>
      <c r="AF327" s="1211"/>
      <c r="AV327" s="1211"/>
      <c r="AW327" s="1211"/>
      <c r="AX327" s="1211"/>
      <c r="AY327" s="1211"/>
      <c r="AZ327" s="1211"/>
      <c r="BA327" s="1211"/>
      <c r="BC327" s="1211"/>
      <c r="BE327" s="1211"/>
      <c r="BF327" s="1211"/>
      <c r="BG327" s="1211"/>
    </row>
    <row r="328" spans="18:59" x14ac:dyDescent="0.35">
      <c r="R328" s="1211"/>
      <c r="S328" s="1211"/>
      <c r="W328" s="1211"/>
      <c r="X328" s="1211"/>
      <c r="AE328" s="1211"/>
      <c r="AF328" s="1211"/>
      <c r="AV328" s="1211"/>
      <c r="AW328" s="1211"/>
      <c r="AX328" s="1211"/>
      <c r="AY328" s="1211"/>
      <c r="AZ328" s="1211"/>
      <c r="BA328" s="1211"/>
      <c r="BC328" s="1211"/>
      <c r="BE328" s="1211"/>
      <c r="BF328" s="1211"/>
      <c r="BG328" s="1211"/>
    </row>
    <row r="329" spans="18:59" x14ac:dyDescent="0.35">
      <c r="R329" s="1211"/>
      <c r="S329" s="1211"/>
      <c r="W329" s="1211"/>
      <c r="X329" s="1211"/>
      <c r="AE329" s="1211"/>
      <c r="AF329" s="1211"/>
      <c r="AV329" s="1211"/>
      <c r="AW329" s="1211"/>
      <c r="AX329" s="1211"/>
      <c r="AY329" s="1211"/>
      <c r="AZ329" s="1211"/>
      <c r="BA329" s="1211"/>
      <c r="BC329" s="1211"/>
      <c r="BE329" s="1211"/>
      <c r="BF329" s="1211"/>
      <c r="BG329" s="1211"/>
    </row>
    <row r="330" spans="18:59" x14ac:dyDescent="0.35">
      <c r="R330" s="1211"/>
      <c r="S330" s="1211"/>
      <c r="W330" s="1211"/>
      <c r="X330" s="1211"/>
      <c r="AE330" s="1211"/>
      <c r="AF330" s="1211"/>
      <c r="AV330" s="1211"/>
      <c r="AW330" s="1211"/>
      <c r="AX330" s="1211"/>
      <c r="AY330" s="1211"/>
      <c r="AZ330" s="1211"/>
      <c r="BA330" s="1211"/>
      <c r="BC330" s="1211"/>
      <c r="BE330" s="1211"/>
      <c r="BF330" s="1211"/>
      <c r="BG330" s="1211"/>
    </row>
    <row r="331" spans="18:59" x14ac:dyDescent="0.35">
      <c r="R331" s="1211"/>
      <c r="S331" s="1211"/>
      <c r="W331" s="1211"/>
      <c r="X331" s="1211"/>
      <c r="AE331" s="1211"/>
      <c r="AF331" s="1211"/>
      <c r="AV331" s="1211"/>
      <c r="AW331" s="1211"/>
      <c r="AX331" s="1211"/>
      <c r="AY331" s="1211"/>
      <c r="AZ331" s="1211"/>
      <c r="BA331" s="1211"/>
      <c r="BC331" s="1211"/>
      <c r="BE331" s="1211"/>
      <c r="BF331" s="1211"/>
      <c r="BG331" s="1211"/>
    </row>
    <row r="332" spans="18:59" x14ac:dyDescent="0.35">
      <c r="R332" s="1211"/>
      <c r="S332" s="1211"/>
      <c r="W332" s="1211"/>
      <c r="X332" s="1211"/>
      <c r="AE332" s="1211"/>
      <c r="AF332" s="1211"/>
      <c r="AV332" s="1211"/>
      <c r="AW332" s="1211"/>
      <c r="AX332" s="1211"/>
      <c r="AY332" s="1211"/>
      <c r="AZ332" s="1211"/>
      <c r="BA332" s="1211"/>
      <c r="BC332" s="1211"/>
      <c r="BE332" s="1211"/>
      <c r="BF332" s="1211"/>
      <c r="BG332" s="1211"/>
    </row>
    <row r="333" spans="18:59" x14ac:dyDescent="0.35">
      <c r="R333" s="1211"/>
      <c r="S333" s="1211"/>
      <c r="W333" s="1211"/>
      <c r="X333" s="1211"/>
      <c r="AE333" s="1211"/>
      <c r="AF333" s="1211"/>
      <c r="AV333" s="1211"/>
      <c r="AW333" s="1211"/>
      <c r="AX333" s="1211"/>
      <c r="AY333" s="1211"/>
      <c r="AZ333" s="1211"/>
      <c r="BA333" s="1211"/>
      <c r="BC333" s="1211"/>
      <c r="BE333" s="1211"/>
      <c r="BF333" s="1211"/>
      <c r="BG333" s="1211"/>
    </row>
    <row r="334" spans="18:59" x14ac:dyDescent="0.35">
      <c r="R334" s="1211"/>
      <c r="S334" s="1211"/>
      <c r="W334" s="1211"/>
      <c r="X334" s="1211"/>
      <c r="AE334" s="1211"/>
      <c r="AF334" s="1211"/>
      <c r="AV334" s="1211"/>
      <c r="AW334" s="1211"/>
      <c r="AX334" s="1211"/>
      <c r="AY334" s="1211"/>
      <c r="AZ334" s="1211"/>
      <c r="BA334" s="1211"/>
      <c r="BC334" s="1211"/>
      <c r="BE334" s="1211"/>
      <c r="BF334" s="1211"/>
      <c r="BG334" s="1211"/>
    </row>
    <row r="335" spans="18:59" x14ac:dyDescent="0.35">
      <c r="R335" s="1211"/>
      <c r="S335" s="1211"/>
      <c r="W335" s="1211"/>
      <c r="X335" s="1211"/>
      <c r="AE335" s="1211"/>
      <c r="AF335" s="1211"/>
      <c r="AV335" s="1211"/>
      <c r="AW335" s="1211"/>
      <c r="AX335" s="1211"/>
      <c r="AY335" s="1211"/>
      <c r="AZ335" s="1211"/>
      <c r="BA335" s="1211"/>
      <c r="BC335" s="1211"/>
      <c r="BE335" s="1211"/>
      <c r="BF335" s="1211"/>
      <c r="BG335" s="1211"/>
    </row>
    <row r="336" spans="18:59" x14ac:dyDescent="0.35">
      <c r="R336" s="1211"/>
      <c r="S336" s="1211"/>
      <c r="W336" s="1211"/>
      <c r="X336" s="1211"/>
      <c r="AE336" s="1211"/>
      <c r="AF336" s="1211"/>
      <c r="AV336" s="1211"/>
      <c r="AW336" s="1211"/>
      <c r="AX336" s="1211"/>
      <c r="AY336" s="1211"/>
      <c r="AZ336" s="1211"/>
      <c r="BA336" s="1211"/>
      <c r="BC336" s="1211"/>
      <c r="BE336" s="1211"/>
      <c r="BF336" s="1211"/>
      <c r="BG336" s="1211"/>
    </row>
    <row r="337" spans="18:59" x14ac:dyDescent="0.35">
      <c r="R337" s="1211"/>
      <c r="S337" s="1211"/>
      <c r="W337" s="1211"/>
      <c r="X337" s="1211"/>
      <c r="AE337" s="1211"/>
      <c r="AF337" s="1211"/>
      <c r="AV337" s="1211"/>
      <c r="AW337" s="1211"/>
      <c r="AX337" s="1211"/>
      <c r="AY337" s="1211"/>
      <c r="AZ337" s="1211"/>
      <c r="BA337" s="1211"/>
      <c r="BC337" s="1211"/>
      <c r="BE337" s="1211"/>
      <c r="BF337" s="1211"/>
      <c r="BG337" s="1211"/>
    </row>
    <row r="338" spans="18:59" x14ac:dyDescent="0.35">
      <c r="R338" s="1211"/>
      <c r="S338" s="1211"/>
      <c r="W338" s="1211"/>
      <c r="X338" s="1211"/>
      <c r="AE338" s="1211"/>
      <c r="AF338" s="1211"/>
      <c r="AV338" s="1211"/>
      <c r="AW338" s="1211"/>
      <c r="AX338" s="1211"/>
      <c r="AY338" s="1211"/>
      <c r="AZ338" s="1211"/>
      <c r="BA338" s="1211"/>
      <c r="BC338" s="1211"/>
      <c r="BE338" s="1211"/>
      <c r="BF338" s="1211"/>
      <c r="BG338" s="1211"/>
    </row>
    <row r="339" spans="18:59" x14ac:dyDescent="0.35">
      <c r="R339" s="1211"/>
      <c r="S339" s="1211"/>
      <c r="W339" s="1211"/>
      <c r="X339" s="1211"/>
      <c r="AE339" s="1211"/>
      <c r="AF339" s="1211"/>
      <c r="AV339" s="1211"/>
      <c r="AW339" s="1211"/>
      <c r="AX339" s="1211"/>
      <c r="AY339" s="1211"/>
      <c r="AZ339" s="1211"/>
      <c r="BA339" s="1211"/>
      <c r="BC339" s="1211"/>
      <c r="BE339" s="1211"/>
      <c r="BF339" s="1211"/>
      <c r="BG339" s="1211"/>
    </row>
    <row r="340" spans="18:59" x14ac:dyDescent="0.35">
      <c r="R340" s="1211"/>
      <c r="S340" s="1211"/>
      <c r="W340" s="1211"/>
      <c r="X340" s="1211"/>
      <c r="AE340" s="1211"/>
      <c r="AF340" s="1211"/>
      <c r="AV340" s="1211"/>
      <c r="AW340" s="1211"/>
      <c r="AX340" s="1211"/>
      <c r="AY340" s="1211"/>
      <c r="AZ340" s="1211"/>
      <c r="BA340" s="1211"/>
      <c r="BC340" s="1211"/>
      <c r="BE340" s="1211"/>
      <c r="BF340" s="1211"/>
      <c r="BG340" s="1211"/>
    </row>
    <row r="341" spans="18:59" x14ac:dyDescent="0.35">
      <c r="R341" s="1211"/>
      <c r="S341" s="1211"/>
      <c r="W341" s="1211"/>
      <c r="X341" s="1211"/>
      <c r="AE341" s="1211"/>
      <c r="AF341" s="1211"/>
      <c r="AV341" s="1211"/>
      <c r="AW341" s="1211"/>
      <c r="AX341" s="1211"/>
      <c r="AY341" s="1211"/>
      <c r="AZ341" s="1211"/>
      <c r="BA341" s="1211"/>
      <c r="BC341" s="1211"/>
      <c r="BE341" s="1211"/>
      <c r="BF341" s="1211"/>
      <c r="BG341" s="1211"/>
    </row>
    <row r="342" spans="18:59" x14ac:dyDescent="0.35">
      <c r="R342" s="1211"/>
      <c r="S342" s="1211"/>
      <c r="W342" s="1211"/>
      <c r="X342" s="1211"/>
      <c r="AE342" s="1211"/>
      <c r="AF342" s="1211"/>
      <c r="AV342" s="1211"/>
      <c r="AW342" s="1211"/>
      <c r="AX342" s="1211"/>
      <c r="AY342" s="1211"/>
      <c r="AZ342" s="1211"/>
      <c r="BA342" s="1211"/>
      <c r="BC342" s="1211"/>
      <c r="BE342" s="1211"/>
      <c r="BF342" s="1211"/>
      <c r="BG342" s="1211"/>
    </row>
    <row r="343" spans="18:59" x14ac:dyDescent="0.35">
      <c r="R343" s="1211"/>
      <c r="S343" s="1211"/>
      <c r="W343" s="1211"/>
      <c r="X343" s="1211"/>
      <c r="AE343" s="1211"/>
      <c r="AF343" s="1211"/>
      <c r="AV343" s="1211"/>
      <c r="AW343" s="1211"/>
      <c r="AX343" s="1211"/>
      <c r="AY343" s="1211"/>
      <c r="AZ343" s="1211"/>
      <c r="BA343" s="1211"/>
      <c r="BC343" s="1211"/>
      <c r="BE343" s="1211"/>
      <c r="BF343" s="1211"/>
      <c r="BG343" s="1211"/>
    </row>
    <row r="344" spans="18:59" x14ac:dyDescent="0.35">
      <c r="R344" s="1211"/>
      <c r="S344" s="1211"/>
      <c r="W344" s="1211"/>
      <c r="X344" s="1211"/>
      <c r="AE344" s="1211"/>
      <c r="AF344" s="1211"/>
      <c r="AV344" s="1211"/>
      <c r="AW344" s="1211"/>
      <c r="AX344" s="1211"/>
      <c r="AY344" s="1211"/>
      <c r="AZ344" s="1211"/>
      <c r="BA344" s="1211"/>
      <c r="BC344" s="1211"/>
      <c r="BE344" s="1211"/>
      <c r="BF344" s="1211"/>
      <c r="BG344" s="1211"/>
    </row>
    <row r="345" spans="18:59" x14ac:dyDescent="0.35">
      <c r="R345" s="1211"/>
      <c r="S345" s="1211"/>
      <c r="W345" s="1211"/>
      <c r="X345" s="1211"/>
      <c r="AE345" s="1211"/>
      <c r="AF345" s="1211"/>
      <c r="AV345" s="1211"/>
      <c r="AW345" s="1211"/>
      <c r="AX345" s="1211"/>
      <c r="AY345" s="1211"/>
      <c r="AZ345" s="1211"/>
      <c r="BA345" s="1211"/>
      <c r="BC345" s="1211"/>
      <c r="BE345" s="1211"/>
      <c r="BF345" s="1211"/>
      <c r="BG345" s="1211"/>
    </row>
    <row r="346" spans="18:59" x14ac:dyDescent="0.35">
      <c r="R346" s="1211"/>
      <c r="S346" s="1211"/>
      <c r="W346" s="1211"/>
      <c r="X346" s="1211"/>
      <c r="AE346" s="1211"/>
      <c r="AF346" s="1211"/>
      <c r="AV346" s="1211"/>
      <c r="AW346" s="1211"/>
      <c r="AX346" s="1211"/>
      <c r="AY346" s="1211"/>
      <c r="AZ346" s="1211"/>
      <c r="BA346" s="1211"/>
      <c r="BC346" s="1211"/>
      <c r="BE346" s="1211"/>
      <c r="BF346" s="1211"/>
      <c r="BG346" s="1211"/>
    </row>
    <row r="347" spans="18:59" x14ac:dyDescent="0.35">
      <c r="R347" s="1211"/>
      <c r="S347" s="1211"/>
      <c r="W347" s="1211"/>
      <c r="X347" s="1211"/>
      <c r="AE347" s="1211"/>
      <c r="AF347" s="1211"/>
      <c r="AV347" s="1211"/>
      <c r="AW347" s="1211"/>
      <c r="AX347" s="1211"/>
      <c r="AY347" s="1211"/>
      <c r="AZ347" s="1211"/>
      <c r="BA347" s="1211"/>
      <c r="BC347" s="1211"/>
      <c r="BE347" s="1211"/>
      <c r="BF347" s="1211"/>
      <c r="BG347" s="1211"/>
    </row>
    <row r="348" spans="18:59" x14ac:dyDescent="0.35">
      <c r="R348" s="1211"/>
      <c r="S348" s="1211"/>
      <c r="W348" s="1211"/>
      <c r="X348" s="1211"/>
      <c r="AE348" s="1211"/>
      <c r="AF348" s="1211"/>
      <c r="AV348" s="1211"/>
      <c r="AW348" s="1211"/>
      <c r="AX348" s="1211"/>
      <c r="AY348" s="1211"/>
      <c r="AZ348" s="1211"/>
      <c r="BA348" s="1211"/>
      <c r="BC348" s="1211"/>
      <c r="BE348" s="1211"/>
      <c r="BF348" s="1211"/>
      <c r="BG348" s="1211"/>
    </row>
    <row r="349" spans="18:59" x14ac:dyDescent="0.35">
      <c r="R349" s="1211"/>
      <c r="S349" s="1211"/>
      <c r="W349" s="1211"/>
      <c r="X349" s="1211"/>
      <c r="AE349" s="1211"/>
      <c r="AF349" s="1211"/>
      <c r="AV349" s="1211"/>
      <c r="AW349" s="1211"/>
      <c r="AX349" s="1211"/>
      <c r="AY349" s="1211"/>
      <c r="AZ349" s="1211"/>
      <c r="BA349" s="1211"/>
      <c r="BC349" s="1211"/>
      <c r="BE349" s="1211"/>
      <c r="BF349" s="1211"/>
      <c r="BG349" s="1211"/>
    </row>
    <row r="350" spans="18:59" x14ac:dyDescent="0.35">
      <c r="R350" s="1211"/>
      <c r="S350" s="1211"/>
      <c r="W350" s="1211"/>
      <c r="X350" s="1211"/>
      <c r="AE350" s="1211"/>
      <c r="AF350" s="1211"/>
      <c r="AV350" s="1211"/>
      <c r="AW350" s="1211"/>
      <c r="AX350" s="1211"/>
      <c r="AY350" s="1211"/>
      <c r="AZ350" s="1211"/>
      <c r="BA350" s="1211"/>
      <c r="BC350" s="1211"/>
      <c r="BE350" s="1211"/>
      <c r="BF350" s="1211"/>
      <c r="BG350" s="1211"/>
    </row>
    <row r="351" spans="18:59" x14ac:dyDescent="0.35">
      <c r="R351" s="1211"/>
      <c r="S351" s="1211"/>
      <c r="W351" s="1211"/>
      <c r="X351" s="1211"/>
      <c r="AE351" s="1211"/>
      <c r="AF351" s="1211"/>
      <c r="AV351" s="1211"/>
      <c r="AW351" s="1211"/>
      <c r="AX351" s="1211"/>
      <c r="AY351" s="1211"/>
      <c r="AZ351" s="1211"/>
      <c r="BA351" s="1211"/>
      <c r="BC351" s="1211"/>
      <c r="BE351" s="1211"/>
      <c r="BF351" s="1211"/>
      <c r="BG351" s="1211"/>
    </row>
    <row r="352" spans="18:59" x14ac:dyDescent="0.35">
      <c r="R352" s="1211"/>
      <c r="S352" s="1211"/>
      <c r="W352" s="1211"/>
      <c r="X352" s="1211"/>
      <c r="AE352" s="1211"/>
      <c r="AF352" s="1211"/>
      <c r="AV352" s="1211"/>
      <c r="AW352" s="1211"/>
      <c r="AX352" s="1211"/>
      <c r="AY352" s="1211"/>
      <c r="AZ352" s="1211"/>
      <c r="BA352" s="1211"/>
      <c r="BC352" s="1211"/>
      <c r="BE352" s="1211"/>
      <c r="BF352" s="1211"/>
      <c r="BG352" s="1211"/>
    </row>
    <row r="353" spans="18:59" x14ac:dyDescent="0.35">
      <c r="R353" s="1211"/>
      <c r="S353" s="1211"/>
      <c r="W353" s="1211"/>
      <c r="X353" s="1211"/>
      <c r="AE353" s="1211"/>
      <c r="AF353" s="1211"/>
      <c r="AV353" s="1211"/>
      <c r="AW353" s="1211"/>
      <c r="AX353" s="1211"/>
      <c r="AY353" s="1211"/>
      <c r="AZ353" s="1211"/>
      <c r="BA353" s="1211"/>
      <c r="BC353" s="1211"/>
      <c r="BE353" s="1211"/>
      <c r="BF353" s="1211"/>
      <c r="BG353" s="1211"/>
    </row>
    <row r="354" spans="18:59" x14ac:dyDescent="0.35">
      <c r="R354" s="1211"/>
      <c r="S354" s="1211"/>
      <c r="W354" s="1211"/>
      <c r="X354" s="1211"/>
      <c r="AE354" s="1211"/>
      <c r="AF354" s="1211"/>
      <c r="AV354" s="1211"/>
      <c r="AW354" s="1211"/>
      <c r="AX354" s="1211"/>
      <c r="AY354" s="1211"/>
      <c r="AZ354" s="1211"/>
      <c r="BA354" s="1211"/>
      <c r="BC354" s="1211"/>
      <c r="BE354" s="1211"/>
      <c r="BF354" s="1211"/>
      <c r="BG354" s="1211"/>
    </row>
    <row r="355" spans="18:59" x14ac:dyDescent="0.35">
      <c r="R355" s="1211"/>
      <c r="S355" s="1211"/>
      <c r="W355" s="1211"/>
      <c r="X355" s="1211"/>
      <c r="AE355" s="1211"/>
      <c r="AF355" s="1211"/>
      <c r="AV355" s="1211"/>
      <c r="AW355" s="1211"/>
      <c r="AX355" s="1211"/>
      <c r="AY355" s="1211"/>
      <c r="AZ355" s="1211"/>
      <c r="BA355" s="1211"/>
      <c r="BC355" s="1211"/>
      <c r="BE355" s="1211"/>
      <c r="BF355" s="1211"/>
      <c r="BG355" s="1211"/>
    </row>
    <row r="356" spans="18:59" x14ac:dyDescent="0.35">
      <c r="R356" s="1211"/>
      <c r="S356" s="1211"/>
      <c r="W356" s="1211"/>
      <c r="X356" s="1211"/>
      <c r="AE356" s="1211"/>
      <c r="AF356" s="1211"/>
      <c r="AV356" s="1211"/>
      <c r="AW356" s="1211"/>
      <c r="AX356" s="1211"/>
      <c r="AY356" s="1211"/>
      <c r="AZ356" s="1211"/>
      <c r="BA356" s="1211"/>
      <c r="BC356" s="1211"/>
      <c r="BE356" s="1211"/>
      <c r="BF356" s="1211"/>
      <c r="BG356" s="1211"/>
    </row>
    <row r="357" spans="18:59" x14ac:dyDescent="0.35">
      <c r="R357" s="1211"/>
      <c r="S357" s="1211"/>
      <c r="W357" s="1211"/>
      <c r="X357" s="1211"/>
      <c r="AE357" s="1211"/>
      <c r="AF357" s="1211"/>
      <c r="AV357" s="1211"/>
      <c r="AW357" s="1211"/>
      <c r="AX357" s="1211"/>
      <c r="AY357" s="1211"/>
      <c r="AZ357" s="1211"/>
      <c r="BA357" s="1211"/>
      <c r="BC357" s="1211"/>
      <c r="BE357" s="1211"/>
      <c r="BF357" s="1211"/>
      <c r="BG357" s="1211"/>
    </row>
    <row r="358" spans="18:59" x14ac:dyDescent="0.35">
      <c r="R358" s="1211"/>
      <c r="S358" s="1211"/>
      <c r="W358" s="1211"/>
      <c r="X358" s="1211"/>
      <c r="AE358" s="1211"/>
      <c r="AF358" s="1211"/>
      <c r="AV358" s="1211"/>
      <c r="AW358" s="1211"/>
      <c r="AX358" s="1211"/>
      <c r="AY358" s="1211"/>
      <c r="AZ358" s="1211"/>
      <c r="BA358" s="1211"/>
      <c r="BC358" s="1211"/>
      <c r="BE358" s="1211"/>
      <c r="BF358" s="1211"/>
      <c r="BG358" s="1211"/>
    </row>
    <row r="359" spans="18:59" x14ac:dyDescent="0.35">
      <c r="R359" s="1211"/>
      <c r="S359" s="1211"/>
      <c r="W359" s="1211"/>
      <c r="X359" s="1211"/>
      <c r="AE359" s="1211"/>
      <c r="AF359" s="1211"/>
      <c r="AV359" s="1211"/>
      <c r="AW359" s="1211"/>
      <c r="AX359" s="1211"/>
      <c r="AY359" s="1211"/>
      <c r="AZ359" s="1211"/>
      <c r="BA359" s="1211"/>
      <c r="BC359" s="1211"/>
      <c r="BE359" s="1211"/>
      <c r="BF359" s="1211"/>
      <c r="BG359" s="1211"/>
    </row>
    <row r="360" spans="18:59" x14ac:dyDescent="0.35">
      <c r="R360" s="1211"/>
      <c r="S360" s="1211"/>
      <c r="W360" s="1211"/>
      <c r="X360" s="1211"/>
      <c r="AE360" s="1211"/>
      <c r="AF360" s="1211"/>
      <c r="AV360" s="1211"/>
      <c r="AW360" s="1211"/>
      <c r="AX360" s="1211"/>
      <c r="AY360" s="1211"/>
      <c r="AZ360" s="1211"/>
      <c r="BA360" s="1211"/>
      <c r="BC360" s="1211"/>
      <c r="BE360" s="1211"/>
      <c r="BF360" s="1211"/>
      <c r="BG360" s="1211"/>
    </row>
    <row r="361" spans="18:59" x14ac:dyDescent="0.35">
      <c r="R361" s="1211"/>
      <c r="S361" s="1211"/>
      <c r="W361" s="1211"/>
      <c r="X361" s="1211"/>
      <c r="AE361" s="1211"/>
      <c r="AF361" s="1211"/>
      <c r="AV361" s="1211"/>
      <c r="AW361" s="1211"/>
      <c r="AX361" s="1211"/>
      <c r="AY361" s="1211"/>
      <c r="AZ361" s="1211"/>
      <c r="BA361" s="1211"/>
      <c r="BC361" s="1211"/>
      <c r="BE361" s="1211"/>
      <c r="BF361" s="1211"/>
      <c r="BG361" s="1211"/>
    </row>
    <row r="362" spans="18:59" x14ac:dyDescent="0.35">
      <c r="R362" s="1211"/>
      <c r="S362" s="1211"/>
      <c r="W362" s="1211"/>
      <c r="X362" s="1211"/>
      <c r="AE362" s="1211"/>
      <c r="AF362" s="1211"/>
      <c r="AV362" s="1211"/>
      <c r="AW362" s="1211"/>
      <c r="AX362" s="1211"/>
      <c r="AY362" s="1211"/>
      <c r="AZ362" s="1211"/>
      <c r="BA362" s="1211"/>
      <c r="BC362" s="1211"/>
      <c r="BE362" s="1211"/>
      <c r="BF362" s="1211"/>
      <c r="BG362" s="1211"/>
    </row>
    <row r="363" spans="18:59" x14ac:dyDescent="0.35">
      <c r="R363" s="1211"/>
      <c r="S363" s="1211"/>
      <c r="W363" s="1211"/>
      <c r="X363" s="1211"/>
      <c r="AE363" s="1211"/>
      <c r="AF363" s="1211"/>
      <c r="AV363" s="1211"/>
      <c r="AW363" s="1211"/>
      <c r="AX363" s="1211"/>
      <c r="AY363" s="1211"/>
      <c r="AZ363" s="1211"/>
      <c r="BA363" s="1211"/>
      <c r="BC363" s="1211"/>
      <c r="BE363" s="1211"/>
      <c r="BF363" s="1211"/>
      <c r="BG363" s="1211"/>
    </row>
    <row r="364" spans="18:59" x14ac:dyDescent="0.35">
      <c r="R364" s="1211"/>
      <c r="S364" s="1211"/>
      <c r="W364" s="1211"/>
      <c r="X364" s="1211"/>
      <c r="AE364" s="1211"/>
      <c r="AF364" s="1211"/>
      <c r="AV364" s="1211"/>
      <c r="AW364" s="1211"/>
      <c r="AX364" s="1211"/>
      <c r="AY364" s="1211"/>
      <c r="AZ364" s="1211"/>
      <c r="BA364" s="1211"/>
      <c r="BC364" s="1211"/>
      <c r="BE364" s="1211"/>
      <c r="BF364" s="1211"/>
      <c r="BG364" s="1211"/>
    </row>
    <row r="365" spans="18:59" x14ac:dyDescent="0.35">
      <c r="R365" s="1211"/>
      <c r="S365" s="1211"/>
      <c r="W365" s="1211"/>
      <c r="X365" s="1211"/>
      <c r="AE365" s="1211"/>
      <c r="AF365" s="1211"/>
      <c r="AV365" s="1211"/>
      <c r="AW365" s="1211"/>
      <c r="AX365" s="1211"/>
      <c r="AY365" s="1211"/>
      <c r="AZ365" s="1211"/>
      <c r="BA365" s="1211"/>
      <c r="BC365" s="1211"/>
      <c r="BE365" s="1211"/>
      <c r="BF365" s="1211"/>
      <c r="BG365" s="1211"/>
    </row>
    <row r="366" spans="18:59" x14ac:dyDescent="0.35">
      <c r="R366" s="1211"/>
      <c r="S366" s="1211"/>
      <c r="W366" s="1211"/>
      <c r="X366" s="1211"/>
      <c r="AE366" s="1211"/>
      <c r="AF366" s="1211"/>
      <c r="AV366" s="1211"/>
      <c r="AW366" s="1211"/>
      <c r="AX366" s="1211"/>
      <c r="AY366" s="1211"/>
      <c r="AZ366" s="1211"/>
      <c r="BA366" s="1211"/>
      <c r="BC366" s="1211"/>
      <c r="BE366" s="1211"/>
      <c r="BF366" s="1211"/>
      <c r="BG366" s="1211"/>
    </row>
    <row r="367" spans="18:59" x14ac:dyDescent="0.35">
      <c r="R367" s="1211"/>
      <c r="S367" s="1211"/>
      <c r="W367" s="1211"/>
      <c r="X367" s="1211"/>
      <c r="AE367" s="1211"/>
      <c r="AF367" s="1211"/>
      <c r="AV367" s="1211"/>
      <c r="AW367" s="1211"/>
      <c r="AX367" s="1211"/>
      <c r="AY367" s="1211"/>
      <c r="AZ367" s="1211"/>
      <c r="BA367" s="1211"/>
      <c r="BC367" s="1211"/>
      <c r="BE367" s="1211"/>
      <c r="BF367" s="1211"/>
      <c r="BG367" s="1211"/>
    </row>
    <row r="368" spans="18:59" x14ac:dyDescent="0.35">
      <c r="R368" s="1211"/>
      <c r="S368" s="1211"/>
      <c r="W368" s="1211"/>
      <c r="X368" s="1211"/>
      <c r="AE368" s="1211"/>
      <c r="AF368" s="1211"/>
      <c r="AV368" s="1211"/>
      <c r="AW368" s="1211"/>
      <c r="AX368" s="1211"/>
      <c r="AY368" s="1211"/>
      <c r="AZ368" s="1211"/>
      <c r="BA368" s="1211"/>
      <c r="BC368" s="1211"/>
      <c r="BE368" s="1211"/>
      <c r="BF368" s="1211"/>
      <c r="BG368" s="1211"/>
    </row>
    <row r="369" spans="18:59" x14ac:dyDescent="0.35">
      <c r="R369" s="1211"/>
      <c r="S369" s="1211"/>
      <c r="W369" s="1211"/>
      <c r="X369" s="1211"/>
      <c r="AE369" s="1211"/>
      <c r="AF369" s="1211"/>
      <c r="AV369" s="1211"/>
      <c r="AW369" s="1211"/>
      <c r="AX369" s="1211"/>
      <c r="AY369" s="1211"/>
      <c r="AZ369" s="1211"/>
      <c r="BA369" s="1211"/>
      <c r="BC369" s="1211"/>
      <c r="BE369" s="1211"/>
      <c r="BF369" s="1211"/>
      <c r="BG369" s="1211"/>
    </row>
    <row r="370" spans="18:59" x14ac:dyDescent="0.35">
      <c r="R370" s="1211"/>
      <c r="S370" s="1211"/>
      <c r="W370" s="1211"/>
      <c r="X370" s="1211"/>
      <c r="AE370" s="1211"/>
      <c r="AF370" s="1211"/>
      <c r="AV370" s="1211"/>
      <c r="AW370" s="1211"/>
      <c r="AX370" s="1211"/>
      <c r="AY370" s="1211"/>
      <c r="AZ370" s="1211"/>
      <c r="BA370" s="1211"/>
      <c r="BC370" s="1211"/>
      <c r="BE370" s="1211"/>
      <c r="BF370" s="1211"/>
      <c r="BG370" s="1211"/>
    </row>
    <row r="371" spans="18:59" x14ac:dyDescent="0.35">
      <c r="R371" s="1211"/>
      <c r="S371" s="1211"/>
      <c r="W371" s="1211"/>
      <c r="X371" s="1211"/>
      <c r="AE371" s="1211"/>
      <c r="AF371" s="1211"/>
      <c r="AV371" s="1211"/>
      <c r="AW371" s="1211"/>
      <c r="AX371" s="1211"/>
      <c r="AY371" s="1211"/>
      <c r="AZ371" s="1211"/>
      <c r="BA371" s="1211"/>
      <c r="BC371" s="1211"/>
      <c r="BE371" s="1211"/>
      <c r="BF371" s="1211"/>
      <c r="BG371" s="1211"/>
    </row>
    <row r="372" spans="18:59" x14ac:dyDescent="0.35">
      <c r="R372" s="1211"/>
      <c r="S372" s="1211"/>
      <c r="W372" s="1211"/>
      <c r="X372" s="1211"/>
      <c r="AE372" s="1211"/>
      <c r="AF372" s="1211"/>
      <c r="AV372" s="1211"/>
      <c r="AW372" s="1211"/>
      <c r="AX372" s="1211"/>
      <c r="AY372" s="1211"/>
      <c r="AZ372" s="1211"/>
      <c r="BA372" s="1211"/>
      <c r="BC372" s="1211"/>
      <c r="BE372" s="1211"/>
      <c r="BF372" s="1211"/>
      <c r="BG372" s="1211"/>
    </row>
    <row r="373" spans="18:59" x14ac:dyDescent="0.35">
      <c r="R373" s="1211"/>
      <c r="S373" s="1211"/>
      <c r="W373" s="1211"/>
      <c r="X373" s="1211"/>
      <c r="AE373" s="1211"/>
      <c r="AF373" s="1211"/>
      <c r="AV373" s="1211"/>
      <c r="AW373" s="1211"/>
      <c r="AX373" s="1211"/>
      <c r="AY373" s="1211"/>
      <c r="AZ373" s="1211"/>
      <c r="BA373" s="1211"/>
      <c r="BC373" s="1211"/>
      <c r="BE373" s="1211"/>
      <c r="BF373" s="1211"/>
      <c r="BG373" s="1211"/>
    </row>
    <row r="374" spans="18:59" x14ac:dyDescent="0.35">
      <c r="R374" s="1211"/>
      <c r="S374" s="1211"/>
      <c r="W374" s="1211"/>
      <c r="X374" s="1211"/>
      <c r="AE374" s="1211"/>
      <c r="AF374" s="1211"/>
      <c r="AV374" s="1211"/>
      <c r="AW374" s="1211"/>
      <c r="AX374" s="1211"/>
      <c r="AY374" s="1211"/>
      <c r="AZ374" s="1211"/>
      <c r="BA374" s="1211"/>
      <c r="BC374" s="1211"/>
      <c r="BE374" s="1211"/>
      <c r="BF374" s="1211"/>
      <c r="BG374" s="1211"/>
    </row>
    <row r="375" spans="18:59" x14ac:dyDescent="0.35">
      <c r="R375" s="1211"/>
      <c r="S375" s="1211"/>
      <c r="W375" s="1211"/>
      <c r="X375" s="1211"/>
      <c r="AE375" s="1211"/>
      <c r="AF375" s="1211"/>
      <c r="AV375" s="1211"/>
      <c r="AW375" s="1211"/>
      <c r="AX375" s="1211"/>
      <c r="AY375" s="1211"/>
      <c r="AZ375" s="1211"/>
      <c r="BA375" s="1211"/>
      <c r="BC375" s="1211"/>
      <c r="BE375" s="1211"/>
      <c r="BF375" s="1211"/>
      <c r="BG375" s="1211"/>
    </row>
    <row r="376" spans="18:59" x14ac:dyDescent="0.35">
      <c r="R376" s="1211"/>
      <c r="S376" s="1211"/>
      <c r="W376" s="1211"/>
      <c r="X376" s="1211"/>
      <c r="AE376" s="1211"/>
      <c r="AF376" s="1211"/>
      <c r="AV376" s="1211"/>
      <c r="AW376" s="1211"/>
      <c r="AX376" s="1211"/>
      <c r="AY376" s="1211"/>
      <c r="AZ376" s="1211"/>
      <c r="BA376" s="1211"/>
      <c r="BC376" s="1211"/>
      <c r="BE376" s="1211"/>
      <c r="BF376" s="1211"/>
      <c r="BG376" s="1211"/>
    </row>
    <row r="377" spans="18:59" x14ac:dyDescent="0.35">
      <c r="R377" s="1211"/>
      <c r="S377" s="1211"/>
      <c r="W377" s="1211"/>
      <c r="X377" s="1211"/>
      <c r="AE377" s="1211"/>
      <c r="AF377" s="1211"/>
      <c r="AV377" s="1211"/>
      <c r="AW377" s="1211"/>
      <c r="AX377" s="1211"/>
      <c r="AY377" s="1211"/>
      <c r="AZ377" s="1211"/>
      <c r="BA377" s="1211"/>
      <c r="BC377" s="1211"/>
      <c r="BE377" s="1211"/>
      <c r="BF377" s="1211"/>
      <c r="BG377" s="1211"/>
    </row>
    <row r="378" spans="18:59" x14ac:dyDescent="0.35">
      <c r="R378" s="1211"/>
      <c r="S378" s="1211"/>
      <c r="W378" s="1211"/>
      <c r="X378" s="1211"/>
      <c r="AE378" s="1211"/>
      <c r="AF378" s="1211"/>
      <c r="AV378" s="1211"/>
      <c r="AW378" s="1211"/>
      <c r="AX378" s="1211"/>
      <c r="AY378" s="1211"/>
      <c r="AZ378" s="1211"/>
      <c r="BA378" s="1211"/>
      <c r="BC378" s="1211"/>
      <c r="BE378" s="1211"/>
      <c r="BF378" s="1211"/>
      <c r="BG378" s="1211"/>
    </row>
    <row r="379" spans="18:59" x14ac:dyDescent="0.35">
      <c r="R379" s="1211"/>
      <c r="S379" s="1211"/>
      <c r="W379" s="1211"/>
      <c r="X379" s="1211"/>
      <c r="AE379" s="1211"/>
      <c r="AF379" s="1211"/>
      <c r="AV379" s="1211"/>
      <c r="AW379" s="1211"/>
      <c r="AX379" s="1211"/>
      <c r="AY379" s="1211"/>
      <c r="AZ379" s="1211"/>
      <c r="BA379" s="1211"/>
      <c r="BC379" s="1211"/>
      <c r="BE379" s="1211"/>
      <c r="BF379" s="1211"/>
      <c r="BG379" s="1211"/>
    </row>
    <row r="380" spans="18:59" x14ac:dyDescent="0.35">
      <c r="R380" s="1211"/>
      <c r="S380" s="1211"/>
      <c r="W380" s="1211"/>
      <c r="X380" s="1211"/>
      <c r="AE380" s="1211"/>
      <c r="AF380" s="1211"/>
      <c r="AV380" s="1211"/>
      <c r="AW380" s="1211"/>
      <c r="AX380" s="1211"/>
      <c r="AY380" s="1211"/>
      <c r="AZ380" s="1211"/>
      <c r="BA380" s="1211"/>
      <c r="BC380" s="1211"/>
      <c r="BE380" s="1211"/>
      <c r="BF380" s="1211"/>
      <c r="BG380" s="1211"/>
    </row>
    <row r="381" spans="18:59" x14ac:dyDescent="0.35">
      <c r="R381" s="1211"/>
      <c r="S381" s="1211"/>
      <c r="W381" s="1211"/>
      <c r="X381" s="1211"/>
      <c r="AE381" s="1211"/>
      <c r="AF381" s="1211"/>
      <c r="AV381" s="1211"/>
      <c r="AW381" s="1211"/>
      <c r="AX381" s="1211"/>
      <c r="AY381" s="1211"/>
      <c r="AZ381" s="1211"/>
      <c r="BA381" s="1211"/>
      <c r="BC381" s="1211"/>
      <c r="BE381" s="1211"/>
      <c r="BF381" s="1211"/>
      <c r="BG381" s="1211"/>
    </row>
    <row r="382" spans="18:59" x14ac:dyDescent="0.35">
      <c r="R382" s="1211"/>
      <c r="S382" s="1211"/>
      <c r="W382" s="1211"/>
      <c r="X382" s="1211"/>
      <c r="AE382" s="1211"/>
      <c r="AF382" s="1211"/>
      <c r="AV382" s="1211"/>
      <c r="AW382" s="1211"/>
      <c r="AX382" s="1211"/>
      <c r="AY382" s="1211"/>
      <c r="AZ382" s="1211"/>
      <c r="BA382" s="1211"/>
      <c r="BC382" s="1211"/>
      <c r="BE382" s="1211"/>
      <c r="BF382" s="1211"/>
      <c r="BG382" s="1211"/>
    </row>
    <row r="383" spans="18:59" x14ac:dyDescent="0.35">
      <c r="R383" s="1211"/>
      <c r="S383" s="1211"/>
      <c r="W383" s="1211"/>
      <c r="X383" s="1211"/>
      <c r="AE383" s="1211"/>
      <c r="AF383" s="1211"/>
      <c r="AV383" s="1211"/>
      <c r="AW383" s="1211"/>
      <c r="AX383" s="1211"/>
      <c r="AY383" s="1211"/>
      <c r="AZ383" s="1211"/>
      <c r="BA383" s="1211"/>
      <c r="BC383" s="1211"/>
      <c r="BE383" s="1211"/>
      <c r="BF383" s="1211"/>
      <c r="BG383" s="1211"/>
    </row>
    <row r="384" spans="18:59" x14ac:dyDescent="0.35">
      <c r="R384" s="1211"/>
      <c r="S384" s="1211"/>
      <c r="W384" s="1211"/>
      <c r="X384" s="1211"/>
      <c r="AE384" s="1211"/>
      <c r="AF384" s="1211"/>
      <c r="AV384" s="1211"/>
      <c r="AW384" s="1211"/>
      <c r="AX384" s="1211"/>
      <c r="AY384" s="1211"/>
      <c r="AZ384" s="1211"/>
      <c r="BA384" s="1211"/>
      <c r="BC384" s="1211"/>
      <c r="BE384" s="1211"/>
      <c r="BF384" s="1211"/>
      <c r="BG384" s="1211"/>
    </row>
    <row r="385" spans="18:59" x14ac:dyDescent="0.35">
      <c r="R385" s="1211"/>
      <c r="S385" s="1211"/>
      <c r="W385" s="1211"/>
      <c r="X385" s="1211"/>
      <c r="AE385" s="1211"/>
      <c r="AF385" s="1211"/>
      <c r="AV385" s="1211"/>
      <c r="AW385" s="1211"/>
      <c r="AX385" s="1211"/>
      <c r="AY385" s="1211"/>
      <c r="AZ385" s="1211"/>
      <c r="BA385" s="1211"/>
      <c r="BC385" s="1211"/>
      <c r="BE385" s="1211"/>
      <c r="BF385" s="1211"/>
      <c r="BG385" s="1211"/>
    </row>
    <row r="386" spans="18:59" x14ac:dyDescent="0.35">
      <c r="R386" s="1211"/>
      <c r="S386" s="1211"/>
      <c r="W386" s="1211"/>
      <c r="X386" s="1211"/>
      <c r="AE386" s="1211"/>
      <c r="AF386" s="1211"/>
      <c r="AV386" s="1211"/>
      <c r="AW386" s="1211"/>
      <c r="AX386" s="1211"/>
      <c r="AY386" s="1211"/>
      <c r="AZ386" s="1211"/>
      <c r="BA386" s="1211"/>
      <c r="BC386" s="1211"/>
      <c r="BE386" s="1211"/>
      <c r="BF386" s="1211"/>
      <c r="BG386" s="1211"/>
    </row>
    <row r="387" spans="18:59" x14ac:dyDescent="0.35">
      <c r="R387" s="1211"/>
      <c r="S387" s="1211"/>
      <c r="W387" s="1211"/>
      <c r="X387" s="1211"/>
      <c r="AE387" s="1211"/>
      <c r="AF387" s="1211"/>
      <c r="AV387" s="1211"/>
      <c r="AW387" s="1211"/>
      <c r="AX387" s="1211"/>
      <c r="AY387" s="1211"/>
      <c r="AZ387" s="1211"/>
      <c r="BA387" s="1211"/>
      <c r="BC387" s="1211"/>
      <c r="BE387" s="1211"/>
      <c r="BF387" s="1211"/>
      <c r="BG387" s="1211"/>
    </row>
    <row r="388" spans="18:59" x14ac:dyDescent="0.35">
      <c r="R388" s="1211"/>
      <c r="S388" s="1211"/>
      <c r="W388" s="1211"/>
      <c r="X388" s="1211"/>
      <c r="AE388" s="1211"/>
      <c r="AF388" s="1211"/>
      <c r="AV388" s="1211"/>
      <c r="AW388" s="1211"/>
      <c r="AX388" s="1211"/>
      <c r="AY388" s="1211"/>
      <c r="AZ388" s="1211"/>
      <c r="BA388" s="1211"/>
      <c r="BC388" s="1211"/>
      <c r="BE388" s="1211"/>
      <c r="BF388" s="1211"/>
      <c r="BG388" s="1211"/>
    </row>
    <row r="389" spans="18:59" x14ac:dyDescent="0.35">
      <c r="R389" s="1211"/>
      <c r="S389" s="1211"/>
      <c r="W389" s="1211"/>
      <c r="X389" s="1211"/>
      <c r="AE389" s="1211"/>
      <c r="AF389" s="1211"/>
      <c r="AV389" s="1211"/>
      <c r="AW389" s="1211"/>
      <c r="AX389" s="1211"/>
      <c r="AY389" s="1211"/>
      <c r="AZ389" s="1211"/>
      <c r="BA389" s="1211"/>
      <c r="BC389" s="1211"/>
      <c r="BE389" s="1211"/>
      <c r="BF389" s="1211"/>
      <c r="BG389" s="1211"/>
    </row>
    <row r="390" spans="18:59" x14ac:dyDescent="0.35">
      <c r="R390" s="1211"/>
      <c r="S390" s="1211"/>
      <c r="W390" s="1211"/>
      <c r="X390" s="1211"/>
      <c r="AE390" s="1211"/>
      <c r="AF390" s="1211"/>
      <c r="AV390" s="1211"/>
      <c r="AW390" s="1211"/>
      <c r="AX390" s="1211"/>
      <c r="AY390" s="1211"/>
      <c r="AZ390" s="1211"/>
      <c r="BA390" s="1211"/>
      <c r="BC390" s="1211"/>
      <c r="BE390" s="1211"/>
      <c r="BF390" s="1211"/>
      <c r="BG390" s="1211"/>
    </row>
    <row r="391" spans="18:59" x14ac:dyDescent="0.35">
      <c r="R391" s="1211"/>
      <c r="S391" s="1211"/>
      <c r="W391" s="1211"/>
      <c r="X391" s="1211"/>
      <c r="AE391" s="1211"/>
      <c r="AF391" s="1211"/>
      <c r="AV391" s="1211"/>
      <c r="AW391" s="1211"/>
      <c r="AX391" s="1211"/>
      <c r="AY391" s="1211"/>
      <c r="AZ391" s="1211"/>
      <c r="BA391" s="1211"/>
      <c r="BC391" s="1211"/>
      <c r="BE391" s="1211"/>
      <c r="BF391" s="1211"/>
      <c r="BG391" s="1211"/>
    </row>
    <row r="392" spans="18:59" x14ac:dyDescent="0.35">
      <c r="R392" s="1211"/>
      <c r="S392" s="1211"/>
      <c r="W392" s="1211"/>
      <c r="X392" s="1211"/>
      <c r="AE392" s="1211"/>
      <c r="AF392" s="1211"/>
      <c r="AV392" s="1211"/>
      <c r="AW392" s="1211"/>
      <c r="AX392" s="1211"/>
      <c r="AY392" s="1211"/>
      <c r="AZ392" s="1211"/>
      <c r="BA392" s="1211"/>
      <c r="BC392" s="1211"/>
      <c r="BE392" s="1211"/>
      <c r="BF392" s="1211"/>
      <c r="BG392" s="1211"/>
    </row>
    <row r="393" spans="18:59" x14ac:dyDescent="0.35">
      <c r="R393" s="1211"/>
      <c r="S393" s="1211"/>
      <c r="W393" s="1211"/>
      <c r="X393" s="1211"/>
      <c r="AE393" s="1211"/>
      <c r="AF393" s="1211"/>
      <c r="AV393" s="1211"/>
      <c r="AW393" s="1211"/>
      <c r="AX393" s="1211"/>
      <c r="AY393" s="1211"/>
      <c r="AZ393" s="1211"/>
      <c r="BA393" s="1211"/>
      <c r="BC393" s="1211"/>
      <c r="BE393" s="1211"/>
      <c r="BF393" s="1211"/>
      <c r="BG393" s="1211"/>
    </row>
    <row r="394" spans="18:59" x14ac:dyDescent="0.35">
      <c r="R394" s="1211"/>
      <c r="S394" s="1211"/>
      <c r="W394" s="1211"/>
      <c r="X394" s="1211"/>
      <c r="AE394" s="1211"/>
      <c r="AF394" s="1211"/>
      <c r="AV394" s="1211"/>
      <c r="AW394" s="1211"/>
      <c r="AX394" s="1211"/>
      <c r="AY394" s="1211"/>
      <c r="AZ394" s="1211"/>
      <c r="BA394" s="1211"/>
      <c r="BC394" s="1211"/>
      <c r="BE394" s="1211"/>
      <c r="BF394" s="1211"/>
      <c r="BG394" s="1211"/>
    </row>
    <row r="395" spans="18:59" x14ac:dyDescent="0.35">
      <c r="R395" s="1211"/>
      <c r="S395" s="1211"/>
      <c r="W395" s="1211"/>
      <c r="X395" s="1211"/>
      <c r="AE395" s="1211"/>
      <c r="AF395" s="1211"/>
      <c r="AV395" s="1211"/>
      <c r="AW395" s="1211"/>
      <c r="AX395" s="1211"/>
      <c r="AY395" s="1211"/>
      <c r="AZ395" s="1211"/>
      <c r="BA395" s="1211"/>
      <c r="BC395" s="1211"/>
      <c r="BE395" s="1211"/>
      <c r="BF395" s="1211"/>
      <c r="BG395" s="1211"/>
    </row>
    <row r="396" spans="18:59" x14ac:dyDescent="0.35">
      <c r="R396" s="1211"/>
      <c r="S396" s="1211"/>
      <c r="W396" s="1211"/>
      <c r="X396" s="1211"/>
      <c r="AE396" s="1211"/>
      <c r="AF396" s="1211"/>
      <c r="AV396" s="1211"/>
      <c r="AW396" s="1211"/>
      <c r="AX396" s="1211"/>
      <c r="AY396" s="1211"/>
      <c r="AZ396" s="1211"/>
      <c r="BA396" s="1211"/>
      <c r="BC396" s="1211"/>
      <c r="BE396" s="1211"/>
      <c r="BF396" s="1211"/>
      <c r="BG396" s="1211"/>
    </row>
    <row r="397" spans="18:59" x14ac:dyDescent="0.35">
      <c r="R397" s="1211"/>
      <c r="S397" s="1211"/>
      <c r="W397" s="1211"/>
      <c r="X397" s="1211"/>
      <c r="AE397" s="1211"/>
      <c r="AF397" s="1211"/>
      <c r="AV397" s="1211"/>
      <c r="AW397" s="1211"/>
      <c r="AX397" s="1211"/>
      <c r="AY397" s="1211"/>
      <c r="AZ397" s="1211"/>
      <c r="BA397" s="1211"/>
      <c r="BC397" s="1211"/>
      <c r="BE397" s="1211"/>
      <c r="BF397" s="1211"/>
      <c r="BG397" s="1211"/>
    </row>
    <row r="398" spans="18:59" x14ac:dyDescent="0.35">
      <c r="R398" s="1211"/>
      <c r="S398" s="1211"/>
      <c r="W398" s="1211"/>
      <c r="X398" s="1211"/>
      <c r="AE398" s="1211"/>
      <c r="AF398" s="1211"/>
      <c r="AV398" s="1211"/>
      <c r="AW398" s="1211"/>
      <c r="AX398" s="1211"/>
      <c r="AY398" s="1211"/>
      <c r="AZ398" s="1211"/>
      <c r="BA398" s="1211"/>
      <c r="BC398" s="1211"/>
      <c r="BE398" s="1211"/>
      <c r="BF398" s="1211"/>
      <c r="BG398" s="1211"/>
    </row>
    <row r="399" spans="18:59" x14ac:dyDescent="0.35">
      <c r="R399" s="1211"/>
      <c r="S399" s="1211"/>
      <c r="W399" s="1211"/>
      <c r="X399" s="1211"/>
      <c r="AE399" s="1211"/>
      <c r="AF399" s="1211"/>
      <c r="AV399" s="1211"/>
      <c r="AW399" s="1211"/>
      <c r="AX399" s="1211"/>
      <c r="AY399" s="1211"/>
      <c r="AZ399" s="1211"/>
      <c r="BA399" s="1211"/>
      <c r="BC399" s="1211"/>
      <c r="BE399" s="1211"/>
      <c r="BF399" s="1211"/>
      <c r="BG399" s="1211"/>
    </row>
    <row r="400" spans="18:59" x14ac:dyDescent="0.35">
      <c r="R400" s="1211"/>
      <c r="S400" s="1211"/>
      <c r="W400" s="1211"/>
      <c r="X400" s="1211"/>
      <c r="AE400" s="1211"/>
      <c r="AF400" s="1211"/>
      <c r="AV400" s="1211"/>
      <c r="AW400" s="1211"/>
      <c r="AX400" s="1211"/>
      <c r="AY400" s="1211"/>
      <c r="AZ400" s="1211"/>
      <c r="BA400" s="1211"/>
      <c r="BC400" s="1211"/>
      <c r="BE400" s="1211"/>
      <c r="BF400" s="1211"/>
      <c r="BG400" s="1211"/>
    </row>
    <row r="401" spans="18:59" x14ac:dyDescent="0.35">
      <c r="R401" s="1211"/>
      <c r="S401" s="1211"/>
      <c r="W401" s="1211"/>
      <c r="X401" s="1211"/>
      <c r="AE401" s="1211"/>
      <c r="AF401" s="1211"/>
      <c r="AV401" s="1211"/>
      <c r="AW401" s="1211"/>
      <c r="AX401" s="1211"/>
      <c r="AY401" s="1211"/>
      <c r="AZ401" s="1211"/>
      <c r="BA401" s="1211"/>
      <c r="BC401" s="1211"/>
      <c r="BE401" s="1211"/>
      <c r="BF401" s="1211"/>
      <c r="BG401" s="1211"/>
    </row>
    <row r="402" spans="18:59" x14ac:dyDescent="0.35">
      <c r="R402" s="1211"/>
      <c r="S402" s="1211"/>
      <c r="W402" s="1211"/>
      <c r="X402" s="1211"/>
      <c r="AE402" s="1211"/>
      <c r="AF402" s="1211"/>
      <c r="AV402" s="1211"/>
      <c r="AW402" s="1211"/>
      <c r="AX402" s="1211"/>
      <c r="AY402" s="1211"/>
      <c r="AZ402" s="1211"/>
      <c r="BA402" s="1211"/>
      <c r="BC402" s="1211"/>
      <c r="BE402" s="1211"/>
      <c r="BF402" s="1211"/>
      <c r="BG402" s="1211"/>
    </row>
    <row r="403" spans="18:59" x14ac:dyDescent="0.35">
      <c r="R403" s="1211"/>
      <c r="S403" s="1211"/>
      <c r="W403" s="1211"/>
      <c r="X403" s="1211"/>
      <c r="AE403" s="1211"/>
      <c r="AF403" s="1211"/>
      <c r="AV403" s="1211"/>
      <c r="AW403" s="1211"/>
      <c r="AX403" s="1211"/>
      <c r="AY403" s="1211"/>
      <c r="AZ403" s="1211"/>
      <c r="BA403" s="1211"/>
      <c r="BC403" s="1211"/>
      <c r="BE403" s="1211"/>
      <c r="BF403" s="1211"/>
      <c r="BG403" s="1211"/>
    </row>
    <row r="404" spans="18:59" x14ac:dyDescent="0.35">
      <c r="R404" s="1211"/>
      <c r="S404" s="1211"/>
      <c r="W404" s="1211"/>
      <c r="X404" s="1211"/>
      <c r="AE404" s="1211"/>
      <c r="AF404" s="1211"/>
      <c r="AV404" s="1211"/>
      <c r="AW404" s="1211"/>
      <c r="AX404" s="1211"/>
      <c r="AY404" s="1211"/>
      <c r="AZ404" s="1211"/>
      <c r="BA404" s="1211"/>
      <c r="BC404" s="1211"/>
      <c r="BE404" s="1211"/>
      <c r="BF404" s="1211"/>
      <c r="BG404" s="1211"/>
    </row>
    <row r="405" spans="18:59" x14ac:dyDescent="0.35">
      <c r="R405" s="1211"/>
      <c r="S405" s="1211"/>
      <c r="W405" s="1211"/>
      <c r="X405" s="1211"/>
      <c r="AE405" s="1211"/>
      <c r="AF405" s="1211"/>
      <c r="AV405" s="1211"/>
      <c r="AW405" s="1211"/>
      <c r="AX405" s="1211"/>
      <c r="AY405" s="1211"/>
      <c r="AZ405" s="1211"/>
      <c r="BA405" s="1211"/>
      <c r="BC405" s="1211"/>
      <c r="BE405" s="1211"/>
      <c r="BF405" s="1211"/>
      <c r="BG405" s="1211"/>
    </row>
    <row r="406" spans="18:59" x14ac:dyDescent="0.35">
      <c r="R406" s="1211"/>
      <c r="S406" s="1211"/>
      <c r="W406" s="1211"/>
      <c r="X406" s="1211"/>
      <c r="AE406" s="1211"/>
      <c r="AF406" s="1211"/>
      <c r="AV406" s="1211"/>
      <c r="AW406" s="1211"/>
      <c r="AX406" s="1211"/>
      <c r="AY406" s="1211"/>
      <c r="AZ406" s="1211"/>
      <c r="BA406" s="1211"/>
      <c r="BC406" s="1211"/>
      <c r="BE406" s="1211"/>
      <c r="BF406" s="1211"/>
      <c r="BG406" s="1211"/>
    </row>
    <row r="407" spans="18:59" x14ac:dyDescent="0.35">
      <c r="R407" s="1211"/>
      <c r="S407" s="1211"/>
      <c r="W407" s="1211"/>
      <c r="X407" s="1211"/>
      <c r="AE407" s="1211"/>
      <c r="AF407" s="1211"/>
      <c r="AV407" s="1211"/>
      <c r="AW407" s="1211"/>
      <c r="AX407" s="1211"/>
      <c r="AY407" s="1211"/>
      <c r="AZ407" s="1211"/>
      <c r="BA407" s="1211"/>
      <c r="BC407" s="1211"/>
      <c r="BE407" s="1211"/>
      <c r="BF407" s="1211"/>
      <c r="BG407" s="1211"/>
    </row>
    <row r="408" spans="18:59" x14ac:dyDescent="0.35">
      <c r="R408" s="1211"/>
      <c r="S408" s="1211"/>
      <c r="W408" s="1211"/>
      <c r="X408" s="1211"/>
      <c r="AE408" s="1211"/>
      <c r="AF408" s="1211"/>
      <c r="AV408" s="1211"/>
      <c r="AW408" s="1211"/>
      <c r="AX408" s="1211"/>
      <c r="AY408" s="1211"/>
      <c r="AZ408" s="1211"/>
      <c r="BA408" s="1211"/>
      <c r="BC408" s="1211"/>
      <c r="BE408" s="1211"/>
      <c r="BF408" s="1211"/>
      <c r="BG408" s="1211"/>
    </row>
    <row r="409" spans="18:59" x14ac:dyDescent="0.35">
      <c r="R409" s="1211"/>
      <c r="S409" s="1211"/>
      <c r="W409" s="1211"/>
      <c r="X409" s="1211"/>
      <c r="AE409" s="1211"/>
      <c r="AF409" s="1211"/>
      <c r="AV409" s="1211"/>
      <c r="AW409" s="1211"/>
      <c r="AX409" s="1211"/>
      <c r="AY409" s="1211"/>
      <c r="AZ409" s="1211"/>
      <c r="BA409" s="1211"/>
      <c r="BC409" s="1211"/>
      <c r="BE409" s="1211"/>
      <c r="BF409" s="1211"/>
      <c r="BG409" s="1211"/>
    </row>
    <row r="410" spans="18:59" x14ac:dyDescent="0.35">
      <c r="R410" s="1211"/>
      <c r="S410" s="1211"/>
      <c r="W410" s="1211"/>
      <c r="X410" s="1211"/>
      <c r="AE410" s="1211"/>
      <c r="AF410" s="1211"/>
      <c r="AV410" s="1211"/>
      <c r="AW410" s="1211"/>
      <c r="AX410" s="1211"/>
      <c r="AY410" s="1211"/>
      <c r="AZ410" s="1211"/>
      <c r="BA410" s="1211"/>
      <c r="BC410" s="1211"/>
      <c r="BE410" s="1211"/>
      <c r="BF410" s="1211"/>
      <c r="BG410" s="1211"/>
    </row>
    <row r="411" spans="18:59" x14ac:dyDescent="0.35">
      <c r="R411" s="1211"/>
      <c r="S411" s="1211"/>
      <c r="W411" s="1211"/>
      <c r="X411" s="1211"/>
      <c r="AE411" s="1211"/>
      <c r="AF411" s="1211"/>
      <c r="AV411" s="1211"/>
      <c r="AW411" s="1211"/>
      <c r="AX411" s="1211"/>
      <c r="AY411" s="1211"/>
      <c r="AZ411" s="1211"/>
      <c r="BA411" s="1211"/>
      <c r="BC411" s="1211"/>
      <c r="BE411" s="1211"/>
      <c r="BF411" s="1211"/>
      <c r="BG411" s="1211"/>
    </row>
    <row r="412" spans="18:59" x14ac:dyDescent="0.35">
      <c r="R412" s="1211"/>
      <c r="S412" s="1211"/>
      <c r="W412" s="1211"/>
      <c r="X412" s="1211"/>
      <c r="AE412" s="1211"/>
      <c r="AF412" s="1211"/>
      <c r="AV412" s="1211"/>
      <c r="AW412" s="1211"/>
      <c r="AX412" s="1211"/>
      <c r="AY412" s="1211"/>
      <c r="AZ412" s="1211"/>
      <c r="BA412" s="1211"/>
      <c r="BC412" s="1211"/>
      <c r="BE412" s="1211"/>
      <c r="BF412" s="1211"/>
      <c r="BG412" s="1211"/>
    </row>
    <row r="413" spans="18:59" x14ac:dyDescent="0.35">
      <c r="R413" s="1211"/>
      <c r="S413" s="1211"/>
      <c r="W413" s="1211"/>
      <c r="X413" s="1211"/>
      <c r="AE413" s="1211"/>
      <c r="AF413" s="1211"/>
      <c r="AV413" s="1211"/>
      <c r="AW413" s="1211"/>
      <c r="AX413" s="1211"/>
      <c r="AY413" s="1211"/>
      <c r="AZ413" s="1211"/>
      <c r="BA413" s="1211"/>
      <c r="BC413" s="1211"/>
      <c r="BE413" s="1211"/>
      <c r="BF413" s="1211"/>
      <c r="BG413" s="1211"/>
    </row>
    <row r="414" spans="18:59" x14ac:dyDescent="0.35">
      <c r="R414" s="1211"/>
      <c r="S414" s="1211"/>
      <c r="W414" s="1211"/>
      <c r="X414" s="1211"/>
      <c r="AE414" s="1211"/>
      <c r="AF414" s="1211"/>
      <c r="AV414" s="1211"/>
      <c r="AW414" s="1211"/>
      <c r="AX414" s="1211"/>
      <c r="AY414" s="1211"/>
      <c r="AZ414" s="1211"/>
      <c r="BA414" s="1211"/>
      <c r="BC414" s="1211"/>
      <c r="BE414" s="1211"/>
      <c r="BF414" s="1211"/>
      <c r="BG414" s="1211"/>
    </row>
    <row r="415" spans="18:59" x14ac:dyDescent="0.35">
      <c r="R415" s="1211"/>
      <c r="S415" s="1211"/>
      <c r="W415" s="1211"/>
      <c r="X415" s="1211"/>
      <c r="AE415" s="1211"/>
      <c r="AF415" s="1211"/>
      <c r="AV415" s="1211"/>
      <c r="AW415" s="1211"/>
      <c r="AX415" s="1211"/>
      <c r="AY415" s="1211"/>
      <c r="AZ415" s="1211"/>
      <c r="BA415" s="1211"/>
      <c r="BC415" s="1211"/>
      <c r="BE415" s="1211"/>
      <c r="BF415" s="1211"/>
      <c r="BG415" s="1211"/>
    </row>
    <row r="416" spans="18:59" x14ac:dyDescent="0.35">
      <c r="R416" s="1211"/>
      <c r="S416" s="1211"/>
      <c r="W416" s="1211"/>
      <c r="X416" s="1211"/>
      <c r="AE416" s="1211"/>
      <c r="AF416" s="1211"/>
      <c r="AV416" s="1211"/>
      <c r="AW416" s="1211"/>
      <c r="AX416" s="1211"/>
      <c r="AY416" s="1211"/>
      <c r="AZ416" s="1211"/>
      <c r="BA416" s="1211"/>
      <c r="BC416" s="1211"/>
      <c r="BE416" s="1211"/>
      <c r="BF416" s="1211"/>
      <c r="BG416" s="1211"/>
    </row>
    <row r="417" spans="18:59" x14ac:dyDescent="0.35">
      <c r="R417" s="1211"/>
      <c r="S417" s="1211"/>
      <c r="W417" s="1211"/>
      <c r="X417" s="1211"/>
      <c r="AE417" s="1211"/>
      <c r="AF417" s="1211"/>
      <c r="AV417" s="1211"/>
      <c r="AW417" s="1211"/>
      <c r="AX417" s="1211"/>
      <c r="AY417" s="1211"/>
      <c r="AZ417" s="1211"/>
      <c r="BA417" s="1211"/>
      <c r="BC417" s="1211"/>
      <c r="BE417" s="1211"/>
      <c r="BF417" s="1211"/>
      <c r="BG417" s="1211"/>
    </row>
    <row r="418" spans="18:59" x14ac:dyDescent="0.35">
      <c r="R418" s="1211"/>
      <c r="S418" s="1211"/>
      <c r="W418" s="1211"/>
      <c r="X418" s="1211"/>
      <c r="AE418" s="1211"/>
      <c r="AF418" s="1211"/>
      <c r="AV418" s="1211"/>
      <c r="AW418" s="1211"/>
      <c r="AX418" s="1211"/>
      <c r="AY418" s="1211"/>
      <c r="AZ418" s="1211"/>
      <c r="BA418" s="1211"/>
      <c r="BC418" s="1211"/>
      <c r="BE418" s="1211"/>
      <c r="BF418" s="1211"/>
      <c r="BG418" s="1211"/>
    </row>
    <row r="419" spans="18:59" x14ac:dyDescent="0.35">
      <c r="R419" s="1211"/>
      <c r="S419" s="1211"/>
      <c r="W419" s="1211"/>
      <c r="X419" s="1211"/>
      <c r="AE419" s="1211"/>
      <c r="AF419" s="1211"/>
      <c r="AV419" s="1211"/>
      <c r="AW419" s="1211"/>
      <c r="AX419" s="1211"/>
      <c r="AY419" s="1211"/>
      <c r="AZ419" s="1211"/>
      <c r="BA419" s="1211"/>
      <c r="BC419" s="1211"/>
      <c r="BE419" s="1211"/>
      <c r="BF419" s="1211"/>
      <c r="BG419" s="1211"/>
    </row>
    <row r="420" spans="18:59" x14ac:dyDescent="0.35">
      <c r="R420" s="1211"/>
      <c r="S420" s="1211"/>
      <c r="W420" s="1211"/>
      <c r="X420" s="1211"/>
      <c r="AE420" s="1211"/>
      <c r="AF420" s="1211"/>
      <c r="AV420" s="1211"/>
      <c r="AW420" s="1211"/>
      <c r="AX420" s="1211"/>
      <c r="AY420" s="1211"/>
      <c r="AZ420" s="1211"/>
      <c r="BA420" s="1211"/>
      <c r="BC420" s="1211"/>
      <c r="BE420" s="1211"/>
      <c r="BF420" s="1211"/>
      <c r="BG420" s="1211"/>
    </row>
    <row r="421" spans="18:59" x14ac:dyDescent="0.35">
      <c r="R421" s="1211"/>
      <c r="S421" s="1211"/>
      <c r="W421" s="1211"/>
      <c r="X421" s="1211"/>
      <c r="AE421" s="1211"/>
      <c r="AF421" s="1211"/>
      <c r="AV421" s="1211"/>
      <c r="AW421" s="1211"/>
      <c r="AX421" s="1211"/>
      <c r="AY421" s="1211"/>
      <c r="AZ421" s="1211"/>
      <c r="BA421" s="1211"/>
      <c r="BC421" s="1211"/>
      <c r="BE421" s="1211"/>
      <c r="BF421" s="1211"/>
      <c r="BG421" s="1211"/>
    </row>
    <row r="422" spans="18:59" x14ac:dyDescent="0.35">
      <c r="R422" s="1211"/>
      <c r="S422" s="1211"/>
      <c r="W422" s="1211"/>
      <c r="X422" s="1211"/>
      <c r="AE422" s="1211"/>
      <c r="AF422" s="1211"/>
      <c r="AV422" s="1211"/>
      <c r="AW422" s="1211"/>
      <c r="AX422" s="1211"/>
      <c r="AY422" s="1211"/>
      <c r="AZ422" s="1211"/>
      <c r="BA422" s="1211"/>
      <c r="BC422" s="1211"/>
      <c r="BE422" s="1211"/>
      <c r="BF422" s="1211"/>
      <c r="BG422" s="1211"/>
    </row>
    <row r="423" spans="18:59" x14ac:dyDescent="0.35">
      <c r="R423" s="1211"/>
      <c r="S423" s="1211"/>
      <c r="W423" s="1211"/>
      <c r="X423" s="1211"/>
      <c r="AE423" s="1211"/>
      <c r="AF423" s="1211"/>
      <c r="AV423" s="1211"/>
      <c r="AW423" s="1211"/>
      <c r="AX423" s="1211"/>
      <c r="AY423" s="1211"/>
      <c r="AZ423" s="1211"/>
      <c r="BA423" s="1211"/>
      <c r="BC423" s="1211"/>
      <c r="BE423" s="1211"/>
      <c r="BF423" s="1211"/>
      <c r="BG423" s="1211"/>
    </row>
    <row r="424" spans="18:59" x14ac:dyDescent="0.35">
      <c r="R424" s="1211"/>
      <c r="S424" s="1211"/>
      <c r="W424" s="1211"/>
      <c r="X424" s="1211"/>
      <c r="AE424" s="1211"/>
      <c r="AF424" s="1211"/>
      <c r="AV424" s="1211"/>
      <c r="AW424" s="1211"/>
      <c r="AX424" s="1211"/>
      <c r="AY424" s="1211"/>
      <c r="AZ424" s="1211"/>
      <c r="BA424" s="1211"/>
      <c r="BC424" s="1211"/>
      <c r="BE424" s="1211"/>
      <c r="BF424" s="1211"/>
      <c r="BG424" s="1211"/>
    </row>
    <row r="425" spans="18:59" x14ac:dyDescent="0.35">
      <c r="R425" s="1211"/>
      <c r="S425" s="1211"/>
      <c r="W425" s="1211"/>
      <c r="X425" s="1211"/>
      <c r="AE425" s="1211"/>
      <c r="AF425" s="1211"/>
      <c r="AV425" s="1211"/>
      <c r="AW425" s="1211"/>
      <c r="AX425" s="1211"/>
      <c r="AY425" s="1211"/>
      <c r="AZ425" s="1211"/>
      <c r="BA425" s="1211"/>
      <c r="BC425" s="1211"/>
      <c r="BE425" s="1211"/>
      <c r="BF425" s="1211"/>
      <c r="BG425" s="1211"/>
    </row>
    <row r="426" spans="18:59" x14ac:dyDescent="0.35">
      <c r="R426" s="1211"/>
      <c r="S426" s="1211"/>
      <c r="W426" s="1211"/>
      <c r="X426" s="1211"/>
      <c r="AE426" s="1211"/>
      <c r="AF426" s="1211"/>
      <c r="AV426" s="1211"/>
      <c r="AW426" s="1211"/>
      <c r="AX426" s="1211"/>
      <c r="AY426" s="1211"/>
      <c r="AZ426" s="1211"/>
      <c r="BA426" s="1211"/>
      <c r="BC426" s="1211"/>
      <c r="BE426" s="1211"/>
      <c r="BF426" s="1211"/>
      <c r="BG426" s="1211"/>
    </row>
    <row r="427" spans="18:59" x14ac:dyDescent="0.35">
      <c r="R427" s="1211"/>
      <c r="S427" s="1211"/>
      <c r="W427" s="1211"/>
      <c r="X427" s="1211"/>
      <c r="AE427" s="1211"/>
      <c r="AF427" s="1211"/>
      <c r="AV427" s="1211"/>
      <c r="AW427" s="1211"/>
      <c r="AX427" s="1211"/>
      <c r="AY427" s="1211"/>
      <c r="AZ427" s="1211"/>
      <c r="BA427" s="1211"/>
      <c r="BC427" s="1211"/>
      <c r="BE427" s="1211"/>
      <c r="BF427" s="1211"/>
      <c r="BG427" s="1211"/>
    </row>
    <row r="428" spans="18:59" x14ac:dyDescent="0.35">
      <c r="R428" s="1211"/>
      <c r="S428" s="1211"/>
      <c r="W428" s="1211"/>
      <c r="X428" s="1211"/>
      <c r="AE428" s="1211"/>
      <c r="AF428" s="1211"/>
      <c r="AV428" s="1211"/>
      <c r="AW428" s="1211"/>
      <c r="AX428" s="1211"/>
      <c r="AY428" s="1211"/>
      <c r="AZ428" s="1211"/>
      <c r="BA428" s="1211"/>
      <c r="BC428" s="1211"/>
      <c r="BE428" s="1211"/>
      <c r="BF428" s="1211"/>
      <c r="BG428" s="1211"/>
    </row>
    <row r="429" spans="18:59" x14ac:dyDescent="0.35">
      <c r="R429" s="1211"/>
      <c r="S429" s="1211"/>
      <c r="W429" s="1211"/>
      <c r="X429" s="1211"/>
      <c r="AE429" s="1211"/>
      <c r="AF429" s="1211"/>
      <c r="AV429" s="1211"/>
      <c r="AW429" s="1211"/>
      <c r="AX429" s="1211"/>
      <c r="AY429" s="1211"/>
      <c r="AZ429" s="1211"/>
      <c r="BA429" s="1211"/>
      <c r="BC429" s="1211"/>
      <c r="BE429" s="1211"/>
      <c r="BF429" s="1211"/>
      <c r="BG429" s="1211"/>
    </row>
    <row r="430" spans="18:59" x14ac:dyDescent="0.35">
      <c r="R430" s="1211"/>
      <c r="S430" s="1211"/>
      <c r="W430" s="1211"/>
      <c r="X430" s="1211"/>
      <c r="AE430" s="1211"/>
      <c r="AF430" s="1211"/>
      <c r="AV430" s="1211"/>
      <c r="AW430" s="1211"/>
      <c r="AX430" s="1211"/>
      <c r="AY430" s="1211"/>
      <c r="AZ430" s="1211"/>
      <c r="BA430" s="1211"/>
      <c r="BC430" s="1211"/>
      <c r="BE430" s="1211"/>
      <c r="BF430" s="1211"/>
      <c r="BG430" s="1211"/>
    </row>
    <row r="431" spans="18:59" x14ac:dyDescent="0.35">
      <c r="R431" s="1211"/>
      <c r="S431" s="1211"/>
      <c r="W431" s="1211"/>
      <c r="X431" s="1211"/>
      <c r="AE431" s="1211"/>
      <c r="AF431" s="1211"/>
      <c r="AV431" s="1211"/>
      <c r="AW431" s="1211"/>
      <c r="AX431" s="1211"/>
      <c r="AY431" s="1211"/>
      <c r="AZ431" s="1211"/>
      <c r="BA431" s="1211"/>
      <c r="BC431" s="1211"/>
      <c r="BE431" s="1211"/>
      <c r="BF431" s="1211"/>
      <c r="BG431" s="1211"/>
    </row>
    <row r="432" spans="18:59" x14ac:dyDescent="0.35">
      <c r="R432" s="1211"/>
      <c r="S432" s="1211"/>
      <c r="W432" s="1211"/>
      <c r="X432" s="1211"/>
      <c r="AE432" s="1211"/>
      <c r="AF432" s="1211"/>
      <c r="AV432" s="1211"/>
      <c r="AW432" s="1211"/>
      <c r="AX432" s="1211"/>
      <c r="AY432" s="1211"/>
      <c r="AZ432" s="1211"/>
      <c r="BA432" s="1211"/>
      <c r="BC432" s="1211"/>
      <c r="BE432" s="1211"/>
      <c r="BF432" s="1211"/>
      <c r="BG432" s="1211"/>
    </row>
    <row r="433" spans="18:59" x14ac:dyDescent="0.35">
      <c r="R433" s="1211"/>
      <c r="S433" s="1211"/>
      <c r="W433" s="1211"/>
      <c r="X433" s="1211"/>
      <c r="AE433" s="1211"/>
      <c r="AF433" s="1211"/>
      <c r="AV433" s="1211"/>
      <c r="AW433" s="1211"/>
      <c r="AX433" s="1211"/>
      <c r="AY433" s="1211"/>
      <c r="AZ433" s="1211"/>
      <c r="BA433" s="1211"/>
      <c r="BC433" s="1211"/>
      <c r="BE433" s="1211"/>
      <c r="BF433" s="1211"/>
      <c r="BG433" s="1211"/>
    </row>
    <row r="434" spans="18:59" x14ac:dyDescent="0.35">
      <c r="R434" s="1211"/>
      <c r="S434" s="1211"/>
      <c r="W434" s="1211"/>
      <c r="X434" s="1211"/>
      <c r="AE434" s="1211"/>
      <c r="AF434" s="1211"/>
      <c r="AV434" s="1211"/>
      <c r="AW434" s="1211"/>
      <c r="AX434" s="1211"/>
      <c r="AY434" s="1211"/>
      <c r="AZ434" s="1211"/>
      <c r="BA434" s="1211"/>
      <c r="BC434" s="1211"/>
      <c r="BE434" s="1211"/>
      <c r="BF434" s="1211"/>
      <c r="BG434" s="1211"/>
    </row>
    <row r="435" spans="18:59" x14ac:dyDescent="0.35">
      <c r="R435" s="1211"/>
      <c r="S435" s="1211"/>
      <c r="W435" s="1211"/>
      <c r="X435" s="1211"/>
      <c r="AE435" s="1211"/>
      <c r="AF435" s="1211"/>
      <c r="AV435" s="1211"/>
      <c r="AW435" s="1211"/>
      <c r="AX435" s="1211"/>
      <c r="AY435" s="1211"/>
      <c r="AZ435" s="1211"/>
      <c r="BA435" s="1211"/>
      <c r="BC435" s="1211"/>
      <c r="BE435" s="1211"/>
      <c r="BF435" s="1211"/>
      <c r="BG435" s="1211"/>
    </row>
    <row r="436" spans="18:59" x14ac:dyDescent="0.35">
      <c r="R436" s="1211"/>
      <c r="S436" s="1211"/>
      <c r="W436" s="1211"/>
      <c r="X436" s="1211"/>
      <c r="AE436" s="1211"/>
      <c r="AF436" s="1211"/>
      <c r="AV436" s="1211"/>
      <c r="AW436" s="1211"/>
      <c r="AX436" s="1211"/>
      <c r="AY436" s="1211"/>
      <c r="AZ436" s="1211"/>
      <c r="BA436" s="1211"/>
      <c r="BC436" s="1211"/>
      <c r="BE436" s="1211"/>
      <c r="BF436" s="1211"/>
      <c r="BG436" s="1211"/>
    </row>
    <row r="437" spans="18:59" x14ac:dyDescent="0.35">
      <c r="R437" s="1211"/>
      <c r="S437" s="1211"/>
      <c r="W437" s="1211"/>
      <c r="X437" s="1211"/>
      <c r="AE437" s="1211"/>
      <c r="AF437" s="1211"/>
      <c r="AV437" s="1211"/>
      <c r="AW437" s="1211"/>
      <c r="AX437" s="1211"/>
      <c r="AY437" s="1211"/>
      <c r="AZ437" s="1211"/>
      <c r="BA437" s="1211"/>
      <c r="BC437" s="1211"/>
      <c r="BE437" s="1211"/>
      <c r="BF437" s="1211"/>
      <c r="BG437" s="1211"/>
    </row>
    <row r="438" spans="18:59" x14ac:dyDescent="0.35">
      <c r="R438" s="1211"/>
      <c r="S438" s="1211"/>
      <c r="W438" s="1211"/>
      <c r="X438" s="1211"/>
      <c r="AE438" s="1211"/>
      <c r="AF438" s="1211"/>
      <c r="AV438" s="1211"/>
      <c r="AW438" s="1211"/>
      <c r="AX438" s="1211"/>
      <c r="AY438" s="1211"/>
      <c r="AZ438" s="1211"/>
      <c r="BA438" s="1211"/>
      <c r="BC438" s="1211"/>
      <c r="BE438" s="1211"/>
      <c r="BF438" s="1211"/>
      <c r="BG438" s="1211"/>
    </row>
    <row r="439" spans="18:59" x14ac:dyDescent="0.35">
      <c r="R439" s="1211"/>
      <c r="S439" s="1211"/>
      <c r="W439" s="1211"/>
      <c r="X439" s="1211"/>
      <c r="AE439" s="1211"/>
      <c r="AF439" s="1211"/>
      <c r="AV439" s="1211"/>
      <c r="AW439" s="1211"/>
      <c r="AX439" s="1211"/>
      <c r="AY439" s="1211"/>
      <c r="AZ439" s="1211"/>
      <c r="BA439" s="1211"/>
      <c r="BC439" s="1211"/>
      <c r="BE439" s="1211"/>
      <c r="BF439" s="1211"/>
      <c r="BG439" s="1211"/>
    </row>
    <row r="440" spans="18:59" x14ac:dyDescent="0.35">
      <c r="R440" s="1211"/>
      <c r="S440" s="1211"/>
      <c r="W440" s="1211"/>
      <c r="X440" s="1211"/>
      <c r="AE440" s="1211"/>
      <c r="AF440" s="1211"/>
      <c r="AV440" s="1211"/>
      <c r="AW440" s="1211"/>
      <c r="AX440" s="1211"/>
      <c r="AY440" s="1211"/>
      <c r="AZ440" s="1211"/>
      <c r="BA440" s="1211"/>
      <c r="BC440" s="1211"/>
      <c r="BE440" s="1211"/>
      <c r="BF440" s="1211"/>
      <c r="BG440" s="1211"/>
    </row>
    <row r="441" spans="18:59" x14ac:dyDescent="0.35">
      <c r="R441" s="1211"/>
      <c r="S441" s="1211"/>
      <c r="W441" s="1211"/>
      <c r="X441" s="1211"/>
      <c r="AE441" s="1211"/>
      <c r="AF441" s="1211"/>
      <c r="AV441" s="1211"/>
      <c r="AW441" s="1211"/>
      <c r="AX441" s="1211"/>
      <c r="AY441" s="1211"/>
      <c r="AZ441" s="1211"/>
      <c r="BA441" s="1211"/>
      <c r="BC441" s="1211"/>
      <c r="BE441" s="1211"/>
      <c r="BF441" s="1211"/>
      <c r="BG441" s="1211"/>
    </row>
    <row r="442" spans="18:59" x14ac:dyDescent="0.35">
      <c r="R442" s="1211"/>
      <c r="S442" s="1211"/>
      <c r="W442" s="1211"/>
      <c r="X442" s="1211"/>
      <c r="AE442" s="1211"/>
      <c r="AF442" s="1211"/>
      <c r="AV442" s="1211"/>
      <c r="AW442" s="1211"/>
      <c r="AX442" s="1211"/>
      <c r="AY442" s="1211"/>
      <c r="AZ442" s="1211"/>
      <c r="BA442" s="1211"/>
      <c r="BC442" s="1211"/>
      <c r="BE442" s="1211"/>
      <c r="BF442" s="1211"/>
      <c r="BG442" s="1211"/>
    </row>
    <row r="443" spans="18:59" x14ac:dyDescent="0.35">
      <c r="R443" s="1211"/>
      <c r="S443" s="1211"/>
      <c r="W443" s="1211"/>
      <c r="X443" s="1211"/>
      <c r="AE443" s="1211"/>
      <c r="AF443" s="1211"/>
      <c r="AV443" s="1211"/>
      <c r="AW443" s="1211"/>
      <c r="AX443" s="1211"/>
      <c r="AY443" s="1211"/>
      <c r="AZ443" s="1211"/>
      <c r="BA443" s="1211"/>
      <c r="BC443" s="1211"/>
      <c r="BE443" s="1211"/>
      <c r="BF443" s="1211"/>
      <c r="BG443" s="1211"/>
    </row>
    <row r="444" spans="18:59" x14ac:dyDescent="0.35">
      <c r="R444" s="1211"/>
      <c r="S444" s="1211"/>
      <c r="W444" s="1211"/>
      <c r="X444" s="1211"/>
      <c r="AE444" s="1211"/>
      <c r="AF444" s="1211"/>
      <c r="AV444" s="1211"/>
      <c r="AW444" s="1211"/>
      <c r="AX444" s="1211"/>
      <c r="AY444" s="1211"/>
      <c r="AZ444" s="1211"/>
      <c r="BA444" s="1211"/>
      <c r="BC444" s="1211"/>
      <c r="BE444" s="1211"/>
      <c r="BF444" s="1211"/>
      <c r="BG444" s="1211"/>
    </row>
    <row r="445" spans="18:59" x14ac:dyDescent="0.35">
      <c r="R445" s="1211"/>
      <c r="S445" s="1211"/>
      <c r="W445" s="1211"/>
      <c r="X445" s="1211"/>
      <c r="AE445" s="1211"/>
      <c r="AF445" s="1211"/>
      <c r="AV445" s="1211"/>
      <c r="AW445" s="1211"/>
      <c r="AX445" s="1211"/>
      <c r="AY445" s="1211"/>
      <c r="AZ445" s="1211"/>
      <c r="BA445" s="1211"/>
      <c r="BC445" s="1211"/>
      <c r="BE445" s="1211"/>
      <c r="BF445" s="1211"/>
      <c r="BG445" s="1211"/>
    </row>
    <row r="446" spans="18:59" x14ac:dyDescent="0.35">
      <c r="R446" s="1211"/>
      <c r="S446" s="1211"/>
      <c r="W446" s="1211"/>
      <c r="X446" s="1211"/>
      <c r="AE446" s="1211"/>
      <c r="AF446" s="1211"/>
      <c r="AV446" s="1211"/>
      <c r="AW446" s="1211"/>
      <c r="AX446" s="1211"/>
      <c r="AY446" s="1211"/>
      <c r="AZ446" s="1211"/>
      <c r="BA446" s="1211"/>
      <c r="BC446" s="1211"/>
      <c r="BE446" s="1211"/>
      <c r="BF446" s="1211"/>
      <c r="BG446" s="1211"/>
    </row>
    <row r="447" spans="18:59" x14ac:dyDescent="0.35">
      <c r="R447" s="1211"/>
      <c r="S447" s="1211"/>
      <c r="W447" s="1211"/>
      <c r="X447" s="1211"/>
      <c r="AE447" s="1211"/>
      <c r="AF447" s="1211"/>
      <c r="AV447" s="1211"/>
      <c r="AW447" s="1211"/>
      <c r="AX447" s="1211"/>
      <c r="AY447" s="1211"/>
      <c r="AZ447" s="1211"/>
      <c r="BA447" s="1211"/>
      <c r="BC447" s="1211"/>
      <c r="BE447" s="1211"/>
      <c r="BF447" s="1211"/>
      <c r="BG447" s="1211"/>
    </row>
    <row r="448" spans="18:59" x14ac:dyDescent="0.35">
      <c r="R448" s="1211"/>
      <c r="S448" s="1211"/>
      <c r="W448" s="1211"/>
      <c r="X448" s="1211"/>
      <c r="AE448" s="1211"/>
      <c r="AF448" s="1211"/>
      <c r="AV448" s="1211"/>
      <c r="AW448" s="1211"/>
      <c r="AX448" s="1211"/>
      <c r="AY448" s="1211"/>
      <c r="AZ448" s="1211"/>
      <c r="BA448" s="1211"/>
      <c r="BC448" s="1211"/>
      <c r="BE448" s="1211"/>
      <c r="BF448" s="1211"/>
      <c r="BG448" s="1211"/>
    </row>
    <row r="449" spans="18:59" x14ac:dyDescent="0.35">
      <c r="R449" s="1211"/>
      <c r="S449" s="1211"/>
      <c r="W449" s="1211"/>
      <c r="X449" s="1211"/>
      <c r="AE449" s="1211"/>
      <c r="AF449" s="1211"/>
      <c r="AV449" s="1211"/>
      <c r="AW449" s="1211"/>
      <c r="AX449" s="1211"/>
      <c r="AY449" s="1211"/>
      <c r="AZ449" s="1211"/>
      <c r="BA449" s="1211"/>
      <c r="BC449" s="1211"/>
      <c r="BE449" s="1211"/>
      <c r="BF449" s="1211"/>
      <c r="BG449" s="1211"/>
    </row>
    <row r="450" spans="18:59" x14ac:dyDescent="0.35">
      <c r="R450" s="1211"/>
      <c r="S450" s="1211"/>
      <c r="W450" s="1211"/>
      <c r="X450" s="1211"/>
      <c r="AE450" s="1211"/>
      <c r="AF450" s="1211"/>
      <c r="AV450" s="1211"/>
      <c r="AW450" s="1211"/>
      <c r="AX450" s="1211"/>
      <c r="AY450" s="1211"/>
      <c r="AZ450" s="1211"/>
      <c r="BA450" s="1211"/>
      <c r="BC450" s="1211"/>
      <c r="BE450" s="1211"/>
      <c r="BF450" s="1211"/>
      <c r="BG450" s="1211"/>
    </row>
    <row r="451" spans="18:59" x14ac:dyDescent="0.35">
      <c r="R451" s="1211"/>
      <c r="S451" s="1211"/>
      <c r="W451" s="1211"/>
      <c r="X451" s="1211"/>
      <c r="AE451" s="1211"/>
      <c r="AF451" s="1211"/>
      <c r="AV451" s="1211"/>
      <c r="AW451" s="1211"/>
      <c r="AX451" s="1211"/>
      <c r="AY451" s="1211"/>
      <c r="AZ451" s="1211"/>
      <c r="BA451" s="1211"/>
      <c r="BC451" s="1211"/>
      <c r="BE451" s="1211"/>
      <c r="BF451" s="1211"/>
      <c r="BG451" s="1211"/>
    </row>
    <row r="452" spans="18:59" x14ac:dyDescent="0.35">
      <c r="R452" s="1211"/>
      <c r="S452" s="1211"/>
      <c r="W452" s="1211"/>
      <c r="X452" s="1211"/>
      <c r="AE452" s="1211"/>
      <c r="AF452" s="1211"/>
      <c r="AV452" s="1211"/>
      <c r="AW452" s="1211"/>
      <c r="AX452" s="1211"/>
      <c r="AY452" s="1211"/>
      <c r="AZ452" s="1211"/>
      <c r="BA452" s="1211"/>
      <c r="BC452" s="1211"/>
      <c r="BE452" s="1211"/>
      <c r="BF452" s="1211"/>
      <c r="BG452" s="1211"/>
    </row>
    <row r="453" spans="18:59" x14ac:dyDescent="0.35">
      <c r="R453" s="1211"/>
      <c r="S453" s="1211"/>
      <c r="W453" s="1211"/>
      <c r="X453" s="1211"/>
      <c r="AE453" s="1211"/>
      <c r="AF453" s="1211"/>
      <c r="AV453" s="1211"/>
      <c r="AW453" s="1211"/>
      <c r="AX453" s="1211"/>
      <c r="AY453" s="1211"/>
      <c r="AZ453" s="1211"/>
      <c r="BA453" s="1211"/>
      <c r="BC453" s="1211"/>
      <c r="BE453" s="1211"/>
      <c r="BF453" s="1211"/>
      <c r="BG453" s="1211"/>
    </row>
    <row r="454" spans="18:59" x14ac:dyDescent="0.35">
      <c r="R454" s="1211"/>
      <c r="S454" s="1211"/>
      <c r="W454" s="1211"/>
      <c r="X454" s="1211"/>
      <c r="AE454" s="1211"/>
      <c r="AF454" s="1211"/>
      <c r="AV454" s="1211"/>
      <c r="AW454" s="1211"/>
      <c r="AX454" s="1211"/>
      <c r="AY454" s="1211"/>
      <c r="AZ454" s="1211"/>
      <c r="BA454" s="1211"/>
      <c r="BC454" s="1211"/>
      <c r="BE454" s="1211"/>
      <c r="BF454" s="1211"/>
      <c r="BG454" s="1211"/>
    </row>
    <row r="455" spans="18:59" x14ac:dyDescent="0.35">
      <c r="R455" s="1211"/>
      <c r="S455" s="1211"/>
      <c r="W455" s="1211"/>
      <c r="X455" s="1211"/>
      <c r="AE455" s="1211"/>
      <c r="AF455" s="1211"/>
      <c r="AV455" s="1211"/>
      <c r="AW455" s="1211"/>
      <c r="AX455" s="1211"/>
      <c r="AY455" s="1211"/>
      <c r="AZ455" s="1211"/>
      <c r="BA455" s="1211"/>
      <c r="BC455" s="1211"/>
      <c r="BE455" s="1211"/>
      <c r="BF455" s="1211"/>
      <c r="BG455" s="1211"/>
    </row>
    <row r="456" spans="18:59" x14ac:dyDescent="0.35">
      <c r="R456" s="1211"/>
      <c r="S456" s="1211"/>
      <c r="W456" s="1211"/>
      <c r="X456" s="1211"/>
      <c r="AE456" s="1211"/>
      <c r="AF456" s="1211"/>
      <c r="AV456" s="1211"/>
      <c r="AW456" s="1211"/>
      <c r="AX456" s="1211"/>
      <c r="AY456" s="1211"/>
      <c r="AZ456" s="1211"/>
      <c r="BA456" s="1211"/>
      <c r="BC456" s="1211"/>
      <c r="BE456" s="1211"/>
      <c r="BF456" s="1211"/>
      <c r="BG456" s="1211"/>
    </row>
    <row r="457" spans="18:59" x14ac:dyDescent="0.35">
      <c r="R457" s="1211"/>
      <c r="S457" s="1211"/>
      <c r="W457" s="1211"/>
      <c r="X457" s="1211"/>
      <c r="AE457" s="1211"/>
      <c r="AF457" s="1211"/>
      <c r="AV457" s="1211"/>
      <c r="AW457" s="1211"/>
      <c r="AX457" s="1211"/>
      <c r="AY457" s="1211"/>
      <c r="AZ457" s="1211"/>
      <c r="BA457" s="1211"/>
      <c r="BC457" s="1211"/>
      <c r="BE457" s="1211"/>
      <c r="BF457" s="1211"/>
      <c r="BG457" s="1211"/>
    </row>
    <row r="458" spans="18:59" x14ac:dyDescent="0.35">
      <c r="R458" s="1211"/>
      <c r="S458" s="1211"/>
      <c r="W458" s="1211"/>
      <c r="X458" s="1211"/>
      <c r="AE458" s="1211"/>
      <c r="AF458" s="1211"/>
      <c r="AV458" s="1211"/>
      <c r="AW458" s="1211"/>
      <c r="AX458" s="1211"/>
      <c r="AY458" s="1211"/>
      <c r="AZ458" s="1211"/>
      <c r="BA458" s="1211"/>
      <c r="BC458" s="1211"/>
      <c r="BE458" s="1211"/>
      <c r="BF458" s="1211"/>
      <c r="BG458" s="1211"/>
    </row>
    <row r="459" spans="18:59" x14ac:dyDescent="0.35">
      <c r="R459" s="1211"/>
      <c r="S459" s="1211"/>
      <c r="W459" s="1211"/>
      <c r="X459" s="1211"/>
      <c r="AE459" s="1211"/>
      <c r="AF459" s="1211"/>
      <c r="AV459" s="1211"/>
      <c r="AW459" s="1211"/>
      <c r="AX459" s="1211"/>
      <c r="AY459" s="1211"/>
      <c r="AZ459" s="1211"/>
      <c r="BA459" s="1211"/>
      <c r="BC459" s="1211"/>
      <c r="BE459" s="1211"/>
      <c r="BF459" s="1211"/>
      <c r="BG459" s="1211"/>
    </row>
    <row r="460" spans="18:59" x14ac:dyDescent="0.35">
      <c r="R460" s="1211"/>
      <c r="S460" s="1211"/>
      <c r="W460" s="1211"/>
      <c r="X460" s="1211"/>
      <c r="AE460" s="1211"/>
      <c r="AF460" s="1211"/>
      <c r="AV460" s="1211"/>
      <c r="AW460" s="1211"/>
      <c r="AX460" s="1211"/>
      <c r="AY460" s="1211"/>
      <c r="AZ460" s="1211"/>
      <c r="BA460" s="1211"/>
      <c r="BC460" s="1211"/>
      <c r="BE460" s="1211"/>
      <c r="BF460" s="1211"/>
      <c r="BG460" s="1211"/>
    </row>
    <row r="461" spans="18:59" x14ac:dyDescent="0.35">
      <c r="R461" s="1211"/>
      <c r="S461" s="1211"/>
      <c r="W461" s="1211"/>
      <c r="X461" s="1211"/>
      <c r="AE461" s="1211"/>
      <c r="AF461" s="1211"/>
      <c r="AV461" s="1211"/>
      <c r="AW461" s="1211"/>
      <c r="AX461" s="1211"/>
      <c r="AY461" s="1211"/>
      <c r="AZ461" s="1211"/>
      <c r="BA461" s="1211"/>
      <c r="BC461" s="1211"/>
      <c r="BE461" s="1211"/>
      <c r="BF461" s="1211"/>
      <c r="BG461" s="1211"/>
    </row>
    <row r="462" spans="18:59" x14ac:dyDescent="0.35">
      <c r="R462" s="1211"/>
      <c r="S462" s="1211"/>
      <c r="W462" s="1211"/>
      <c r="X462" s="1211"/>
      <c r="AE462" s="1211"/>
      <c r="AF462" s="1211"/>
      <c r="AV462" s="1211"/>
      <c r="AW462" s="1211"/>
      <c r="AX462" s="1211"/>
      <c r="AY462" s="1211"/>
      <c r="AZ462" s="1211"/>
      <c r="BA462" s="1211"/>
      <c r="BC462" s="1211"/>
      <c r="BE462" s="1211"/>
      <c r="BF462" s="1211"/>
      <c r="BG462" s="1211"/>
    </row>
    <row r="463" spans="18:59" x14ac:dyDescent="0.35">
      <c r="R463" s="1211"/>
      <c r="S463" s="1211"/>
      <c r="W463" s="1211"/>
      <c r="X463" s="1211"/>
      <c r="AE463" s="1211"/>
      <c r="AF463" s="1211"/>
      <c r="AV463" s="1211"/>
      <c r="AW463" s="1211"/>
      <c r="AX463" s="1211"/>
      <c r="AY463" s="1211"/>
      <c r="AZ463" s="1211"/>
      <c r="BA463" s="1211"/>
      <c r="BC463" s="1211"/>
      <c r="BE463" s="1211"/>
      <c r="BF463" s="1211"/>
      <c r="BG463" s="1211"/>
    </row>
    <row r="464" spans="18:59" x14ac:dyDescent="0.35">
      <c r="R464" s="1211"/>
      <c r="S464" s="1211"/>
      <c r="W464" s="1211"/>
      <c r="X464" s="1211"/>
      <c r="AE464" s="1211"/>
      <c r="AF464" s="1211"/>
      <c r="AV464" s="1211"/>
      <c r="AW464" s="1211"/>
      <c r="AX464" s="1211"/>
      <c r="AY464" s="1211"/>
      <c r="AZ464" s="1211"/>
      <c r="BA464" s="1211"/>
      <c r="BC464" s="1211"/>
      <c r="BE464" s="1211"/>
      <c r="BF464" s="1211"/>
      <c r="BG464" s="1211"/>
    </row>
    <row r="465" spans="18:59" x14ac:dyDescent="0.35">
      <c r="R465" s="1211"/>
      <c r="S465" s="1211"/>
      <c r="W465" s="1211"/>
      <c r="X465" s="1211"/>
      <c r="AE465" s="1211"/>
      <c r="AF465" s="1211"/>
      <c r="AV465" s="1211"/>
      <c r="AW465" s="1211"/>
      <c r="AX465" s="1211"/>
      <c r="AY465" s="1211"/>
      <c r="AZ465" s="1211"/>
      <c r="BA465" s="1211"/>
      <c r="BC465" s="1211"/>
      <c r="BE465" s="1211"/>
      <c r="BF465" s="1211"/>
      <c r="BG465" s="1211"/>
    </row>
    <row r="466" spans="18:59" x14ac:dyDescent="0.35">
      <c r="R466" s="1211"/>
      <c r="S466" s="1211"/>
      <c r="W466" s="1211"/>
      <c r="X466" s="1211"/>
      <c r="AE466" s="1211"/>
      <c r="AF466" s="1211"/>
      <c r="AV466" s="1211"/>
      <c r="AW466" s="1211"/>
      <c r="AX466" s="1211"/>
      <c r="AY466" s="1211"/>
      <c r="AZ466" s="1211"/>
      <c r="BA466" s="1211"/>
      <c r="BC466" s="1211"/>
      <c r="BE466" s="1211"/>
      <c r="BF466" s="1211"/>
      <c r="BG466" s="1211"/>
    </row>
    <row r="467" spans="18:59" x14ac:dyDescent="0.35">
      <c r="R467" s="1211"/>
      <c r="S467" s="1211"/>
      <c r="W467" s="1211"/>
      <c r="X467" s="1211"/>
      <c r="AE467" s="1211"/>
      <c r="AF467" s="1211"/>
      <c r="AV467" s="1211"/>
      <c r="AW467" s="1211"/>
      <c r="AX467" s="1211"/>
      <c r="AY467" s="1211"/>
      <c r="AZ467" s="1211"/>
      <c r="BA467" s="1211"/>
      <c r="BC467" s="1211"/>
      <c r="BE467" s="1211"/>
      <c r="BF467" s="1211"/>
      <c r="BG467" s="1211"/>
    </row>
    <row r="468" spans="18:59" x14ac:dyDescent="0.35">
      <c r="R468" s="1211"/>
      <c r="S468" s="1211"/>
      <c r="W468" s="1211"/>
      <c r="X468" s="1211"/>
      <c r="AE468" s="1211"/>
      <c r="AF468" s="1211"/>
      <c r="AV468" s="1211"/>
      <c r="AW468" s="1211"/>
      <c r="AX468" s="1211"/>
      <c r="AY468" s="1211"/>
      <c r="AZ468" s="1211"/>
      <c r="BA468" s="1211"/>
      <c r="BC468" s="1211"/>
      <c r="BE468" s="1211"/>
      <c r="BF468" s="1211"/>
      <c r="BG468" s="1211"/>
    </row>
    <row r="469" spans="18:59" x14ac:dyDescent="0.35">
      <c r="R469" s="1211"/>
      <c r="S469" s="1211"/>
      <c r="W469" s="1211"/>
      <c r="X469" s="1211"/>
      <c r="AE469" s="1211"/>
      <c r="AF469" s="1211"/>
      <c r="AV469" s="1211"/>
      <c r="AW469" s="1211"/>
      <c r="AX469" s="1211"/>
      <c r="AY469" s="1211"/>
      <c r="AZ469" s="1211"/>
      <c r="BA469" s="1211"/>
      <c r="BC469" s="1211"/>
      <c r="BE469" s="1211"/>
      <c r="BF469" s="1211"/>
      <c r="BG469" s="1211"/>
    </row>
    <row r="470" spans="18:59" x14ac:dyDescent="0.35">
      <c r="R470" s="1211"/>
      <c r="S470" s="1211"/>
      <c r="W470" s="1211"/>
      <c r="X470" s="1211"/>
      <c r="AE470" s="1211"/>
      <c r="AF470" s="1211"/>
      <c r="AV470" s="1211"/>
      <c r="AW470" s="1211"/>
      <c r="AX470" s="1211"/>
      <c r="AY470" s="1211"/>
      <c r="AZ470" s="1211"/>
      <c r="BA470" s="1211"/>
      <c r="BC470" s="1211"/>
      <c r="BE470" s="1211"/>
      <c r="BF470" s="1211"/>
      <c r="BG470" s="1211"/>
    </row>
    <row r="471" spans="18:59" x14ac:dyDescent="0.35">
      <c r="R471" s="1211"/>
      <c r="S471" s="1211"/>
      <c r="W471" s="1211"/>
      <c r="X471" s="1211"/>
      <c r="AE471" s="1211"/>
      <c r="AF471" s="1211"/>
      <c r="AV471" s="1211"/>
      <c r="AW471" s="1211"/>
      <c r="AX471" s="1211"/>
      <c r="AY471" s="1211"/>
      <c r="AZ471" s="1211"/>
      <c r="BA471" s="1211"/>
      <c r="BC471" s="1211"/>
      <c r="BE471" s="1211"/>
      <c r="BF471" s="1211"/>
      <c r="BG471" s="1211"/>
    </row>
    <row r="472" spans="18:59" x14ac:dyDescent="0.35">
      <c r="R472" s="1211"/>
      <c r="S472" s="1211"/>
      <c r="W472" s="1211"/>
      <c r="X472" s="1211"/>
      <c r="AE472" s="1211"/>
      <c r="AF472" s="1211"/>
      <c r="AV472" s="1211"/>
      <c r="AW472" s="1211"/>
      <c r="AX472" s="1211"/>
      <c r="AY472" s="1211"/>
      <c r="AZ472" s="1211"/>
      <c r="BA472" s="1211"/>
      <c r="BC472" s="1211"/>
      <c r="BE472" s="1211"/>
      <c r="BF472" s="1211"/>
      <c r="BG472" s="1211"/>
    </row>
    <row r="473" spans="18:59" x14ac:dyDescent="0.35">
      <c r="R473" s="1211"/>
      <c r="S473" s="1211"/>
      <c r="W473" s="1211"/>
      <c r="X473" s="1211"/>
      <c r="AE473" s="1211"/>
      <c r="AF473" s="1211"/>
      <c r="AV473" s="1211"/>
      <c r="AW473" s="1211"/>
      <c r="AX473" s="1211"/>
      <c r="AY473" s="1211"/>
      <c r="AZ473" s="1211"/>
      <c r="BA473" s="1211"/>
      <c r="BC473" s="1211"/>
      <c r="BE473" s="1211"/>
      <c r="BF473" s="1211"/>
      <c r="BG473" s="1211"/>
    </row>
    <row r="474" spans="18:59" x14ac:dyDescent="0.35">
      <c r="R474" s="1211"/>
      <c r="S474" s="1211"/>
      <c r="W474" s="1211"/>
      <c r="X474" s="1211"/>
      <c r="AE474" s="1211"/>
      <c r="AF474" s="1211"/>
      <c r="AV474" s="1211"/>
      <c r="AW474" s="1211"/>
      <c r="AX474" s="1211"/>
      <c r="AY474" s="1211"/>
      <c r="AZ474" s="1211"/>
      <c r="BA474" s="1211"/>
      <c r="BC474" s="1211"/>
      <c r="BE474" s="1211"/>
      <c r="BF474" s="1211"/>
      <c r="BG474" s="1211"/>
    </row>
    <row r="475" spans="18:59" x14ac:dyDescent="0.35">
      <c r="R475" s="1211"/>
      <c r="S475" s="1211"/>
      <c r="W475" s="1211"/>
      <c r="X475" s="1211"/>
      <c r="AE475" s="1211"/>
      <c r="AF475" s="1211"/>
      <c r="AV475" s="1211"/>
      <c r="AW475" s="1211"/>
      <c r="AX475" s="1211"/>
      <c r="AY475" s="1211"/>
      <c r="AZ475" s="1211"/>
      <c r="BA475" s="1211"/>
      <c r="BC475" s="1211"/>
      <c r="BE475" s="1211"/>
      <c r="BF475" s="1211"/>
      <c r="BG475" s="1211"/>
    </row>
    <row r="476" spans="18:59" x14ac:dyDescent="0.35">
      <c r="R476" s="1211"/>
      <c r="S476" s="1211"/>
      <c r="W476" s="1211"/>
      <c r="X476" s="1211"/>
      <c r="AE476" s="1211"/>
      <c r="AF476" s="1211"/>
      <c r="AV476" s="1211"/>
      <c r="AW476" s="1211"/>
      <c r="AX476" s="1211"/>
      <c r="AY476" s="1211"/>
      <c r="AZ476" s="1211"/>
      <c r="BA476" s="1211"/>
      <c r="BC476" s="1211"/>
      <c r="BE476" s="1211"/>
      <c r="BF476" s="1211"/>
      <c r="BG476" s="1211"/>
    </row>
    <row r="477" spans="18:59" x14ac:dyDescent="0.35">
      <c r="R477" s="1211"/>
      <c r="S477" s="1211"/>
      <c r="W477" s="1211"/>
      <c r="X477" s="1211"/>
      <c r="AE477" s="1211"/>
      <c r="AF477" s="1211"/>
      <c r="AV477" s="1211"/>
      <c r="AW477" s="1211"/>
      <c r="AX477" s="1211"/>
      <c r="AY477" s="1211"/>
      <c r="AZ477" s="1211"/>
      <c r="BA477" s="1211"/>
      <c r="BC477" s="1211"/>
      <c r="BE477" s="1211"/>
      <c r="BF477" s="1211"/>
      <c r="BG477" s="1211"/>
    </row>
    <row r="478" spans="18:59" x14ac:dyDescent="0.35">
      <c r="R478" s="1211"/>
      <c r="S478" s="1211"/>
      <c r="W478" s="1211"/>
      <c r="X478" s="1211"/>
      <c r="AE478" s="1211"/>
      <c r="AF478" s="1211"/>
      <c r="AV478" s="1211"/>
      <c r="AW478" s="1211"/>
      <c r="AX478" s="1211"/>
      <c r="AY478" s="1211"/>
      <c r="AZ478" s="1211"/>
      <c r="BA478" s="1211"/>
      <c r="BC478" s="1211"/>
      <c r="BE478" s="1211"/>
      <c r="BF478" s="1211"/>
      <c r="BG478" s="1211"/>
    </row>
    <row r="479" spans="18:59" x14ac:dyDescent="0.35">
      <c r="R479" s="1211"/>
      <c r="S479" s="1211"/>
      <c r="W479" s="1211"/>
      <c r="X479" s="1211"/>
      <c r="AE479" s="1211"/>
      <c r="AF479" s="1211"/>
      <c r="AV479" s="1211"/>
      <c r="AW479" s="1211"/>
      <c r="AX479" s="1211"/>
      <c r="AY479" s="1211"/>
      <c r="AZ479" s="1211"/>
      <c r="BA479" s="1211"/>
      <c r="BC479" s="1211"/>
      <c r="BE479" s="1211"/>
      <c r="BF479" s="1211"/>
      <c r="BG479" s="1211"/>
    </row>
    <row r="480" spans="18:59" x14ac:dyDescent="0.35">
      <c r="R480" s="1211"/>
      <c r="S480" s="1211"/>
      <c r="W480" s="1211"/>
      <c r="X480" s="1211"/>
      <c r="AE480" s="1211"/>
      <c r="AF480" s="1211"/>
      <c r="AV480" s="1211"/>
      <c r="AW480" s="1211"/>
      <c r="AX480" s="1211"/>
      <c r="AY480" s="1211"/>
      <c r="AZ480" s="1211"/>
      <c r="BA480" s="1211"/>
      <c r="BC480" s="1211"/>
      <c r="BE480" s="1211"/>
      <c r="BF480" s="1211"/>
      <c r="BG480" s="1211"/>
    </row>
    <row r="481" spans="18:59" x14ac:dyDescent="0.35">
      <c r="R481" s="1211"/>
      <c r="S481" s="1211"/>
      <c r="W481" s="1211"/>
      <c r="X481" s="1211"/>
      <c r="AE481" s="1211"/>
      <c r="AF481" s="1211"/>
      <c r="AV481" s="1211"/>
      <c r="AW481" s="1211"/>
      <c r="AX481" s="1211"/>
      <c r="AY481" s="1211"/>
      <c r="AZ481" s="1211"/>
      <c r="BA481" s="1211"/>
      <c r="BC481" s="1211"/>
      <c r="BE481" s="1211"/>
      <c r="BF481" s="1211"/>
      <c r="BG481" s="1211"/>
    </row>
    <row r="482" spans="18:59" x14ac:dyDescent="0.35">
      <c r="R482" s="1211"/>
      <c r="S482" s="1211"/>
      <c r="W482" s="1211"/>
      <c r="X482" s="1211"/>
      <c r="AE482" s="1211"/>
      <c r="AF482" s="1211"/>
      <c r="AV482" s="1211"/>
      <c r="AW482" s="1211"/>
      <c r="AX482" s="1211"/>
      <c r="AY482" s="1211"/>
      <c r="AZ482" s="1211"/>
      <c r="BA482" s="1211"/>
      <c r="BC482" s="1211"/>
      <c r="BE482" s="1211"/>
      <c r="BF482" s="1211"/>
      <c r="BG482" s="1211"/>
    </row>
    <row r="483" spans="18:59" x14ac:dyDescent="0.35">
      <c r="R483" s="1211"/>
      <c r="S483" s="1211"/>
      <c r="W483" s="1211"/>
      <c r="X483" s="1211"/>
      <c r="AE483" s="1211"/>
      <c r="AF483" s="1211"/>
      <c r="AV483" s="1211"/>
      <c r="AW483" s="1211"/>
      <c r="AX483" s="1211"/>
      <c r="AY483" s="1211"/>
      <c r="AZ483" s="1211"/>
      <c r="BA483" s="1211"/>
      <c r="BC483" s="1211"/>
      <c r="BE483" s="1211"/>
      <c r="BF483" s="1211"/>
      <c r="BG483" s="1211"/>
    </row>
    <row r="484" spans="18:59" x14ac:dyDescent="0.35">
      <c r="R484" s="1211"/>
      <c r="S484" s="1211"/>
      <c r="W484" s="1211"/>
      <c r="X484" s="1211"/>
      <c r="AE484" s="1211"/>
      <c r="AF484" s="1211"/>
      <c r="AV484" s="1211"/>
      <c r="AW484" s="1211"/>
      <c r="AX484" s="1211"/>
      <c r="AY484" s="1211"/>
      <c r="AZ484" s="1211"/>
      <c r="BA484" s="1211"/>
      <c r="BC484" s="1211"/>
      <c r="BE484" s="1211"/>
      <c r="BF484" s="1211"/>
      <c r="BG484" s="1211"/>
    </row>
    <row r="485" spans="18:59" x14ac:dyDescent="0.35">
      <c r="R485" s="1211"/>
      <c r="S485" s="1211"/>
      <c r="W485" s="1211"/>
      <c r="X485" s="1211"/>
      <c r="AE485" s="1211"/>
      <c r="AF485" s="1211"/>
      <c r="AV485" s="1211"/>
      <c r="AW485" s="1211"/>
      <c r="AX485" s="1211"/>
      <c r="AY485" s="1211"/>
      <c r="AZ485" s="1211"/>
      <c r="BA485" s="1211"/>
      <c r="BC485" s="1211"/>
      <c r="BE485" s="1211"/>
      <c r="BF485" s="1211"/>
      <c r="BG485" s="1211"/>
    </row>
    <row r="486" spans="18:59" x14ac:dyDescent="0.35">
      <c r="R486" s="1211"/>
      <c r="S486" s="1211"/>
      <c r="W486" s="1211"/>
      <c r="X486" s="1211"/>
      <c r="AE486" s="1211"/>
      <c r="AF486" s="1211"/>
      <c r="AV486" s="1211"/>
      <c r="AW486" s="1211"/>
      <c r="AX486" s="1211"/>
      <c r="AY486" s="1211"/>
      <c r="AZ486" s="1211"/>
      <c r="BA486" s="1211"/>
      <c r="BC486" s="1211"/>
      <c r="BE486" s="1211"/>
      <c r="BF486" s="1211"/>
      <c r="BG486" s="1211"/>
    </row>
    <row r="487" spans="18:59" x14ac:dyDescent="0.35">
      <c r="R487" s="1211"/>
      <c r="S487" s="1211"/>
      <c r="W487" s="1211"/>
      <c r="X487" s="1211"/>
      <c r="AE487" s="1211"/>
      <c r="AF487" s="1211"/>
      <c r="AV487" s="1211"/>
      <c r="AW487" s="1211"/>
      <c r="AX487" s="1211"/>
      <c r="AY487" s="1211"/>
      <c r="AZ487" s="1211"/>
      <c r="BA487" s="1211"/>
      <c r="BC487" s="1211"/>
      <c r="BE487" s="1211"/>
      <c r="BF487" s="1211"/>
      <c r="BG487" s="1211"/>
    </row>
    <row r="488" spans="18:59" x14ac:dyDescent="0.35">
      <c r="R488" s="1211"/>
      <c r="S488" s="1211"/>
      <c r="W488" s="1211"/>
      <c r="X488" s="1211"/>
      <c r="AE488" s="1211"/>
      <c r="AF488" s="1211"/>
      <c r="AV488" s="1211"/>
      <c r="AW488" s="1211"/>
      <c r="AX488" s="1211"/>
      <c r="AY488" s="1211"/>
      <c r="AZ488" s="1211"/>
      <c r="BA488" s="1211"/>
      <c r="BC488" s="1211"/>
      <c r="BE488" s="1211"/>
      <c r="BF488" s="1211"/>
      <c r="BG488" s="1211"/>
    </row>
    <row r="489" spans="18:59" x14ac:dyDescent="0.35">
      <c r="R489" s="1211"/>
      <c r="S489" s="1211"/>
      <c r="W489" s="1211"/>
      <c r="X489" s="1211"/>
      <c r="AE489" s="1211"/>
      <c r="AF489" s="1211"/>
      <c r="AV489" s="1211"/>
      <c r="AW489" s="1211"/>
      <c r="AX489" s="1211"/>
      <c r="AY489" s="1211"/>
      <c r="AZ489" s="1211"/>
      <c r="BA489" s="1211"/>
      <c r="BC489" s="1211"/>
      <c r="BE489" s="1211"/>
      <c r="BF489" s="1211"/>
      <c r="BG489" s="1211"/>
    </row>
    <row r="490" spans="18:59" x14ac:dyDescent="0.35">
      <c r="R490" s="1211"/>
      <c r="S490" s="1211"/>
      <c r="W490" s="1211"/>
      <c r="X490" s="1211"/>
      <c r="AE490" s="1211"/>
      <c r="AF490" s="1211"/>
      <c r="AV490" s="1211"/>
      <c r="AW490" s="1211"/>
      <c r="AX490" s="1211"/>
      <c r="AY490" s="1211"/>
      <c r="AZ490" s="1211"/>
      <c r="BA490" s="1211"/>
      <c r="BC490" s="1211"/>
      <c r="BE490" s="1211"/>
      <c r="BF490" s="1211"/>
      <c r="BG490" s="1211"/>
    </row>
    <row r="491" spans="18:59" x14ac:dyDescent="0.35">
      <c r="R491" s="1211"/>
      <c r="S491" s="1211"/>
      <c r="W491" s="1211"/>
      <c r="X491" s="1211"/>
      <c r="AE491" s="1211"/>
      <c r="AF491" s="1211"/>
      <c r="AV491" s="1211"/>
      <c r="AW491" s="1211"/>
      <c r="AX491" s="1211"/>
      <c r="AY491" s="1211"/>
      <c r="AZ491" s="1211"/>
      <c r="BA491" s="1211"/>
      <c r="BC491" s="1211"/>
      <c r="BE491" s="1211"/>
      <c r="BF491" s="1211"/>
      <c r="BG491" s="1211"/>
    </row>
    <row r="492" spans="18:59" x14ac:dyDescent="0.35">
      <c r="R492" s="1211"/>
      <c r="S492" s="1211"/>
      <c r="W492" s="1211"/>
      <c r="X492" s="1211"/>
      <c r="AE492" s="1211"/>
      <c r="AF492" s="1211"/>
      <c r="AV492" s="1211"/>
      <c r="AW492" s="1211"/>
      <c r="AX492" s="1211"/>
      <c r="AY492" s="1211"/>
      <c r="AZ492" s="1211"/>
      <c r="BA492" s="1211"/>
      <c r="BC492" s="1211"/>
      <c r="BE492" s="1211"/>
      <c r="BF492" s="1211"/>
      <c r="BG492" s="1211"/>
    </row>
    <row r="493" spans="18:59" x14ac:dyDescent="0.35">
      <c r="R493" s="1211"/>
      <c r="S493" s="1211"/>
      <c r="W493" s="1211"/>
      <c r="X493" s="1211"/>
      <c r="AE493" s="1211"/>
      <c r="AF493" s="1211"/>
      <c r="AV493" s="1211"/>
      <c r="AW493" s="1211"/>
      <c r="AX493" s="1211"/>
      <c r="AY493" s="1211"/>
      <c r="AZ493" s="1211"/>
      <c r="BA493" s="1211"/>
      <c r="BC493" s="1211"/>
      <c r="BE493" s="1211"/>
      <c r="BF493" s="1211"/>
      <c r="BG493" s="1211"/>
    </row>
    <row r="494" spans="18:59" x14ac:dyDescent="0.35">
      <c r="R494" s="1211"/>
      <c r="S494" s="1211"/>
      <c r="W494" s="1211"/>
      <c r="X494" s="1211"/>
      <c r="AE494" s="1211"/>
      <c r="AF494" s="1211"/>
      <c r="AV494" s="1211"/>
      <c r="AW494" s="1211"/>
      <c r="AX494" s="1211"/>
      <c r="AY494" s="1211"/>
      <c r="AZ494" s="1211"/>
      <c r="BA494" s="1211"/>
      <c r="BC494" s="1211"/>
      <c r="BE494" s="1211"/>
      <c r="BF494" s="1211"/>
      <c r="BG494" s="1211"/>
    </row>
    <row r="495" spans="18:59" x14ac:dyDescent="0.35">
      <c r="R495" s="1211"/>
      <c r="S495" s="1211"/>
      <c r="W495" s="1211"/>
      <c r="X495" s="1211"/>
      <c r="AE495" s="1211"/>
      <c r="AF495" s="1211"/>
      <c r="AV495" s="1211"/>
      <c r="AW495" s="1211"/>
      <c r="AX495" s="1211"/>
      <c r="AY495" s="1211"/>
      <c r="AZ495" s="1211"/>
      <c r="BA495" s="1211"/>
      <c r="BC495" s="1211"/>
      <c r="BE495" s="1211"/>
      <c r="BF495" s="1211"/>
      <c r="BG495" s="1211"/>
    </row>
    <row r="496" spans="18:59" x14ac:dyDescent="0.35">
      <c r="R496" s="1211"/>
      <c r="S496" s="1211"/>
      <c r="W496" s="1211"/>
      <c r="X496" s="1211"/>
      <c r="AE496" s="1211"/>
      <c r="AF496" s="1211"/>
      <c r="AV496" s="1211"/>
      <c r="AW496" s="1211"/>
      <c r="AX496" s="1211"/>
      <c r="AY496" s="1211"/>
      <c r="AZ496" s="1211"/>
      <c r="BA496" s="1211"/>
      <c r="BC496" s="1211"/>
      <c r="BE496" s="1211"/>
      <c r="BF496" s="1211"/>
      <c r="BG496" s="1211"/>
    </row>
    <row r="497" spans="18:59" x14ac:dyDescent="0.35">
      <c r="R497" s="1211"/>
      <c r="S497" s="1211"/>
      <c r="W497" s="1211"/>
      <c r="X497" s="1211"/>
      <c r="AE497" s="1211"/>
      <c r="AF497" s="1211"/>
      <c r="AV497" s="1211"/>
      <c r="AW497" s="1211"/>
      <c r="AX497" s="1211"/>
      <c r="AY497" s="1211"/>
      <c r="AZ497" s="1211"/>
      <c r="BA497" s="1211"/>
      <c r="BC497" s="1211"/>
      <c r="BE497" s="1211"/>
      <c r="BF497" s="1211"/>
      <c r="BG497" s="1211"/>
    </row>
    <row r="498" spans="18:59" x14ac:dyDescent="0.35">
      <c r="R498" s="1211"/>
      <c r="S498" s="1211"/>
      <c r="W498" s="1211"/>
      <c r="X498" s="1211"/>
      <c r="AE498" s="1211"/>
      <c r="AF498" s="1211"/>
      <c r="AV498" s="1211"/>
      <c r="AW498" s="1211"/>
      <c r="AX498" s="1211"/>
      <c r="AY498" s="1211"/>
      <c r="AZ498" s="1211"/>
      <c r="BA498" s="1211"/>
      <c r="BC498" s="1211"/>
      <c r="BE498" s="1211"/>
      <c r="BF498" s="1211"/>
      <c r="BG498" s="1211"/>
    </row>
    <row r="499" spans="18:59" x14ac:dyDescent="0.35">
      <c r="R499" s="1211"/>
      <c r="S499" s="1211"/>
      <c r="W499" s="1211"/>
      <c r="X499" s="1211"/>
      <c r="AE499" s="1211"/>
      <c r="AF499" s="1211"/>
      <c r="AV499" s="1211"/>
      <c r="AW499" s="1211"/>
      <c r="AX499" s="1211"/>
      <c r="AY499" s="1211"/>
      <c r="AZ499" s="1211"/>
      <c r="BA499" s="1211"/>
      <c r="BC499" s="1211"/>
      <c r="BE499" s="1211"/>
      <c r="BF499" s="1211"/>
      <c r="BG499" s="1211"/>
    </row>
    <row r="500" spans="18:59" x14ac:dyDescent="0.35">
      <c r="R500" s="1211"/>
      <c r="S500" s="1211"/>
      <c r="W500" s="1211"/>
      <c r="X500" s="1211"/>
      <c r="AE500" s="1211"/>
      <c r="AF500" s="1211"/>
      <c r="AV500" s="1211"/>
      <c r="AW500" s="1211"/>
      <c r="AX500" s="1211"/>
      <c r="AY500" s="1211"/>
      <c r="AZ500" s="1211"/>
      <c r="BA500" s="1211"/>
      <c r="BC500" s="1211"/>
      <c r="BE500" s="1211"/>
      <c r="BF500" s="1211"/>
      <c r="BG500" s="1211"/>
    </row>
    <row r="501" spans="18:59" x14ac:dyDescent="0.35">
      <c r="R501" s="1211"/>
      <c r="S501" s="1211"/>
      <c r="W501" s="1211"/>
      <c r="X501" s="1211"/>
      <c r="AE501" s="1211"/>
      <c r="AF501" s="1211"/>
      <c r="AV501" s="1211"/>
      <c r="AW501" s="1211"/>
      <c r="AX501" s="1211"/>
      <c r="AY501" s="1211"/>
      <c r="AZ501" s="1211"/>
      <c r="BA501" s="1211"/>
      <c r="BC501" s="1211"/>
      <c r="BE501" s="1211"/>
      <c r="BF501" s="1211"/>
      <c r="BG501" s="1211"/>
    </row>
    <row r="502" spans="18:59" x14ac:dyDescent="0.35">
      <c r="R502" s="1211"/>
      <c r="S502" s="1211"/>
      <c r="W502" s="1211"/>
      <c r="X502" s="1211"/>
      <c r="AE502" s="1211"/>
      <c r="AF502" s="1211"/>
      <c r="AV502" s="1211"/>
      <c r="AW502" s="1211"/>
      <c r="AX502" s="1211"/>
      <c r="AY502" s="1211"/>
      <c r="AZ502" s="1211"/>
      <c r="BA502" s="1211"/>
      <c r="BC502" s="1211"/>
      <c r="BE502" s="1211"/>
      <c r="BF502" s="1211"/>
      <c r="BG502" s="1211"/>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W19"/>
  <sheetViews>
    <sheetView zoomScale="94" workbookViewId="0">
      <selection activeCell="D8" sqref="D8"/>
    </sheetView>
  </sheetViews>
  <sheetFormatPr defaultColWidth="10.90625" defaultRowHeight="14.5" x14ac:dyDescent="0.35"/>
  <cols>
    <col min="1" max="1" width="23.1796875" customWidth="1"/>
  </cols>
  <sheetData>
    <row r="1" spans="1:22" x14ac:dyDescent="0.35">
      <c r="A1" s="1216" t="s">
        <v>729</v>
      </c>
      <c r="B1" s="1216"/>
      <c r="C1" s="1216"/>
      <c r="D1" s="1216"/>
    </row>
    <row r="2" spans="1:22" x14ac:dyDescent="0.35">
      <c r="A2" t="s">
        <v>730</v>
      </c>
      <c r="B2" s="141">
        <v>2021</v>
      </c>
      <c r="C2" s="141">
        <v>2021</v>
      </c>
      <c r="D2" s="141">
        <v>2021</v>
      </c>
      <c r="E2" s="141">
        <v>2022</v>
      </c>
      <c r="F2" s="141">
        <v>2022</v>
      </c>
      <c r="G2" s="141">
        <v>2022</v>
      </c>
      <c r="H2" s="141">
        <v>2022</v>
      </c>
      <c r="I2" s="141">
        <v>2023</v>
      </c>
      <c r="J2" s="141">
        <v>2023</v>
      </c>
      <c r="K2" s="141">
        <v>2023</v>
      </c>
      <c r="L2" s="141">
        <v>2023</v>
      </c>
      <c r="M2" s="141">
        <v>2024</v>
      </c>
      <c r="N2" s="141">
        <v>2024</v>
      </c>
      <c r="O2" s="141">
        <v>2024</v>
      </c>
      <c r="P2" s="141">
        <v>2024</v>
      </c>
      <c r="Q2" s="141">
        <v>2025</v>
      </c>
      <c r="R2" s="141">
        <v>2025</v>
      </c>
      <c r="S2" s="141">
        <v>2025</v>
      </c>
      <c r="T2" s="141">
        <v>2025</v>
      </c>
      <c r="U2" s="141">
        <v>2026</v>
      </c>
    </row>
    <row r="3" spans="1:22" x14ac:dyDescent="0.35">
      <c r="A3" s="963" t="s">
        <v>731</v>
      </c>
      <c r="B3" s="1217" t="s">
        <v>732</v>
      </c>
      <c r="C3" s="1217" t="s">
        <v>733</v>
      </c>
      <c r="D3" s="1217" t="s">
        <v>734</v>
      </c>
      <c r="E3" s="1217" t="s">
        <v>735</v>
      </c>
      <c r="F3" s="1217" t="s">
        <v>736</v>
      </c>
      <c r="G3" s="1217" t="s">
        <v>737</v>
      </c>
      <c r="H3" s="1217" t="s">
        <v>738</v>
      </c>
      <c r="I3" s="1217" t="s">
        <v>739</v>
      </c>
      <c r="J3" s="1217" t="s">
        <v>740</v>
      </c>
      <c r="K3" s="1217" t="s">
        <v>741</v>
      </c>
      <c r="L3" s="1217" t="s">
        <v>742</v>
      </c>
      <c r="M3" s="1217" t="s">
        <v>743</v>
      </c>
      <c r="N3" s="1217" t="s">
        <v>744</v>
      </c>
      <c r="O3" s="1217" t="s">
        <v>745</v>
      </c>
      <c r="P3" s="1217" t="s">
        <v>746</v>
      </c>
      <c r="Q3" s="1217" t="s">
        <v>747</v>
      </c>
      <c r="R3" s="1217" t="s">
        <v>748</v>
      </c>
      <c r="S3" s="1217" t="s">
        <v>749</v>
      </c>
      <c r="T3" s="1217" t="s">
        <v>750</v>
      </c>
      <c r="U3" s="1217" t="s">
        <v>751</v>
      </c>
    </row>
    <row r="4" spans="1:22" x14ac:dyDescent="0.35">
      <c r="A4" s="963" t="s">
        <v>752</v>
      </c>
      <c r="B4" s="1217"/>
      <c r="C4" s="1217"/>
      <c r="D4" s="1217">
        <v>0</v>
      </c>
      <c r="E4" s="1217">
        <v>0</v>
      </c>
      <c r="F4" s="1217">
        <v>0.5</v>
      </c>
      <c r="G4" s="1217">
        <v>0.5</v>
      </c>
      <c r="H4" s="1217">
        <v>0</v>
      </c>
      <c r="I4" s="1217">
        <v>0</v>
      </c>
      <c r="J4" s="1217">
        <v>0</v>
      </c>
      <c r="K4" s="1217">
        <v>0</v>
      </c>
      <c r="L4" s="1217">
        <v>0</v>
      </c>
      <c r="M4" s="1217">
        <v>0</v>
      </c>
      <c r="N4" s="1217">
        <v>0</v>
      </c>
      <c r="O4" s="1217">
        <v>0</v>
      </c>
      <c r="P4" s="1217">
        <v>0</v>
      </c>
      <c r="Q4" s="1217">
        <v>0</v>
      </c>
      <c r="R4" s="1217">
        <v>0</v>
      </c>
      <c r="S4" s="1217">
        <v>0</v>
      </c>
      <c r="T4" s="1217">
        <v>0</v>
      </c>
      <c r="U4" s="1217">
        <v>0</v>
      </c>
    </row>
    <row r="5" spans="1:22" x14ac:dyDescent="0.35">
      <c r="A5" s="963" t="s">
        <v>753</v>
      </c>
      <c r="B5" s="1217">
        <v>0.04</v>
      </c>
      <c r="C5" s="1217">
        <v>0.48</v>
      </c>
      <c r="D5" s="1217">
        <v>0.48</v>
      </c>
      <c r="E5" s="1217">
        <v>0</v>
      </c>
      <c r="F5" s="1217">
        <v>0</v>
      </c>
      <c r="G5" s="1217">
        <v>0</v>
      </c>
      <c r="H5" s="1217">
        <v>0</v>
      </c>
      <c r="I5" s="1217">
        <v>0</v>
      </c>
      <c r="J5" s="1217">
        <v>0</v>
      </c>
      <c r="K5" s="1217">
        <v>0</v>
      </c>
      <c r="L5" s="1217">
        <v>0</v>
      </c>
      <c r="M5" s="1217">
        <v>0</v>
      </c>
      <c r="N5" s="1217">
        <v>0</v>
      </c>
      <c r="O5" s="1217">
        <v>0</v>
      </c>
      <c r="P5" s="1217">
        <v>0</v>
      </c>
      <c r="Q5" s="1217">
        <v>0</v>
      </c>
      <c r="R5" s="1217">
        <v>0</v>
      </c>
      <c r="S5" s="1217">
        <v>0</v>
      </c>
      <c r="T5" s="1217">
        <v>0</v>
      </c>
      <c r="U5" s="1217">
        <v>0</v>
      </c>
    </row>
    <row r="6" spans="1:22" x14ac:dyDescent="0.35">
      <c r="A6" s="963" t="s">
        <v>754</v>
      </c>
      <c r="B6" s="1217">
        <f>B8</f>
        <v>0</v>
      </c>
      <c r="C6" s="1217">
        <f>C8</f>
        <v>0.43</v>
      </c>
      <c r="D6" s="1217">
        <f t="shared" ref="D6:U6" si="0">D8</f>
        <v>0.56999999999999995</v>
      </c>
      <c r="E6" s="1217">
        <f t="shared" si="0"/>
        <v>0.25</v>
      </c>
      <c r="F6" s="1217">
        <f t="shared" si="0"/>
        <v>0.25</v>
      </c>
      <c r="G6" s="1217">
        <f t="shared" si="0"/>
        <v>0.25</v>
      </c>
      <c r="H6" s="1217">
        <f t="shared" si="0"/>
        <v>0.25</v>
      </c>
      <c r="I6" s="1217">
        <f t="shared" si="0"/>
        <v>0.25</v>
      </c>
      <c r="J6" s="1217">
        <f t="shared" si="0"/>
        <v>0.25</v>
      </c>
      <c r="K6" s="1217">
        <f t="shared" si="0"/>
        <v>0.25</v>
      </c>
      <c r="L6" s="1217">
        <f t="shared" si="0"/>
        <v>0.25</v>
      </c>
      <c r="M6" s="1217">
        <f t="shared" si="0"/>
        <v>0.25</v>
      </c>
      <c r="N6" s="1217">
        <f t="shared" si="0"/>
        <v>0.25</v>
      </c>
      <c r="O6" s="1217">
        <f t="shared" si="0"/>
        <v>0.25</v>
      </c>
      <c r="P6" s="1217">
        <f t="shared" si="0"/>
        <v>0.25</v>
      </c>
      <c r="Q6" s="1217">
        <f t="shared" si="0"/>
        <v>0.25</v>
      </c>
      <c r="R6" s="1217">
        <f t="shared" si="0"/>
        <v>0.25</v>
      </c>
      <c r="S6" s="1217">
        <f t="shared" si="0"/>
        <v>0.25</v>
      </c>
      <c r="T6" s="1217">
        <f t="shared" si="0"/>
        <v>0.25</v>
      </c>
      <c r="U6" s="1217">
        <f t="shared" si="0"/>
        <v>0.25</v>
      </c>
    </row>
    <row r="7" spans="1:22" x14ac:dyDescent="0.35">
      <c r="A7" s="963" t="s">
        <v>755</v>
      </c>
      <c r="B7" s="1217">
        <v>0</v>
      </c>
      <c r="C7" s="1217">
        <v>0</v>
      </c>
      <c r="D7" s="1217">
        <v>1</v>
      </c>
      <c r="E7" s="1217">
        <v>0.25</v>
      </c>
      <c r="F7" s="1217">
        <v>0.25</v>
      </c>
      <c r="G7" s="1217">
        <v>0.25</v>
      </c>
      <c r="H7" s="1217">
        <v>0.25</v>
      </c>
      <c r="I7" s="1217">
        <v>0.25</v>
      </c>
      <c r="J7" s="1217">
        <v>0.25</v>
      </c>
      <c r="K7" s="1217">
        <v>0.25</v>
      </c>
      <c r="L7" s="1217">
        <v>0.25</v>
      </c>
      <c r="M7" s="1217">
        <v>0.25</v>
      </c>
      <c r="N7" s="1217">
        <v>0.25</v>
      </c>
      <c r="O7" s="1217">
        <v>0.25</v>
      </c>
      <c r="P7" s="1217">
        <v>0.25</v>
      </c>
      <c r="Q7" s="1217">
        <v>0.25</v>
      </c>
      <c r="R7" s="1217">
        <v>0.25</v>
      </c>
      <c r="S7" s="1217">
        <v>0.25</v>
      </c>
      <c r="T7" s="1217">
        <v>0.25</v>
      </c>
      <c r="U7" s="1217">
        <v>0.25</v>
      </c>
    </row>
    <row r="8" spans="1:22" x14ac:dyDescent="0.35">
      <c r="A8" s="963" t="s">
        <v>756</v>
      </c>
      <c r="B8" s="1217">
        <v>0</v>
      </c>
      <c r="C8" s="1217">
        <v>0.43</v>
      </c>
      <c r="D8" s="1217">
        <v>0.56999999999999995</v>
      </c>
      <c r="E8" s="1217">
        <v>0.25</v>
      </c>
      <c r="F8" s="1217">
        <v>0.25</v>
      </c>
      <c r="G8" s="1217">
        <v>0.25</v>
      </c>
      <c r="H8" s="1217">
        <v>0.25</v>
      </c>
      <c r="I8" s="1217">
        <v>0.25</v>
      </c>
      <c r="J8" s="1217">
        <v>0.25</v>
      </c>
      <c r="K8" s="1217">
        <v>0.25</v>
      </c>
      <c r="L8" s="1217">
        <v>0.25</v>
      </c>
      <c r="M8" s="1217">
        <v>0.25</v>
      </c>
      <c r="N8" s="1217">
        <v>0.25</v>
      </c>
      <c r="O8" s="1217">
        <v>0.25</v>
      </c>
      <c r="P8" s="1217">
        <v>0.25</v>
      </c>
      <c r="Q8" s="1217">
        <v>0.25</v>
      </c>
      <c r="R8" s="1217">
        <v>0.25</v>
      </c>
      <c r="S8" s="1217">
        <v>0.25</v>
      </c>
      <c r="T8" s="1217">
        <v>0.25</v>
      </c>
      <c r="U8" s="1217">
        <v>0.25</v>
      </c>
    </row>
    <row r="9" spans="1:22" ht="27" customHeight="1" x14ac:dyDescent="0.35">
      <c r="A9" s="963" t="s">
        <v>757</v>
      </c>
      <c r="B9" s="1217">
        <v>0</v>
      </c>
      <c r="C9" s="1217">
        <f>0.18</f>
        <v>0.18</v>
      </c>
      <c r="D9" s="1217">
        <f>1-C9</f>
        <v>0.82000000000000006</v>
      </c>
      <c r="E9" s="1217">
        <v>0.25</v>
      </c>
      <c r="F9" s="1217">
        <v>0.25</v>
      </c>
      <c r="G9" s="1217">
        <v>0.25</v>
      </c>
      <c r="H9" s="1217">
        <v>0.25</v>
      </c>
      <c r="I9" s="1217">
        <v>0.25</v>
      </c>
      <c r="J9" s="1217">
        <v>0.25</v>
      </c>
      <c r="K9" s="1217">
        <v>0.25</v>
      </c>
      <c r="L9" s="1217">
        <v>0.25</v>
      </c>
      <c r="M9" s="1217">
        <v>0.25</v>
      </c>
      <c r="N9" s="1217">
        <v>0.25</v>
      </c>
      <c r="O9" s="1217">
        <v>0.25</v>
      </c>
      <c r="P9" s="1217">
        <v>0.25</v>
      </c>
      <c r="Q9" s="1217">
        <v>0.25</v>
      </c>
      <c r="R9" s="1217">
        <v>0.25</v>
      </c>
      <c r="S9" s="1217">
        <v>0.25</v>
      </c>
      <c r="T9" s="1217">
        <v>0.25</v>
      </c>
      <c r="U9" s="1217">
        <v>0.25</v>
      </c>
    </row>
    <row r="10" spans="1:22" x14ac:dyDescent="0.35">
      <c r="A10" s="963" t="s">
        <v>758</v>
      </c>
      <c r="B10" s="1217">
        <v>0</v>
      </c>
      <c r="C10" s="1217">
        <v>0.5</v>
      </c>
      <c r="D10" s="1217">
        <v>0.5</v>
      </c>
      <c r="E10" s="1217">
        <v>0.25</v>
      </c>
      <c r="F10" s="1217">
        <v>0.25</v>
      </c>
      <c r="G10" s="1217">
        <v>0.25</v>
      </c>
      <c r="H10" s="1217">
        <v>0.25</v>
      </c>
      <c r="I10" s="1217">
        <v>0.25</v>
      </c>
      <c r="J10" s="1217">
        <v>0.25</v>
      </c>
      <c r="K10" s="1217">
        <v>0.25</v>
      </c>
      <c r="L10" s="1217">
        <v>0.25</v>
      </c>
      <c r="M10" s="1217">
        <v>0.25</v>
      </c>
      <c r="N10" s="1217">
        <v>0.25</v>
      </c>
      <c r="O10" s="1217">
        <v>0.25</v>
      </c>
      <c r="P10" s="1217">
        <v>0.25</v>
      </c>
      <c r="Q10" s="1217">
        <v>0.25</v>
      </c>
      <c r="R10" s="1217">
        <v>0.25</v>
      </c>
      <c r="S10" s="1217">
        <v>0.25</v>
      </c>
      <c r="T10" s="1217">
        <v>0.25</v>
      </c>
      <c r="U10" s="1217">
        <v>0.25</v>
      </c>
    </row>
    <row r="11" spans="1:22" x14ac:dyDescent="0.35">
      <c r="A11" s="963" t="s">
        <v>759</v>
      </c>
      <c r="B11" s="1217">
        <v>0</v>
      </c>
      <c r="C11" s="1217">
        <v>0.5</v>
      </c>
      <c r="D11" s="1217">
        <v>0.5</v>
      </c>
      <c r="E11" s="1217">
        <v>0.25</v>
      </c>
      <c r="F11" s="1217">
        <v>0.25</v>
      </c>
      <c r="G11" s="1217">
        <v>0.25</v>
      </c>
      <c r="H11" s="1217">
        <v>0.25</v>
      </c>
      <c r="I11" s="1217">
        <v>0.25</v>
      </c>
      <c r="J11" s="1217">
        <v>0.25</v>
      </c>
      <c r="K11" s="1217">
        <v>0.25</v>
      </c>
      <c r="L11" s="1217">
        <v>0.25</v>
      </c>
      <c r="M11" s="1217">
        <v>0.25</v>
      </c>
      <c r="N11" s="1217">
        <v>0.25</v>
      </c>
      <c r="O11" s="1217">
        <v>0.25</v>
      </c>
      <c r="P11" s="1217">
        <v>0.25</v>
      </c>
      <c r="Q11" s="1217">
        <v>0.25</v>
      </c>
      <c r="R11" s="1217">
        <v>0.25</v>
      </c>
      <c r="S11" s="1217">
        <v>0.25</v>
      </c>
      <c r="T11" s="1217">
        <v>0.25</v>
      </c>
      <c r="U11" s="1217">
        <v>0.25</v>
      </c>
    </row>
    <row r="12" spans="1:22" ht="14.25" customHeight="1" x14ac:dyDescent="0.35">
      <c r="A12" s="963" t="s">
        <v>760</v>
      </c>
      <c r="B12" s="1217">
        <v>1</v>
      </c>
      <c r="C12" s="1217"/>
      <c r="D12" s="1217"/>
      <c r="E12" s="1217"/>
      <c r="F12" s="1217"/>
      <c r="G12" s="1217"/>
      <c r="H12" s="1217"/>
      <c r="I12" s="1217"/>
      <c r="J12" s="1217"/>
      <c r="K12" s="1217"/>
      <c r="L12" s="1217"/>
      <c r="M12" s="1217"/>
      <c r="N12" s="1217"/>
      <c r="O12" s="1217"/>
      <c r="P12" s="1217"/>
      <c r="Q12" s="1217"/>
      <c r="R12" s="1217"/>
      <c r="S12" s="1217"/>
      <c r="T12" s="1217"/>
      <c r="U12" s="1217"/>
    </row>
    <row r="13" spans="1:22" x14ac:dyDescent="0.35">
      <c r="A13" s="963" t="s">
        <v>761</v>
      </c>
      <c r="B13" s="1217">
        <v>0</v>
      </c>
      <c r="C13" s="1217">
        <v>0.4</v>
      </c>
      <c r="D13" s="1217">
        <v>0.6</v>
      </c>
      <c r="E13" s="1217">
        <v>0.4</v>
      </c>
      <c r="F13" s="1217">
        <v>0.3</v>
      </c>
      <c r="G13" s="1217">
        <v>0.2</v>
      </c>
      <c r="H13" s="1217">
        <v>0.1</v>
      </c>
      <c r="I13" s="1217">
        <v>0.25</v>
      </c>
      <c r="J13" s="1217">
        <v>0.25</v>
      </c>
      <c r="K13" s="1217">
        <v>0.25</v>
      </c>
      <c r="L13" s="1217">
        <v>0.25</v>
      </c>
      <c r="M13" s="1217">
        <v>0.25</v>
      </c>
      <c r="N13" s="1217">
        <v>0.25</v>
      </c>
      <c r="O13" s="1217">
        <v>0.25</v>
      </c>
      <c r="P13" s="1217">
        <v>0.25</v>
      </c>
      <c r="Q13" s="1217">
        <v>0.25</v>
      </c>
      <c r="R13" s="1217">
        <v>0.25</v>
      </c>
      <c r="S13" s="1217">
        <v>0.25</v>
      </c>
      <c r="T13" s="1217">
        <v>0.25</v>
      </c>
      <c r="U13" s="1217">
        <v>0.25</v>
      </c>
    </row>
    <row r="14" spans="1:22" x14ac:dyDescent="0.35">
      <c r="A14" s="963"/>
      <c r="B14" s="1217"/>
      <c r="C14" s="1217"/>
      <c r="D14" s="1217"/>
      <c r="E14" s="1217"/>
      <c r="F14" s="1217"/>
      <c r="G14" s="1217"/>
      <c r="H14" s="1217"/>
      <c r="I14" s="1217"/>
      <c r="J14" s="1217"/>
      <c r="K14" s="1217"/>
      <c r="L14" s="1217"/>
      <c r="M14" s="1217"/>
      <c r="N14" s="1217"/>
      <c r="O14" s="1217"/>
      <c r="P14" s="1217"/>
      <c r="Q14" s="1217"/>
      <c r="R14" s="1217"/>
      <c r="S14" s="1217"/>
      <c r="T14" s="1217"/>
      <c r="U14" s="1217"/>
    </row>
    <row r="15" spans="1:22" ht="27" customHeight="1" x14ac:dyDescent="0.35">
      <c r="A15" s="1215" t="s">
        <v>762</v>
      </c>
      <c r="B15" s="1217">
        <v>1</v>
      </c>
      <c r="C15" s="1217">
        <v>2</v>
      </c>
      <c r="D15" s="1217">
        <v>3</v>
      </c>
      <c r="E15" s="1217">
        <v>4</v>
      </c>
      <c r="F15" s="1217">
        <v>5</v>
      </c>
      <c r="G15" s="1217">
        <v>6</v>
      </c>
      <c r="H15" s="1217">
        <v>7</v>
      </c>
      <c r="I15" s="1217">
        <v>8</v>
      </c>
      <c r="J15" s="1217">
        <v>9</v>
      </c>
      <c r="K15" s="1217">
        <v>10</v>
      </c>
      <c r="L15" s="1217">
        <v>11</v>
      </c>
      <c r="M15" s="1217">
        <v>12</v>
      </c>
      <c r="N15" s="1217">
        <v>13</v>
      </c>
      <c r="O15" s="1217">
        <v>14</v>
      </c>
      <c r="P15" s="1217">
        <v>15</v>
      </c>
      <c r="Q15" s="1217">
        <v>16</v>
      </c>
      <c r="R15" s="1217">
        <v>17</v>
      </c>
      <c r="S15" s="1217">
        <v>18</v>
      </c>
      <c r="T15" s="1217">
        <v>19</v>
      </c>
      <c r="U15" s="1217">
        <v>20</v>
      </c>
    </row>
    <row r="16" spans="1:22" x14ac:dyDescent="0.35">
      <c r="A16" s="963" t="s">
        <v>763</v>
      </c>
      <c r="B16" s="1217">
        <v>7.0000000000000007E-2</v>
      </c>
      <c r="C16" s="1217">
        <v>7.0000000000000007E-2</v>
      </c>
      <c r="D16" s="1217">
        <v>4.9000000000000002E-2</v>
      </c>
      <c r="E16" s="1217">
        <v>4.9000000000000002E-2</v>
      </c>
      <c r="F16" s="1217">
        <v>4.9000000000000002E-2</v>
      </c>
      <c r="G16" s="1217">
        <v>4.9000000000000002E-2</v>
      </c>
      <c r="H16" s="1217">
        <v>4.9000000000000002E-2</v>
      </c>
      <c r="I16" s="1217">
        <v>4.9000000000000002E-2</v>
      </c>
      <c r="J16" s="1217">
        <v>4.9000000000000002E-2</v>
      </c>
      <c r="K16" s="1217">
        <v>4.9000000000000002E-2</v>
      </c>
      <c r="L16" s="1217">
        <v>4.9000000000000002E-2</v>
      </c>
      <c r="M16" s="1217">
        <v>4.9000000000000002E-2</v>
      </c>
      <c r="N16" s="1217">
        <f t="shared" ref="N16:T16" si="1">0.0475</f>
        <v>4.7500000000000001E-2</v>
      </c>
      <c r="O16" s="1217">
        <f t="shared" si="1"/>
        <v>4.7500000000000001E-2</v>
      </c>
      <c r="P16" s="1217">
        <f t="shared" si="1"/>
        <v>4.7500000000000001E-2</v>
      </c>
      <c r="Q16" s="1217">
        <f t="shared" si="1"/>
        <v>4.7500000000000001E-2</v>
      </c>
      <c r="R16" s="1217">
        <f t="shared" si="1"/>
        <v>4.7500000000000001E-2</v>
      </c>
      <c r="S16" s="1217">
        <f t="shared" si="1"/>
        <v>4.7500000000000001E-2</v>
      </c>
      <c r="T16" s="1217">
        <f t="shared" si="1"/>
        <v>4.7500000000000001E-2</v>
      </c>
      <c r="U16" s="1217">
        <f>0.0375</f>
        <v>3.7499999999999999E-2</v>
      </c>
      <c r="V16" s="1217">
        <f>SUM(B16:U16)</f>
        <v>0.99999999999999989</v>
      </c>
    </row>
    <row r="17" spans="1:23" ht="27" customHeight="1" x14ac:dyDescent="0.35">
      <c r="A17" s="963" t="s">
        <v>764</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217">
        <f>SUM(B17:U17)</f>
        <v>0.94000000000000006</v>
      </c>
      <c r="W17" t="s">
        <v>765</v>
      </c>
    </row>
    <row r="19" spans="1:23" x14ac:dyDescent="0.35">
      <c r="B19" s="1214" t="e">
        <f>'Federal and State Purchases'!#REF!</f>
        <v>#REF!</v>
      </c>
      <c r="C19" s="1214" t="e">
        <f>'Federal and State Purchases'!#REF!</f>
        <v>#REF!</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X99"/>
  <sheetViews>
    <sheetView topLeftCell="Q1" zoomScale="98" zoomScaleNormal="80" workbookViewId="0">
      <selection activeCell="V5" sqref="V5"/>
    </sheetView>
  </sheetViews>
  <sheetFormatPr defaultColWidth="10.90625" defaultRowHeight="14.5" x14ac:dyDescent="0.35"/>
  <cols>
    <col min="1" max="1" width="15.453125" customWidth="1"/>
    <col min="2" max="2" width="32.453125" customWidth="1"/>
  </cols>
  <sheetData>
    <row r="1" spans="1:23" x14ac:dyDescent="0.35">
      <c r="A1" s="712" t="s">
        <v>766</v>
      </c>
      <c r="B1" s="712" t="s">
        <v>676</v>
      </c>
      <c r="C1" s="1218">
        <v>2021</v>
      </c>
      <c r="D1" s="1218">
        <f>C1</f>
        <v>2021</v>
      </c>
      <c r="E1" s="1218">
        <f>D1</f>
        <v>2021</v>
      </c>
      <c r="F1" s="1218">
        <v>2022</v>
      </c>
      <c r="G1" s="1218">
        <v>2022</v>
      </c>
      <c r="H1" s="1218">
        <v>2022</v>
      </c>
      <c r="I1" s="1218">
        <v>2022</v>
      </c>
      <c r="J1" s="1218">
        <v>2023</v>
      </c>
      <c r="K1" s="1218">
        <v>2023</v>
      </c>
      <c r="L1" s="1218">
        <v>2023</v>
      </c>
      <c r="M1" s="1218">
        <v>2023</v>
      </c>
      <c r="N1" s="1218">
        <v>2024</v>
      </c>
      <c r="O1" s="1218">
        <v>2024</v>
      </c>
      <c r="P1" s="1218">
        <v>2024</v>
      </c>
      <c r="Q1" s="1218">
        <v>2024</v>
      </c>
      <c r="R1" s="1218">
        <v>2025</v>
      </c>
      <c r="S1" s="1218">
        <v>2025</v>
      </c>
      <c r="T1" s="1218">
        <v>2025</v>
      </c>
      <c r="U1" s="1218">
        <v>2025</v>
      </c>
      <c r="V1" s="1218">
        <v>2026</v>
      </c>
    </row>
    <row r="2" spans="1:23" x14ac:dyDescent="0.35">
      <c r="B2" s="712" t="s">
        <v>767</v>
      </c>
      <c r="C2" s="141" t="s">
        <v>250</v>
      </c>
      <c r="D2" s="141" t="s">
        <v>251</v>
      </c>
      <c r="E2" s="141" t="s">
        <v>180</v>
      </c>
      <c r="F2" s="141" t="s">
        <v>181</v>
      </c>
      <c r="G2" s="141" t="s">
        <v>182</v>
      </c>
      <c r="H2" s="141" t="s">
        <v>183</v>
      </c>
      <c r="I2" s="141" t="s">
        <v>184</v>
      </c>
      <c r="J2" s="141" t="s">
        <v>185</v>
      </c>
      <c r="K2" s="141" t="s">
        <v>186</v>
      </c>
      <c r="L2" s="141" t="s">
        <v>187</v>
      </c>
      <c r="M2" s="141" t="s">
        <v>188</v>
      </c>
      <c r="N2" s="141" t="s">
        <v>189</v>
      </c>
      <c r="O2" s="141" t="s">
        <v>190</v>
      </c>
      <c r="P2" s="141" t="s">
        <v>191</v>
      </c>
      <c r="Q2" s="141" t="s">
        <v>175</v>
      </c>
      <c r="R2" s="141" t="s">
        <v>176</v>
      </c>
      <c r="S2" s="141" t="s">
        <v>177</v>
      </c>
      <c r="T2" s="141" t="s">
        <v>768</v>
      </c>
      <c r="U2" s="141" t="s">
        <v>769</v>
      </c>
      <c r="V2" s="141" t="s">
        <v>770</v>
      </c>
    </row>
    <row r="3" spans="1:23" x14ac:dyDescent="0.35">
      <c r="A3" s="712">
        <v>3</v>
      </c>
      <c r="B3" s="712" t="s">
        <v>531</v>
      </c>
      <c r="C3" s="1219">
        <f>4*'ARP Timing'!B6*VLOOKUP(C$1,'ARP Score'!$A$5:$M14,$A3)</f>
        <v>0</v>
      </c>
      <c r="D3" s="1219">
        <f>4*'ARP Timing'!C6*VLOOKUP(D$1,'ARP Score'!$A$5:$M14,$A3)</f>
        <v>336.60399999999998</v>
      </c>
      <c r="E3" s="1219">
        <f>4*'ARP Timing'!D6*VLOOKUP(E$1,'ARP Score'!$A$5:$M14,$A3)</f>
        <v>446.19599999999991</v>
      </c>
      <c r="F3" s="1219">
        <f>4*'ARP Timing'!E6*VLOOKUP(F$1,'ARP Score'!$A$5:$M14,$A3)</f>
        <v>10.1</v>
      </c>
      <c r="G3" s="1219">
        <f>4*'ARP Timing'!F6*VLOOKUP(G$1,'ARP Score'!$A$5:$M14,$A3)</f>
        <v>10.1</v>
      </c>
      <c r="H3" s="1219">
        <f>4*'ARP Timing'!G6*VLOOKUP(H$1,'ARP Score'!$A$5:$M14,$A3)</f>
        <v>10.1</v>
      </c>
      <c r="I3" s="1219">
        <f>4*'ARP Timing'!H6*VLOOKUP(I$1,'ARP Score'!$A$5:$M14,$A3)</f>
        <v>10.1</v>
      </c>
      <c r="J3" s="1219">
        <f>4*'ARP Timing'!I6*VLOOKUP(J$1,'ARP Score'!$A$5:$M14,$A3)</f>
        <v>0</v>
      </c>
      <c r="K3" s="1219">
        <f>4*'ARP Timing'!J6*VLOOKUP(K$1,'ARP Score'!$A$5:$M14,$A3)</f>
        <v>0</v>
      </c>
      <c r="L3" s="1219">
        <f>4*'ARP Timing'!K6*VLOOKUP(L$1,'ARP Score'!$A$5:$M14,$A3)</f>
        <v>0</v>
      </c>
      <c r="M3" s="1219">
        <f>4*'ARP Timing'!L6*VLOOKUP(M$1,'ARP Score'!$A$5:$M14,$A3)</f>
        <v>0</v>
      </c>
      <c r="N3" s="1219">
        <f>4*'ARP Timing'!M6*VLOOKUP(N$1,'ARP Score'!$A$5:$M14,$A3)</f>
        <v>0</v>
      </c>
      <c r="O3" s="1219">
        <f>4*'ARP Timing'!N6*VLOOKUP(O$1,'ARP Score'!$A$5:$M14,$A3)</f>
        <v>0</v>
      </c>
      <c r="P3" s="1219">
        <f>4*'ARP Timing'!O6*VLOOKUP(P$1,'ARP Score'!$A$5:$M14,$A3)</f>
        <v>0</v>
      </c>
      <c r="Q3" s="1219">
        <f>4*'ARP Timing'!P6*VLOOKUP(Q$1,'ARP Score'!$A$5:$M14,$A3)</f>
        <v>0</v>
      </c>
      <c r="R3" s="1219">
        <f>4*'ARP Timing'!Q6*VLOOKUP(R$1,'ARP Score'!$A$5:$M14,$A3)</f>
        <v>0</v>
      </c>
      <c r="S3" s="1219">
        <f>4*'ARP Timing'!R6*VLOOKUP(S$1,'ARP Score'!$A$5:$M14,$A3)</f>
        <v>0</v>
      </c>
      <c r="T3" s="1219">
        <f>4*'ARP Timing'!S6*VLOOKUP(T$1,'ARP Score'!$A$5:$M14,$A3)</f>
        <v>0</v>
      </c>
      <c r="U3" s="1219">
        <f>4*'ARP Timing'!T6*VLOOKUP(U$1,'ARP Score'!$A$5:$M14,$A3)</f>
        <v>0</v>
      </c>
      <c r="V3" s="1219">
        <f>4*'ARP Timing'!U6*VLOOKUP(V$1,'ARP Score'!$A$5:$M14,$A3)</f>
        <v>0</v>
      </c>
      <c r="W3" s="1219">
        <f>SUM(C3:U3)/4</f>
        <v>205.8</v>
      </c>
    </row>
    <row r="4" spans="1:23" x14ac:dyDescent="0.35">
      <c r="A4" s="712">
        <v>5</v>
      </c>
      <c r="B4" s="33" t="s">
        <v>678</v>
      </c>
      <c r="C4" s="1219">
        <f>4*'ARP Timing'!B7*VLOOKUP(C$1,'ARP Score'!$A$5:$M15,$A4)</f>
        <v>0</v>
      </c>
      <c r="D4" s="1219">
        <f>4*'ARP Timing'!C7*VLOOKUP(D$1,'ARP Score'!$A$5:$M15,$A4)</f>
        <v>0</v>
      </c>
      <c r="E4" s="1219">
        <f>4*'ARP Timing'!D7*VLOOKUP(E$1,'ARP Score'!$A$5:$M15,$A4)</f>
        <v>3.1040000000000418</v>
      </c>
      <c r="F4" s="1219">
        <f>4*'ARP Timing'!E7*VLOOKUP(F$1,'ARP Score'!$A$5:$M15,$A4)</f>
        <v>19.719000000000005</v>
      </c>
      <c r="G4" s="1219">
        <f>4*'ARP Timing'!F7*VLOOKUP(G$1,'ARP Score'!$A$5:$M15,$A4)</f>
        <v>19.719000000000005</v>
      </c>
      <c r="H4" s="1219">
        <f>4*'ARP Timing'!G7*VLOOKUP(H$1,'ARP Score'!$A$5:$M15,$A4)</f>
        <v>19.719000000000005</v>
      </c>
      <c r="I4" s="1219">
        <f>4*'ARP Timing'!H7*VLOOKUP(I$1,'ARP Score'!$A$5:$M15,$A4)</f>
        <v>19.719000000000005</v>
      </c>
      <c r="J4" s="1219">
        <f>4*'ARP Timing'!I7*VLOOKUP(J$1,'ARP Score'!$A$5:$M15,$A4)</f>
        <v>1.4159999999999999</v>
      </c>
      <c r="K4" s="1219">
        <f>4*'ARP Timing'!J7*VLOOKUP(K$1,'ARP Score'!$A$5:$M15,$A4)</f>
        <v>1.4159999999999999</v>
      </c>
      <c r="L4" s="1219">
        <f>4*'ARP Timing'!K7*VLOOKUP(L$1,'ARP Score'!$A$5:$M15,$A4)</f>
        <v>1.4159999999999999</v>
      </c>
      <c r="M4" s="1219">
        <f>4*'ARP Timing'!L7*VLOOKUP(M$1,'ARP Score'!$A$5:$M15,$A4)</f>
        <v>1.4159999999999999</v>
      </c>
      <c r="N4" s="1219">
        <f>4*'ARP Timing'!M7*VLOOKUP(N$1,'ARP Score'!$A$5:$M15,$A4)</f>
        <v>1.4790000000000001</v>
      </c>
      <c r="O4" s="1219">
        <f>4*'ARP Timing'!N7*VLOOKUP(O$1,'ARP Score'!$A$5:$M15,$A4)</f>
        <v>1.4790000000000001</v>
      </c>
      <c r="P4" s="1219">
        <f>4*'ARP Timing'!O7*VLOOKUP(P$1,'ARP Score'!$A$5:$M15,$A4)</f>
        <v>1.4790000000000001</v>
      </c>
      <c r="Q4" s="1219">
        <f>4*'ARP Timing'!P7*VLOOKUP(Q$1,'ARP Score'!$A$5:$M15,$A4)</f>
        <v>1.4790000000000001</v>
      </c>
      <c r="R4" s="1219">
        <f>4*'ARP Timing'!Q7*VLOOKUP(R$1,'ARP Score'!$A$5:$M15,$A4)</f>
        <v>1.63</v>
      </c>
      <c r="S4" s="1219">
        <f>4*'ARP Timing'!R7*VLOOKUP(S$1,'ARP Score'!$A$5:$M15,$A4)</f>
        <v>1.63</v>
      </c>
      <c r="T4" s="1219">
        <f>4*'ARP Timing'!S7*VLOOKUP(T$1,'ARP Score'!$A$5:$M15,$A4)</f>
        <v>1.63</v>
      </c>
      <c r="U4" s="1219">
        <f>4*'ARP Timing'!T7*VLOOKUP(U$1,'ARP Score'!$A$5:$M15,$A4)</f>
        <v>1.63</v>
      </c>
      <c r="V4" s="1219">
        <f>4*'ARP Timing'!U7*VLOOKUP(V$1,'ARP Score'!$A$5:$M15,$A4)</f>
        <v>1.671</v>
      </c>
      <c r="W4" s="1219">
        <f>SUM(C4:U4)/4</f>
        <v>25.020000000000007</v>
      </c>
    </row>
    <row r="5" spans="1:23" x14ac:dyDescent="0.35">
      <c r="A5" s="712">
        <v>6</v>
      </c>
      <c r="B5" s="33" t="s">
        <v>679</v>
      </c>
      <c r="C5" s="1219">
        <f>4*'ARP Timing'!B8*VLOOKUP(C$1,'ARP Score'!$A$5:$M16,$A5)</f>
        <v>0</v>
      </c>
      <c r="D5" s="1219">
        <f>4*'ARP Timing'!C8*VLOOKUP(D$1,'ARP Score'!$A$5:$M16,$A5)</f>
        <v>33.921840000000024</v>
      </c>
      <c r="E5" s="1219">
        <f>4*'ARP Timing'!D8*VLOOKUP(E$1,'ARP Score'!$A$5:$M16,$A5)</f>
        <v>44.966160000000031</v>
      </c>
      <c r="F5" s="1219">
        <f>4*'ARP Timing'!E8*VLOOKUP(F$1,'ARP Score'!$A$5:$M16,$A5)</f>
        <v>52.756999999999998</v>
      </c>
      <c r="G5" s="1219">
        <f>4*'ARP Timing'!F8*VLOOKUP(G$1,'ARP Score'!$A$5:$M16,$A5)</f>
        <v>52.756999999999998</v>
      </c>
      <c r="H5" s="1219">
        <f>4*'ARP Timing'!G8*VLOOKUP(H$1,'ARP Score'!$A$5:$M16,$A5)</f>
        <v>52.756999999999998</v>
      </c>
      <c r="I5" s="1219">
        <f>4*'ARP Timing'!H8*VLOOKUP(I$1,'ARP Score'!$A$5:$M16,$A5)</f>
        <v>52.756999999999998</v>
      </c>
      <c r="J5" s="1219">
        <f>4*'ARP Timing'!I8*VLOOKUP(J$1,'ARP Score'!$A$5:$M16,$A5)</f>
        <v>12</v>
      </c>
      <c r="K5" s="1219">
        <f>4*'ARP Timing'!J8*VLOOKUP(K$1,'ARP Score'!$A$5:$M16,$A5)</f>
        <v>12</v>
      </c>
      <c r="L5" s="1219">
        <f>4*'ARP Timing'!K8*VLOOKUP(L$1,'ARP Score'!$A$5:$M16,$A5)</f>
        <v>12</v>
      </c>
      <c r="M5" s="1219">
        <f>4*'ARP Timing'!L8*VLOOKUP(M$1,'ARP Score'!$A$5:$M16,$A5)</f>
        <v>12</v>
      </c>
      <c r="N5" s="1219">
        <f>4*'ARP Timing'!M8*VLOOKUP(N$1,'ARP Score'!$A$5:$M16,$A5)</f>
        <v>4.2219999999999995</v>
      </c>
      <c r="O5" s="1219">
        <f>4*'ARP Timing'!N8*VLOOKUP(O$1,'ARP Score'!$A$5:$M16,$A5)</f>
        <v>4.2219999999999995</v>
      </c>
      <c r="P5" s="1219">
        <f>4*'ARP Timing'!O8*VLOOKUP(P$1,'ARP Score'!$A$5:$M16,$A5)</f>
        <v>4.2219999999999995</v>
      </c>
      <c r="Q5" s="1219">
        <f>4*'ARP Timing'!P8*VLOOKUP(Q$1,'ARP Score'!$A$5:$M16,$A5)</f>
        <v>4.2219999999999995</v>
      </c>
      <c r="R5" s="1219">
        <f>4*'ARP Timing'!Q8*VLOOKUP(R$1,'ARP Score'!$A$5:$M16,$A5)</f>
        <v>2.3719999999999999</v>
      </c>
      <c r="S5" s="1219">
        <f>4*'ARP Timing'!R8*VLOOKUP(S$1,'ARP Score'!$A$5:$M16,$A5)</f>
        <v>2.3719999999999999</v>
      </c>
      <c r="T5" s="1219">
        <f>4*'ARP Timing'!S8*VLOOKUP(T$1,'ARP Score'!$A$5:$M16,$A5)</f>
        <v>2.3719999999999999</v>
      </c>
      <c r="U5" s="1219">
        <f>4*'ARP Timing'!T8*VLOOKUP(U$1,'ARP Score'!$A$5:$M16,$A5)</f>
        <v>2.3719999999999999</v>
      </c>
      <c r="V5" s="1219">
        <f>4*'ARP Timing'!U8*VLOOKUP(V$1,'ARP Score'!$A$5:$M16,$A5)</f>
        <v>0.49</v>
      </c>
      <c r="W5" s="1219">
        <f t="shared" ref="W5:W15" si="0">SUM(C5:U5)/4</f>
        <v>91.073000000000008</v>
      </c>
    </row>
    <row r="6" spans="1:23" x14ac:dyDescent="0.35">
      <c r="A6" s="712">
        <v>7</v>
      </c>
      <c r="B6" s="33" t="s">
        <v>771</v>
      </c>
      <c r="C6" s="1219">
        <f>4*'ARP Timing'!B9*VLOOKUP(C$1,'ARP Score'!$A$5:$M17,$A6)</f>
        <v>0</v>
      </c>
      <c r="D6" s="1219">
        <f>4*'ARP Timing'!C9*VLOOKUP(D$1,'ARP Score'!$A$5:$M17,$A6)</f>
        <v>58.782959999999989</v>
      </c>
      <c r="E6" s="1219">
        <f>4*'ARP Timing'!D9*VLOOKUP(E$1,'ARP Score'!$A$5:$M17,$A6)</f>
        <v>267.78904</v>
      </c>
      <c r="F6" s="1219">
        <f>4*'ARP Timing'!E9*VLOOKUP(F$1,'ARP Score'!$A$5:$M17,$A6)</f>
        <v>110.24799999999999</v>
      </c>
      <c r="G6" s="1219">
        <f>4*'ARP Timing'!F9*VLOOKUP(G$1,'ARP Score'!$A$5:$M17,$A6)</f>
        <v>110.24799999999999</v>
      </c>
      <c r="H6" s="1219">
        <f>4*'ARP Timing'!G9*VLOOKUP(H$1,'ARP Score'!$A$5:$M17,$A6)</f>
        <v>110.24799999999999</v>
      </c>
      <c r="I6" s="1219">
        <f>4*'ARP Timing'!H9*VLOOKUP(I$1,'ARP Score'!$A$5:$M17,$A6)</f>
        <v>110.24799999999999</v>
      </c>
      <c r="J6" s="1219">
        <f>4*'ARP Timing'!I9*VLOOKUP(J$1,'ARP Score'!$A$5:$M17,$A6)</f>
        <v>12.726000000000001</v>
      </c>
      <c r="K6" s="1219">
        <f>4*'ARP Timing'!J9*VLOOKUP(K$1,'ARP Score'!$A$5:$M17,$A6)</f>
        <v>12.726000000000001</v>
      </c>
      <c r="L6" s="1219">
        <f>4*'ARP Timing'!K9*VLOOKUP(L$1,'ARP Score'!$A$5:$M17,$A6)</f>
        <v>12.726000000000001</v>
      </c>
      <c r="M6" s="1219">
        <f>4*'ARP Timing'!L9*VLOOKUP(M$1,'ARP Score'!$A$5:$M17,$A6)</f>
        <v>12.726000000000001</v>
      </c>
      <c r="N6" s="1219">
        <f>4*'ARP Timing'!M9*VLOOKUP(N$1,'ARP Score'!$A$5:$M17,$A6)</f>
        <v>1.365</v>
      </c>
      <c r="O6" s="1219">
        <f>4*'ARP Timing'!N9*VLOOKUP(O$1,'ARP Score'!$A$5:$M17,$A6)</f>
        <v>1.365</v>
      </c>
      <c r="P6" s="1219">
        <f>4*'ARP Timing'!O9*VLOOKUP(P$1,'ARP Score'!$A$5:$M17,$A6)</f>
        <v>1.365</v>
      </c>
      <c r="Q6" s="1219">
        <f>4*'ARP Timing'!P9*VLOOKUP(Q$1,'ARP Score'!$A$5:$M17,$A6)</f>
        <v>1.365</v>
      </c>
      <c r="R6" s="1219">
        <f>4*'ARP Timing'!Q9*VLOOKUP(R$1,'ARP Score'!$A$5:$M17,$A6)</f>
        <v>-0.90100000000000025</v>
      </c>
      <c r="S6" s="1219">
        <f>4*'ARP Timing'!R9*VLOOKUP(S$1,'ARP Score'!$A$5:$M17,$A6)</f>
        <v>-0.90100000000000025</v>
      </c>
      <c r="T6" s="1219">
        <f>4*'ARP Timing'!S9*VLOOKUP(T$1,'ARP Score'!$A$5:$M17,$A6)</f>
        <v>-0.90100000000000025</v>
      </c>
      <c r="U6" s="1219">
        <f>4*'ARP Timing'!T9*VLOOKUP(U$1,'ARP Score'!$A$5:$M17,$A6)</f>
        <v>-0.90100000000000025</v>
      </c>
      <c r="V6" s="1219">
        <f>4*'ARP Timing'!U9*VLOOKUP(V$1,'ARP Score'!$A$5:$M17,$A6)</f>
        <v>-2.1500000000000004</v>
      </c>
      <c r="W6" s="1219">
        <f t="shared" si="0"/>
        <v>205.08100000000007</v>
      </c>
    </row>
    <row r="7" spans="1:23" x14ac:dyDescent="0.35">
      <c r="A7" s="712">
        <v>8</v>
      </c>
      <c r="B7" s="33" t="s">
        <v>131</v>
      </c>
      <c r="C7" s="1219">
        <f>4*'ARP Timing'!B10*VLOOKUP(C$1,'ARP Score'!$A$5:$M18,$A7)</f>
        <v>0</v>
      </c>
      <c r="D7" s="1219">
        <f>4*'ARP Timing'!C10*VLOOKUP(D$1,'ARP Score'!$A$5:$M18,$A7)</f>
        <v>15.596</v>
      </c>
      <c r="E7" s="1219">
        <f>4*'ARP Timing'!D10*VLOOKUP(E$1,'ARP Score'!$A$5:$M18,$A7)</f>
        <v>15.596</v>
      </c>
      <c r="F7" s="1219">
        <f>4*'ARP Timing'!E10*VLOOKUP(F$1,'ARP Score'!$A$5:$M18,$A7)</f>
        <v>7.9489999999999998</v>
      </c>
      <c r="G7" s="1219">
        <f>4*'ARP Timing'!F10*VLOOKUP(G$1,'ARP Score'!$A$5:$M18,$A7)</f>
        <v>7.9489999999999998</v>
      </c>
      <c r="H7" s="1219">
        <f>4*'ARP Timing'!G10*VLOOKUP(H$1,'ARP Score'!$A$5:$M18,$A7)</f>
        <v>7.9489999999999998</v>
      </c>
      <c r="I7" s="1219">
        <f>4*'ARP Timing'!H10*VLOOKUP(I$1,'ARP Score'!$A$5:$M18,$A7)</f>
        <v>7.9489999999999998</v>
      </c>
      <c r="J7" s="1219">
        <f>4*'ARP Timing'!I10*VLOOKUP(J$1,'ARP Score'!$A$5:$M18,$A7)</f>
        <v>4.7519999999999998</v>
      </c>
      <c r="K7" s="1219">
        <f>4*'ARP Timing'!J10*VLOOKUP(K$1,'ARP Score'!$A$5:$M18,$A7)</f>
        <v>4.7519999999999998</v>
      </c>
      <c r="L7" s="1219">
        <f>4*'ARP Timing'!K10*VLOOKUP(L$1,'ARP Score'!$A$5:$M18,$A7)</f>
        <v>4.7519999999999998</v>
      </c>
      <c r="M7" s="1219">
        <f>4*'ARP Timing'!L10*VLOOKUP(M$1,'ARP Score'!$A$5:$M18,$A7)</f>
        <v>4.7519999999999998</v>
      </c>
      <c r="N7" s="1219">
        <f>4*'ARP Timing'!M10*VLOOKUP(N$1,'ARP Score'!$A$5:$M18,$A7)</f>
        <v>4.637999999999999</v>
      </c>
      <c r="O7" s="1219">
        <f>4*'ARP Timing'!N10*VLOOKUP(O$1,'ARP Score'!$A$5:$M18,$A7)</f>
        <v>4.637999999999999</v>
      </c>
      <c r="P7" s="1219">
        <f>4*'ARP Timing'!O10*VLOOKUP(P$1,'ARP Score'!$A$5:$M18,$A7)</f>
        <v>4.637999999999999</v>
      </c>
      <c r="Q7" s="1219">
        <f>4*'ARP Timing'!P10*VLOOKUP(Q$1,'ARP Score'!$A$5:$M18,$A7)</f>
        <v>4.637999999999999</v>
      </c>
      <c r="R7" s="1219">
        <f>4*'ARP Timing'!Q10*VLOOKUP(R$1,'ARP Score'!$A$5:$M18,$A7)</f>
        <v>1.8800000000000001</v>
      </c>
      <c r="S7" s="1219">
        <f>4*'ARP Timing'!R10*VLOOKUP(S$1,'ARP Score'!$A$5:$M18,$A7)</f>
        <v>1.8800000000000001</v>
      </c>
      <c r="T7" s="1219">
        <f>4*'ARP Timing'!S10*VLOOKUP(T$1,'ARP Score'!$A$5:$M18,$A7)</f>
        <v>1.8800000000000001</v>
      </c>
      <c r="U7" s="1219">
        <f>4*'ARP Timing'!T10*VLOOKUP(U$1,'ARP Score'!$A$5:$M18,$A7)</f>
        <v>1.8800000000000001</v>
      </c>
      <c r="V7" s="1219">
        <f>4*'ARP Timing'!U10*VLOOKUP(V$1,'ARP Score'!$A$5:$M18,$A7)</f>
        <v>1.446</v>
      </c>
      <c r="W7" s="1219">
        <f t="shared" si="0"/>
        <v>27.016999999999996</v>
      </c>
    </row>
    <row r="8" spans="1:23" x14ac:dyDescent="0.35">
      <c r="A8" s="712">
        <v>9</v>
      </c>
      <c r="B8" s="1220" t="s">
        <v>348</v>
      </c>
      <c r="C8" s="1219">
        <f>4*'ARP Timing'!B$11*VLOOKUP(C$1,'ARP Score'!$A$5:$M19,$A8)</f>
        <v>0</v>
      </c>
      <c r="D8" s="1219">
        <f>0.6*SUM('ARP Score'!B5:B7)*4</f>
        <v>989.16719999999987</v>
      </c>
      <c r="E8" s="1218">
        <v>0</v>
      </c>
      <c r="F8" s="1219">
        <v>0</v>
      </c>
      <c r="G8" s="1219">
        <v>0</v>
      </c>
      <c r="H8" s="1219">
        <f>D8*0.4/0.6</f>
        <v>659.44479999999999</v>
      </c>
      <c r="I8" s="1219">
        <v>0</v>
      </c>
      <c r="J8" s="712">
        <v>0</v>
      </c>
      <c r="K8" s="1219">
        <v>0</v>
      </c>
      <c r="L8" s="1219">
        <v>0</v>
      </c>
      <c r="M8" s="1219">
        <v>0</v>
      </c>
      <c r="N8" s="1219">
        <v>0</v>
      </c>
      <c r="O8" s="1219">
        <v>0</v>
      </c>
      <c r="P8" s="1219">
        <v>0</v>
      </c>
      <c r="Q8" s="1219">
        <v>0</v>
      </c>
      <c r="R8" s="1219">
        <v>0</v>
      </c>
      <c r="S8" s="1219">
        <v>0</v>
      </c>
      <c r="T8" s="1219">
        <v>0</v>
      </c>
      <c r="U8" s="1219">
        <v>0</v>
      </c>
      <c r="V8" s="1219">
        <v>0</v>
      </c>
      <c r="W8" s="1219">
        <f t="shared" si="0"/>
        <v>412.15299999999996</v>
      </c>
    </row>
    <row r="9" spans="1:23" x14ac:dyDescent="0.35">
      <c r="A9" s="712">
        <v>10</v>
      </c>
      <c r="B9" s="1220" t="s">
        <v>150</v>
      </c>
      <c r="C9" s="1219">
        <f>4*'ARP Timing'!B$11*VLOOKUP(C$1,'ARP Score'!$A$5:$M20,$A9)</f>
        <v>0</v>
      </c>
      <c r="D9" s="1219">
        <f>4*'ARP Timing'!C$11*VLOOKUP(D$1,'ARP Score'!$A$5:$M20,$A9)</f>
        <v>24.693999999999999</v>
      </c>
      <c r="E9" s="1219">
        <f>4*'ARP Timing'!D$11*VLOOKUP(E$1,'ARP Score'!$A$5:$M20,$A9)</f>
        <v>24.693999999999999</v>
      </c>
      <c r="F9" s="1219">
        <f>4*'ARP Timing'!E$11*VLOOKUP(F$1,'ARP Score'!$A$5:$M20,$A9)</f>
        <v>46.79</v>
      </c>
      <c r="G9" s="1219">
        <f>4*'ARP Timing'!F$11*VLOOKUP(G$1,'ARP Score'!$A$5:$M20,$A9)</f>
        <v>46.79</v>
      </c>
      <c r="H9" s="1219">
        <f>4*'ARP Timing'!G$11*VLOOKUP(H$1,'ARP Score'!$A$5:$M20,$A9)</f>
        <v>46.79</v>
      </c>
      <c r="I9" s="1219">
        <f>4*'ARP Timing'!H$11*VLOOKUP(I$1,'ARP Score'!$A$5:$M20,$A9)</f>
        <v>46.79</v>
      </c>
      <c r="J9" s="1219">
        <f>4*'ARP Timing'!I$11*VLOOKUP(J$1,'ARP Score'!$A$5:$M20,$A9)</f>
        <v>38.595999999999997</v>
      </c>
      <c r="K9" s="1219">
        <f>4*'ARP Timing'!J$11*VLOOKUP(K$1,'ARP Score'!$A$5:$M20,$A9)</f>
        <v>38.595999999999997</v>
      </c>
      <c r="L9" s="1219">
        <f>4*'ARP Timing'!K$11*VLOOKUP(L$1,'ARP Score'!$A$5:$M20,$A9)</f>
        <v>38.595999999999997</v>
      </c>
      <c r="M9" s="1219">
        <f>4*'ARP Timing'!L$11*VLOOKUP(M$1,'ARP Score'!$A$5:$M20,$A9)</f>
        <v>38.595999999999997</v>
      </c>
      <c r="N9" s="1219">
        <f>4*'ARP Timing'!M$11*VLOOKUP(N$1,'ARP Score'!$A$5:$M20,$A9)</f>
        <v>31.911000000000001</v>
      </c>
      <c r="O9" s="1219">
        <f>4*'ARP Timing'!N$11*VLOOKUP(O$1,'ARP Score'!$A$5:$M20,$A9)</f>
        <v>31.911000000000001</v>
      </c>
      <c r="P9" s="1219">
        <f>4*'ARP Timing'!O$11*VLOOKUP(P$1,'ARP Score'!$A$5:$M20,$A9)</f>
        <v>31.911000000000001</v>
      </c>
      <c r="Q9" s="1219">
        <f>4*'ARP Timing'!P$11*VLOOKUP(Q$1,'ARP Score'!$A$5:$M20,$A9)</f>
        <v>31.911000000000001</v>
      </c>
      <c r="R9" s="1219">
        <f>4*'ARP Timing'!Q$11*VLOOKUP(R$1,'ARP Score'!$A$5:$M20,$A9)</f>
        <v>23.099</v>
      </c>
      <c r="S9" s="1219">
        <f>4*'ARP Timing'!R$11*VLOOKUP(S$1,'ARP Score'!$A$5:$M20,$A9)</f>
        <v>23.099</v>
      </c>
      <c r="T9" s="1219">
        <f>4*'ARP Timing'!S$11*VLOOKUP(T$1,'ARP Score'!$A$5:$M20,$A9)</f>
        <v>23.099</v>
      </c>
      <c r="U9" s="1219">
        <f>4*'ARP Timing'!T$11*VLOOKUP(U$1,'ARP Score'!$A$5:$M20,$A9)</f>
        <v>23.099</v>
      </c>
      <c r="V9" s="1219">
        <f>4*'ARP Timing'!U$11*VLOOKUP(V$1,'ARP Score'!$A$5:$M20,$A9)</f>
        <v>10.766999999999999</v>
      </c>
      <c r="W9" s="1219">
        <f t="shared" si="0"/>
        <v>152.74300000000005</v>
      </c>
    </row>
    <row r="10" spans="1:23" x14ac:dyDescent="0.35">
      <c r="A10" s="1224">
        <v>11</v>
      </c>
      <c r="B10" s="1220" t="s">
        <v>364</v>
      </c>
      <c r="C10" s="1219">
        <f>4*'ARP Timing'!B$11*VLOOKUP(C$1,'ARP Score'!$A$5:$M22,$A10)</f>
        <v>0</v>
      </c>
      <c r="D10" s="1219">
        <f>4*'ARP Timing'!C$11*VLOOKUP(D$1,'ARP Score'!$A$5:$M22,$A10)</f>
        <v>59.256</v>
      </c>
      <c r="E10" s="1219">
        <f>4*'ARP Timing'!D$11*VLOOKUP(E$1,'ARP Score'!$A$5:$M22,$A10)</f>
        <v>59.256</v>
      </c>
      <c r="F10" s="1219">
        <f>4*'ARP Timing'!E$11*VLOOKUP(F$1,'ARP Score'!$A$5:$M22,$A10)</f>
        <v>35.671000000000006</v>
      </c>
      <c r="G10" s="1219">
        <f>4*'ARP Timing'!F$11*VLOOKUP(G$1,'ARP Score'!$A$5:$M22,$A10)</f>
        <v>35.671000000000006</v>
      </c>
      <c r="H10" s="1219">
        <f>4*'ARP Timing'!G$11*VLOOKUP(H$1,'ARP Score'!$A$5:$M22,$A10)</f>
        <v>35.671000000000006</v>
      </c>
      <c r="I10" s="1219">
        <f>4*'ARP Timing'!H$11*VLOOKUP(I$1,'ARP Score'!$A$5:$M22,$A10)</f>
        <v>35.671000000000006</v>
      </c>
      <c r="J10" s="1219">
        <f>4*'ARP Timing'!I$11*VLOOKUP(J$1,'ARP Score'!$A$5:$M22,$A10)</f>
        <v>24.216000000000001</v>
      </c>
      <c r="K10" s="1219">
        <f>4*'ARP Timing'!J$11*VLOOKUP(K$1,'ARP Score'!$A$5:$M22,$A10)</f>
        <v>24.216000000000001</v>
      </c>
      <c r="L10" s="1219">
        <f>4*'ARP Timing'!K$11*VLOOKUP(L$1,'ARP Score'!$A$5:$M22,$A10)</f>
        <v>24.216000000000001</v>
      </c>
      <c r="M10" s="1219">
        <f>4*'ARP Timing'!L$11*VLOOKUP(M$1,'ARP Score'!$A$5:$M22,$A10)</f>
        <v>24.216000000000001</v>
      </c>
      <c r="N10" s="1219">
        <f>4*'ARP Timing'!M$11*VLOOKUP(N$1,'ARP Score'!$A$5:$M22,$A10)</f>
        <v>9.6430000000000007</v>
      </c>
      <c r="O10" s="1219">
        <f>4*'ARP Timing'!N$11*VLOOKUP(O$1,'ARP Score'!$A$5:$M22,$A10)</f>
        <v>9.6430000000000007</v>
      </c>
      <c r="P10" s="1219">
        <f>4*'ARP Timing'!O$11*VLOOKUP(P$1,'ARP Score'!$A$5:$M22,$A10)</f>
        <v>9.6430000000000007</v>
      </c>
      <c r="Q10" s="1219">
        <f>4*'ARP Timing'!P$11*VLOOKUP(Q$1,'ARP Score'!$A$5:$M22,$A10)</f>
        <v>9.6430000000000007</v>
      </c>
      <c r="R10" s="1219">
        <f>4*'ARP Timing'!Q$11*VLOOKUP(R$1,'ARP Score'!$A$5:$M22,$A10)</f>
        <v>4.5789999999999997</v>
      </c>
      <c r="S10" s="1219">
        <f>4*'ARP Timing'!R$11*VLOOKUP(S$1,'ARP Score'!$A$5:$M22,$A10)</f>
        <v>4.5789999999999997</v>
      </c>
      <c r="T10" s="1219">
        <f>4*'ARP Timing'!S$11*VLOOKUP(T$1,'ARP Score'!$A$5:$M22,$A10)</f>
        <v>4.5789999999999997</v>
      </c>
      <c r="U10" s="1219">
        <f>4*'ARP Timing'!T$11*VLOOKUP(U$1,'ARP Score'!$A$5:$M22,$A10)</f>
        <v>4.5789999999999997</v>
      </c>
      <c r="V10" s="1219">
        <f>4*'ARP Timing'!U$11*VLOOKUP(V$1,'ARP Score'!$A$5:$M22,$A10)</f>
        <v>2.9130000000000003</v>
      </c>
      <c r="W10" s="1219">
        <f t="shared" si="0"/>
        <v>103.73700000000002</v>
      </c>
    </row>
    <row r="11" spans="1:23" x14ac:dyDescent="0.35">
      <c r="A11" s="712">
        <v>12</v>
      </c>
      <c r="B11" s="14" t="s">
        <v>159</v>
      </c>
      <c r="C11" s="1219">
        <f>4*'ARP Timing'!B12*VLOOKUP(C$1,'ARP Score'!$A$5:$M20,$A11)</f>
        <v>103</v>
      </c>
      <c r="D11" s="1219">
        <f>4*'ARP Timing'!C12*VLOOKUP(D$1,'ARP Score'!$A$5:$M20,$A11)</f>
        <v>0</v>
      </c>
      <c r="E11" s="1219">
        <f>4*'ARP Timing'!D12*VLOOKUP(E$1,'ARP Score'!$A$5:$M20,$A11)</f>
        <v>0</v>
      </c>
      <c r="F11" s="1219">
        <f>4*'ARP Timing'!E12*VLOOKUP(F$1,'ARP Score'!$A$5:$M20,$A11)</f>
        <v>0</v>
      </c>
      <c r="G11" s="1219">
        <f>4*'ARP Timing'!F12*VLOOKUP(G$1,'ARP Score'!$A$5:$M20,$A11)</f>
        <v>0</v>
      </c>
      <c r="H11" s="1219">
        <f>4*'ARP Timing'!G12*VLOOKUP(H$1,'ARP Score'!$A$5:$M20,$A11)</f>
        <v>0</v>
      </c>
      <c r="I11" s="1219">
        <f>4*'ARP Timing'!H12*VLOOKUP(I$1,'ARP Score'!$A$5:$M20,$A11)</f>
        <v>0</v>
      </c>
      <c r="J11" s="1219">
        <f>4*'ARP Timing'!I12*VLOOKUP(J$1,'ARP Score'!$A$5:$M20,$A11)</f>
        <v>0</v>
      </c>
      <c r="K11" s="1219">
        <f>4*'ARP Timing'!J12*VLOOKUP(K$1,'ARP Score'!$A$5:$M20,$A11)</f>
        <v>0</v>
      </c>
      <c r="L11" s="1219">
        <f>4*'ARP Timing'!K12*VLOOKUP(L$1,'ARP Score'!$A$5:$M20,$A11)</f>
        <v>0</v>
      </c>
      <c r="M11" s="1219">
        <f>4*'ARP Timing'!L12*VLOOKUP(M$1,'ARP Score'!$A$5:$M20,$A11)</f>
        <v>0</v>
      </c>
      <c r="N11" s="1219">
        <f>4*'ARP Timing'!M12*VLOOKUP(N$1,'ARP Score'!$A$5:$M20,$A11)</f>
        <v>0</v>
      </c>
      <c r="O11" s="1219">
        <f>4*'ARP Timing'!N12*VLOOKUP(O$1,'ARP Score'!$A$5:$M20,$A11)</f>
        <v>0</v>
      </c>
      <c r="P11" s="1219">
        <f>4*'ARP Timing'!O12*VLOOKUP(P$1,'ARP Score'!$A$5:$M20,$A11)</f>
        <v>0</v>
      </c>
      <c r="Q11" s="1219">
        <f>4*'ARP Timing'!P12*VLOOKUP(Q$1,'ARP Score'!$A$5:$M20,$A11)</f>
        <v>0</v>
      </c>
      <c r="R11" s="1219">
        <f>4*'ARP Timing'!Q12*VLOOKUP(R$1,'ARP Score'!$A$5:$M20,$A11)</f>
        <v>0</v>
      </c>
      <c r="S11" s="1219">
        <f>4*'ARP Timing'!R12*VLOOKUP(S$1,'ARP Score'!$A$5:$M20,$A11)</f>
        <v>0</v>
      </c>
      <c r="T11" s="1219">
        <f>4*'ARP Timing'!S12*VLOOKUP(T$1,'ARP Score'!$A$5:$M20,$A11)</f>
        <v>0</v>
      </c>
      <c r="U11" s="1219">
        <f>4*'ARP Timing'!T12*VLOOKUP(U$1,'ARP Score'!$A$5:$M20,$A11)</f>
        <v>0</v>
      </c>
      <c r="V11" s="1219">
        <f>4*'ARP Timing'!U12*VLOOKUP(V$1,'ARP Score'!$A$5:$M20,$A11)</f>
        <v>0</v>
      </c>
      <c r="W11" s="1219">
        <f t="shared" si="0"/>
        <v>25.75</v>
      </c>
    </row>
    <row r="12" spans="1:23" x14ac:dyDescent="0.35">
      <c r="A12" s="712">
        <v>13</v>
      </c>
      <c r="B12" s="33" t="s">
        <v>109</v>
      </c>
      <c r="C12" s="1219">
        <f>4*'ARP Timing'!B13*VLOOKUP(C$1,'ARP Score'!$A$5:$M21,$A12)</f>
        <v>0</v>
      </c>
      <c r="D12" s="1219">
        <f>4*'ARP Timing'!C13*VLOOKUP(D$1,'ARP Score'!$A$5:$M21,$A12)</f>
        <v>51.102400000000003</v>
      </c>
      <c r="E12" s="1219">
        <f>4*'ARP Timing'!D13*VLOOKUP(E$1,'ARP Score'!$A$5:$M21,$A12)</f>
        <v>76.653599999999997</v>
      </c>
      <c r="F12" s="1219">
        <f>4*'ARP Timing'!E13*VLOOKUP(F$1,'ARP Score'!$A$5:$M21,$A12)</f>
        <v>90.260800000000003</v>
      </c>
      <c r="G12" s="1219">
        <f>4*'ARP Timing'!F13*VLOOKUP(G$1,'ARP Score'!$A$5:$M21,$A12)</f>
        <v>67.695599999999999</v>
      </c>
      <c r="H12" s="1219">
        <f>4*'ARP Timing'!G13*VLOOKUP(H$1,'ARP Score'!$A$5:$M21,$A12)</f>
        <v>45.130400000000002</v>
      </c>
      <c r="I12" s="1219">
        <f>4*'ARP Timing'!H13*VLOOKUP(I$1,'ARP Score'!$A$5:$M21,$A12)</f>
        <v>22.565200000000001</v>
      </c>
      <c r="J12" s="1219">
        <f>4*'ARP Timing'!I13*VLOOKUP(J$1,'ARP Score'!$A$5:$M21,$A12)</f>
        <v>15.652999999999999</v>
      </c>
      <c r="K12" s="1219">
        <f>4*'ARP Timing'!J13*VLOOKUP(K$1,'ARP Score'!$A$5:$M21,$A12)</f>
        <v>15.652999999999999</v>
      </c>
      <c r="L12" s="1219">
        <f>4*'ARP Timing'!K13*VLOOKUP(L$1,'ARP Score'!$A$5:$M21,$A12)</f>
        <v>15.652999999999999</v>
      </c>
      <c r="M12" s="1219">
        <f>4*'ARP Timing'!L13*VLOOKUP(M$1,'ARP Score'!$A$5:$M21,$A12)</f>
        <v>15.652999999999999</v>
      </c>
      <c r="N12" s="1219">
        <f>4*'ARP Timing'!M13*VLOOKUP(N$1,'ARP Score'!$A$5:$M21,$A12)</f>
        <v>3.9320000000000004</v>
      </c>
      <c r="O12" s="1219">
        <f>4*'ARP Timing'!N13*VLOOKUP(O$1,'ARP Score'!$A$5:$M21,$A12)</f>
        <v>3.9320000000000004</v>
      </c>
      <c r="P12" s="1219">
        <f>4*'ARP Timing'!O13*VLOOKUP(P$1,'ARP Score'!$A$5:$M21,$A12)</f>
        <v>3.9320000000000004</v>
      </c>
      <c r="Q12" s="1219">
        <f>4*'ARP Timing'!P13*VLOOKUP(Q$1,'ARP Score'!$A$5:$M21,$A12)</f>
        <v>3.9320000000000004</v>
      </c>
      <c r="R12" s="1219">
        <f>4*'ARP Timing'!Q13*VLOOKUP(R$1,'ARP Score'!$A$5:$M21,$A12)</f>
        <v>-0.74299999999999988</v>
      </c>
      <c r="S12" s="1219">
        <f>4*'ARP Timing'!R13*VLOOKUP(S$1,'ARP Score'!$A$5:$M21,$A12)</f>
        <v>-0.74299999999999988</v>
      </c>
      <c r="T12" s="1219">
        <f>4*'ARP Timing'!S13*VLOOKUP(T$1,'ARP Score'!$A$5:$M21,$A12)</f>
        <v>-0.74299999999999988</v>
      </c>
      <c r="U12" s="1219">
        <f>4*'ARP Timing'!T13*VLOOKUP(U$1,'ARP Score'!$A$5:$M21,$A12)</f>
        <v>-0.74299999999999988</v>
      </c>
      <c r="V12" s="1219">
        <f>4*'ARP Timing'!U13*VLOOKUP(V$1,'ARP Score'!$A$5:$M21,$A12)</f>
        <v>-21.606000000000002</v>
      </c>
      <c r="W12" s="1219">
        <f t="shared" si="0"/>
        <v>107.19400000000005</v>
      </c>
    </row>
    <row r="13" spans="1:23" x14ac:dyDescent="0.35">
      <c r="A13" s="712">
        <v>15</v>
      </c>
      <c r="B13" s="712" t="s">
        <v>772</v>
      </c>
      <c r="C13" s="1219">
        <f>0.3*'ARP Score'!$N5*4*'ARP Timing'!B6</f>
        <v>0</v>
      </c>
      <c r="D13" s="1219">
        <f>0.3*'ARP Score'!$N5*4*'ARP Timing'!C6</f>
        <v>1.7544</v>
      </c>
      <c r="E13" s="1219">
        <f>0.3*'ARP Score'!$N5*4*'ARP Timing'!D6</f>
        <v>2.3255999999999997</v>
      </c>
      <c r="F13" s="1219">
        <f>0.3*'ARP Score'!$N6*4*'ARP Timing'!E6</f>
        <v>1.5299999999999998</v>
      </c>
      <c r="G13" s="1219">
        <f>0.3*'ARP Score'!$N6*4*'ARP Timing'!F6</f>
        <v>1.5299999999999998</v>
      </c>
      <c r="H13" s="1219">
        <f>0.3*'ARP Score'!$N6*4*'ARP Timing'!G6</f>
        <v>1.5299999999999998</v>
      </c>
      <c r="I13" s="1219">
        <f>0.3*'ARP Score'!$N6*4*'ARP Timing'!H6</f>
        <v>1.5299999999999998</v>
      </c>
      <c r="J13" s="1219">
        <f>0.3*'ARP Score'!$N7*4*'ARP Timing'!I6</f>
        <v>0</v>
      </c>
      <c r="K13" s="1219">
        <f>0.3*'ARP Score'!$N7*4*'ARP Timing'!J6</f>
        <v>0</v>
      </c>
      <c r="L13" s="1219">
        <f>0.3*'ARP Score'!$N7*4*'ARP Timing'!K6</f>
        <v>0</v>
      </c>
      <c r="M13" s="1219">
        <f>0.3*'ARP Score'!$N7*4*'ARP Timing'!L6</f>
        <v>0</v>
      </c>
      <c r="N13" s="1219">
        <f>0.3*'ARP Score'!$N7*4*'ARP Timing'!M6</f>
        <v>0</v>
      </c>
      <c r="O13" s="1219">
        <f>0.3*'ARP Score'!$N7*4*'ARP Timing'!N6</f>
        <v>0</v>
      </c>
      <c r="P13" s="1219">
        <f>0.3*'ARP Score'!$N7*4*'ARP Timing'!O6</f>
        <v>0</v>
      </c>
      <c r="Q13" s="1219">
        <f>0.3*'ARP Score'!$N7*4*'ARP Timing'!P6</f>
        <v>0</v>
      </c>
      <c r="R13" s="1219">
        <f>0.3*'ARP Score'!$N7*4*'ARP Timing'!Q6</f>
        <v>0</v>
      </c>
      <c r="S13" s="1219">
        <f>0.3*'ARP Score'!$N7*4*'ARP Timing'!R6</f>
        <v>0</v>
      </c>
      <c r="T13" s="1219">
        <f>0.3*'ARP Score'!$N7*4*'ARP Timing'!S6</f>
        <v>0</v>
      </c>
      <c r="U13" s="1219">
        <f>0.3*'ARP Score'!$N7*4*'ARP Timing'!T6</f>
        <v>0</v>
      </c>
      <c r="V13" s="1219">
        <f>0.3*'ARP Score'!$N7*4*'ARP Timing'!U6</f>
        <v>0</v>
      </c>
      <c r="W13" s="1219">
        <f t="shared" si="0"/>
        <v>2.5499999999999994</v>
      </c>
    </row>
    <row r="14" spans="1:23" x14ac:dyDescent="0.35">
      <c r="A14" s="712">
        <v>14</v>
      </c>
      <c r="B14" s="712" t="s">
        <v>773</v>
      </c>
      <c r="C14" s="1219">
        <f>C13/0.3*0.2</f>
        <v>0</v>
      </c>
      <c r="D14" s="1219">
        <f t="shared" ref="D14:F14" si="1">D13/0.3*0.2</f>
        <v>1.1696</v>
      </c>
      <c r="E14" s="1219">
        <f t="shared" si="1"/>
        <v>1.5503999999999998</v>
      </c>
      <c r="F14" s="1219">
        <f t="shared" si="1"/>
        <v>1.02</v>
      </c>
      <c r="G14" s="1219">
        <f t="shared" ref="G14" si="2">G13/0.3*0.2</f>
        <v>1.02</v>
      </c>
      <c r="H14" s="1219">
        <f t="shared" ref="H14" si="3">H13/0.3*0.2</f>
        <v>1.02</v>
      </c>
      <c r="I14" s="1219">
        <f t="shared" ref="I14" si="4">I13/0.3*0.2</f>
        <v>1.02</v>
      </c>
      <c r="J14" s="1219">
        <f t="shared" ref="J14" si="5">J13/0.3*0.2</f>
        <v>0</v>
      </c>
      <c r="K14" s="1219">
        <f t="shared" ref="K14" si="6">K13/0.3*0.2</f>
        <v>0</v>
      </c>
      <c r="L14" s="1219">
        <f t="shared" ref="L14" si="7">L13/0.3*0.2</f>
        <v>0</v>
      </c>
      <c r="M14" s="1219">
        <f t="shared" ref="M14" si="8">M13/0.3*0.2</f>
        <v>0</v>
      </c>
      <c r="N14" s="1219">
        <f t="shared" ref="N14" si="9">N13/0.3*0.2</f>
        <v>0</v>
      </c>
      <c r="O14" s="1219">
        <f t="shared" ref="O14" si="10">O13/0.3*0.2</f>
        <v>0</v>
      </c>
      <c r="P14" s="1219">
        <f t="shared" ref="P14" si="11">P13/0.3*0.2</f>
        <v>0</v>
      </c>
      <c r="Q14" s="1219">
        <f t="shared" ref="Q14" si="12">Q13/0.3*0.2</f>
        <v>0</v>
      </c>
      <c r="R14" s="1219">
        <f t="shared" ref="R14" si="13">R13/0.3*0.2</f>
        <v>0</v>
      </c>
      <c r="S14" s="1219">
        <f t="shared" ref="S14" si="14">S13/0.3*0.2</f>
        <v>0</v>
      </c>
      <c r="T14" s="1219">
        <f t="shared" ref="T14" si="15">T13/0.3*0.2</f>
        <v>0</v>
      </c>
      <c r="U14" s="1219">
        <f t="shared" ref="U14" si="16">U13/0.3*0.2</f>
        <v>0</v>
      </c>
      <c r="V14" s="1219">
        <f t="shared" ref="V14" si="17">V13/0.3*0.2</f>
        <v>0</v>
      </c>
      <c r="W14" s="1219">
        <f t="shared" si="0"/>
        <v>1.6999999999999997</v>
      </c>
    </row>
    <row r="15" spans="1:23" x14ac:dyDescent="0.35">
      <c r="A15" s="712">
        <v>14</v>
      </c>
      <c r="B15" s="712" t="s">
        <v>471</v>
      </c>
      <c r="C15" s="1219">
        <f>C14/0.2*0.5</f>
        <v>0</v>
      </c>
      <c r="D15" s="1219">
        <f t="shared" ref="D15:F15" si="18">D14/0.2*0.5</f>
        <v>2.9239999999999999</v>
      </c>
      <c r="E15" s="1219">
        <f t="shared" si="18"/>
        <v>3.8759999999999994</v>
      </c>
      <c r="F15" s="1219">
        <f t="shared" si="18"/>
        <v>2.5499999999999998</v>
      </c>
      <c r="G15" s="1219">
        <f t="shared" ref="G15" si="19">G14/0.2*0.5</f>
        <v>2.5499999999999998</v>
      </c>
      <c r="H15" s="1219">
        <f t="shared" ref="H15" si="20">H14/0.2*0.5</f>
        <v>2.5499999999999998</v>
      </c>
      <c r="I15" s="1219">
        <f t="shared" ref="I15" si="21">I14/0.2*0.5</f>
        <v>2.5499999999999998</v>
      </c>
      <c r="J15" s="1219">
        <f t="shared" ref="J15" si="22">J14/0.2*0.5</f>
        <v>0</v>
      </c>
      <c r="K15" s="1219">
        <f t="shared" ref="K15" si="23">K14/0.2*0.5</f>
        <v>0</v>
      </c>
      <c r="L15" s="1219">
        <f t="shared" ref="L15" si="24">L14/0.2*0.5</f>
        <v>0</v>
      </c>
      <c r="M15" s="1219">
        <f t="shared" ref="M15" si="25">M14/0.2*0.5</f>
        <v>0</v>
      </c>
      <c r="N15" s="1219">
        <f t="shared" ref="N15" si="26">N14/0.2*0.5</f>
        <v>0</v>
      </c>
      <c r="O15" s="1219">
        <f t="shared" ref="O15" si="27">O14/0.2*0.5</f>
        <v>0</v>
      </c>
      <c r="P15" s="1219">
        <f t="shared" ref="P15" si="28">P14/0.2*0.5</f>
        <v>0</v>
      </c>
      <c r="Q15" s="1219">
        <f t="shared" ref="Q15" si="29">Q14/0.2*0.5</f>
        <v>0</v>
      </c>
      <c r="R15" s="1219">
        <f t="shared" ref="R15" si="30">R14/0.2*0.5</f>
        <v>0</v>
      </c>
      <c r="S15" s="1219">
        <f t="shared" ref="S15" si="31">S14/0.2*0.5</f>
        <v>0</v>
      </c>
      <c r="T15" s="1219">
        <f t="shared" ref="T15" si="32">T14/0.2*0.5</f>
        <v>0</v>
      </c>
      <c r="U15" s="1219">
        <f t="shared" ref="U15" si="33">U14/0.2*0.5</f>
        <v>0</v>
      </c>
      <c r="V15" s="1219">
        <f t="shared" ref="V15" si="34">V14/0.2*0.5</f>
        <v>0</v>
      </c>
      <c r="W15" s="1219">
        <f t="shared" si="0"/>
        <v>4.25</v>
      </c>
    </row>
    <row r="16" spans="1:23" x14ac:dyDescent="0.35">
      <c r="C16" s="1219"/>
      <c r="D16" s="1219"/>
      <c r="E16" s="1219"/>
      <c r="F16" s="1219"/>
      <c r="G16" s="1219"/>
      <c r="H16" s="1219"/>
      <c r="I16" s="1219"/>
      <c r="J16" s="1219"/>
      <c r="K16" s="1219"/>
      <c r="L16" s="1219"/>
      <c r="M16" s="1219"/>
      <c r="N16" s="1219"/>
      <c r="O16" s="1219"/>
      <c r="P16" s="1219"/>
      <c r="Q16" s="1219"/>
      <c r="R16" s="1219"/>
      <c r="S16" s="1219"/>
      <c r="T16" s="1219"/>
      <c r="U16" s="1219"/>
      <c r="V16" s="1219"/>
      <c r="W16" s="1219"/>
    </row>
    <row r="17" spans="1:23" x14ac:dyDescent="0.35">
      <c r="A17" s="712" t="s">
        <v>774</v>
      </c>
      <c r="C17" s="1219"/>
      <c r="D17" s="1219"/>
      <c r="E17" s="1219"/>
      <c r="F17" s="1219"/>
      <c r="G17" s="1219"/>
      <c r="H17" s="1219"/>
      <c r="I17" s="1219"/>
      <c r="J17" s="1219"/>
      <c r="K17" s="1219"/>
      <c r="L17" s="1219"/>
      <c r="M17" s="1219"/>
      <c r="N17" s="1219"/>
      <c r="O17" s="1219"/>
      <c r="P17" s="1219"/>
      <c r="Q17" s="1219"/>
      <c r="R17" s="1219"/>
      <c r="S17" s="1219"/>
      <c r="T17" s="1219"/>
      <c r="U17" s="1219"/>
      <c r="V17" s="1219"/>
      <c r="W17" s="1219"/>
    </row>
    <row r="18" spans="1:23" x14ac:dyDescent="0.35">
      <c r="B18" s="485" t="s">
        <v>143</v>
      </c>
      <c r="C18" s="1219">
        <f>'ARP Score'!$BG5/'ARP Score'!$G5*C6</f>
        <v>0</v>
      </c>
      <c r="D18" s="1219">
        <f>'ARP Score'!$BG5/'ARP Score'!$G5*D6</f>
        <v>2.2132800000000001</v>
      </c>
      <c r="E18" s="1219">
        <f>'ARP Score'!$BG5/'ARP Score'!$G5*E6</f>
        <v>10.082720000000002</v>
      </c>
      <c r="F18" s="1219">
        <f>'ARP Score'!$BG6/'ARP Score'!$G6*F6</f>
        <v>7.1439999999999992</v>
      </c>
      <c r="G18" s="1219">
        <f>'ARP Score'!$BG6/'ARP Score'!$G6*G6</f>
        <v>7.1439999999999992</v>
      </c>
      <c r="H18" s="1219">
        <f>'ARP Score'!$BG6/'ARP Score'!$G6*H6</f>
        <v>7.1439999999999992</v>
      </c>
      <c r="I18" s="1219">
        <f>'ARP Score'!$BG6/'ARP Score'!$G6*I6</f>
        <v>7.1439999999999992</v>
      </c>
      <c r="J18" s="1219">
        <f>'ARP Score'!$BG7/'ARP Score'!$G7*J6</f>
        <v>0</v>
      </c>
      <c r="K18" s="1219">
        <f>'ARP Score'!$BG7/'ARP Score'!$G7*K6</f>
        <v>0</v>
      </c>
      <c r="L18" s="1219">
        <f>'ARP Score'!$BG7/'ARP Score'!$G7*L6</f>
        <v>0</v>
      </c>
      <c r="M18" s="1219">
        <f>'ARP Score'!$BG7/'ARP Score'!$G7*M6</f>
        <v>0</v>
      </c>
      <c r="N18" s="1219"/>
      <c r="O18" s="1219"/>
      <c r="P18" s="1219"/>
      <c r="Q18" s="1219"/>
      <c r="R18" s="1219"/>
      <c r="S18" s="1219"/>
      <c r="T18" s="1219"/>
      <c r="U18" s="1219"/>
      <c r="V18" s="1219"/>
      <c r="W18" s="1219"/>
    </row>
    <row r="19" spans="1:23" x14ac:dyDescent="0.35">
      <c r="B19" s="485" t="s">
        <v>775</v>
      </c>
      <c r="C19" s="1219">
        <f>'ARP Score'!$BI5/'ARP Score'!$G5*C6</f>
        <v>0</v>
      </c>
      <c r="D19" s="1219">
        <f>'ARP Score'!$BI5/'ARP Score'!$G5*D6</f>
        <v>15.128640000000001</v>
      </c>
      <c r="E19" s="1219">
        <f>'ARP Score'!$BI5/'ARP Score'!$G5*E6</f>
        <v>68.919360000000012</v>
      </c>
      <c r="F19" s="1219">
        <f>'ARP Score'!$BI6/'ARP Score'!$G6*F6</f>
        <v>5.6120000000000001</v>
      </c>
      <c r="G19" s="1219">
        <f>'ARP Score'!$BI6/'ARP Score'!$G6*G6</f>
        <v>5.6120000000000001</v>
      </c>
      <c r="H19" s="1219">
        <f>'ARP Score'!$BI6/'ARP Score'!$G6*H6</f>
        <v>5.6120000000000001</v>
      </c>
      <c r="I19" s="1219">
        <f>'ARP Score'!$BI6/'ARP Score'!$G6*I6</f>
        <v>5.6120000000000001</v>
      </c>
      <c r="J19" s="1219">
        <f>'ARP Score'!$B7/'ARP Score'!$G7*J6</f>
        <v>0.48599999999999993</v>
      </c>
      <c r="K19" s="1219">
        <f>'ARP Score'!$B7/'ARP Score'!$G7*K6</f>
        <v>0.48599999999999993</v>
      </c>
      <c r="L19" s="1219">
        <f>'ARP Score'!$B7/'ARP Score'!$G7*L6</f>
        <v>0.48599999999999993</v>
      </c>
      <c r="M19" s="1219">
        <f>'ARP Score'!$B7/'ARP Score'!$G7*M6</f>
        <v>0.48599999999999993</v>
      </c>
      <c r="N19" s="1219">
        <f>'ARP Score'!$B8/'ARP Score'!$G8*N6</f>
        <v>0</v>
      </c>
      <c r="O19" s="1219"/>
      <c r="P19" s="1219"/>
      <c r="Q19" s="1219"/>
      <c r="R19" s="1219"/>
      <c r="S19" s="1219"/>
      <c r="T19" s="1219"/>
      <c r="U19" s="1219"/>
      <c r="V19" s="1219"/>
      <c r="W19" s="1219"/>
    </row>
    <row r="20" spans="1:23" x14ac:dyDescent="0.35">
      <c r="B20" s="485" t="s">
        <v>148</v>
      </c>
      <c r="C20" s="1219">
        <f>'ARP Score'!$BF5/'ARP Score'!$G5*C6</f>
        <v>0</v>
      </c>
      <c r="D20" s="1219">
        <f>'ARP Score'!$BF5/'ARP Score'!$G5*D6</f>
        <v>3.2479199999999997</v>
      </c>
      <c r="E20" s="1219">
        <f>'ARP Score'!$BF5/'ARP Score'!$G5*E6</f>
        <v>14.796080000000002</v>
      </c>
      <c r="F20" s="1219">
        <f>'ARP Score'!$BF6/'ARP Score'!$G6*F6</f>
        <v>1.7329999999999999</v>
      </c>
      <c r="G20" s="1219">
        <f>'ARP Score'!$BF6/'ARP Score'!$G6*G6</f>
        <v>1.7329999999999999</v>
      </c>
      <c r="H20" s="1219">
        <f>'ARP Score'!$BF6/'ARP Score'!$G6*H6</f>
        <v>1.7329999999999999</v>
      </c>
      <c r="I20" s="1219">
        <f>'ARP Score'!$BF6/'ARP Score'!$G6*I6</f>
        <v>1.7329999999999999</v>
      </c>
      <c r="J20" s="1219">
        <f>'ARP Score'!$BF7/'ARP Score'!$G7*J6</f>
        <v>0</v>
      </c>
      <c r="K20" s="1219">
        <f>'ARP Score'!$BF7/'ARP Score'!$G7*K6</f>
        <v>0</v>
      </c>
      <c r="L20" s="1219">
        <f>'ARP Score'!$BF7/'ARP Score'!$G7*L6</f>
        <v>0</v>
      </c>
      <c r="M20" s="1219">
        <f>'ARP Score'!$BF7/'ARP Score'!$G7*M6</f>
        <v>0</v>
      </c>
      <c r="N20" s="1219"/>
      <c r="O20" s="1219"/>
      <c r="P20" s="1219"/>
      <c r="Q20" s="1219"/>
      <c r="R20" s="1219"/>
      <c r="S20" s="1219"/>
      <c r="T20" s="1219"/>
      <c r="U20" s="1219"/>
      <c r="V20" s="1219"/>
      <c r="W20" s="1219"/>
    </row>
    <row r="21" spans="1:23" x14ac:dyDescent="0.35">
      <c r="B21" s="1225" t="s">
        <v>414</v>
      </c>
      <c r="C21" s="1219">
        <f>15/40*(C6*'ARP Score'!$BD5/'ARP Score'!$G5)</f>
        <v>0</v>
      </c>
      <c r="D21" s="1219">
        <f>15/40*(D6*('ARP Score'!$BD5+'ARP Score'!$BE5)/'ARP Score'!$G5)</f>
        <v>13.2921</v>
      </c>
      <c r="E21" s="1219">
        <f>15/40*(E6*('ARP Score'!$BD5+'ARP Score'!$BE5)/'ARP Score'!$G5)</f>
        <v>60.552900000000008</v>
      </c>
      <c r="F21" s="1219">
        <f>15/40*(F6*('ARP Score'!$BD6+'ARP Score'!$BE6)/'ARP Score'!$G6)</f>
        <v>1.0687500000000001</v>
      </c>
      <c r="G21" s="1219">
        <f>15/40*(G6*('ARP Score'!$BD6+'ARP Score'!$BE6)/'ARP Score'!$G6)</f>
        <v>1.0687500000000001</v>
      </c>
      <c r="H21" s="1219">
        <f>15/40*(H6*('ARP Score'!$BD6+'ARP Score'!$BE6)/'ARP Score'!$G6)</f>
        <v>1.0687500000000001</v>
      </c>
      <c r="I21" s="1219">
        <f>15/40*(I6*('ARP Score'!$BD6+'ARP Score'!$BE6)/'ARP Score'!$G6)</f>
        <v>1.0687500000000001</v>
      </c>
      <c r="J21" s="1219">
        <f>15/40*(J6*('ARP Score'!$BD7+'ARP Score'!$BE7)/'ARP Score'!$G7)</f>
        <v>0.78750000000000009</v>
      </c>
      <c r="K21" s="1219">
        <f>15/40*(K6*('ARP Score'!$BD7+'ARP Score'!$BE7)/'ARP Score'!$G7)</f>
        <v>0.78750000000000009</v>
      </c>
      <c r="L21" s="1219">
        <f>15/40*(L6*('ARP Score'!$BD7+'ARP Score'!$BE7)/'ARP Score'!$G7)</f>
        <v>0.78750000000000009</v>
      </c>
      <c r="M21" s="1219">
        <f>15/40*(M6*('ARP Score'!$BD7+'ARP Score'!$BE7)/'ARP Score'!$G7)</f>
        <v>0.78750000000000009</v>
      </c>
      <c r="N21" s="1219"/>
      <c r="O21" s="1219"/>
      <c r="P21" s="1219"/>
      <c r="Q21" s="1219"/>
      <c r="R21" s="1219"/>
      <c r="S21" s="1219"/>
      <c r="T21" s="1219"/>
      <c r="U21" s="1219"/>
      <c r="V21" s="1219"/>
      <c r="W21" s="1219"/>
    </row>
    <row r="22" spans="1:23" x14ac:dyDescent="0.35">
      <c r="B22" s="1225" t="s">
        <v>776</v>
      </c>
      <c r="C22" s="1219"/>
      <c r="D22" s="1219">
        <f>D21/15*25</f>
        <v>22.153499999999998</v>
      </c>
      <c r="E22" s="1219">
        <f>E21/15*25</f>
        <v>100.92150000000002</v>
      </c>
      <c r="F22" s="1219">
        <f>F21/15*25</f>
        <v>1.7812500000000002</v>
      </c>
      <c r="G22" s="1219">
        <f>G21/15*25</f>
        <v>1.7812500000000002</v>
      </c>
      <c r="H22" s="1219">
        <f t="shared" ref="H22:J22" si="35">H21/15*25</f>
        <v>1.7812500000000002</v>
      </c>
      <c r="I22" s="1219">
        <f t="shared" si="35"/>
        <v>1.7812500000000002</v>
      </c>
      <c r="J22" s="1219">
        <f t="shared" si="35"/>
        <v>1.3125000000000002</v>
      </c>
      <c r="K22" s="1219">
        <f t="shared" ref="K22" si="36">K21/15*25</f>
        <v>1.3125000000000002</v>
      </c>
      <c r="L22" s="1219">
        <f t="shared" ref="L22" si="37">L21/15*25</f>
        <v>1.3125000000000002</v>
      </c>
      <c r="M22" s="1219">
        <f t="shared" ref="M22" si="38">M21/15*25</f>
        <v>1.3125000000000002</v>
      </c>
      <c r="N22" s="1219"/>
      <c r="O22" s="1219"/>
      <c r="P22" s="1219"/>
      <c r="Q22" s="1219"/>
      <c r="R22" s="1219"/>
      <c r="S22" s="1219"/>
      <c r="T22" s="1219"/>
      <c r="U22" s="1219"/>
      <c r="V22" s="1219"/>
      <c r="W22" s="1219"/>
    </row>
    <row r="23" spans="1:23" x14ac:dyDescent="0.35">
      <c r="B23" s="485" t="s">
        <v>426</v>
      </c>
      <c r="C23" s="1219">
        <f>'ARP Score'!$BB5/'ARP Score'!$G5*C6</f>
        <v>0</v>
      </c>
      <c r="D23" s="1219">
        <f>'ARP Score'!$BB5/'ARP Score'!$G5*D6</f>
        <v>2.9519999999999995</v>
      </c>
      <c r="E23" s="1219">
        <f>'ARP Score'!$BB5/'ARP Score'!$G5*E6</f>
        <v>13.448</v>
      </c>
      <c r="F23" s="1219">
        <f>'ARP Score'!$BB6/'ARP Score'!$G6*F6</f>
        <v>11.3</v>
      </c>
      <c r="G23" s="1219">
        <f>'ARP Score'!$BB6/'ARP Score'!$G6*G6</f>
        <v>11.3</v>
      </c>
      <c r="H23" s="1219">
        <f>'ARP Score'!$BB6/'ARP Score'!$G6*H6</f>
        <v>11.3</v>
      </c>
      <c r="I23" s="1219">
        <f>'ARP Score'!$BB6/'ARP Score'!$G6*I6</f>
        <v>11.3</v>
      </c>
      <c r="J23" s="1219">
        <f>'ARP Score'!$BB7/'ARP Score'!$G7*J6</f>
        <v>8.4</v>
      </c>
      <c r="K23" s="1219">
        <f>'ARP Score'!$BB7/'ARP Score'!$G7*K6</f>
        <v>8.4</v>
      </c>
      <c r="L23" s="1219">
        <f>'ARP Score'!$BB7/'ARP Score'!$G7*L6</f>
        <v>8.4</v>
      </c>
      <c r="M23" s="1219">
        <f>'ARP Score'!$BB7/'ARP Score'!$G7*M6</f>
        <v>8.4</v>
      </c>
      <c r="N23" s="1219">
        <f>'ARP Score'!$BB8/'ARP Score'!$G8*N6</f>
        <v>0.2</v>
      </c>
      <c r="O23" s="1219">
        <f>'ARP Score'!$BB8/'ARP Score'!$G8*O6</f>
        <v>0.2</v>
      </c>
      <c r="P23" s="1219">
        <f>'ARP Score'!$BB8/'ARP Score'!$G8*P6</f>
        <v>0.2</v>
      </c>
      <c r="Q23" s="1219">
        <f>'ARP Score'!$BB8/'ARP Score'!$G8*Q6</f>
        <v>0.2</v>
      </c>
      <c r="R23" s="1219"/>
      <c r="S23" s="1219"/>
      <c r="T23" s="1219"/>
      <c r="U23" s="1219"/>
      <c r="V23" s="1219"/>
      <c r="W23" s="1219"/>
    </row>
    <row r="24" spans="1:23" x14ac:dyDescent="0.35">
      <c r="B24" s="485" t="s">
        <v>427</v>
      </c>
      <c r="C24" s="1219">
        <f>'ARP Score'!$BH5/'ARP Score'!$G5*C6</f>
        <v>0</v>
      </c>
      <c r="D24" s="1219">
        <f>'ARP Score'!$BH5/'ARP Score'!$G5*D6</f>
        <v>-0.20447999999999997</v>
      </c>
      <c r="E24" s="1219">
        <f>'ARP Score'!$BH5/'ARP Score'!$G5*E6</f>
        <v>-0.93152000000000001</v>
      </c>
      <c r="F24" s="1219">
        <f>'ARP Score'!$BH6/'ARP Score'!$G6*F6</f>
        <v>81.608999999999995</v>
      </c>
      <c r="G24" s="1219">
        <f>'ARP Score'!$BH6/'ARP Score'!$G6*G6</f>
        <v>81.608999999999995</v>
      </c>
      <c r="H24" s="1219">
        <f>'ARP Score'!$BH6/'ARP Score'!$G6*H6</f>
        <v>81.608999999999995</v>
      </c>
      <c r="I24" s="1219">
        <f>'ARP Score'!$BH6/'ARP Score'!$G6*I6</f>
        <v>81.608999999999995</v>
      </c>
      <c r="J24" s="1219">
        <f>'ARP Score'!$BH7/'ARP Score'!$G7*J6</f>
        <v>1.3759999999999999</v>
      </c>
      <c r="K24" s="1219">
        <f>'ARP Score'!$BH7/'ARP Score'!$G7*K6</f>
        <v>1.3759999999999999</v>
      </c>
      <c r="L24" s="1219">
        <f>'ARP Score'!$BH7/'ARP Score'!$G7*L6</f>
        <v>1.3759999999999999</v>
      </c>
      <c r="M24" s="1219">
        <f>'ARP Score'!$BH7/'ARP Score'!$G7*M6</f>
        <v>1.3759999999999999</v>
      </c>
      <c r="N24" s="1219">
        <f>'ARP Score'!$BH8/'ARP Score'!$G8*N6</f>
        <v>-0.87500000000000011</v>
      </c>
      <c r="O24" s="1219">
        <f>'ARP Score'!$BH8/'ARP Score'!$G8*O6</f>
        <v>-0.87500000000000011</v>
      </c>
      <c r="P24" s="1219">
        <f>'ARP Score'!$BH8/'ARP Score'!$G8*P6</f>
        <v>-0.87500000000000011</v>
      </c>
      <c r="Q24" s="1219">
        <f>'ARP Score'!$BH8/'ARP Score'!$G8*Q6</f>
        <v>-0.87500000000000011</v>
      </c>
      <c r="R24" s="1219"/>
      <c r="S24" s="1219"/>
      <c r="T24" s="1219"/>
      <c r="U24" s="1219"/>
      <c r="V24" s="1219"/>
      <c r="W24" s="1219"/>
    </row>
    <row r="25" spans="1:23" x14ac:dyDescent="0.35">
      <c r="B25" s="485" t="s">
        <v>312</v>
      </c>
      <c r="C25" s="1219">
        <f>SUM(C18:C24)</f>
        <v>0</v>
      </c>
      <c r="D25" s="1219">
        <f t="shared" ref="D25:Q25" si="39">SUM(D18:D24)</f>
        <v>58.782959999999996</v>
      </c>
      <c r="E25" s="1219">
        <f t="shared" si="39"/>
        <v>267.78904000000006</v>
      </c>
      <c r="F25" s="1219">
        <f t="shared" si="39"/>
        <v>110.24799999999999</v>
      </c>
      <c r="G25" s="1219">
        <f t="shared" si="39"/>
        <v>110.24799999999999</v>
      </c>
      <c r="H25" s="1219">
        <f t="shared" si="39"/>
        <v>110.24799999999999</v>
      </c>
      <c r="I25" s="1219">
        <f t="shared" si="39"/>
        <v>110.24799999999999</v>
      </c>
      <c r="J25" s="1219">
        <f t="shared" si="39"/>
        <v>12.362</v>
      </c>
      <c r="K25" s="1219">
        <f t="shared" si="39"/>
        <v>12.362</v>
      </c>
      <c r="L25" s="1219">
        <f t="shared" si="39"/>
        <v>12.362</v>
      </c>
      <c r="M25" s="1219">
        <f t="shared" si="39"/>
        <v>12.362</v>
      </c>
      <c r="N25" s="1219">
        <f t="shared" si="39"/>
        <v>-0.67500000000000004</v>
      </c>
      <c r="O25" s="1219">
        <f t="shared" si="39"/>
        <v>-0.67500000000000004</v>
      </c>
      <c r="P25" s="1219">
        <f t="shared" si="39"/>
        <v>-0.67500000000000004</v>
      </c>
      <c r="Q25" s="1219">
        <f t="shared" si="39"/>
        <v>-0.67500000000000004</v>
      </c>
      <c r="R25" s="1219"/>
      <c r="S25" s="1219"/>
      <c r="T25" s="1219"/>
      <c r="U25" s="1219"/>
      <c r="V25" s="1219"/>
      <c r="W25" s="1219"/>
    </row>
    <row r="26" spans="1:23" x14ac:dyDescent="0.35">
      <c r="D26" s="714">
        <f>D6-D25</f>
        <v>0</v>
      </c>
      <c r="E26" s="714">
        <f t="shared" ref="E26:M26" si="40">E6-E25</f>
        <v>0</v>
      </c>
      <c r="F26" s="714">
        <f t="shared" si="40"/>
        <v>0</v>
      </c>
      <c r="G26" s="714">
        <f t="shared" si="40"/>
        <v>0</v>
      </c>
      <c r="H26" s="714">
        <f t="shared" si="40"/>
        <v>0</v>
      </c>
      <c r="I26" s="714">
        <f t="shared" si="40"/>
        <v>0</v>
      </c>
      <c r="J26" s="714">
        <f t="shared" si="40"/>
        <v>0.36400000000000077</v>
      </c>
      <c r="K26" s="714">
        <f t="shared" si="40"/>
        <v>0.36400000000000077</v>
      </c>
      <c r="L26" s="714">
        <f t="shared" si="40"/>
        <v>0.36400000000000077</v>
      </c>
      <c r="M26" s="714">
        <f t="shared" si="40"/>
        <v>0.36400000000000077</v>
      </c>
    </row>
    <row r="27" spans="1:23" x14ac:dyDescent="0.35">
      <c r="B27" s="712" t="s">
        <v>777</v>
      </c>
      <c r="D27" s="141" t="s">
        <v>251</v>
      </c>
      <c r="E27" s="141" t="s">
        <v>180</v>
      </c>
      <c r="F27" s="141" t="s">
        <v>181</v>
      </c>
      <c r="G27" s="141" t="s">
        <v>182</v>
      </c>
      <c r="H27" s="141" t="s">
        <v>183</v>
      </c>
      <c r="I27" s="141" t="s">
        <v>184</v>
      </c>
      <c r="J27" s="141" t="s">
        <v>185</v>
      </c>
      <c r="K27" s="141" t="s">
        <v>186</v>
      </c>
      <c r="L27" s="141" t="s">
        <v>187</v>
      </c>
      <c r="M27" s="141" t="s">
        <v>188</v>
      </c>
      <c r="N27" s="141" t="s">
        <v>189</v>
      </c>
      <c r="O27" s="141" t="s">
        <v>190</v>
      </c>
      <c r="P27" s="141" t="s">
        <v>191</v>
      </c>
      <c r="Q27" s="141" t="s">
        <v>175</v>
      </c>
      <c r="R27" s="141" t="s">
        <v>176</v>
      </c>
      <c r="S27" s="141" t="s">
        <v>177</v>
      </c>
      <c r="T27" s="141" t="s">
        <v>768</v>
      </c>
      <c r="U27" s="141" t="s">
        <v>769</v>
      </c>
      <c r="V27" s="141" t="s">
        <v>770</v>
      </c>
    </row>
    <row r="28" spans="1:23" x14ac:dyDescent="0.35">
      <c r="B28" s="33"/>
      <c r="C28" s="714" t="s">
        <v>312</v>
      </c>
      <c r="D28" s="1221">
        <f>SUM(D29:D43)</f>
        <v>5.8765000000000009</v>
      </c>
      <c r="E28" s="1221">
        <f t="shared" ref="E28:V28" si="41">SUM(E29:E43)</f>
        <v>11.753000000000002</v>
      </c>
      <c r="F28" s="1221">
        <f t="shared" si="41"/>
        <v>15.762320000000003</v>
      </c>
      <c r="G28" s="1221">
        <f t="shared" si="41"/>
        <v>19.771640000000005</v>
      </c>
      <c r="H28" s="1221">
        <f t="shared" si="41"/>
        <v>23.812229000000006</v>
      </c>
      <c r="I28" s="1221">
        <f t="shared" si="41"/>
        <v>27.852818000000006</v>
      </c>
      <c r="J28" s="1221">
        <f t="shared" si="41"/>
        <v>30.517977000000005</v>
      </c>
      <c r="K28" s="1221">
        <f t="shared" si="41"/>
        <v>33.183136000000005</v>
      </c>
      <c r="L28" s="1221">
        <f t="shared" si="41"/>
        <v>36.260924000000003</v>
      </c>
      <c r="M28" s="1221">
        <f t="shared" si="41"/>
        <v>39.338711999999994</v>
      </c>
      <c r="N28" s="1221">
        <f t="shared" si="41"/>
        <v>40.928439999999995</v>
      </c>
      <c r="O28" s="1221">
        <f t="shared" si="41"/>
        <v>42.518167999999996</v>
      </c>
      <c r="P28" s="1221">
        <f t="shared" si="41"/>
        <v>44.428388999999996</v>
      </c>
      <c r="Q28" s="1221">
        <f t="shared" si="41"/>
        <v>46.338610000000003</v>
      </c>
      <c r="R28" s="1221">
        <f t="shared" si="41"/>
        <v>47.279744500000007</v>
      </c>
      <c r="S28" s="1221">
        <f t="shared" si="41"/>
        <v>46.283419000000009</v>
      </c>
      <c r="T28" s="1221">
        <f t="shared" si="41"/>
        <v>45.578489500000011</v>
      </c>
      <c r="U28" s="1221">
        <f t="shared" si="41"/>
        <v>45.454798000000011</v>
      </c>
      <c r="V28" s="1221">
        <f t="shared" si="41"/>
        <v>45.360580000000013</v>
      </c>
    </row>
    <row r="29" spans="1:23" x14ac:dyDescent="0.35">
      <c r="A29" s="712">
        <v>2021</v>
      </c>
      <c r="B29" s="33" t="s">
        <v>778</v>
      </c>
      <c r="C29" s="714"/>
      <c r="D29" s="712">
        <f>($D$9+$D$10)*'ARP Timing'!B$16</f>
        <v>5.8765000000000009</v>
      </c>
      <c r="E29" s="712">
        <f>($D$9+$D$10)*'ARP Timing'!C$16</f>
        <v>5.8765000000000009</v>
      </c>
      <c r="F29" s="712">
        <f>($D$9+$D$10)*'ARP Timing'!D$16</f>
        <v>4.11355</v>
      </c>
      <c r="G29" s="712">
        <f>($D$9+$D$10)*'ARP Timing'!E$16</f>
        <v>4.11355</v>
      </c>
      <c r="H29" s="712">
        <f>($D$9+$D$10)*'ARP Timing'!F$16</f>
        <v>4.11355</v>
      </c>
      <c r="I29" s="712">
        <f>($D$9+$D$10)*'ARP Timing'!G$16</f>
        <v>4.11355</v>
      </c>
      <c r="J29" s="712">
        <f>($D$9+$D$10)*'ARP Timing'!H$16</f>
        <v>4.11355</v>
      </c>
      <c r="K29" s="712">
        <f>($D$9+$D$10)*'ARP Timing'!I$16</f>
        <v>4.11355</v>
      </c>
      <c r="L29" s="712">
        <f>($D$9+$D$10)*'ARP Timing'!J$16</f>
        <v>4.11355</v>
      </c>
      <c r="M29" s="712">
        <f>($D$9+$D$10)*'ARP Timing'!K$16</f>
        <v>4.11355</v>
      </c>
      <c r="N29" s="712">
        <f>($D$9+$D$10)*'ARP Timing'!L$16</f>
        <v>4.11355</v>
      </c>
      <c r="O29" s="712">
        <f>($D$9+$D$10)*'ARP Timing'!M$16</f>
        <v>4.11355</v>
      </c>
      <c r="P29" s="712">
        <f>($D$9+$D$10)*'ARP Timing'!N$16</f>
        <v>3.987625</v>
      </c>
      <c r="Q29" s="712">
        <f>($D$9+$D$10)*'ARP Timing'!O$16</f>
        <v>3.987625</v>
      </c>
      <c r="R29" s="712">
        <f>($D$9+$D$10)*'ARP Timing'!P$16</f>
        <v>3.987625</v>
      </c>
      <c r="S29" s="712">
        <f>($D$9+$D$10)*'ARP Timing'!Q$16</f>
        <v>3.987625</v>
      </c>
      <c r="T29" s="712">
        <f>($D$9+$D$10)*'ARP Timing'!R$16</f>
        <v>3.987625</v>
      </c>
      <c r="U29" s="712">
        <f>($D$9+$D$10)*'ARP Timing'!S$16</f>
        <v>3.987625</v>
      </c>
      <c r="V29" s="712">
        <f>($D$9+$D$10)*'ARP Timing'!T$16</f>
        <v>3.987625</v>
      </c>
    </row>
    <row r="30" spans="1:23" x14ac:dyDescent="0.35">
      <c r="B30" s="33" t="s">
        <v>331</v>
      </c>
      <c r="C30" s="714"/>
      <c r="E30" s="712">
        <f>($E$9+$E$10)*'ARP Timing'!B$16</f>
        <v>5.8765000000000009</v>
      </c>
      <c r="F30" s="712">
        <f>($E$9+$E$10)*'ARP Timing'!C$16</f>
        <v>5.8765000000000009</v>
      </c>
      <c r="G30" s="712">
        <f>($E$9+$E$10)*'ARP Timing'!D$16</f>
        <v>4.11355</v>
      </c>
      <c r="H30" s="712">
        <f>($E$9+$E$10)*'ARP Timing'!E$16</f>
        <v>4.11355</v>
      </c>
      <c r="I30" s="712">
        <f>($E$9+$E$10)*'ARP Timing'!F$16</f>
        <v>4.11355</v>
      </c>
      <c r="J30" s="712">
        <f>($E$9+$E$10)*'ARP Timing'!G$16</f>
        <v>4.11355</v>
      </c>
      <c r="K30" s="712">
        <f>($E$9+$E$10)*'ARP Timing'!H$16</f>
        <v>4.11355</v>
      </c>
      <c r="L30" s="712">
        <f>($E$9+$E$10)*'ARP Timing'!I$16</f>
        <v>4.11355</v>
      </c>
      <c r="M30" s="712">
        <f>($E$9+$E$10)*'ARP Timing'!J$16</f>
        <v>4.11355</v>
      </c>
      <c r="N30" s="712">
        <f>($E$9+$E$10)*'ARP Timing'!K$16</f>
        <v>4.11355</v>
      </c>
      <c r="O30" s="712">
        <f>($E$9+$E$10)*'ARP Timing'!L$16</f>
        <v>4.11355</v>
      </c>
      <c r="P30" s="712">
        <f>($E$9+$E$10)*'ARP Timing'!M$16</f>
        <v>4.11355</v>
      </c>
      <c r="Q30" s="712">
        <f>($E$9+$E$10)*'ARP Timing'!N$16</f>
        <v>3.987625</v>
      </c>
      <c r="R30" s="712">
        <f>($E$9+$E$10)*'ARP Timing'!O$16</f>
        <v>3.987625</v>
      </c>
      <c r="S30" s="712">
        <f>($E$9+$E$10)*'ARP Timing'!P$16</f>
        <v>3.987625</v>
      </c>
      <c r="T30" s="712">
        <f>($E$9+$E$10)*'ARP Timing'!Q$16</f>
        <v>3.987625</v>
      </c>
      <c r="U30" s="712">
        <f>($E$9+$E$10)*'ARP Timing'!R$16</f>
        <v>3.987625</v>
      </c>
      <c r="V30" s="712">
        <f>($E$9+$E$10)*'ARP Timing'!S$16</f>
        <v>3.987625</v>
      </c>
    </row>
    <row r="31" spans="1:23" x14ac:dyDescent="0.35">
      <c r="B31" s="33" t="s">
        <v>779</v>
      </c>
      <c r="C31" s="714"/>
      <c r="F31" s="712">
        <f>($F$9+$F$10)*'ARP Timing'!B$16</f>
        <v>5.7722700000000016</v>
      </c>
      <c r="G31" s="712">
        <f>($F$9+$F$10)*'ARP Timing'!C$16</f>
        <v>5.7722700000000016</v>
      </c>
      <c r="H31" s="712">
        <f>($F$9+$F$10)*'ARP Timing'!D$16</f>
        <v>4.0405890000000007</v>
      </c>
      <c r="I31" s="712">
        <f>($F$9+$F$10)*'ARP Timing'!E$16</f>
        <v>4.0405890000000007</v>
      </c>
      <c r="J31" s="712">
        <f>($F$9+$F$10)*'ARP Timing'!F$16</f>
        <v>4.0405890000000007</v>
      </c>
      <c r="K31" s="712">
        <f>($F$9+$F$10)*'ARP Timing'!G$16</f>
        <v>4.0405890000000007</v>
      </c>
      <c r="L31" s="712">
        <f>($F$9+$F$10)*'ARP Timing'!H$16</f>
        <v>4.0405890000000007</v>
      </c>
      <c r="M31" s="712">
        <f>($F$9+$F$10)*'ARP Timing'!I$16</f>
        <v>4.0405890000000007</v>
      </c>
      <c r="N31" s="712">
        <f>($F$9+$F$10)*'ARP Timing'!J$16</f>
        <v>4.0405890000000007</v>
      </c>
      <c r="O31" s="712">
        <f>($F$9+$F$10)*'ARP Timing'!K$16</f>
        <v>4.0405890000000007</v>
      </c>
      <c r="P31" s="712">
        <f>($F$9+$F$10)*'ARP Timing'!L$16</f>
        <v>4.0405890000000007</v>
      </c>
      <c r="Q31" s="712">
        <f>($F$9+$F$10)*'ARP Timing'!M$16</f>
        <v>4.0405890000000007</v>
      </c>
      <c r="R31" s="712">
        <f>($F$9+$F$10)*'ARP Timing'!N$16</f>
        <v>3.9168975000000006</v>
      </c>
      <c r="S31" s="712">
        <f>($F$9+$F$10)*'ARP Timing'!O$16</f>
        <v>3.9168975000000006</v>
      </c>
      <c r="T31" s="712">
        <f>($F$9+$F$10)*'ARP Timing'!P$16</f>
        <v>3.9168975000000006</v>
      </c>
      <c r="U31" s="712">
        <f>($F$9+$F$10)*'ARP Timing'!Q$16</f>
        <v>3.9168975000000006</v>
      </c>
      <c r="V31" s="712">
        <f>($F$9+$F$10)*'ARP Timing'!R$16</f>
        <v>3.9168975000000006</v>
      </c>
    </row>
    <row r="32" spans="1:23" x14ac:dyDescent="0.35">
      <c r="A32" s="712">
        <v>2022</v>
      </c>
      <c r="B32" s="33" t="s">
        <v>240</v>
      </c>
      <c r="C32" s="714"/>
      <c r="G32" s="712">
        <f>($G$9+$G$10)*'ARP Timing'!B$16</f>
        <v>5.7722700000000016</v>
      </c>
      <c r="H32" s="712">
        <f>($G$9+$G$10)*'ARP Timing'!C$16</f>
        <v>5.7722700000000016</v>
      </c>
      <c r="I32" s="712">
        <f>($G$9+$G$10)*'ARP Timing'!D$16</f>
        <v>4.0405890000000007</v>
      </c>
      <c r="J32" s="712">
        <f>($G$9+$G$10)*'ARP Timing'!E$16</f>
        <v>4.0405890000000007</v>
      </c>
      <c r="K32" s="712">
        <f>($G$9+$G$10)*'ARP Timing'!F$16</f>
        <v>4.0405890000000007</v>
      </c>
      <c r="L32" s="712">
        <f>($G$9+$G$10)*'ARP Timing'!G$16</f>
        <v>4.0405890000000007</v>
      </c>
      <c r="M32" s="712">
        <f>($G$9+$G$10)*'ARP Timing'!H$16</f>
        <v>4.0405890000000007</v>
      </c>
      <c r="N32" s="712">
        <f>($G$9+$G$10)*'ARP Timing'!I$16</f>
        <v>4.0405890000000007</v>
      </c>
      <c r="O32" s="712">
        <f>($G$9+$G$10)*'ARP Timing'!J$16</f>
        <v>4.0405890000000007</v>
      </c>
      <c r="P32" s="712">
        <f>($G$9+$G$10)*'ARP Timing'!K$16</f>
        <v>4.0405890000000007</v>
      </c>
      <c r="Q32" s="712">
        <f>($G$9+$G$10)*'ARP Timing'!L$16</f>
        <v>4.0405890000000007</v>
      </c>
      <c r="R32" s="712">
        <f>($G$9+$G$10)*'ARP Timing'!M$16</f>
        <v>4.0405890000000007</v>
      </c>
      <c r="S32" s="712">
        <f>($G$9+$G$10)*'ARP Timing'!N$16</f>
        <v>3.9168975000000006</v>
      </c>
      <c r="T32" s="712">
        <f>($G$9+$G$10)*'ARP Timing'!O$16</f>
        <v>3.9168975000000006</v>
      </c>
      <c r="U32" s="712">
        <f>($G$9+$G$10)*'ARP Timing'!P$16</f>
        <v>3.9168975000000006</v>
      </c>
      <c r="V32" s="712">
        <f>($G$9+$G$10)*'ARP Timing'!Q$16</f>
        <v>3.9168975000000006</v>
      </c>
    </row>
    <row r="33" spans="1:23" x14ac:dyDescent="0.35">
      <c r="B33" s="33" t="s">
        <v>241</v>
      </c>
      <c r="C33" s="714"/>
      <c r="H33" s="712">
        <f>($H$9+$H$10)*'ARP Timing'!B$16</f>
        <v>5.7722700000000016</v>
      </c>
      <c r="I33" s="712">
        <f>($H$9+$H$10)*'ARP Timing'!C$16</f>
        <v>5.7722700000000016</v>
      </c>
      <c r="J33" s="712">
        <f>($H$9+$H$10)*'ARP Timing'!D$16</f>
        <v>4.0405890000000007</v>
      </c>
      <c r="K33" s="712">
        <f>($H$9+$H$10)*'ARP Timing'!E$16</f>
        <v>4.0405890000000007</v>
      </c>
      <c r="L33" s="712">
        <f>($H$9+$H$10)*'ARP Timing'!F$16</f>
        <v>4.0405890000000007</v>
      </c>
      <c r="M33" s="712">
        <f>($H$9+$H$10)*'ARP Timing'!G$16</f>
        <v>4.0405890000000007</v>
      </c>
      <c r="N33" s="712">
        <f>($H$9+$H$10)*'ARP Timing'!H$16</f>
        <v>4.0405890000000007</v>
      </c>
      <c r="O33" s="712">
        <f>($H$9+$H$10)*'ARP Timing'!I$16</f>
        <v>4.0405890000000007</v>
      </c>
      <c r="P33" s="712">
        <f>($H$9+$H$10)*'ARP Timing'!J$16</f>
        <v>4.0405890000000007</v>
      </c>
      <c r="Q33" s="712">
        <f>($H$9+$H$10)*'ARP Timing'!K$16</f>
        <v>4.0405890000000007</v>
      </c>
      <c r="R33" s="712">
        <f>($H$9+$H$10)*'ARP Timing'!L$16</f>
        <v>4.0405890000000007</v>
      </c>
      <c r="S33" s="712">
        <f>($H$9+$H$10)*'ARP Timing'!M$16</f>
        <v>4.0405890000000007</v>
      </c>
      <c r="T33" s="712">
        <f>($H$9+$H$10)*'ARP Timing'!N$16</f>
        <v>3.9168975000000006</v>
      </c>
      <c r="U33" s="712">
        <f>($H$9+$H$10)*'ARP Timing'!O$16</f>
        <v>3.9168975000000006</v>
      </c>
      <c r="V33" s="712">
        <f>($H$9+$H$10)*'ARP Timing'!P$16</f>
        <v>3.9168975000000006</v>
      </c>
    </row>
    <row r="34" spans="1:23" x14ac:dyDescent="0.35">
      <c r="B34" s="33" t="s">
        <v>331</v>
      </c>
      <c r="C34" s="714"/>
      <c r="H34" s="714"/>
      <c r="I34" s="712">
        <f>($I$9+$I10)*'ARP Timing'!B$16</f>
        <v>5.7722700000000016</v>
      </c>
      <c r="J34" s="712">
        <f>($I$9+$I10)*'ARP Timing'!C$16</f>
        <v>5.7722700000000016</v>
      </c>
      <c r="K34" s="712">
        <f>($I$9+$I10)*'ARP Timing'!D$16</f>
        <v>4.0405890000000007</v>
      </c>
      <c r="L34" s="712">
        <f>($I$9+$I10)*'ARP Timing'!E$16</f>
        <v>4.0405890000000007</v>
      </c>
      <c r="M34" s="712">
        <f>($I$9+$I10)*'ARP Timing'!F$16</f>
        <v>4.0405890000000007</v>
      </c>
      <c r="N34" s="712">
        <f>($I$9+$I10)*'ARP Timing'!G$16</f>
        <v>4.0405890000000007</v>
      </c>
      <c r="O34" s="712">
        <f>($I$9+$I10)*'ARP Timing'!H$16</f>
        <v>4.0405890000000007</v>
      </c>
      <c r="P34" s="712">
        <f>($I$9+$I10)*'ARP Timing'!I$16</f>
        <v>4.0405890000000007</v>
      </c>
      <c r="Q34" s="712">
        <f>($I$9+$I10)*'ARP Timing'!J$16</f>
        <v>4.0405890000000007</v>
      </c>
      <c r="R34" s="712">
        <f>($I$9+$I10)*'ARP Timing'!K$16</f>
        <v>4.0405890000000007</v>
      </c>
      <c r="S34" s="712">
        <f>($I$9+$I10)*'ARP Timing'!L$16</f>
        <v>4.0405890000000007</v>
      </c>
      <c r="T34" s="712">
        <f>($I$9+$I10)*'ARP Timing'!M$16</f>
        <v>4.0405890000000007</v>
      </c>
      <c r="U34" s="712">
        <f>($I$9+$I10)*'ARP Timing'!N$16</f>
        <v>3.9168975000000006</v>
      </c>
      <c r="V34" s="712">
        <f>($I$9+$I10)*'ARP Timing'!O$16</f>
        <v>3.9168975000000006</v>
      </c>
    </row>
    <row r="35" spans="1:23" x14ac:dyDescent="0.35">
      <c r="B35" s="33" t="s">
        <v>779</v>
      </c>
      <c r="C35" s="714"/>
      <c r="H35" s="714"/>
      <c r="J35" s="712">
        <f>($J$9+$J$10)*'ARP Timing'!B$16</f>
        <v>4.3968400000000001</v>
      </c>
      <c r="K35" s="712">
        <f>($J$9+$J$10)*'ARP Timing'!C$16</f>
        <v>4.3968400000000001</v>
      </c>
      <c r="L35" s="712">
        <f>($J$9+$J$10)*'ARP Timing'!D$16</f>
        <v>3.077788</v>
      </c>
      <c r="M35" s="712">
        <f>($J$9+$J$10)*'ARP Timing'!E$16</f>
        <v>3.077788</v>
      </c>
      <c r="N35" s="712">
        <f>($J$9+$J$10)*'ARP Timing'!F$16</f>
        <v>3.077788</v>
      </c>
      <c r="O35" s="712">
        <f>($J$9+$J$10)*'ARP Timing'!G$16</f>
        <v>3.077788</v>
      </c>
      <c r="P35" s="712">
        <f>($J$9+$J$10)*'ARP Timing'!H$16</f>
        <v>3.077788</v>
      </c>
      <c r="Q35" s="712">
        <f>($J$9+$J$10)*'ARP Timing'!I$16</f>
        <v>3.077788</v>
      </c>
      <c r="R35" s="712">
        <f>($J$9+$J$10)*'ARP Timing'!J$16</f>
        <v>3.077788</v>
      </c>
      <c r="S35" s="712">
        <f>($J$9+$J$10)*'ARP Timing'!K$16</f>
        <v>3.077788</v>
      </c>
      <c r="T35" s="712">
        <f>($J$9+$J$10)*'ARP Timing'!L$16</f>
        <v>3.077788</v>
      </c>
      <c r="U35" s="712">
        <f>($J$9+$J$10)*'ARP Timing'!M$16</f>
        <v>3.077788</v>
      </c>
      <c r="V35" s="712">
        <f>($J$9+$J$10)*'ARP Timing'!N$16</f>
        <v>2.9835699999999998</v>
      </c>
    </row>
    <row r="36" spans="1:23" x14ac:dyDescent="0.35">
      <c r="A36" s="712">
        <v>2023</v>
      </c>
      <c r="B36" s="33" t="s">
        <v>240</v>
      </c>
      <c r="C36" s="714"/>
      <c r="H36" s="714"/>
      <c r="K36" s="712">
        <f>($K$9+$K$10)*'ARP Timing'!B$16</f>
        <v>4.3968400000000001</v>
      </c>
      <c r="L36" s="712">
        <f>($K$9+$K$10)*'ARP Timing'!C$16</f>
        <v>4.3968400000000001</v>
      </c>
      <c r="M36" s="712">
        <f>($K$9+$K$10)*'ARP Timing'!D$16</f>
        <v>3.077788</v>
      </c>
      <c r="N36" s="712">
        <f>($K$9+$K$10)*'ARP Timing'!E$16</f>
        <v>3.077788</v>
      </c>
      <c r="O36" s="712">
        <f>($K$9+$K$10)*'ARP Timing'!F$16</f>
        <v>3.077788</v>
      </c>
      <c r="P36" s="712">
        <f>($K$9+$K$10)*'ARP Timing'!G$16</f>
        <v>3.077788</v>
      </c>
      <c r="Q36" s="712">
        <f>($K$9+$K$10)*'ARP Timing'!H$16</f>
        <v>3.077788</v>
      </c>
      <c r="R36" s="712">
        <f>($K$9+$K$10)*'ARP Timing'!I$16</f>
        <v>3.077788</v>
      </c>
      <c r="S36" s="712">
        <f>($K$9+$K$10)*'ARP Timing'!J$16</f>
        <v>3.077788</v>
      </c>
      <c r="T36" s="712">
        <f>($K$9+$K$10)*'ARP Timing'!K$16</f>
        <v>3.077788</v>
      </c>
      <c r="U36" s="712">
        <f>($K$9+$K$10)*'ARP Timing'!L$16</f>
        <v>3.077788</v>
      </c>
      <c r="V36" s="712">
        <f>($K$9+$K$10)*'ARP Timing'!M$16</f>
        <v>3.077788</v>
      </c>
    </row>
    <row r="37" spans="1:23" x14ac:dyDescent="0.35">
      <c r="B37" s="33" t="s">
        <v>241</v>
      </c>
      <c r="C37" s="714"/>
      <c r="H37" s="714"/>
      <c r="L37" s="712">
        <f>($L$9+$L$10)*'ARP Timing'!B$16</f>
        <v>4.3968400000000001</v>
      </c>
      <c r="M37" s="712">
        <f>($L$9+$L$10)*'ARP Timing'!C$16</f>
        <v>4.3968400000000001</v>
      </c>
      <c r="N37" s="712">
        <f>($L$9+$L$10)*'ARP Timing'!D$16</f>
        <v>3.077788</v>
      </c>
      <c r="O37" s="712">
        <f>($L$9+$L$10)*'ARP Timing'!E$16</f>
        <v>3.077788</v>
      </c>
      <c r="P37" s="712">
        <f>($L$9+$L$10)*'ARP Timing'!F$16</f>
        <v>3.077788</v>
      </c>
      <c r="Q37" s="712">
        <f>($L$9+$L$10)*'ARP Timing'!G$16</f>
        <v>3.077788</v>
      </c>
      <c r="R37" s="712">
        <f>($L$9+$L$10)*'ARP Timing'!H$16</f>
        <v>3.077788</v>
      </c>
      <c r="S37" s="712">
        <f>($L$9+$L$10)*'ARP Timing'!I$16</f>
        <v>3.077788</v>
      </c>
      <c r="T37" s="712">
        <f>($L$9+$L$10)*'ARP Timing'!J$16</f>
        <v>3.077788</v>
      </c>
      <c r="U37" s="712">
        <f>($L$9+$L$10)*'ARP Timing'!K$16</f>
        <v>3.077788</v>
      </c>
      <c r="V37" s="712">
        <f>($L$9+$L$10)*'ARP Timing'!L$16</f>
        <v>3.077788</v>
      </c>
    </row>
    <row r="38" spans="1:23" x14ac:dyDescent="0.35">
      <c r="B38" s="33" t="s">
        <v>331</v>
      </c>
      <c r="C38" s="714"/>
      <c r="H38" s="714"/>
      <c r="M38" s="712">
        <f>($M$9+$M$10)*'ARP Timing'!B$16</f>
        <v>4.3968400000000001</v>
      </c>
      <c r="N38" s="712">
        <f>($M$9+$M$10)*'ARP Timing'!C$16</f>
        <v>4.3968400000000001</v>
      </c>
      <c r="O38" s="712">
        <f>($M$9+$M$10)*'ARP Timing'!D$16</f>
        <v>3.077788</v>
      </c>
      <c r="P38" s="712">
        <f>($M$9+$M$10)*'ARP Timing'!E$16</f>
        <v>3.077788</v>
      </c>
      <c r="Q38" s="712">
        <f>($M$9+$M$10)*'ARP Timing'!F$16</f>
        <v>3.077788</v>
      </c>
      <c r="R38" s="712">
        <f>($M$9+$M$10)*'ARP Timing'!G$16</f>
        <v>3.077788</v>
      </c>
      <c r="S38" s="712">
        <f>($M$9+$M$10)*'ARP Timing'!H$16</f>
        <v>3.077788</v>
      </c>
      <c r="T38" s="712">
        <f>($M$9+$M$10)*'ARP Timing'!I$16</f>
        <v>3.077788</v>
      </c>
      <c r="U38" s="712">
        <f>($M$9+$M$10)*'ARP Timing'!J$16</f>
        <v>3.077788</v>
      </c>
      <c r="V38" s="712">
        <f>($M$9+$M$10)*'ARP Timing'!K$16</f>
        <v>3.077788</v>
      </c>
    </row>
    <row r="39" spans="1:23" x14ac:dyDescent="0.35">
      <c r="B39" s="33" t="s">
        <v>779</v>
      </c>
      <c r="C39" s="714"/>
      <c r="H39" s="714"/>
      <c r="N39" s="712">
        <f>($N$9+$N$10)*'ARP Timing'!B$16</f>
        <v>2.9087800000000006</v>
      </c>
      <c r="O39" s="712">
        <f>($N$9+$N$10)*'ARP Timing'!C$16</f>
        <v>2.9087800000000006</v>
      </c>
      <c r="P39" s="712">
        <f>($N$9+$N$10)*'ARP Timing'!D$16</f>
        <v>2.036146</v>
      </c>
      <c r="Q39" s="712">
        <f>($N$9+$N$10)*'ARP Timing'!E$16</f>
        <v>2.036146</v>
      </c>
      <c r="R39" s="712">
        <f>($N$9+$N$10)*'ARP Timing'!F$16</f>
        <v>2.036146</v>
      </c>
      <c r="S39" s="712">
        <f>($N$9+$N$10)*'ARP Timing'!G$16</f>
        <v>2.036146</v>
      </c>
      <c r="T39" s="712">
        <f>($N$9+$N$10)*'ARP Timing'!H$16</f>
        <v>2.036146</v>
      </c>
      <c r="U39" s="712">
        <f>($N$9+$N$10)*'ARP Timing'!I$16</f>
        <v>2.036146</v>
      </c>
      <c r="V39" s="712">
        <f>($N$9+$N$10)*'ARP Timing'!J$16</f>
        <v>2.036146</v>
      </c>
    </row>
    <row r="40" spans="1:23" x14ac:dyDescent="0.35">
      <c r="A40" s="712">
        <v>2024</v>
      </c>
      <c r="B40" s="33" t="s">
        <v>240</v>
      </c>
      <c r="C40" s="714"/>
      <c r="H40" s="714"/>
      <c r="O40" s="712">
        <f>($O$9+$O$10)*'ARP Timing'!B$16</f>
        <v>2.9087800000000006</v>
      </c>
      <c r="P40" s="712">
        <f>($O$9+$O$10)*'ARP Timing'!C$16</f>
        <v>2.9087800000000006</v>
      </c>
      <c r="Q40" s="712">
        <f>($O$9+$O$10)*'ARP Timing'!D$16</f>
        <v>2.036146</v>
      </c>
      <c r="R40" s="712">
        <f>($O$9+$O$10)*'ARP Timing'!E$16</f>
        <v>2.036146</v>
      </c>
      <c r="S40" s="712">
        <f>($O$9+$O$10)*'ARP Timing'!F$16</f>
        <v>2.036146</v>
      </c>
      <c r="T40" s="712">
        <f>($O$9+$O$10)*'ARP Timing'!G$16</f>
        <v>2.036146</v>
      </c>
      <c r="U40" s="712">
        <f>($O$9+$O$10)*'ARP Timing'!H$16</f>
        <v>2.036146</v>
      </c>
      <c r="V40" s="712">
        <f>($O$9+$O$10)*'ARP Timing'!I$16</f>
        <v>2.036146</v>
      </c>
    </row>
    <row r="41" spans="1:23" x14ac:dyDescent="0.35">
      <c r="B41" s="33" t="s">
        <v>241</v>
      </c>
      <c r="C41" s="714"/>
      <c r="H41" s="714"/>
      <c r="P41" s="712">
        <f>($P$9+$P$10)*'ARP Timing'!B$16</f>
        <v>2.9087800000000006</v>
      </c>
      <c r="Q41" s="712">
        <f>($P$9+$P$10)*'ARP Timing'!C$16</f>
        <v>2.9087800000000006</v>
      </c>
      <c r="R41" s="712">
        <f>($P$9+$P$10)*'ARP Timing'!D$16</f>
        <v>2.036146</v>
      </c>
      <c r="S41" s="712">
        <f>($P$9+$P$10)*'ARP Timing'!E$16</f>
        <v>2.036146</v>
      </c>
      <c r="T41" s="712">
        <f>($P$9+$P$10)*'ARP Timing'!F$16</f>
        <v>2.036146</v>
      </c>
      <c r="U41" s="712">
        <f>($P$9+$P$10)*'ARP Timing'!G$16</f>
        <v>2.036146</v>
      </c>
      <c r="V41" s="712">
        <f>($P$9+$P$10)*'ARP Timing'!H$16</f>
        <v>2.036146</v>
      </c>
    </row>
    <row r="42" spans="1:23" x14ac:dyDescent="0.35">
      <c r="B42" s="33" t="s">
        <v>331</v>
      </c>
      <c r="C42" s="714"/>
      <c r="H42" s="714"/>
      <c r="Q42" s="712">
        <f>($Q$9+$Q$10)*'ARP Timing'!B$16</f>
        <v>2.9087800000000006</v>
      </c>
      <c r="R42" s="712">
        <f>($Q$9+$Q$10)*'ARP Timing'!C$16</f>
        <v>2.9087800000000006</v>
      </c>
      <c r="S42" s="712">
        <f>($Q$9+$Q$10)*'ARP Timing'!D$16</f>
        <v>2.036146</v>
      </c>
      <c r="T42" s="712">
        <f>($Q$9+$Q$10)*'ARP Timing'!E$16</f>
        <v>2.036146</v>
      </c>
      <c r="U42" s="712">
        <f>($Q$9+$Q$10)*'ARP Timing'!F$16</f>
        <v>2.036146</v>
      </c>
      <c r="V42" s="712">
        <f>($Q$9+$Q$10)*'ARP Timing'!G$16</f>
        <v>2.036146</v>
      </c>
    </row>
    <row r="43" spans="1:23" x14ac:dyDescent="0.35">
      <c r="B43" s="33" t="s">
        <v>779</v>
      </c>
      <c r="C43" s="714"/>
      <c r="H43" s="714"/>
      <c r="R43" s="712">
        <f>($R$9+$R$10)*'ARP Timing'!B$16</f>
        <v>1.9374600000000002</v>
      </c>
      <c r="S43" s="712">
        <f>($R$9+$R$10)*'ARP Timing'!C$16</f>
        <v>1.9374600000000002</v>
      </c>
      <c r="T43" s="712">
        <f>($R$9+$R$10)*'ARP Timing'!D$16</f>
        <v>1.356222</v>
      </c>
      <c r="U43" s="712">
        <f>($R$9+$R$10)*'ARP Timing'!E$16</f>
        <v>1.356222</v>
      </c>
      <c r="V43" s="712">
        <f>($R$9+$R$10)*'ARP Timing'!F$16</f>
        <v>1.356222</v>
      </c>
    </row>
    <row r="44" spans="1:23" x14ac:dyDescent="0.35">
      <c r="S44" s="712">
        <f>($S$9+$S$10)*'ARP Timing'!B$16</f>
        <v>1.9374600000000002</v>
      </c>
      <c r="T44" s="712">
        <f>($S$9+$S$10)*'ARP Timing'!C$16</f>
        <v>1.9374600000000002</v>
      </c>
      <c r="U44" s="712">
        <f>($S$9+$S$10)*'ARP Timing'!D$16</f>
        <v>1.356222</v>
      </c>
      <c r="V44" s="712">
        <f>($S$9+$S$10)*'ARP Timing'!E$16</f>
        <v>1.356222</v>
      </c>
    </row>
    <row r="46" spans="1:23" x14ac:dyDescent="0.35">
      <c r="B46" s="712" t="s">
        <v>780</v>
      </c>
      <c r="D46" s="141" t="s">
        <v>251</v>
      </c>
      <c r="E46" s="141" t="s">
        <v>180</v>
      </c>
      <c r="F46" s="141" t="s">
        <v>181</v>
      </c>
      <c r="G46" s="141" t="s">
        <v>182</v>
      </c>
      <c r="H46" s="141" t="s">
        <v>183</v>
      </c>
      <c r="I46" s="141" t="s">
        <v>184</v>
      </c>
      <c r="J46" s="141" t="s">
        <v>185</v>
      </c>
      <c r="K46" s="141" t="s">
        <v>186</v>
      </c>
      <c r="L46" s="141" t="s">
        <v>187</v>
      </c>
      <c r="M46" s="141" t="s">
        <v>188</v>
      </c>
      <c r="N46" s="141" t="s">
        <v>189</v>
      </c>
      <c r="O46" s="141" t="s">
        <v>190</v>
      </c>
      <c r="P46" s="141" t="s">
        <v>191</v>
      </c>
      <c r="Q46" s="141" t="s">
        <v>175</v>
      </c>
      <c r="R46" s="141" t="s">
        <v>176</v>
      </c>
      <c r="S46" s="141" t="s">
        <v>177</v>
      </c>
      <c r="T46" s="141" t="s">
        <v>768</v>
      </c>
      <c r="U46" s="141" t="s">
        <v>769</v>
      </c>
      <c r="V46" s="141" t="s">
        <v>770</v>
      </c>
    </row>
    <row r="47" spans="1:23" x14ac:dyDescent="0.35">
      <c r="B47" s="33"/>
      <c r="C47" s="714" t="s">
        <v>312</v>
      </c>
      <c r="D47" s="1221">
        <f t="shared" ref="D47:U47" si="42">SUM(D48:D66)</f>
        <v>0</v>
      </c>
      <c r="E47" s="1221">
        <f t="shared" si="42"/>
        <v>0</v>
      </c>
      <c r="F47" s="1221">
        <f t="shared" si="42"/>
        <v>34.620851999999999</v>
      </c>
      <c r="G47" s="1221">
        <f t="shared" si="42"/>
        <v>50.996274799999995</v>
      </c>
      <c r="H47" s="1221">
        <f t="shared" si="42"/>
        <v>69.350031999999999</v>
      </c>
      <c r="I47" s="1221">
        <f t="shared" si="42"/>
        <v>79.295867999999999</v>
      </c>
      <c r="J47" s="1221">
        <f t="shared" si="42"/>
        <v>80.538927999999999</v>
      </c>
      <c r="K47" s="1221">
        <f t="shared" si="42"/>
        <v>80.122543199999996</v>
      </c>
      <c r="L47" s="1221">
        <f t="shared" si="42"/>
        <v>88.916719999999998</v>
      </c>
      <c r="M47" s="1221">
        <f t="shared" si="42"/>
        <v>92.213943999999998</v>
      </c>
      <c r="N47" s="1221">
        <f t="shared" si="42"/>
        <v>92.213943999999998</v>
      </c>
      <c r="O47" s="1221">
        <f t="shared" si="42"/>
        <v>94.213943999999998</v>
      </c>
      <c r="P47" s="1221">
        <f t="shared" si="42"/>
        <v>98.916719999999998</v>
      </c>
      <c r="Q47" s="1221">
        <f t="shared" si="42"/>
        <v>98.916719999999998</v>
      </c>
      <c r="R47" s="1221">
        <f t="shared" si="42"/>
        <v>99.081581199999988</v>
      </c>
      <c r="S47" s="1221">
        <f t="shared" si="42"/>
        <v>93.146578000000005</v>
      </c>
      <c r="T47" s="1221">
        <f t="shared" si="42"/>
        <v>86.552129999999991</v>
      </c>
      <c r="U47" s="1221">
        <f t="shared" si="42"/>
        <v>86.552129999999991</v>
      </c>
      <c r="V47" s="1221">
        <f>SUM(V48:V66)</f>
        <v>82.265738799999994</v>
      </c>
      <c r="W47" s="712">
        <f>SUM(G47:V47)/4</f>
        <v>343.32344900000004</v>
      </c>
    </row>
    <row r="48" spans="1:23" x14ac:dyDescent="0.35">
      <c r="A48" s="712">
        <v>2021</v>
      </c>
      <c r="B48" s="33" t="s">
        <v>778</v>
      </c>
      <c r="C48" s="714"/>
      <c r="D48" s="712">
        <f>($D$8)*'ARP Timing'!B17</f>
        <v>0</v>
      </c>
      <c r="E48" s="712">
        <f>($D$8)*'ARP Timing'!C17</f>
        <v>0</v>
      </c>
      <c r="F48" s="712">
        <f>($D$8)*'ARP Timing'!D17</f>
        <v>34.620851999999999</v>
      </c>
      <c r="G48" s="712">
        <f>($D$8)*'ARP Timing'!E17</f>
        <v>45.996274799999995</v>
      </c>
      <c r="H48" s="712">
        <f>($D$8)*'ARP Timing'!F17</f>
        <v>59.350031999999992</v>
      </c>
      <c r="I48" s="712">
        <f>($D$8)*'ARP Timing'!G17</f>
        <v>64.295867999999999</v>
      </c>
      <c r="J48" s="712">
        <f>($D$8)*'ARP Timing'!H17</f>
        <v>49.458359999999999</v>
      </c>
      <c r="K48" s="712">
        <f>($D$8)*'ARP Timing'!I17</f>
        <v>49.458359999999999</v>
      </c>
      <c r="L48" s="712">
        <f>($D$8)*'ARP Timing'!J17</f>
        <v>59.350031999999992</v>
      </c>
      <c r="M48" s="712">
        <f>($D$8)*'ARP Timing'!K17</f>
        <v>59.350031999999992</v>
      </c>
      <c r="N48" s="712">
        <f>($D$8)*'ARP Timing'!L17</f>
        <v>69.241703999999999</v>
      </c>
      <c r="O48" s="712">
        <f>($D$8)*'ARP Timing'!M17</f>
        <v>69.241703999999999</v>
      </c>
      <c r="P48" s="712">
        <f>($D$8)*'ARP Timing'!N17</f>
        <v>59.350031999999992</v>
      </c>
      <c r="Q48" s="712">
        <f>($D$8)*'ARP Timing'!O17</f>
        <v>59.350031999999992</v>
      </c>
      <c r="R48" s="712">
        <f>($D$8)*'ARP Timing'!P17</f>
        <v>52.920445199999989</v>
      </c>
      <c r="S48" s="712">
        <f>($D$8)*'ARP Timing'!Q17</f>
        <v>46.985441999999992</v>
      </c>
      <c r="T48" s="712">
        <f>($D$8)*'ARP Timing'!R17</f>
        <v>46.985441999999992</v>
      </c>
      <c r="U48" s="712">
        <f>($D$8)*'ARP Timing'!S17</f>
        <v>46.985441999999992</v>
      </c>
      <c r="V48" s="712">
        <f>($D$8)*'ARP Timing'!T17</f>
        <v>46.985441999999992</v>
      </c>
    </row>
    <row r="49" spans="1:22" x14ac:dyDescent="0.35">
      <c r="B49" s="33" t="s">
        <v>331</v>
      </c>
      <c r="C49" s="714"/>
      <c r="E49" s="712">
        <f>($E$8)*'ARP Timing'!B$17</f>
        <v>0</v>
      </c>
      <c r="F49" s="712">
        <f>($E$8)*'ARP Timing'!C$16</f>
        <v>0</v>
      </c>
      <c r="G49" s="712">
        <f>($E$8)*'ARP Timing'!D$16</f>
        <v>0</v>
      </c>
      <c r="H49" s="712">
        <f>($E$8)*'ARP Timing'!E$16</f>
        <v>0</v>
      </c>
      <c r="I49" s="712">
        <f>($E$8)*'ARP Timing'!F$16</f>
        <v>0</v>
      </c>
      <c r="J49" s="712">
        <f>($E$8)*'ARP Timing'!G$16</f>
        <v>0</v>
      </c>
      <c r="K49" s="712">
        <f>($E$8)*'ARP Timing'!H$16</f>
        <v>0</v>
      </c>
      <c r="L49" s="712">
        <f>($E$8)*'ARP Timing'!I$16</f>
        <v>0</v>
      </c>
      <c r="M49" s="712">
        <f>($E$8)*'ARP Timing'!J$16</f>
        <v>0</v>
      </c>
      <c r="N49" s="712">
        <f>($E$8)*'ARP Timing'!K$16</f>
        <v>0</v>
      </c>
      <c r="O49" s="712">
        <f>($E$8)*'ARP Timing'!L$16</f>
        <v>0</v>
      </c>
      <c r="P49" s="712">
        <f>($E$8)*'ARP Timing'!M$16</f>
        <v>0</v>
      </c>
      <c r="Q49" s="712">
        <f>($E$8)*'ARP Timing'!N$16</f>
        <v>0</v>
      </c>
      <c r="R49" s="712">
        <f>($E$8)*'ARP Timing'!O$16</f>
        <v>0</v>
      </c>
      <c r="S49" s="712">
        <f>($E$8)*'ARP Timing'!P$16</f>
        <v>0</v>
      </c>
      <c r="T49" s="712">
        <f>($E$8)*'ARP Timing'!Q$16</f>
        <v>0</v>
      </c>
      <c r="U49" s="712">
        <f>($E$8)*'ARP Timing'!R$16</f>
        <v>0</v>
      </c>
      <c r="V49" s="712">
        <f>($E$8)*'ARP Timing'!S$16</f>
        <v>0</v>
      </c>
    </row>
    <row r="50" spans="1:22" x14ac:dyDescent="0.35">
      <c r="B50" s="33" t="s">
        <v>779</v>
      </c>
      <c r="C50" s="714"/>
      <c r="F50" s="712">
        <f>($F$8)*'ARP Timing'!C$17</f>
        <v>0</v>
      </c>
      <c r="G50" s="712">
        <f>($F$8)*'ARP Timing'!D$17</f>
        <v>0</v>
      </c>
      <c r="H50" s="712">
        <f>($F$8)*'ARP Timing'!E$17</f>
        <v>0</v>
      </c>
      <c r="I50" s="712">
        <f>($F$8)*'ARP Timing'!F$17</f>
        <v>0</v>
      </c>
      <c r="J50" s="712">
        <f>($F$8)*'ARP Timing'!G$17</f>
        <v>0</v>
      </c>
      <c r="K50" s="712">
        <f>($F$8)*'ARP Timing'!H$17</f>
        <v>0</v>
      </c>
      <c r="L50" s="712">
        <f>($F$8)*'ARP Timing'!I$17</f>
        <v>0</v>
      </c>
      <c r="M50" s="712">
        <f>($F$8)*'ARP Timing'!J$17</f>
        <v>0</v>
      </c>
      <c r="N50" s="712">
        <f>($F$8)*'ARP Timing'!K$17</f>
        <v>0</v>
      </c>
      <c r="O50" s="712">
        <f>($F$8)*'ARP Timing'!L$17</f>
        <v>0</v>
      </c>
      <c r="P50" s="712">
        <f>($F$8)*'ARP Timing'!M$17</f>
        <v>0</v>
      </c>
      <c r="Q50" s="712">
        <f>($F$8)*'ARP Timing'!N$17</f>
        <v>0</v>
      </c>
      <c r="R50" s="712">
        <f>($F$8)*'ARP Timing'!O$17</f>
        <v>0</v>
      </c>
      <c r="S50" s="712">
        <f>($F$8)*'ARP Timing'!P$17</f>
        <v>0</v>
      </c>
      <c r="T50" s="712">
        <f>($F$8)*'ARP Timing'!Q$17</f>
        <v>0</v>
      </c>
      <c r="U50" s="712">
        <f>($F$8)*'ARP Timing'!R$17</f>
        <v>0</v>
      </c>
      <c r="V50" s="712">
        <f>($F$8)*'ARP Timing'!S$17</f>
        <v>0</v>
      </c>
    </row>
    <row r="51" spans="1:22" x14ac:dyDescent="0.35">
      <c r="A51" s="712">
        <v>2022</v>
      </c>
      <c r="B51" s="33" t="s">
        <v>240</v>
      </c>
      <c r="C51" s="714"/>
      <c r="G51" s="712">
        <f>($G$8)*'ARP Timing'!D$17</f>
        <v>0</v>
      </c>
      <c r="H51" s="712">
        <f>($G$8)*'ARP Timing'!E$17</f>
        <v>0</v>
      </c>
      <c r="I51" s="712">
        <f>($G$8)*'ARP Timing'!F$17</f>
        <v>0</v>
      </c>
      <c r="J51" s="712">
        <f>($G$8)*'ARP Timing'!G$17</f>
        <v>0</v>
      </c>
      <c r="K51" s="712">
        <f>($G$8)*'ARP Timing'!H$17</f>
        <v>0</v>
      </c>
      <c r="L51" s="712">
        <f>($G$8)*'ARP Timing'!I$17</f>
        <v>0</v>
      </c>
      <c r="M51" s="712">
        <f>($G$8)*'ARP Timing'!J$17</f>
        <v>0</v>
      </c>
      <c r="N51" s="712">
        <f>($G$8)*'ARP Timing'!K$17</f>
        <v>0</v>
      </c>
      <c r="O51" s="712">
        <f>($G$8)*'ARP Timing'!L$17</f>
        <v>0</v>
      </c>
      <c r="P51" s="712">
        <f>($G$8)*'ARP Timing'!M$17</f>
        <v>0</v>
      </c>
      <c r="Q51" s="712">
        <f>($G$8)*'ARP Timing'!N$17</f>
        <v>0</v>
      </c>
      <c r="R51" s="712">
        <f>($G$8)*'ARP Timing'!O$17</f>
        <v>0</v>
      </c>
      <c r="S51" s="712">
        <f>($G$8)*'ARP Timing'!P$17</f>
        <v>0</v>
      </c>
      <c r="T51" s="712">
        <f>($G$8)*'ARP Timing'!Q$17</f>
        <v>0</v>
      </c>
      <c r="U51" s="712">
        <f>($G$8)*'ARP Timing'!R$17</f>
        <v>0</v>
      </c>
      <c r="V51" s="712">
        <f>($G$8)*'ARP Timing'!S$17</f>
        <v>0</v>
      </c>
    </row>
    <row r="52" spans="1:22" x14ac:dyDescent="0.35">
      <c r="B52" s="33" t="s">
        <v>241</v>
      </c>
      <c r="C52" s="714"/>
      <c r="H52" s="712">
        <f>($H$8)*'ARP Timing'!B$17</f>
        <v>0</v>
      </c>
      <c r="I52" s="712">
        <f>($H$8)*'ARP Timing'!C$17</f>
        <v>0</v>
      </c>
      <c r="J52" s="712">
        <f>($H$8)*'ARP Timing'!D$17</f>
        <v>23.080568000000003</v>
      </c>
      <c r="K52" s="712">
        <f>($H$8)*'ARP Timing'!E$17</f>
        <v>30.6641832</v>
      </c>
      <c r="L52" s="712">
        <f>($H$8)*'ARP Timing'!F$17</f>
        <v>39.566687999999999</v>
      </c>
      <c r="M52" s="712">
        <f>($H$8)*'ARP Timing'!G$17</f>
        <v>42.863911999999999</v>
      </c>
      <c r="N52" s="712">
        <f>($H$8)*'ARP Timing'!H$17</f>
        <v>32.972239999999999</v>
      </c>
      <c r="O52" s="712">
        <f>($H$8)*'ARP Timing'!I$17</f>
        <v>32.972239999999999</v>
      </c>
      <c r="P52" s="712">
        <f>($H$8)*'ARP Timing'!J$17</f>
        <v>39.566687999999999</v>
      </c>
      <c r="Q52" s="712">
        <f>($H$8)*'ARP Timing'!K$17</f>
        <v>39.566687999999999</v>
      </c>
      <c r="R52" s="712">
        <f>($H$8)*'ARP Timing'!L$17</f>
        <v>46.161136000000006</v>
      </c>
      <c r="S52" s="712">
        <f>($H$8)*'ARP Timing'!M$17</f>
        <v>46.161136000000006</v>
      </c>
      <c r="T52" s="712">
        <f>($H$8)*'ARP Timing'!N$17</f>
        <v>39.566687999999999</v>
      </c>
      <c r="U52" s="712">
        <f>($H$8)*'ARP Timing'!O$17</f>
        <v>39.566687999999999</v>
      </c>
      <c r="V52" s="712">
        <f>($H$8)*'ARP Timing'!P$17</f>
        <v>35.280296800000002</v>
      </c>
    </row>
    <row r="53" spans="1:22" x14ac:dyDescent="0.35">
      <c r="B53" s="33" t="s">
        <v>331</v>
      </c>
      <c r="C53" s="714"/>
      <c r="H53" s="714"/>
      <c r="I53" s="712">
        <f>($I$8)*'ARP Timing'!B$17</f>
        <v>0</v>
      </c>
      <c r="J53" s="712">
        <f>($I$8)*'ARP Timing'!C$17</f>
        <v>0</v>
      </c>
      <c r="K53" s="712">
        <f>($I$8)*'ARP Timing'!D$17</f>
        <v>0</v>
      </c>
      <c r="L53" s="712">
        <f>($I$8)*'ARP Timing'!E$17</f>
        <v>0</v>
      </c>
      <c r="M53" s="712">
        <f>($I$8)*'ARP Timing'!F$17</f>
        <v>0</v>
      </c>
      <c r="N53" s="712">
        <f>($I$8)*'ARP Timing'!G$17</f>
        <v>0</v>
      </c>
      <c r="O53" s="712">
        <f>($I$8)*'ARP Timing'!H$17</f>
        <v>0</v>
      </c>
      <c r="P53" s="712">
        <f>($I$8)*'ARP Timing'!I$17</f>
        <v>0</v>
      </c>
      <c r="Q53" s="712">
        <f>($I$8)*'ARP Timing'!J$17</f>
        <v>0</v>
      </c>
      <c r="R53" s="712">
        <f>($I$8)*'ARP Timing'!K$17</f>
        <v>0</v>
      </c>
      <c r="S53" s="712">
        <f>($I$8)*'ARP Timing'!L$17</f>
        <v>0</v>
      </c>
      <c r="T53" s="712">
        <f>($I$8)*'ARP Timing'!M$17</f>
        <v>0</v>
      </c>
      <c r="U53" s="712">
        <f>($I$8)*'ARP Timing'!N$17</f>
        <v>0</v>
      </c>
      <c r="V53" s="712">
        <f>($I$8)*'ARP Timing'!O$17</f>
        <v>0</v>
      </c>
    </row>
    <row r="54" spans="1:22" x14ac:dyDescent="0.35">
      <c r="B54" s="33" t="s">
        <v>779</v>
      </c>
      <c r="C54" s="714"/>
      <c r="H54" s="714"/>
    </row>
    <row r="55" spans="1:22" x14ac:dyDescent="0.35">
      <c r="A55" s="712">
        <v>2023</v>
      </c>
      <c r="B55" s="33" t="s">
        <v>240</v>
      </c>
      <c r="C55" s="714"/>
      <c r="H55" s="714"/>
    </row>
    <row r="56" spans="1:22" x14ac:dyDescent="0.35">
      <c r="B56" s="33" t="s">
        <v>241</v>
      </c>
      <c r="C56" s="714"/>
      <c r="H56" s="714"/>
    </row>
    <row r="57" spans="1:22" x14ac:dyDescent="0.35">
      <c r="B57" s="33" t="s">
        <v>331</v>
      </c>
      <c r="C57" s="714"/>
      <c r="H57" s="714"/>
    </row>
    <row r="58" spans="1:22" x14ac:dyDescent="0.35">
      <c r="B58" s="33" t="s">
        <v>779</v>
      </c>
      <c r="C58" s="714"/>
      <c r="H58" s="714"/>
    </row>
    <row r="59" spans="1:22" x14ac:dyDescent="0.35">
      <c r="A59" s="712">
        <v>2024</v>
      </c>
      <c r="B59" s="33" t="s">
        <v>240</v>
      </c>
      <c r="C59" s="714"/>
      <c r="H59" s="714"/>
    </row>
    <row r="60" spans="1:22" x14ac:dyDescent="0.35">
      <c r="B60" s="33" t="s">
        <v>241</v>
      </c>
      <c r="C60" s="714"/>
      <c r="H60" s="714"/>
    </row>
    <row r="61" spans="1:22" x14ac:dyDescent="0.35">
      <c r="B61" s="33" t="s">
        <v>331</v>
      </c>
      <c r="C61" s="714"/>
      <c r="H61" s="714"/>
    </row>
    <row r="62" spans="1:22" x14ac:dyDescent="0.35">
      <c r="B62" s="33" t="s">
        <v>779</v>
      </c>
      <c r="C62" s="714"/>
      <c r="H62" s="714"/>
    </row>
    <row r="63" spans="1:22" x14ac:dyDescent="0.35">
      <c r="A63" t="s">
        <v>895</v>
      </c>
      <c r="B63" s="33"/>
      <c r="C63" s="714"/>
      <c r="G63">
        <v>5</v>
      </c>
      <c r="H63" s="714">
        <v>10</v>
      </c>
      <c r="I63">
        <v>15</v>
      </c>
      <c r="J63">
        <v>8</v>
      </c>
      <c r="K63">
        <v>0</v>
      </c>
      <c r="L63">
        <v>-10</v>
      </c>
      <c r="M63">
        <v>-10</v>
      </c>
      <c r="N63">
        <v>-10</v>
      </c>
      <c r="O63">
        <v>-8</v>
      </c>
    </row>
    <row r="64" spans="1:22" x14ac:dyDescent="0.35">
      <c r="B64" s="33"/>
      <c r="C64" s="714"/>
      <c r="H64" s="714"/>
    </row>
    <row r="65" spans="2:24" x14ac:dyDescent="0.35">
      <c r="B65" s="33"/>
      <c r="C65" s="714"/>
      <c r="H65" s="714"/>
    </row>
    <row r="66" spans="2:24" x14ac:dyDescent="0.35">
      <c r="B66" s="33"/>
      <c r="C66" s="714"/>
      <c r="H66" s="714"/>
    </row>
    <row r="67" spans="2:24" x14ac:dyDescent="0.35">
      <c r="B67" s="33"/>
      <c r="C67" s="714"/>
      <c r="H67" s="714"/>
    </row>
    <row r="68" spans="2:24" x14ac:dyDescent="0.35">
      <c r="B68" s="33"/>
      <c r="C68" s="714"/>
      <c r="H68" s="714"/>
    </row>
    <row r="69" spans="2:24" x14ac:dyDescent="0.35">
      <c r="B69" s="33"/>
      <c r="C69" s="714"/>
      <c r="H69" s="714"/>
    </row>
    <row r="70" spans="2:24" x14ac:dyDescent="0.35">
      <c r="B70" s="33"/>
      <c r="C70" s="714"/>
      <c r="H70" s="714"/>
    </row>
    <row r="71" spans="2:24" x14ac:dyDescent="0.35">
      <c r="B71" s="33"/>
      <c r="C71" s="714"/>
      <c r="H71" s="714"/>
    </row>
    <row r="72" spans="2:24" x14ac:dyDescent="0.35">
      <c r="B72" s="33"/>
      <c r="C72" s="714"/>
      <c r="H72" s="714"/>
    </row>
    <row r="73" spans="2:24" x14ac:dyDescent="0.35">
      <c r="B73" s="33" t="s">
        <v>781</v>
      </c>
      <c r="C73" s="1218">
        <v>2021</v>
      </c>
      <c r="D73" s="1218">
        <v>2022</v>
      </c>
      <c r="E73" s="1218">
        <v>2023</v>
      </c>
      <c r="F73" s="1218">
        <v>2024</v>
      </c>
      <c r="G73" s="1218">
        <v>2025</v>
      </c>
      <c r="H73" s="714"/>
    </row>
    <row r="74" spans="2:24" x14ac:dyDescent="0.35">
      <c r="B74" s="33" t="s">
        <v>678</v>
      </c>
      <c r="C74" s="1222">
        <f t="shared" ref="C74:C85" si="43">SUM(C4:E4)/4</f>
        <v>0.77600000000001046</v>
      </c>
      <c r="D74" s="1222">
        <f t="shared" ref="D74:D85" si="44">SUM(F4:I4)/4</f>
        <v>19.719000000000005</v>
      </c>
      <c r="E74" s="1222">
        <f t="shared" ref="E74:E85" si="45">SUM(J4:M4)/4</f>
        <v>1.4159999999999999</v>
      </c>
      <c r="F74" s="1222">
        <f t="shared" ref="F74:F85" si="46">SUM(N4:Q4)/4</f>
        <v>1.4790000000000001</v>
      </c>
      <c r="G74" s="1222">
        <f t="shared" ref="G74:G85" si="47">SUM(R4:U4)/4</f>
        <v>1.63</v>
      </c>
    </row>
    <row r="75" spans="2:24" x14ac:dyDescent="0.35">
      <c r="B75" s="33" t="s">
        <v>679</v>
      </c>
      <c r="C75" s="1222">
        <f t="shared" si="43"/>
        <v>19.722000000000016</v>
      </c>
      <c r="D75" s="1222">
        <f t="shared" si="44"/>
        <v>52.756999999999998</v>
      </c>
      <c r="E75" s="1222">
        <f t="shared" si="45"/>
        <v>12</v>
      </c>
      <c r="F75" s="1222">
        <f t="shared" si="46"/>
        <v>4.2219999999999995</v>
      </c>
      <c r="G75" s="1222">
        <f t="shared" si="47"/>
        <v>2.3719999999999999</v>
      </c>
      <c r="H75" s="714"/>
    </row>
    <row r="76" spans="2:24" x14ac:dyDescent="0.35">
      <c r="B76" s="33" t="s">
        <v>52</v>
      </c>
      <c r="C76" s="1222">
        <f t="shared" si="43"/>
        <v>81.643000000000001</v>
      </c>
      <c r="D76" s="1222">
        <f t="shared" si="44"/>
        <v>110.24799999999999</v>
      </c>
      <c r="E76" s="1222">
        <f t="shared" si="45"/>
        <v>12.726000000000001</v>
      </c>
      <c r="F76" s="1222">
        <f t="shared" si="46"/>
        <v>1.365</v>
      </c>
      <c r="G76" s="1222">
        <f t="shared" si="47"/>
        <v>-0.90100000000000025</v>
      </c>
      <c r="H76" s="714"/>
      <c r="O76" s="33"/>
      <c r="P76" s="33"/>
      <c r="Q76" s="33"/>
      <c r="R76" s="33"/>
      <c r="S76" s="1223"/>
      <c r="T76" s="1223"/>
      <c r="U76" s="1223"/>
      <c r="V76" s="14"/>
      <c r="W76" s="33"/>
      <c r="X76" s="33"/>
    </row>
    <row r="77" spans="2:24" x14ac:dyDescent="0.35">
      <c r="B77" s="33" t="s">
        <v>131</v>
      </c>
      <c r="C77" s="1222">
        <f t="shared" si="43"/>
        <v>7.798</v>
      </c>
      <c r="D77" s="1222">
        <f t="shared" si="44"/>
        <v>7.9489999999999998</v>
      </c>
      <c r="E77" s="1222">
        <f t="shared" si="45"/>
        <v>4.7519999999999998</v>
      </c>
      <c r="F77" s="1222">
        <f t="shared" si="46"/>
        <v>4.637999999999999</v>
      </c>
      <c r="G77" s="1222">
        <f t="shared" si="47"/>
        <v>1.8800000000000001</v>
      </c>
      <c r="H77" s="714"/>
    </row>
    <row r="78" spans="2:24" x14ac:dyDescent="0.35">
      <c r="B78" s="1220" t="s">
        <v>348</v>
      </c>
      <c r="C78" s="1222">
        <f t="shared" si="43"/>
        <v>247.29179999999997</v>
      </c>
      <c r="D78" s="1222">
        <f t="shared" si="44"/>
        <v>164.8612</v>
      </c>
      <c r="E78" s="1222">
        <f t="shared" si="45"/>
        <v>0</v>
      </c>
      <c r="F78" s="1222">
        <f t="shared" si="46"/>
        <v>0</v>
      </c>
      <c r="G78" s="1222">
        <f t="shared" si="47"/>
        <v>0</v>
      </c>
      <c r="H78" s="714"/>
      <c r="R78" s="1188"/>
      <c r="S78" s="1188"/>
    </row>
    <row r="79" spans="2:24" x14ac:dyDescent="0.35">
      <c r="B79" s="1220" t="s">
        <v>150</v>
      </c>
      <c r="C79" s="1222">
        <f t="shared" si="43"/>
        <v>12.347</v>
      </c>
      <c r="D79" s="1222">
        <f t="shared" si="44"/>
        <v>46.79</v>
      </c>
      <c r="E79" s="1222">
        <f t="shared" si="45"/>
        <v>38.595999999999997</v>
      </c>
      <c r="F79" s="1222">
        <f t="shared" si="46"/>
        <v>31.911000000000001</v>
      </c>
      <c r="G79" s="1222">
        <f t="shared" si="47"/>
        <v>23.099</v>
      </c>
      <c r="H79" s="714"/>
      <c r="R79" s="1188"/>
      <c r="S79" s="1188"/>
    </row>
    <row r="80" spans="2:24" x14ac:dyDescent="0.35">
      <c r="B80" s="1220" t="s">
        <v>364</v>
      </c>
      <c r="C80" s="1222">
        <f t="shared" si="43"/>
        <v>29.628</v>
      </c>
      <c r="D80" s="1222">
        <f t="shared" si="44"/>
        <v>35.671000000000006</v>
      </c>
      <c r="E80" s="1222">
        <f t="shared" si="45"/>
        <v>24.216000000000001</v>
      </c>
      <c r="F80" s="1222">
        <f t="shared" si="46"/>
        <v>9.6430000000000007</v>
      </c>
      <c r="G80" s="1222">
        <f t="shared" si="47"/>
        <v>4.5789999999999997</v>
      </c>
      <c r="H80" s="714"/>
      <c r="R80" s="1188"/>
      <c r="S80" s="1188"/>
    </row>
    <row r="81" spans="2:19" x14ac:dyDescent="0.35">
      <c r="B81" s="14" t="s">
        <v>159</v>
      </c>
      <c r="C81" s="1222">
        <f t="shared" si="43"/>
        <v>25.75</v>
      </c>
      <c r="D81" s="1222">
        <f t="shared" si="44"/>
        <v>0</v>
      </c>
      <c r="E81" s="1222">
        <f t="shared" si="45"/>
        <v>0</v>
      </c>
      <c r="F81" s="1222">
        <f t="shared" si="46"/>
        <v>0</v>
      </c>
      <c r="G81" s="1222">
        <f t="shared" si="47"/>
        <v>0</v>
      </c>
      <c r="H81" s="714"/>
      <c r="R81" s="1188"/>
      <c r="S81" s="1188"/>
    </row>
    <row r="82" spans="2:19" x14ac:dyDescent="0.35">
      <c r="B82" s="33" t="s">
        <v>109</v>
      </c>
      <c r="C82" s="1222">
        <f t="shared" si="43"/>
        <v>31.939</v>
      </c>
      <c r="D82" s="1222">
        <f t="shared" si="44"/>
        <v>56.413000000000004</v>
      </c>
      <c r="E82" s="1222">
        <f t="shared" si="45"/>
        <v>15.652999999999999</v>
      </c>
      <c r="F82" s="1222">
        <f t="shared" si="46"/>
        <v>3.9320000000000004</v>
      </c>
      <c r="G82" s="1222">
        <f t="shared" si="47"/>
        <v>-0.74299999999999988</v>
      </c>
      <c r="R82" s="1188"/>
      <c r="S82" s="1188"/>
    </row>
    <row r="83" spans="2:19" x14ac:dyDescent="0.35">
      <c r="B83" s="712" t="s">
        <v>772</v>
      </c>
      <c r="C83" s="1222">
        <f t="shared" si="43"/>
        <v>1.02</v>
      </c>
      <c r="D83" s="1222">
        <f t="shared" si="44"/>
        <v>1.5299999999999998</v>
      </c>
      <c r="E83" s="1222">
        <f t="shared" si="45"/>
        <v>0</v>
      </c>
      <c r="F83" s="1222">
        <f t="shared" si="46"/>
        <v>0</v>
      </c>
      <c r="G83" s="1222">
        <f t="shared" si="47"/>
        <v>0</v>
      </c>
      <c r="R83" s="1188"/>
      <c r="S83" s="1188"/>
    </row>
    <row r="84" spans="2:19" x14ac:dyDescent="0.35">
      <c r="B84" s="712" t="s">
        <v>773</v>
      </c>
      <c r="C84" s="1222">
        <f t="shared" si="43"/>
        <v>0.67999999999999994</v>
      </c>
      <c r="D84" s="1222">
        <f t="shared" si="44"/>
        <v>1.02</v>
      </c>
      <c r="E84" s="1222">
        <f t="shared" si="45"/>
        <v>0</v>
      </c>
      <c r="F84" s="1222">
        <f t="shared" si="46"/>
        <v>0</v>
      </c>
      <c r="G84" s="1222">
        <f t="shared" si="47"/>
        <v>0</v>
      </c>
      <c r="R84" s="1188"/>
      <c r="S84" s="1188"/>
    </row>
    <row r="85" spans="2:19" x14ac:dyDescent="0.35">
      <c r="B85" s="712" t="s">
        <v>471</v>
      </c>
      <c r="C85" s="1222">
        <f t="shared" si="43"/>
        <v>1.6999999999999997</v>
      </c>
      <c r="D85" s="1222">
        <f t="shared" si="44"/>
        <v>2.5499999999999998</v>
      </c>
      <c r="E85" s="1222">
        <f t="shared" si="45"/>
        <v>0</v>
      </c>
      <c r="F85" s="1222">
        <f t="shared" si="46"/>
        <v>0</v>
      </c>
      <c r="G85" s="1222">
        <f t="shared" si="47"/>
        <v>0</v>
      </c>
      <c r="R85" s="1188"/>
      <c r="S85" s="1188"/>
    </row>
    <row r="86" spans="2:19" x14ac:dyDescent="0.35">
      <c r="C86" s="1218">
        <v>2021</v>
      </c>
      <c r="D86" s="1218">
        <v>2022</v>
      </c>
      <c r="E86" s="1218">
        <v>2023</v>
      </c>
      <c r="F86" s="1218">
        <v>2024</v>
      </c>
      <c r="G86" s="1218">
        <v>2025</v>
      </c>
      <c r="R86" s="1188"/>
      <c r="S86" s="1188"/>
    </row>
    <row r="87" spans="2:19" x14ac:dyDescent="0.35">
      <c r="B87" s="712" t="s">
        <v>782</v>
      </c>
      <c r="C87" s="1221">
        <f>SUM(C83:C85)</f>
        <v>3.3999999999999995</v>
      </c>
      <c r="D87" s="1221">
        <f t="shared" ref="D87:G87" si="48">SUM(D83:D85)</f>
        <v>5.0999999999999996</v>
      </c>
      <c r="E87" s="1221">
        <f t="shared" si="48"/>
        <v>0</v>
      </c>
      <c r="F87" s="1221">
        <f t="shared" si="48"/>
        <v>0</v>
      </c>
      <c r="G87" s="1221">
        <f t="shared" si="48"/>
        <v>0</v>
      </c>
      <c r="R87" s="1188"/>
      <c r="S87" s="1188"/>
    </row>
    <row r="90" spans="2:19" x14ac:dyDescent="0.35">
      <c r="B90" s="712" t="s">
        <v>678</v>
      </c>
      <c r="C90" s="1222">
        <v>26.636000000000024</v>
      </c>
      <c r="D90" s="1222">
        <v>98.978999999999999</v>
      </c>
      <c r="E90" s="1222">
        <v>2.1159999999999997</v>
      </c>
      <c r="F90" s="1222">
        <v>2.1789999999999998</v>
      </c>
      <c r="G90" s="1222">
        <v>2.33</v>
      </c>
      <c r="H90" s="1222"/>
      <c r="I90" s="1222"/>
      <c r="J90" s="1222"/>
      <c r="K90" s="1222"/>
      <c r="L90" s="1222"/>
      <c r="M90" s="1222"/>
    </row>
    <row r="91" spans="2:19" x14ac:dyDescent="0.35">
      <c r="B91" s="712" t="s">
        <v>679</v>
      </c>
      <c r="C91" s="1222">
        <v>47.722000000000016</v>
      </c>
      <c r="D91" s="1222">
        <v>52.756999999999998</v>
      </c>
      <c r="E91" s="1222">
        <v>12</v>
      </c>
      <c r="F91" s="1222">
        <v>4.2219999999999995</v>
      </c>
      <c r="G91" s="1222">
        <v>2.3719999999999999</v>
      </c>
      <c r="H91" s="1222"/>
      <c r="I91" s="1222"/>
      <c r="J91" s="1222"/>
      <c r="K91" s="1222"/>
      <c r="L91" s="1222"/>
      <c r="M91" s="1222"/>
    </row>
    <row r="92" spans="2:19" x14ac:dyDescent="0.35">
      <c r="B92" s="712" t="s">
        <v>52</v>
      </c>
      <c r="C92" s="1222">
        <v>81.842999999999989</v>
      </c>
      <c r="D92" s="1222">
        <v>110.24799999999999</v>
      </c>
      <c r="E92" s="1222">
        <v>12.726000000000001</v>
      </c>
      <c r="F92" s="1222">
        <v>1.365</v>
      </c>
      <c r="G92" s="1222">
        <v>-0.90100000000000025</v>
      </c>
      <c r="H92" s="1222"/>
      <c r="I92" s="1222"/>
      <c r="J92" s="1222"/>
      <c r="K92" s="1222"/>
      <c r="L92" s="1222"/>
      <c r="M92" s="1222"/>
    </row>
    <row r="93" spans="2:19" x14ac:dyDescent="0.35">
      <c r="B93" s="712" t="s">
        <v>131</v>
      </c>
      <c r="C93" s="1222">
        <v>7.798</v>
      </c>
      <c r="D93" s="1222">
        <v>7.9489999999999998</v>
      </c>
      <c r="E93" s="1222">
        <v>4.7519999999999998</v>
      </c>
      <c r="F93" s="1222">
        <v>4.637999999999999</v>
      </c>
      <c r="G93" s="1222">
        <v>1.8800000000000001</v>
      </c>
      <c r="H93" s="1222"/>
      <c r="I93" s="1222"/>
      <c r="J93" s="1222"/>
      <c r="K93" s="1222"/>
      <c r="L93" s="1222"/>
      <c r="M93" s="1222"/>
    </row>
    <row r="94" spans="2:19" x14ac:dyDescent="0.35">
      <c r="B94" s="712" t="s">
        <v>348</v>
      </c>
      <c r="C94" s="1222">
        <v>283.95749999999998</v>
      </c>
      <c r="D94" s="1222">
        <v>77.092500000000001</v>
      </c>
      <c r="E94" s="1222">
        <v>1</v>
      </c>
      <c r="F94" s="1222">
        <v>0</v>
      </c>
      <c r="G94" s="1222">
        <v>0</v>
      </c>
      <c r="H94" s="1222"/>
      <c r="I94" s="1222"/>
      <c r="J94" s="1222"/>
      <c r="K94" s="1222"/>
      <c r="L94" s="1222"/>
      <c r="M94" s="1222"/>
    </row>
    <row r="95" spans="2:19" x14ac:dyDescent="0.35">
      <c r="B95" s="712" t="s">
        <v>150</v>
      </c>
      <c r="C95" s="1222">
        <v>12.347</v>
      </c>
      <c r="D95" s="1222">
        <v>46.79</v>
      </c>
      <c r="E95" s="1222">
        <v>38.595999999999997</v>
      </c>
      <c r="F95" s="1222">
        <v>31.911000000000001</v>
      </c>
      <c r="G95" s="1222">
        <v>23.099</v>
      </c>
      <c r="H95" s="1222"/>
      <c r="I95" s="1222"/>
      <c r="J95" s="1222"/>
      <c r="K95" s="1222"/>
      <c r="L95" s="1222"/>
      <c r="M95" s="1222"/>
    </row>
    <row r="96" spans="2:19" x14ac:dyDescent="0.35">
      <c r="B96" s="712" t="s">
        <v>364</v>
      </c>
      <c r="C96" s="1222">
        <v>2.286</v>
      </c>
      <c r="D96" s="1222">
        <v>4.6049999999999995</v>
      </c>
      <c r="E96" s="1222">
        <v>1.349</v>
      </c>
      <c r="F96" s="1222">
        <v>0.441</v>
      </c>
      <c r="G96" s="1222">
        <v>0.313</v>
      </c>
      <c r="H96" s="1222"/>
      <c r="I96" s="1222"/>
      <c r="J96" s="1222"/>
      <c r="K96" s="1222"/>
      <c r="L96" s="1222"/>
      <c r="M96" s="1222"/>
    </row>
    <row r="97" spans="2:13" x14ac:dyDescent="0.35">
      <c r="B97" s="712" t="s">
        <v>159</v>
      </c>
      <c r="C97" s="1222">
        <v>25.75</v>
      </c>
      <c r="D97" s="1222">
        <v>0</v>
      </c>
      <c r="E97" s="1222">
        <v>0</v>
      </c>
      <c r="F97" s="1222">
        <v>0</v>
      </c>
      <c r="G97" s="1222">
        <v>0</v>
      </c>
      <c r="H97" s="1222"/>
      <c r="I97" s="1222"/>
      <c r="J97" s="1222"/>
      <c r="K97" s="1222"/>
      <c r="L97" s="1222"/>
      <c r="M97" s="1222"/>
    </row>
    <row r="98" spans="2:13" x14ac:dyDescent="0.35">
      <c r="B98" s="712" t="s">
        <v>109</v>
      </c>
      <c r="C98" s="1222">
        <v>60.441000000000003</v>
      </c>
      <c r="D98" s="1222">
        <v>91.678999999999988</v>
      </c>
      <c r="E98" s="1222">
        <v>41.220000000000006</v>
      </c>
      <c r="F98" s="1222">
        <v>14.004000000000003</v>
      </c>
      <c r="G98" s="1222">
        <v>3.8530000000000006</v>
      </c>
      <c r="H98" s="1222"/>
      <c r="I98" s="1222"/>
      <c r="J98" s="1222"/>
      <c r="K98" s="1222"/>
      <c r="L98" s="1222"/>
      <c r="M98" s="1222"/>
    </row>
    <row r="99" spans="2:13" x14ac:dyDescent="0.35">
      <c r="C99" s="1218">
        <v>3.4</v>
      </c>
      <c r="D99" s="1218">
        <v>5.0999999999999996</v>
      </c>
      <c r="E99" s="1218">
        <v>0</v>
      </c>
      <c r="F99" s="1218">
        <v>0</v>
      </c>
    </row>
  </sheetData>
  <pageMargins left="0.7" right="0.7" top="0.75" bottom="0.75" header="0.3" footer="0.3"/>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L252"/>
  <sheetViews>
    <sheetView workbookViewId="0"/>
  </sheetViews>
  <sheetFormatPr defaultColWidth="10.90625" defaultRowHeight="14.5" x14ac:dyDescent="0.35"/>
  <sheetData>
    <row r="1" spans="1:12" x14ac:dyDescent="0.35">
      <c r="A1" s="77" t="s">
        <v>1441</v>
      </c>
      <c r="B1" s="77" t="s">
        <v>1442</v>
      </c>
      <c r="C1" s="77" t="s">
        <v>1443</v>
      </c>
      <c r="D1" s="77" t="s">
        <v>1444</v>
      </c>
      <c r="E1" s="77" t="s">
        <v>1445</v>
      </c>
      <c r="F1" s="77" t="s">
        <v>1446</v>
      </c>
      <c r="G1" s="77" t="s">
        <v>930</v>
      </c>
      <c r="H1" s="77" t="s">
        <v>931</v>
      </c>
      <c r="I1" s="77" t="s">
        <v>932</v>
      </c>
      <c r="J1" s="77" t="s">
        <v>933</v>
      </c>
      <c r="K1" s="77" t="s">
        <v>934</v>
      </c>
      <c r="L1" s="77" t="s">
        <v>935</v>
      </c>
    </row>
    <row r="2" spans="1:12" x14ac:dyDescent="0.35">
      <c r="A2">
        <v>4.5079018442711401E-2</v>
      </c>
      <c r="B2">
        <v>5.3878515900577198E-2</v>
      </c>
      <c r="C2">
        <v>8.2063006909154398E-2</v>
      </c>
      <c r="D2">
        <v>0.104421067414309</v>
      </c>
      <c r="E2" t="s">
        <v>1447</v>
      </c>
      <c r="F2" t="s">
        <v>1448</v>
      </c>
      <c r="G2">
        <v>13.106999999999999</v>
      </c>
      <c r="H2">
        <v>1.9913023575188999E-2</v>
      </c>
      <c r="I2">
        <v>16.824999999999999</v>
      </c>
      <c r="J2">
        <v>2.51411589895989E-2</v>
      </c>
      <c r="K2" t="s">
        <v>936</v>
      </c>
      <c r="L2" t="s">
        <v>937</v>
      </c>
    </row>
    <row r="3" spans="1:12" x14ac:dyDescent="0.35">
      <c r="A3">
        <v>4.5079018442711401E-2</v>
      </c>
      <c r="B3">
        <v>5.3878515900577198E-2</v>
      </c>
      <c r="C3">
        <v>8.2063006909154398E-2</v>
      </c>
      <c r="D3">
        <v>0.104421067414309</v>
      </c>
      <c r="E3" t="s">
        <v>1449</v>
      </c>
      <c r="F3" t="s">
        <v>1448</v>
      </c>
      <c r="G3">
        <v>13.368</v>
      </c>
      <c r="H3">
        <v>1.9913023575188999E-2</v>
      </c>
      <c r="I3">
        <v>17.248000000000001</v>
      </c>
      <c r="J3">
        <v>2.51411589895989E-2</v>
      </c>
      <c r="K3" t="s">
        <v>938</v>
      </c>
      <c r="L3" t="s">
        <v>937</v>
      </c>
    </row>
    <row r="4" spans="1:12" x14ac:dyDescent="0.35">
      <c r="A4">
        <v>3.9419555818651898E-2</v>
      </c>
      <c r="B4">
        <v>6.9938689583740596E-2</v>
      </c>
      <c r="C4">
        <v>7.2508506661211405E-2</v>
      </c>
      <c r="D4">
        <v>7.9737360467493398E-2</v>
      </c>
      <c r="E4" t="s">
        <v>1450</v>
      </c>
      <c r="F4" t="s">
        <v>1448</v>
      </c>
      <c r="G4">
        <v>13.603999999999999</v>
      </c>
      <c r="H4">
        <v>1.7654099341711402E-2</v>
      </c>
      <c r="I4">
        <v>17.582000000000001</v>
      </c>
      <c r="J4">
        <v>1.9364564007421099E-2</v>
      </c>
      <c r="K4" t="s">
        <v>939</v>
      </c>
      <c r="L4" t="s">
        <v>937</v>
      </c>
    </row>
    <row r="5" spans="1:12" x14ac:dyDescent="0.35">
      <c r="A5">
        <v>5.2824828770235303E-2</v>
      </c>
      <c r="B5">
        <v>5.1823422551402501E-2</v>
      </c>
      <c r="C5">
        <v>6.9052453854286294E-2</v>
      </c>
      <c r="D5">
        <v>0.10539397910227</v>
      </c>
      <c r="E5" t="s">
        <v>1451</v>
      </c>
      <c r="F5" t="s">
        <v>1448</v>
      </c>
      <c r="G5">
        <v>13.833</v>
      </c>
      <c r="H5">
        <v>1.6833284328138898E-2</v>
      </c>
      <c r="I5">
        <v>18.027999999999999</v>
      </c>
      <c r="J5">
        <v>2.5366852462745899E-2</v>
      </c>
      <c r="K5" t="s">
        <v>940</v>
      </c>
      <c r="L5" t="s">
        <v>937</v>
      </c>
    </row>
    <row r="6" spans="1:12" x14ac:dyDescent="0.35">
      <c r="A6">
        <v>3.85286878692137E-2</v>
      </c>
      <c r="B6">
        <v>0.132788480581229</v>
      </c>
      <c r="C6">
        <v>0.10231116414477499</v>
      </c>
      <c r="D6">
        <v>6.9175988166702701E-2</v>
      </c>
      <c r="E6" t="s">
        <v>1452</v>
      </c>
      <c r="F6" t="s">
        <v>1448</v>
      </c>
      <c r="G6">
        <v>14.173999999999999</v>
      </c>
      <c r="H6">
        <v>2.4651196414371399E-2</v>
      </c>
      <c r="I6">
        <v>18.332000000000001</v>
      </c>
      <c r="J6">
        <v>1.6862658087419598E-2</v>
      </c>
      <c r="K6" t="s">
        <v>941</v>
      </c>
      <c r="L6" t="s">
        <v>937</v>
      </c>
    </row>
    <row r="7" spans="1:12" x14ac:dyDescent="0.35">
      <c r="A7">
        <v>4.6230845754161802E-2</v>
      </c>
      <c r="B7">
        <v>7.6806429060699302E-2</v>
      </c>
      <c r="C7">
        <v>7.6908368677740299E-2</v>
      </c>
      <c r="D7">
        <v>6.5481053360561203E-2</v>
      </c>
      <c r="E7" t="s">
        <v>1453</v>
      </c>
      <c r="F7" t="s">
        <v>1448</v>
      </c>
      <c r="G7">
        <v>14.439</v>
      </c>
      <c r="H7">
        <v>1.8696204317764999E-2</v>
      </c>
      <c r="I7">
        <v>18.625</v>
      </c>
      <c r="J7">
        <v>1.59829805804057E-2</v>
      </c>
      <c r="K7" t="s">
        <v>942</v>
      </c>
      <c r="L7" t="s">
        <v>937</v>
      </c>
    </row>
    <row r="8" spans="1:12" x14ac:dyDescent="0.35">
      <c r="A8">
        <v>4.0000704948734103E-2</v>
      </c>
      <c r="B8">
        <v>5.9184461037305798E-2</v>
      </c>
      <c r="C8">
        <v>6.1773509542664397E-2</v>
      </c>
      <c r="D8">
        <v>4.4315280925248897E-2</v>
      </c>
      <c r="E8" t="s">
        <v>1454</v>
      </c>
      <c r="F8" t="s">
        <v>1448</v>
      </c>
      <c r="G8">
        <v>14.657</v>
      </c>
      <c r="H8">
        <v>1.5097998476348899E-2</v>
      </c>
      <c r="I8">
        <v>18.827999999999999</v>
      </c>
      <c r="J8">
        <v>1.0899328859060401E-2</v>
      </c>
      <c r="K8" t="s">
        <v>943</v>
      </c>
      <c r="L8" t="s">
        <v>937</v>
      </c>
    </row>
    <row r="9" spans="1:12" x14ac:dyDescent="0.35">
      <c r="A9">
        <v>2.5035607973723999E-2</v>
      </c>
      <c r="B9">
        <v>8.3819893360376693E-2</v>
      </c>
      <c r="C9">
        <v>3.6793688078589702E-2</v>
      </c>
      <c r="D9">
        <v>7.0854524877743894E-2</v>
      </c>
      <c r="E9" t="s">
        <v>1455</v>
      </c>
      <c r="F9" t="s">
        <v>1448</v>
      </c>
      <c r="G9">
        <v>14.79</v>
      </c>
      <c r="H9">
        <v>9.0741625162038507E-3</v>
      </c>
      <c r="I9">
        <v>19.152999999999999</v>
      </c>
      <c r="J9">
        <v>1.7261525387720401E-2</v>
      </c>
      <c r="K9" t="s">
        <v>944</v>
      </c>
      <c r="L9" t="s">
        <v>937</v>
      </c>
    </row>
    <row r="10" spans="1:12" x14ac:dyDescent="0.35">
      <c r="A10">
        <v>4.2906681103859E-2</v>
      </c>
      <c r="B10">
        <v>0.175097239288524</v>
      </c>
      <c r="C10">
        <v>0.10446834522691199</v>
      </c>
      <c r="D10">
        <v>5.2157088254066501E-2</v>
      </c>
      <c r="E10" t="s">
        <v>1456</v>
      </c>
      <c r="F10" t="s">
        <v>1448</v>
      </c>
      <c r="G10">
        <v>15.162000000000001</v>
      </c>
      <c r="H10">
        <v>2.5152129817444399E-2</v>
      </c>
      <c r="I10">
        <v>19.398</v>
      </c>
      <c r="J10">
        <v>1.27917297551299E-2</v>
      </c>
      <c r="K10" t="s">
        <v>945</v>
      </c>
      <c r="L10" t="s">
        <v>937</v>
      </c>
    </row>
    <row r="11" spans="1:12" x14ac:dyDescent="0.35">
      <c r="A11">
        <v>2.3157030840978501E-2</v>
      </c>
      <c r="B11">
        <v>4.0963848741786497E-2</v>
      </c>
      <c r="C11">
        <v>5.35423244430666E-2</v>
      </c>
      <c r="D11">
        <v>2.83404365976123E-2</v>
      </c>
      <c r="E11" t="s">
        <v>1457</v>
      </c>
      <c r="F11" t="s">
        <v>1448</v>
      </c>
      <c r="G11">
        <v>15.361000000000001</v>
      </c>
      <c r="H11">
        <v>1.3124917557050499E-2</v>
      </c>
      <c r="I11">
        <v>19.533999999999999</v>
      </c>
      <c r="J11">
        <v>7.0110320651612899E-3</v>
      </c>
      <c r="K11" t="s">
        <v>946</v>
      </c>
      <c r="L11" t="s">
        <v>937</v>
      </c>
    </row>
    <row r="12" spans="1:12" x14ac:dyDescent="0.35">
      <c r="A12">
        <v>3.55986781186481E-2</v>
      </c>
      <c r="B12">
        <v>3.3186191278740597E-2</v>
      </c>
      <c r="C12">
        <v>6.3703129067968198E-2</v>
      </c>
      <c r="D12">
        <v>5.6658506033298299E-2</v>
      </c>
      <c r="E12" t="s">
        <v>1458</v>
      </c>
      <c r="F12" t="s">
        <v>1448</v>
      </c>
      <c r="G12">
        <v>15.6</v>
      </c>
      <c r="H12">
        <v>1.5558882885228701E-2</v>
      </c>
      <c r="I12">
        <v>19.805</v>
      </c>
      <c r="J12">
        <v>1.38732466468721E-2</v>
      </c>
      <c r="K12" t="s">
        <v>947</v>
      </c>
      <c r="L12" t="s">
        <v>937</v>
      </c>
    </row>
    <row r="13" spans="1:12" x14ac:dyDescent="0.35">
      <c r="A13">
        <v>3.3109052200751603E-2</v>
      </c>
      <c r="B13">
        <v>8.9944620716435594E-2</v>
      </c>
      <c r="C13">
        <v>5.0679215853917103E-2</v>
      </c>
      <c r="D13">
        <v>7.6848944278385095E-2</v>
      </c>
      <c r="E13" t="s">
        <v>1459</v>
      </c>
      <c r="F13" t="s">
        <v>1448</v>
      </c>
      <c r="G13">
        <v>15.794</v>
      </c>
      <c r="H13">
        <v>1.2435897435897601E-2</v>
      </c>
      <c r="I13">
        <v>20.175000000000001</v>
      </c>
      <c r="J13">
        <v>1.8682150971976799E-2</v>
      </c>
      <c r="K13" t="s">
        <v>948</v>
      </c>
      <c r="L13" t="s">
        <v>937</v>
      </c>
    </row>
    <row r="14" spans="1:12" x14ac:dyDescent="0.35">
      <c r="A14">
        <v>4.91014015888558E-2</v>
      </c>
      <c r="B14">
        <v>6.5908483031781095E-2</v>
      </c>
      <c r="C14">
        <v>8.1389738888574495E-2</v>
      </c>
      <c r="D14">
        <v>7.93845743471608E-2</v>
      </c>
      <c r="E14" t="s">
        <v>1460</v>
      </c>
      <c r="F14" t="s">
        <v>1448</v>
      </c>
      <c r="G14">
        <v>16.106000000000002</v>
      </c>
      <c r="H14">
        <v>1.9754337090034199E-2</v>
      </c>
      <c r="I14">
        <v>20.564</v>
      </c>
      <c r="J14">
        <v>1.9281288723668001E-2</v>
      </c>
      <c r="K14" t="s">
        <v>949</v>
      </c>
      <c r="L14" t="s">
        <v>937</v>
      </c>
    </row>
    <row r="15" spans="1:12" x14ac:dyDescent="0.35">
      <c r="A15">
        <v>7.9177652454341899E-2</v>
      </c>
      <c r="B15">
        <v>7.1493559288280994E-2</v>
      </c>
      <c r="C15">
        <v>6.9283063617710403E-2</v>
      </c>
      <c r="D15">
        <v>8.6922582910256702E-2</v>
      </c>
      <c r="E15" t="s">
        <v>1461</v>
      </c>
      <c r="F15" t="s">
        <v>1448</v>
      </c>
      <c r="G15">
        <v>16.378</v>
      </c>
      <c r="H15">
        <v>1.68881162299763E-2</v>
      </c>
      <c r="I15">
        <v>20.997</v>
      </c>
      <c r="J15">
        <v>2.1056214744213299E-2</v>
      </c>
      <c r="K15" t="s">
        <v>950</v>
      </c>
      <c r="L15" t="s">
        <v>937</v>
      </c>
    </row>
    <row r="16" spans="1:12" x14ac:dyDescent="0.35">
      <c r="A16">
        <v>7.4767520593947104E-2</v>
      </c>
      <c r="B16">
        <v>8.5362600720222198E-2</v>
      </c>
      <c r="C16">
        <v>4.7217464684975501E-2</v>
      </c>
      <c r="D16">
        <v>8.4062519785650797E-2</v>
      </c>
      <c r="E16" t="s">
        <v>1462</v>
      </c>
      <c r="F16" t="s">
        <v>1448</v>
      </c>
      <c r="G16">
        <v>16.568000000000001</v>
      </c>
      <c r="H16">
        <v>1.1600928074246E-2</v>
      </c>
      <c r="I16">
        <v>21.425000000000001</v>
      </c>
      <c r="J16">
        <v>2.03838643615755E-2</v>
      </c>
      <c r="K16" t="s">
        <v>951</v>
      </c>
      <c r="L16" t="s">
        <v>937</v>
      </c>
    </row>
    <row r="17" spans="1:12" x14ac:dyDescent="0.35">
      <c r="A17">
        <v>8.4354048501589896E-2</v>
      </c>
      <c r="B17">
        <v>8.8313277531109999E-2</v>
      </c>
      <c r="C17">
        <v>6.8825586736247696E-2</v>
      </c>
      <c r="D17">
        <v>0.111750672708145</v>
      </c>
      <c r="E17" t="s">
        <v>1463</v>
      </c>
      <c r="F17" t="s">
        <v>1448</v>
      </c>
      <c r="G17">
        <v>16.846</v>
      </c>
      <c r="H17">
        <v>1.6779333655238898E-2</v>
      </c>
      <c r="I17">
        <v>22</v>
      </c>
      <c r="J17">
        <v>2.68378063010501E-2</v>
      </c>
      <c r="K17" t="s">
        <v>952</v>
      </c>
      <c r="L17" t="s">
        <v>937</v>
      </c>
    </row>
    <row r="18" spans="1:12" x14ac:dyDescent="0.35">
      <c r="A18">
        <v>0.124536540877934</v>
      </c>
      <c r="B18">
        <v>4.1616768277239702E-2</v>
      </c>
      <c r="C18">
        <v>0.100709384145876</v>
      </c>
      <c r="D18">
        <v>0.19875533747763099</v>
      </c>
      <c r="E18" t="s">
        <v>1464</v>
      </c>
      <c r="F18" t="s">
        <v>1448</v>
      </c>
      <c r="G18">
        <v>17.254999999999999</v>
      </c>
      <c r="H18">
        <v>2.42787605366259E-2</v>
      </c>
      <c r="I18">
        <v>23.02</v>
      </c>
      <c r="J18">
        <v>4.6363636363636399E-2</v>
      </c>
      <c r="K18" t="s">
        <v>953</v>
      </c>
      <c r="L18" t="s">
        <v>937</v>
      </c>
    </row>
    <row r="19" spans="1:12" x14ac:dyDescent="0.35">
      <c r="A19">
        <v>0.118186339709689</v>
      </c>
      <c r="B19">
        <v>7.4336480554695494E-2</v>
      </c>
      <c r="C19">
        <v>0.111980004946894</v>
      </c>
      <c r="D19">
        <v>0.27614966476000502</v>
      </c>
      <c r="E19" t="s">
        <v>1465</v>
      </c>
      <c r="F19" t="s">
        <v>1448</v>
      </c>
      <c r="G19">
        <v>17.719000000000001</v>
      </c>
      <c r="H19">
        <v>2.68907563025211E-2</v>
      </c>
      <c r="I19">
        <v>24.466999999999999</v>
      </c>
      <c r="J19">
        <v>6.2858384013900995E-2</v>
      </c>
      <c r="K19" t="s">
        <v>954</v>
      </c>
      <c r="L19" t="s">
        <v>937</v>
      </c>
    </row>
    <row r="20" spans="1:12" x14ac:dyDescent="0.35">
      <c r="A20">
        <v>0.112285409166716</v>
      </c>
      <c r="B20">
        <v>0.121923532437656</v>
      </c>
      <c r="C20">
        <v>0.119951580753957</v>
      </c>
      <c r="D20">
        <v>0.28126959643585903</v>
      </c>
      <c r="E20" t="s">
        <v>1466</v>
      </c>
      <c r="F20" t="s">
        <v>1448</v>
      </c>
      <c r="G20">
        <v>18.228000000000002</v>
      </c>
      <c r="H20">
        <v>2.8726226084993398E-2</v>
      </c>
      <c r="I20">
        <v>26.030999999999999</v>
      </c>
      <c r="J20">
        <v>6.3922834838762405E-2</v>
      </c>
      <c r="K20" t="s">
        <v>955</v>
      </c>
      <c r="L20" t="s">
        <v>937</v>
      </c>
    </row>
    <row r="21" spans="1:12" x14ac:dyDescent="0.35">
      <c r="A21">
        <v>0.10564888426900799</v>
      </c>
      <c r="B21">
        <v>0.139689749601554</v>
      </c>
      <c r="C21">
        <v>0.10861792322335199</v>
      </c>
      <c r="D21">
        <v>0.17691984955710299</v>
      </c>
      <c r="E21" t="s">
        <v>1467</v>
      </c>
      <c r="F21" t="s">
        <v>1448</v>
      </c>
      <c r="G21">
        <v>18.704000000000001</v>
      </c>
      <c r="H21">
        <v>2.6113671274961399E-2</v>
      </c>
      <c r="I21">
        <v>27.113</v>
      </c>
      <c r="J21">
        <v>4.15658253620683E-2</v>
      </c>
      <c r="K21" t="s">
        <v>956</v>
      </c>
      <c r="L21" t="s">
        <v>937</v>
      </c>
    </row>
    <row r="22" spans="1:12" x14ac:dyDescent="0.35">
      <c r="A22">
        <v>7.7418031911128199E-2</v>
      </c>
      <c r="B22">
        <v>7.47377264200315E-2</v>
      </c>
      <c r="C22">
        <v>8.2414004288707196E-2</v>
      </c>
      <c r="D22">
        <v>8.77241949354641E-2</v>
      </c>
      <c r="E22" t="s">
        <v>1468</v>
      </c>
      <c r="F22" t="s">
        <v>1448</v>
      </c>
      <c r="G22">
        <v>19.077999999999999</v>
      </c>
      <c r="H22">
        <v>1.99957228400343E-2</v>
      </c>
      <c r="I22">
        <v>27.689</v>
      </c>
      <c r="J22">
        <v>2.1244421495223698E-2</v>
      </c>
      <c r="K22" t="s">
        <v>957</v>
      </c>
      <c r="L22" t="s">
        <v>937</v>
      </c>
    </row>
    <row r="23" spans="1:12" x14ac:dyDescent="0.35">
      <c r="A23">
        <v>5.00188837807687E-2</v>
      </c>
      <c r="B23">
        <v>5.9076854521070303E-2</v>
      </c>
      <c r="C23">
        <v>9.99907756879512E-2</v>
      </c>
      <c r="D23">
        <v>1.9938623083631101E-2</v>
      </c>
      <c r="E23" t="s">
        <v>1469</v>
      </c>
      <c r="F23" t="s">
        <v>1448</v>
      </c>
      <c r="G23">
        <v>19.538</v>
      </c>
      <c r="H23">
        <v>2.4111542090365898E-2</v>
      </c>
      <c r="I23">
        <v>27.826000000000001</v>
      </c>
      <c r="J23">
        <v>4.9478132110223304E-3</v>
      </c>
      <c r="K23" t="s">
        <v>958</v>
      </c>
      <c r="L23" t="s">
        <v>937</v>
      </c>
    </row>
    <row r="24" spans="1:12" x14ac:dyDescent="0.35">
      <c r="A24">
        <v>7.6956317974106001E-2</v>
      </c>
      <c r="B24">
        <v>5.5091330920863602E-2</v>
      </c>
      <c r="C24">
        <v>6.2847909413525901E-2</v>
      </c>
      <c r="D24">
        <v>1.2710174962932599E-2</v>
      </c>
      <c r="E24" t="s">
        <v>1470</v>
      </c>
      <c r="F24" t="s">
        <v>1448</v>
      </c>
      <c r="G24">
        <v>19.838000000000001</v>
      </c>
      <c r="H24">
        <v>1.5354693417954699E-2</v>
      </c>
      <c r="I24">
        <v>27.914000000000001</v>
      </c>
      <c r="J24">
        <v>3.16250988284339E-3</v>
      </c>
      <c r="K24" t="s">
        <v>959</v>
      </c>
      <c r="L24" t="s">
        <v>937</v>
      </c>
    </row>
    <row r="25" spans="1:12" x14ac:dyDescent="0.35">
      <c r="A25">
        <v>6.8882772668885706E-2</v>
      </c>
      <c r="B25">
        <v>9.5097426388938394E-2</v>
      </c>
      <c r="C25">
        <v>5.9557775023163499E-2</v>
      </c>
      <c r="D25">
        <v>2.4583979224767301E-2</v>
      </c>
      <c r="E25" t="s">
        <v>1471</v>
      </c>
      <c r="F25" t="s">
        <v>1448</v>
      </c>
      <c r="G25">
        <v>20.126999999999999</v>
      </c>
      <c r="H25">
        <v>1.45680008065328E-2</v>
      </c>
      <c r="I25">
        <v>28.084</v>
      </c>
      <c r="J25">
        <v>6.0901339829475499E-3</v>
      </c>
      <c r="K25" t="s">
        <v>960</v>
      </c>
      <c r="L25" t="s">
        <v>937</v>
      </c>
    </row>
    <row r="26" spans="1:12" x14ac:dyDescent="0.35">
      <c r="A26">
        <v>4.46796784787249E-2</v>
      </c>
      <c r="B26">
        <v>5.9702158874865199E-2</v>
      </c>
      <c r="C26">
        <v>5.3094918319799497E-2</v>
      </c>
      <c r="D26">
        <v>1.9800669277978002E-2</v>
      </c>
      <c r="E26" t="s">
        <v>1472</v>
      </c>
      <c r="F26" t="s">
        <v>1448</v>
      </c>
      <c r="G26">
        <v>20.388999999999999</v>
      </c>
      <c r="H26">
        <v>1.30173398916877E-2</v>
      </c>
      <c r="I26">
        <v>28.222000000000001</v>
      </c>
      <c r="J26">
        <v>4.91382993875522E-3</v>
      </c>
      <c r="K26" t="s">
        <v>961</v>
      </c>
      <c r="L26" t="s">
        <v>937</v>
      </c>
    </row>
    <row r="27" spans="1:12" x14ac:dyDescent="0.35">
      <c r="A27">
        <v>3.3979822161052303E-2</v>
      </c>
      <c r="B27">
        <v>3.3961135638896502E-2</v>
      </c>
      <c r="C27">
        <v>5.3215140717762302E-2</v>
      </c>
      <c r="D27">
        <v>3.4743180507705002E-2</v>
      </c>
      <c r="E27" t="s">
        <v>1473</v>
      </c>
      <c r="F27" t="s">
        <v>1448</v>
      </c>
      <c r="G27">
        <v>20.655000000000001</v>
      </c>
      <c r="H27">
        <v>1.3046250429153101E-2</v>
      </c>
      <c r="I27">
        <v>28.463999999999999</v>
      </c>
      <c r="J27">
        <v>8.5748706682728902E-3</v>
      </c>
      <c r="K27" t="s">
        <v>962</v>
      </c>
      <c r="L27" t="s">
        <v>937</v>
      </c>
    </row>
    <row r="28" spans="1:12" x14ac:dyDescent="0.35">
      <c r="A28">
        <v>6.2157602764701697E-2</v>
      </c>
      <c r="B28">
        <v>4.6572413553721298E-2</v>
      </c>
      <c r="C28">
        <v>3.5515485276211803E-2</v>
      </c>
      <c r="D28">
        <v>8.7412684077270396E-3</v>
      </c>
      <c r="E28" t="s">
        <v>1474</v>
      </c>
      <c r="F28" t="s">
        <v>1448</v>
      </c>
      <c r="G28">
        <v>20.835999999999999</v>
      </c>
      <c r="H28">
        <v>8.7630113773904394E-3</v>
      </c>
      <c r="I28">
        <v>28.526</v>
      </c>
      <c r="J28">
        <v>2.17818999437891E-3</v>
      </c>
      <c r="K28" t="s">
        <v>963</v>
      </c>
      <c r="L28" t="s">
        <v>937</v>
      </c>
    </row>
    <row r="29" spans="1:12" x14ac:dyDescent="0.35">
      <c r="A29">
        <v>6.4679796349943294E-2</v>
      </c>
      <c r="B29">
        <v>0.11140543202132699</v>
      </c>
      <c r="C29">
        <v>5.3847641567893498E-2</v>
      </c>
      <c r="D29">
        <v>2.7482019859727602E-2</v>
      </c>
      <c r="E29" t="s">
        <v>1475</v>
      </c>
      <c r="F29" t="s">
        <v>1448</v>
      </c>
      <c r="G29">
        <v>21.111000000000001</v>
      </c>
      <c r="H29">
        <v>1.31983106162412E-2</v>
      </c>
      <c r="I29">
        <v>28.72</v>
      </c>
      <c r="J29">
        <v>6.8008132931360902E-3</v>
      </c>
      <c r="K29" t="s">
        <v>964</v>
      </c>
      <c r="L29" t="s">
        <v>937</v>
      </c>
    </row>
    <row r="30" spans="1:12" x14ac:dyDescent="0.35">
      <c r="A30">
        <v>7.4088172350420103E-2</v>
      </c>
      <c r="B30">
        <v>5.7739458159661701E-2</v>
      </c>
      <c r="C30">
        <v>8.3796072481744796E-2</v>
      </c>
      <c r="D30">
        <v>5.2825931688943499E-2</v>
      </c>
      <c r="E30" t="s">
        <v>1476</v>
      </c>
      <c r="F30" t="s">
        <v>1448</v>
      </c>
      <c r="G30">
        <v>21.54</v>
      </c>
      <c r="H30">
        <v>2.0321159585050302E-2</v>
      </c>
      <c r="I30">
        <v>29.091999999999999</v>
      </c>
      <c r="J30">
        <v>1.2952646239554401E-2</v>
      </c>
      <c r="K30" t="s">
        <v>965</v>
      </c>
      <c r="L30" t="s">
        <v>937</v>
      </c>
    </row>
    <row r="31" spans="1:12" x14ac:dyDescent="0.35">
      <c r="A31">
        <v>7.0308632461715301E-2</v>
      </c>
      <c r="B31">
        <v>4.6296846180206901E-2</v>
      </c>
      <c r="C31">
        <v>8.1880476726010801E-2</v>
      </c>
      <c r="D31">
        <v>4.0048809702137603E-2</v>
      </c>
      <c r="E31" t="s">
        <v>1477</v>
      </c>
      <c r="F31" t="s">
        <v>1448</v>
      </c>
      <c r="G31">
        <v>21.968</v>
      </c>
      <c r="H31">
        <v>1.9870009285051001E-2</v>
      </c>
      <c r="I31">
        <v>29.379000000000001</v>
      </c>
      <c r="J31">
        <v>9.8652550529356696E-3</v>
      </c>
      <c r="K31" t="s">
        <v>966</v>
      </c>
      <c r="L31" t="s">
        <v>937</v>
      </c>
    </row>
    <row r="32" spans="1:12" x14ac:dyDescent="0.35">
      <c r="A32">
        <v>6.1553542794543503E-2</v>
      </c>
      <c r="B32">
        <v>1.98663105662467E-2</v>
      </c>
      <c r="C32">
        <v>7.3501873886998997E-2</v>
      </c>
      <c r="D32">
        <v>5.4874269706492597E-2</v>
      </c>
      <c r="E32" t="s">
        <v>1478</v>
      </c>
      <c r="F32" t="s">
        <v>1448</v>
      </c>
      <c r="G32">
        <v>22.361000000000001</v>
      </c>
      <c r="H32">
        <v>1.7889657683903801E-2</v>
      </c>
      <c r="I32">
        <v>29.774000000000001</v>
      </c>
      <c r="J32">
        <v>1.3444977705163501E-2</v>
      </c>
      <c r="K32" t="s">
        <v>967</v>
      </c>
      <c r="L32" t="s">
        <v>937</v>
      </c>
    </row>
    <row r="33" spans="1:12" x14ac:dyDescent="0.35">
      <c r="A33">
        <v>5.8025197908700303E-2</v>
      </c>
      <c r="B33">
        <v>0.12112082718011299</v>
      </c>
      <c r="C33">
        <v>7.5383891455237398E-2</v>
      </c>
      <c r="D33">
        <v>4.34111575180351E-2</v>
      </c>
      <c r="E33" t="s">
        <v>1479</v>
      </c>
      <c r="F33" t="s">
        <v>1448</v>
      </c>
      <c r="G33">
        <v>22.771000000000001</v>
      </c>
      <c r="H33">
        <v>1.83354948347569E-2</v>
      </c>
      <c r="I33">
        <v>30.091999999999999</v>
      </c>
      <c r="J33">
        <v>1.0680459461274799E-2</v>
      </c>
      <c r="K33" t="s">
        <v>968</v>
      </c>
      <c r="L33" t="s">
        <v>937</v>
      </c>
    </row>
    <row r="34" spans="1:12" x14ac:dyDescent="0.35">
      <c r="A34">
        <v>6.7326294927223501E-2</v>
      </c>
      <c r="B34">
        <v>4.65097292728067E-2</v>
      </c>
      <c r="C34">
        <v>5.9424238450433299E-2</v>
      </c>
      <c r="D34">
        <v>5.0510789433123801E-2</v>
      </c>
      <c r="E34" t="s">
        <v>1480</v>
      </c>
      <c r="F34" t="s">
        <v>1448</v>
      </c>
      <c r="G34">
        <v>23.102</v>
      </c>
      <c r="H34">
        <v>1.4536032673137E-2</v>
      </c>
      <c r="I34">
        <v>30.465</v>
      </c>
      <c r="J34">
        <v>1.23953210155523E-2</v>
      </c>
      <c r="K34" t="s">
        <v>969</v>
      </c>
      <c r="L34" t="s">
        <v>937</v>
      </c>
    </row>
    <row r="35" spans="1:12" x14ac:dyDescent="0.35">
      <c r="A35">
        <v>8.4675701203493298E-2</v>
      </c>
      <c r="B35">
        <v>8.09066486989478E-2</v>
      </c>
      <c r="C35">
        <v>6.5619276167123694E-2</v>
      </c>
      <c r="D35">
        <v>8.0997725857898203E-2</v>
      </c>
      <c r="E35" t="s">
        <v>1481</v>
      </c>
      <c r="F35" t="s">
        <v>1448</v>
      </c>
      <c r="G35">
        <v>23.472000000000001</v>
      </c>
      <c r="H35">
        <v>1.6015929356765699E-2</v>
      </c>
      <c r="I35">
        <v>31.064</v>
      </c>
      <c r="J35">
        <v>1.9661907106515601E-2</v>
      </c>
      <c r="K35" t="s">
        <v>970</v>
      </c>
      <c r="L35" t="s">
        <v>937</v>
      </c>
    </row>
    <row r="36" spans="1:12" x14ac:dyDescent="0.35">
      <c r="A36">
        <v>7.2050406034996906E-2</v>
      </c>
      <c r="B36">
        <v>6.8549166168664605E-2</v>
      </c>
      <c r="C36">
        <v>5.8500992246239197E-2</v>
      </c>
      <c r="D36">
        <v>7.8709215306017405E-2</v>
      </c>
      <c r="E36" t="s">
        <v>1482</v>
      </c>
      <c r="F36" t="s">
        <v>1448</v>
      </c>
      <c r="G36">
        <v>23.808</v>
      </c>
      <c r="H36">
        <v>1.4314928425357899E-2</v>
      </c>
      <c r="I36">
        <v>31.658000000000001</v>
      </c>
      <c r="J36">
        <v>1.9121813031161401E-2</v>
      </c>
      <c r="K36" t="s">
        <v>971</v>
      </c>
      <c r="L36" t="s">
        <v>937</v>
      </c>
    </row>
    <row r="37" spans="1:12" x14ac:dyDescent="0.35">
      <c r="A37">
        <v>7.7759817693589403E-2</v>
      </c>
      <c r="B37">
        <v>7.0826828171957498E-2</v>
      </c>
      <c r="C37">
        <v>5.4682260590980698E-2</v>
      </c>
      <c r="D37">
        <v>7.3455131593814296E-2</v>
      </c>
      <c r="E37" t="s">
        <v>1483</v>
      </c>
      <c r="F37" t="s">
        <v>1448</v>
      </c>
      <c r="G37">
        <v>24.126999999999999</v>
      </c>
      <c r="H37">
        <v>1.33988575268817E-2</v>
      </c>
      <c r="I37">
        <v>32.223999999999997</v>
      </c>
      <c r="J37">
        <v>1.78785772948384E-2</v>
      </c>
      <c r="K37" t="s">
        <v>972</v>
      </c>
      <c r="L37" t="s">
        <v>937</v>
      </c>
    </row>
    <row r="38" spans="1:12" x14ac:dyDescent="0.35">
      <c r="A38">
        <v>7.7602845525897898E-2</v>
      </c>
      <c r="B38">
        <v>7.5755853629737399E-2</v>
      </c>
      <c r="C38">
        <v>0.101819091447914</v>
      </c>
      <c r="D38">
        <v>8.5137769356933707E-2</v>
      </c>
      <c r="E38" t="s">
        <v>1484</v>
      </c>
      <c r="F38" t="s">
        <v>1448</v>
      </c>
      <c r="G38">
        <v>24.719000000000001</v>
      </c>
      <c r="H38">
        <v>2.4536825962614601E-2</v>
      </c>
      <c r="I38">
        <v>32.889000000000003</v>
      </c>
      <c r="J38">
        <v>2.0636792452830299E-2</v>
      </c>
      <c r="K38" t="s">
        <v>973</v>
      </c>
      <c r="L38" t="s">
        <v>937</v>
      </c>
    </row>
    <row r="39" spans="1:12" x14ac:dyDescent="0.35">
      <c r="A39">
        <v>0.113838252689951</v>
      </c>
      <c r="B39">
        <v>6.1815502695247999E-2</v>
      </c>
      <c r="C39">
        <v>9.0287471336475605E-2</v>
      </c>
      <c r="D39">
        <v>0.11311171886032199</v>
      </c>
      <c r="E39" t="s">
        <v>1485</v>
      </c>
      <c r="F39" t="s">
        <v>1448</v>
      </c>
      <c r="G39">
        <v>25.259</v>
      </c>
      <c r="H39">
        <v>2.18455439135887E-2</v>
      </c>
      <c r="I39">
        <v>33.781999999999996</v>
      </c>
      <c r="J39">
        <v>2.7151935297515601E-2</v>
      </c>
      <c r="K39" t="s">
        <v>974</v>
      </c>
      <c r="L39" t="s">
        <v>937</v>
      </c>
    </row>
    <row r="40" spans="1:12" x14ac:dyDescent="0.35">
      <c r="A40">
        <v>0.10293672514128201</v>
      </c>
      <c r="B40">
        <v>9.6664179784869297E-2</v>
      </c>
      <c r="C40">
        <v>0.148038402658868</v>
      </c>
      <c r="D40">
        <v>0.121960082107911</v>
      </c>
      <c r="E40" t="s">
        <v>1486</v>
      </c>
      <c r="F40" t="s">
        <v>1448</v>
      </c>
      <c r="G40">
        <v>26.146000000000001</v>
      </c>
      <c r="H40">
        <v>3.5116196207292602E-2</v>
      </c>
      <c r="I40">
        <v>34.768000000000001</v>
      </c>
      <c r="J40">
        <v>2.9187141081049101E-2</v>
      </c>
      <c r="K40" t="s">
        <v>975</v>
      </c>
      <c r="L40" t="s">
        <v>937</v>
      </c>
    </row>
    <row r="41" spans="1:12" x14ac:dyDescent="0.35">
      <c r="A41">
        <v>0.100470180706661</v>
      </c>
      <c r="B41">
        <v>9.1027084037313494E-2</v>
      </c>
      <c r="C41">
        <v>7.0641984000731503E-2</v>
      </c>
      <c r="D41">
        <v>0.118355060703055</v>
      </c>
      <c r="E41" t="s">
        <v>1487</v>
      </c>
      <c r="F41" t="s">
        <v>1448</v>
      </c>
      <c r="G41">
        <v>26.596</v>
      </c>
      <c r="H41">
        <v>1.7211045666641198E-2</v>
      </c>
      <c r="I41">
        <v>35.753999999999998</v>
      </c>
      <c r="J41">
        <v>2.83594109526E-2</v>
      </c>
      <c r="K41" t="s">
        <v>976</v>
      </c>
      <c r="L41" t="s">
        <v>937</v>
      </c>
    </row>
    <row r="42" spans="1:12" x14ac:dyDescent="0.35">
      <c r="A42">
        <v>0.12552467874009099</v>
      </c>
      <c r="B42">
        <v>8.1451601423466094E-2</v>
      </c>
      <c r="C42">
        <v>0.106909632651843</v>
      </c>
      <c r="D42">
        <v>0.113864763230328</v>
      </c>
      <c r="E42" t="s">
        <v>1488</v>
      </c>
      <c r="F42" t="s">
        <v>1448</v>
      </c>
      <c r="G42">
        <v>27.28</v>
      </c>
      <c r="H42">
        <v>2.5718153105730199E-2</v>
      </c>
      <c r="I42">
        <v>36.731000000000002</v>
      </c>
      <c r="J42">
        <v>2.7325613917324101E-2</v>
      </c>
      <c r="K42" t="s">
        <v>977</v>
      </c>
      <c r="L42" t="s">
        <v>937</v>
      </c>
    </row>
    <row r="43" spans="1:12" x14ac:dyDescent="0.35">
      <c r="A43">
        <v>0.101539889707692</v>
      </c>
      <c r="B43">
        <v>0.163874229132176</v>
      </c>
      <c r="C43">
        <v>0.11299973225785501</v>
      </c>
      <c r="D43">
        <v>0.119816075191493</v>
      </c>
      <c r="E43" t="s">
        <v>1489</v>
      </c>
      <c r="F43" t="s">
        <v>1448</v>
      </c>
      <c r="G43">
        <v>28.02</v>
      </c>
      <c r="H43">
        <v>2.7126099706744799E-2</v>
      </c>
      <c r="I43">
        <v>37.784999999999997</v>
      </c>
      <c r="J43">
        <v>2.8695107674715899E-2</v>
      </c>
      <c r="K43" t="s">
        <v>978</v>
      </c>
      <c r="L43" t="s">
        <v>937</v>
      </c>
    </row>
    <row r="44" spans="1:12" x14ac:dyDescent="0.35">
      <c r="A44">
        <v>9.6919062654431398E-2</v>
      </c>
      <c r="B44">
        <v>4.1150587007602997E-2</v>
      </c>
      <c r="C44">
        <v>0.115930396885483</v>
      </c>
      <c r="D44">
        <v>0.138106666956619</v>
      </c>
      <c r="E44" t="s">
        <v>1490</v>
      </c>
      <c r="F44" t="s">
        <v>1448</v>
      </c>
      <c r="G44">
        <v>28.798999999999999</v>
      </c>
      <c r="H44">
        <v>2.7801570306923699E-2</v>
      </c>
      <c r="I44">
        <v>39.027000000000001</v>
      </c>
      <c r="J44">
        <v>3.2870186581977198E-2</v>
      </c>
      <c r="K44" t="s">
        <v>979</v>
      </c>
      <c r="L44" t="s">
        <v>937</v>
      </c>
    </row>
    <row r="45" spans="1:12" x14ac:dyDescent="0.35">
      <c r="A45">
        <v>0.102667735598145</v>
      </c>
      <c r="B45">
        <v>0.12591483160208999</v>
      </c>
      <c r="C45">
        <v>0.11071312036879399</v>
      </c>
      <c r="D45">
        <v>0.12373918134004901</v>
      </c>
      <c r="E45" t="s">
        <v>1491</v>
      </c>
      <c r="F45" t="s">
        <v>1448</v>
      </c>
      <c r="G45">
        <v>29.565000000000001</v>
      </c>
      <c r="H45">
        <v>2.65981457689504E-2</v>
      </c>
      <c r="I45">
        <v>40.182000000000002</v>
      </c>
      <c r="J45">
        <v>2.9594895841340601E-2</v>
      </c>
      <c r="K45" t="s">
        <v>980</v>
      </c>
      <c r="L45" t="s">
        <v>937</v>
      </c>
    </row>
    <row r="46" spans="1:12" x14ac:dyDescent="0.35">
      <c r="A46">
        <v>0.107873886984393</v>
      </c>
      <c r="B46">
        <v>8.2350511297398302E-2</v>
      </c>
      <c r="C46">
        <v>0.14097064786198199</v>
      </c>
      <c r="D46">
        <v>0.118188584098933</v>
      </c>
      <c r="E46" t="s">
        <v>1492</v>
      </c>
      <c r="F46" t="s">
        <v>1448</v>
      </c>
      <c r="G46">
        <v>30.556000000000001</v>
      </c>
      <c r="H46">
        <v>3.3519364112971399E-2</v>
      </c>
      <c r="I46">
        <v>41.32</v>
      </c>
      <c r="J46">
        <v>2.8321138818376401E-2</v>
      </c>
      <c r="K46" t="s">
        <v>981</v>
      </c>
      <c r="L46" t="s">
        <v>937</v>
      </c>
    </row>
    <row r="47" spans="1:12" x14ac:dyDescent="0.35">
      <c r="A47">
        <v>6.8864078536554199E-2</v>
      </c>
      <c r="B47">
        <v>9.6264819656522296E-2</v>
      </c>
      <c r="C47">
        <v>8.6310442735713797E-2</v>
      </c>
      <c r="D47">
        <v>9.9129163647753094E-2</v>
      </c>
      <c r="E47" t="s">
        <v>1493</v>
      </c>
      <c r="F47" t="s">
        <v>1448</v>
      </c>
      <c r="G47">
        <v>31.195</v>
      </c>
      <c r="H47">
        <v>2.0912423092027701E-2</v>
      </c>
      <c r="I47">
        <v>42.308</v>
      </c>
      <c r="J47">
        <v>2.39109390125847E-2</v>
      </c>
      <c r="K47" t="s">
        <v>982</v>
      </c>
      <c r="L47" t="s">
        <v>937</v>
      </c>
    </row>
    <row r="48" spans="1:12" x14ac:dyDescent="0.35">
      <c r="A48">
        <v>6.7510216956085903E-2</v>
      </c>
      <c r="B48">
        <v>9.0754628296435505E-2</v>
      </c>
      <c r="C48">
        <v>4.8692861535788202E-2</v>
      </c>
      <c r="D48">
        <v>8.4524586959714404E-2</v>
      </c>
      <c r="E48" t="s">
        <v>1494</v>
      </c>
      <c r="F48" t="s">
        <v>1448</v>
      </c>
      <c r="G48">
        <v>31.568000000000001</v>
      </c>
      <c r="H48">
        <v>1.1957044398140699E-2</v>
      </c>
      <c r="I48">
        <v>43.174999999999997</v>
      </c>
      <c r="J48">
        <v>2.0492578235794499E-2</v>
      </c>
      <c r="K48" t="s">
        <v>983</v>
      </c>
      <c r="L48" t="s">
        <v>937</v>
      </c>
    </row>
    <row r="49" spans="1:12" x14ac:dyDescent="0.35">
      <c r="A49">
        <v>6.2684205945477106E-2</v>
      </c>
      <c r="B49">
        <v>7.8781408158281802E-2</v>
      </c>
      <c r="C49">
        <v>6.2752816594642893E-2</v>
      </c>
      <c r="D49">
        <v>7.3171075998094998E-2</v>
      </c>
      <c r="E49" t="s">
        <v>1495</v>
      </c>
      <c r="F49" t="s">
        <v>1448</v>
      </c>
      <c r="G49">
        <v>32.052</v>
      </c>
      <c r="H49">
        <v>1.53319817536746E-2</v>
      </c>
      <c r="I49">
        <v>43.944000000000003</v>
      </c>
      <c r="J49">
        <v>1.7811233352634799E-2</v>
      </c>
      <c r="K49" t="s">
        <v>984</v>
      </c>
      <c r="L49" t="s">
        <v>937</v>
      </c>
    </row>
    <row r="50" spans="1:12" x14ac:dyDescent="0.35">
      <c r="A50">
        <v>5.1825632418063497E-2</v>
      </c>
      <c r="B50">
        <v>6.5520529029189395E-2</v>
      </c>
      <c r="C50">
        <v>7.2002334651775995E-2</v>
      </c>
      <c r="D50">
        <v>5.7261419360111997E-2</v>
      </c>
      <c r="E50" t="s">
        <v>1496</v>
      </c>
      <c r="F50" t="s">
        <v>1448</v>
      </c>
      <c r="G50">
        <v>32.613999999999997</v>
      </c>
      <c r="H50">
        <v>1.7534007238237701E-2</v>
      </c>
      <c r="I50">
        <v>44.56</v>
      </c>
      <c r="J50">
        <v>1.40178408884035E-2</v>
      </c>
      <c r="K50" t="s">
        <v>985</v>
      </c>
      <c r="L50" t="s">
        <v>937</v>
      </c>
    </row>
    <row r="51" spans="1:12" x14ac:dyDescent="0.35">
      <c r="A51">
        <v>3.9076838958162399E-2</v>
      </c>
      <c r="B51">
        <v>8.1541548822787496E-2</v>
      </c>
      <c r="C51">
        <v>6.5317850608274997E-2</v>
      </c>
      <c r="D51">
        <v>6.8572049720328196E-2</v>
      </c>
      <c r="E51" t="s">
        <v>1497</v>
      </c>
      <c r="F51" t="s">
        <v>1448</v>
      </c>
      <c r="G51">
        <v>33.134</v>
      </c>
      <c r="H51">
        <v>1.5944073097442901E-2</v>
      </c>
      <c r="I51">
        <v>45.305</v>
      </c>
      <c r="J51">
        <v>1.6719030520646199E-2</v>
      </c>
      <c r="K51" t="s">
        <v>986</v>
      </c>
      <c r="L51" t="s">
        <v>937</v>
      </c>
    </row>
    <row r="52" spans="1:12" x14ac:dyDescent="0.35">
      <c r="A52">
        <v>6.4698202701339205E-2</v>
      </c>
      <c r="B52">
        <v>3.4072636599968002E-2</v>
      </c>
      <c r="C52">
        <v>6.8068638365729198E-2</v>
      </c>
      <c r="D52">
        <v>4.8078704643683703E-2</v>
      </c>
      <c r="E52" t="s">
        <v>1498</v>
      </c>
      <c r="F52" t="s">
        <v>1448</v>
      </c>
      <c r="G52">
        <v>33.683999999999997</v>
      </c>
      <c r="H52">
        <v>1.65992635963059E-2</v>
      </c>
      <c r="I52">
        <v>45.84</v>
      </c>
      <c r="J52">
        <v>1.1808851120185501E-2</v>
      </c>
      <c r="K52" t="s">
        <v>987</v>
      </c>
      <c r="L52" t="s">
        <v>937</v>
      </c>
    </row>
    <row r="53" spans="1:12" x14ac:dyDescent="0.35">
      <c r="A53">
        <v>4.4829664945906803E-2</v>
      </c>
      <c r="B53">
        <v>4.8009313734526098E-2</v>
      </c>
      <c r="C53">
        <v>6.1455443169872802E-2</v>
      </c>
      <c r="D53">
        <v>1.01606507354322E-2</v>
      </c>
      <c r="E53" t="s">
        <v>1499</v>
      </c>
      <c r="F53" t="s">
        <v>1448</v>
      </c>
      <c r="G53">
        <v>34.19</v>
      </c>
      <c r="H53">
        <v>1.5021968887305399E-2</v>
      </c>
      <c r="I53">
        <v>45.956000000000003</v>
      </c>
      <c r="J53">
        <v>2.5305410122164998E-3</v>
      </c>
      <c r="K53" t="s">
        <v>988</v>
      </c>
      <c r="L53" t="s">
        <v>937</v>
      </c>
    </row>
    <row r="54" spans="1:12" x14ac:dyDescent="0.35">
      <c r="A54">
        <v>3.3496613159939903E-2</v>
      </c>
      <c r="B54">
        <v>7.5539459294806698E-3</v>
      </c>
      <c r="C54">
        <v>3.4722196261408399E-2</v>
      </c>
      <c r="D54">
        <v>3.7479666516224701E-3</v>
      </c>
      <c r="E54" t="s">
        <v>1500</v>
      </c>
      <c r="F54" t="s">
        <v>1448</v>
      </c>
      <c r="G54">
        <v>34.482999999999997</v>
      </c>
      <c r="H54">
        <v>8.5697572389587008E-3</v>
      </c>
      <c r="I54">
        <v>45.999000000000002</v>
      </c>
      <c r="J54">
        <v>9.3567760466539696E-4</v>
      </c>
      <c r="K54" t="s">
        <v>989</v>
      </c>
      <c r="L54" t="s">
        <v>937</v>
      </c>
    </row>
    <row r="55" spans="1:12" x14ac:dyDescent="0.35">
      <c r="A55">
        <v>3.7100673423204902E-2</v>
      </c>
      <c r="B55">
        <v>3.1269437697415199E-2</v>
      </c>
      <c r="C55">
        <v>5.5765239502398901E-2</v>
      </c>
      <c r="D55">
        <v>-5.3805310591299397E-3</v>
      </c>
      <c r="E55" t="s">
        <v>1501</v>
      </c>
      <c r="F55" t="s">
        <v>1448</v>
      </c>
      <c r="G55">
        <v>34.954000000000001</v>
      </c>
      <c r="H55">
        <v>1.36589043876694E-2</v>
      </c>
      <c r="I55">
        <v>45.936999999999998</v>
      </c>
      <c r="J55">
        <v>-1.3478553881607299E-3</v>
      </c>
      <c r="K55" t="s">
        <v>990</v>
      </c>
      <c r="L55" t="s">
        <v>937</v>
      </c>
    </row>
    <row r="56" spans="1:12" x14ac:dyDescent="0.35">
      <c r="A56">
        <v>5.3607020035561601E-2</v>
      </c>
      <c r="B56">
        <v>4.5007889346835098E-2</v>
      </c>
      <c r="C56">
        <v>4.7632291898301399E-2</v>
      </c>
      <c r="D56">
        <v>2.2658930308778699E-3</v>
      </c>
      <c r="E56" t="s">
        <v>1502</v>
      </c>
      <c r="F56" t="s">
        <v>1448</v>
      </c>
      <c r="G56">
        <v>35.363</v>
      </c>
      <c r="H56">
        <v>1.17010928649082E-2</v>
      </c>
      <c r="I56">
        <v>45.963000000000001</v>
      </c>
      <c r="J56">
        <v>5.6599255502098899E-4</v>
      </c>
      <c r="K56" t="s">
        <v>991</v>
      </c>
      <c r="L56" t="s">
        <v>937</v>
      </c>
    </row>
    <row r="57" spans="1:12" x14ac:dyDescent="0.35">
      <c r="A57">
        <v>2.6644627827705498E-2</v>
      </c>
      <c r="B57">
        <v>2.64126969592136E-2</v>
      </c>
      <c r="C57">
        <v>3.7969215238040602E-2</v>
      </c>
      <c r="D57">
        <v>-1.13086488994096E-3</v>
      </c>
      <c r="E57" t="s">
        <v>1503</v>
      </c>
      <c r="F57" t="s">
        <v>1448</v>
      </c>
      <c r="G57">
        <v>35.694000000000003</v>
      </c>
      <c r="H57">
        <v>9.3600656052936805E-3</v>
      </c>
      <c r="I57">
        <v>45.95</v>
      </c>
      <c r="J57">
        <v>-2.82836194330227E-4</v>
      </c>
      <c r="K57" t="s">
        <v>992</v>
      </c>
      <c r="L57" t="s">
        <v>937</v>
      </c>
    </row>
    <row r="58" spans="1:12" x14ac:dyDescent="0.35">
      <c r="A58">
        <v>4.3935723897537297E-2</v>
      </c>
      <c r="B58">
        <v>5.28225710519643E-2</v>
      </c>
      <c r="C58">
        <v>7.2018998740306803E-2</v>
      </c>
      <c r="D58">
        <v>4.3596665649268101E-3</v>
      </c>
      <c r="E58" t="s">
        <v>1504</v>
      </c>
      <c r="F58" t="s">
        <v>1448</v>
      </c>
      <c r="G58">
        <v>36.32</v>
      </c>
      <c r="H58">
        <v>1.7537961562167099E-2</v>
      </c>
      <c r="I58">
        <v>46</v>
      </c>
      <c r="J58">
        <v>1.0881392818280499E-3</v>
      </c>
      <c r="K58" t="s">
        <v>993</v>
      </c>
      <c r="L58" t="s">
        <v>937</v>
      </c>
    </row>
    <row r="59" spans="1:12" x14ac:dyDescent="0.35">
      <c r="A59">
        <v>3.93022623248813E-2</v>
      </c>
      <c r="B59">
        <v>4.0487191821635002E-2</v>
      </c>
      <c r="C59">
        <v>4.4330796852368702E-2</v>
      </c>
      <c r="D59">
        <v>1.4249428601276599E-2</v>
      </c>
      <c r="E59" t="s">
        <v>1505</v>
      </c>
      <c r="F59" t="s">
        <v>1448</v>
      </c>
      <c r="G59">
        <v>36.716000000000001</v>
      </c>
      <c r="H59">
        <v>1.09030837004405E-2</v>
      </c>
      <c r="I59">
        <v>46.162999999999997</v>
      </c>
      <c r="J59">
        <v>3.5434782608694299E-3</v>
      </c>
      <c r="K59" t="s">
        <v>994</v>
      </c>
      <c r="L59" t="s">
        <v>937</v>
      </c>
    </row>
    <row r="60" spans="1:12" x14ac:dyDescent="0.35">
      <c r="A60">
        <v>3.1206818640470101E-2</v>
      </c>
      <c r="B60">
        <v>6.08178890509075E-2</v>
      </c>
      <c r="C60">
        <v>4.3619950255883798E-2</v>
      </c>
      <c r="D60">
        <v>1.29734153291148E-2</v>
      </c>
      <c r="E60" t="s">
        <v>1506</v>
      </c>
      <c r="F60" t="s">
        <v>1448</v>
      </c>
      <c r="G60">
        <v>37.11</v>
      </c>
      <c r="H60">
        <v>1.07310164505936E-2</v>
      </c>
      <c r="I60">
        <v>46.311999999999998</v>
      </c>
      <c r="J60">
        <v>3.22769317418703E-3</v>
      </c>
      <c r="K60" t="s">
        <v>995</v>
      </c>
      <c r="L60" t="s">
        <v>937</v>
      </c>
    </row>
    <row r="61" spans="1:12" x14ac:dyDescent="0.35">
      <c r="A61">
        <v>2.4937045869749999E-2</v>
      </c>
      <c r="B61">
        <v>5.0188195911601098E-2</v>
      </c>
      <c r="C61">
        <v>4.8053419713626901E-2</v>
      </c>
      <c r="D61">
        <v>8.1435979249952998E-3</v>
      </c>
      <c r="E61" t="s">
        <v>1507</v>
      </c>
      <c r="F61" t="s">
        <v>1448</v>
      </c>
      <c r="G61">
        <v>37.548000000000002</v>
      </c>
      <c r="H61">
        <v>1.1802748585286999E-2</v>
      </c>
      <c r="I61">
        <v>46.405999999999999</v>
      </c>
      <c r="J61">
        <v>2.0297115218517198E-3</v>
      </c>
      <c r="K61" t="s">
        <v>996</v>
      </c>
      <c r="L61" t="s">
        <v>937</v>
      </c>
    </row>
    <row r="62" spans="1:12" x14ac:dyDescent="0.35">
      <c r="A62">
        <v>4.8021891562025902E-2</v>
      </c>
      <c r="B62">
        <v>-1.5869949670850401E-2</v>
      </c>
      <c r="C62">
        <v>5.3895269710959599E-2</v>
      </c>
      <c r="D62">
        <v>2.2424648618448499E-2</v>
      </c>
      <c r="E62" t="s">
        <v>1508</v>
      </c>
      <c r="F62" t="s">
        <v>1448</v>
      </c>
      <c r="G62">
        <v>38.043999999999997</v>
      </c>
      <c r="H62">
        <v>1.3209758176201E-2</v>
      </c>
      <c r="I62">
        <v>46.664000000000001</v>
      </c>
      <c r="J62">
        <v>5.5596259104426799E-3</v>
      </c>
      <c r="K62" t="s">
        <v>997</v>
      </c>
      <c r="L62" t="s">
        <v>937</v>
      </c>
    </row>
    <row r="63" spans="1:12" x14ac:dyDescent="0.35">
      <c r="A63">
        <v>3.2831975950411901E-2</v>
      </c>
      <c r="B63">
        <v>9.4485381047573203E-3</v>
      </c>
      <c r="C63">
        <v>4.6526948089148097E-2</v>
      </c>
      <c r="D63">
        <v>1.2400816449865701E-2</v>
      </c>
      <c r="E63" t="s">
        <v>1509</v>
      </c>
      <c r="F63" t="s">
        <v>1448</v>
      </c>
      <c r="G63">
        <v>38.478999999999999</v>
      </c>
      <c r="H63">
        <v>1.1434128903375E-2</v>
      </c>
      <c r="I63">
        <v>46.808</v>
      </c>
      <c r="J63">
        <v>3.0858906223212301E-3</v>
      </c>
      <c r="K63" t="s">
        <v>998</v>
      </c>
      <c r="L63" t="s">
        <v>937</v>
      </c>
    </row>
    <row r="64" spans="1:12" x14ac:dyDescent="0.35">
      <c r="A64">
        <v>3.1711964087017402E-2</v>
      </c>
      <c r="B64">
        <v>2.1519541922931699E-2</v>
      </c>
      <c r="C64">
        <v>3.7630817464174598E-2</v>
      </c>
      <c r="D64">
        <v>1.6508679737656601E-2</v>
      </c>
      <c r="E64" t="s">
        <v>1510</v>
      </c>
      <c r="F64" t="s">
        <v>1448</v>
      </c>
      <c r="G64">
        <v>38.835999999999999</v>
      </c>
      <c r="H64">
        <v>9.2777878843004497E-3</v>
      </c>
      <c r="I64">
        <v>47</v>
      </c>
      <c r="J64">
        <v>4.1018629294138397E-3</v>
      </c>
      <c r="K64" t="s">
        <v>999</v>
      </c>
      <c r="L64" t="s">
        <v>937</v>
      </c>
    </row>
    <row r="65" spans="1:12" x14ac:dyDescent="0.35">
      <c r="A65">
        <v>2.8237310351865798E-2</v>
      </c>
      <c r="B65">
        <v>2.6513418939119401E-2</v>
      </c>
      <c r="C65">
        <v>4.0884190168569902E-2</v>
      </c>
      <c r="D65">
        <v>2.40435812756121E-2</v>
      </c>
      <c r="E65" t="s">
        <v>1511</v>
      </c>
      <c r="F65" t="s">
        <v>1448</v>
      </c>
      <c r="G65">
        <v>39.226999999999997</v>
      </c>
      <c r="H65">
        <v>1.0067978164589601E-2</v>
      </c>
      <c r="I65">
        <v>47.28</v>
      </c>
      <c r="J65">
        <v>5.9574468085106204E-3</v>
      </c>
      <c r="K65" t="s">
        <v>1000</v>
      </c>
      <c r="L65" t="s">
        <v>937</v>
      </c>
    </row>
    <row r="66" spans="1:12" x14ac:dyDescent="0.35">
      <c r="A66">
        <v>2.86487834236928E-2</v>
      </c>
      <c r="B66">
        <v>-1.00878062845416E-2</v>
      </c>
      <c r="C66">
        <v>1.47648166353573E-2</v>
      </c>
      <c r="D66">
        <v>2.5106061305751201E-2</v>
      </c>
      <c r="E66" t="s">
        <v>1512</v>
      </c>
      <c r="F66" t="s">
        <v>1448</v>
      </c>
      <c r="G66">
        <v>39.371000000000002</v>
      </c>
      <c r="H66">
        <v>3.6709409335409201E-3</v>
      </c>
      <c r="I66">
        <v>47.573999999999998</v>
      </c>
      <c r="J66">
        <v>6.2182741116749698E-3</v>
      </c>
      <c r="K66" t="s">
        <v>1001</v>
      </c>
      <c r="L66" t="s">
        <v>937</v>
      </c>
    </row>
    <row r="67" spans="1:12" x14ac:dyDescent="0.35">
      <c r="A67">
        <v>-4.2153079272678803E-3</v>
      </c>
      <c r="B67">
        <v>-9.8843189037382002E-3</v>
      </c>
      <c r="C67">
        <v>1.2042523964300099E-2</v>
      </c>
      <c r="D67">
        <v>4.1753162692227598E-2</v>
      </c>
      <c r="E67" t="s">
        <v>1513</v>
      </c>
      <c r="F67" t="s">
        <v>1448</v>
      </c>
      <c r="G67">
        <v>39.488999999999997</v>
      </c>
      <c r="H67">
        <v>2.9971298671609401E-3</v>
      </c>
      <c r="I67">
        <v>48.063000000000002</v>
      </c>
      <c r="J67">
        <v>1.02787236725943E-2</v>
      </c>
      <c r="K67" t="s">
        <v>1002</v>
      </c>
      <c r="L67" t="s">
        <v>937</v>
      </c>
    </row>
    <row r="68" spans="1:12" x14ac:dyDescent="0.35">
      <c r="A68">
        <v>2.1224970793817698E-2</v>
      </c>
      <c r="B68">
        <v>5.6401548408471199E-3</v>
      </c>
      <c r="C68">
        <v>3.4679470629119601E-2</v>
      </c>
      <c r="D68">
        <v>3.6953475595025202E-2</v>
      </c>
      <c r="E68" t="s">
        <v>1514</v>
      </c>
      <c r="F68" t="s">
        <v>1448</v>
      </c>
      <c r="G68">
        <v>39.826999999999998</v>
      </c>
      <c r="H68">
        <v>8.5593456405581598E-3</v>
      </c>
      <c r="I68">
        <v>48.500999999999998</v>
      </c>
      <c r="J68">
        <v>9.1130391361338194E-3</v>
      </c>
      <c r="K68" t="s">
        <v>1003</v>
      </c>
      <c r="L68" t="s">
        <v>937</v>
      </c>
    </row>
    <row r="69" spans="1:12" x14ac:dyDescent="0.35">
      <c r="A69">
        <v>2.4413629868112598E-2</v>
      </c>
      <c r="B69">
        <v>4.55022354216461E-3</v>
      </c>
      <c r="C69">
        <v>5.3779833992726497E-2</v>
      </c>
      <c r="D69">
        <v>4.4006184582173501E-2</v>
      </c>
      <c r="E69" t="s">
        <v>1515</v>
      </c>
      <c r="F69" t="s">
        <v>1448</v>
      </c>
      <c r="G69">
        <v>40.351999999999997</v>
      </c>
      <c r="H69">
        <v>1.3182012202777E-2</v>
      </c>
      <c r="I69">
        <v>49.026000000000003</v>
      </c>
      <c r="J69">
        <v>1.08245190820808E-2</v>
      </c>
      <c r="K69" t="s">
        <v>1004</v>
      </c>
      <c r="L69" t="s">
        <v>937</v>
      </c>
    </row>
    <row r="70" spans="1:12" x14ac:dyDescent="0.35">
      <c r="A70">
        <v>3.8220568833408297E-2</v>
      </c>
      <c r="B70">
        <v>-6.8268953681047701E-3</v>
      </c>
      <c r="C70">
        <v>6.6318650583382599E-2</v>
      </c>
      <c r="D70">
        <v>2.5866237951436302E-2</v>
      </c>
      <c r="E70" t="s">
        <v>1516</v>
      </c>
      <c r="F70" t="s">
        <v>1448</v>
      </c>
      <c r="G70">
        <v>41.005000000000003</v>
      </c>
      <c r="H70">
        <v>1.61825931800159E-2</v>
      </c>
      <c r="I70">
        <v>49.34</v>
      </c>
      <c r="J70">
        <v>6.4047648186675897E-3</v>
      </c>
      <c r="K70" t="s">
        <v>1005</v>
      </c>
      <c r="L70" t="s">
        <v>937</v>
      </c>
    </row>
    <row r="71" spans="1:12" x14ac:dyDescent="0.35">
      <c r="A71">
        <v>3.9129087464599803E-2</v>
      </c>
      <c r="B71">
        <v>1.9164012541417402E-2</v>
      </c>
      <c r="C71">
        <v>5.3726223643289599E-2</v>
      </c>
      <c r="D71">
        <v>3.4070959420577702E-2</v>
      </c>
      <c r="E71" t="s">
        <v>1517</v>
      </c>
      <c r="F71" t="s">
        <v>1448</v>
      </c>
      <c r="G71">
        <v>41.545000000000002</v>
      </c>
      <c r="H71">
        <v>1.3169125716376E-2</v>
      </c>
      <c r="I71">
        <v>49.755000000000003</v>
      </c>
      <c r="J71">
        <v>8.4110255370895004E-3</v>
      </c>
      <c r="K71" t="s">
        <v>1006</v>
      </c>
      <c r="L71" t="s">
        <v>937</v>
      </c>
    </row>
    <row r="72" spans="1:12" x14ac:dyDescent="0.35">
      <c r="A72">
        <v>3.8454021368670203E-2</v>
      </c>
      <c r="B72">
        <v>2.9219770282175001E-2</v>
      </c>
      <c r="C72">
        <v>5.1713813262120399E-2</v>
      </c>
      <c r="D72">
        <v>3.6092988240003197E-2</v>
      </c>
      <c r="E72" t="s">
        <v>1518</v>
      </c>
      <c r="F72" t="s">
        <v>1448</v>
      </c>
      <c r="G72">
        <v>42.072000000000003</v>
      </c>
      <c r="H72">
        <v>1.2685040317727899E-2</v>
      </c>
      <c r="I72">
        <v>50.198</v>
      </c>
      <c r="J72">
        <v>8.9036277761027592E-3</v>
      </c>
      <c r="K72" t="s">
        <v>1007</v>
      </c>
      <c r="L72" t="s">
        <v>937</v>
      </c>
    </row>
    <row r="73" spans="1:12" x14ac:dyDescent="0.35">
      <c r="A73">
        <v>3.5013174112648898E-2</v>
      </c>
      <c r="B73">
        <v>8.3996255435596599E-3</v>
      </c>
      <c r="C73">
        <v>2.4659104438458999E-2</v>
      </c>
      <c r="D73">
        <v>2.13651369698558E-2</v>
      </c>
      <c r="E73" t="s">
        <v>1519</v>
      </c>
      <c r="F73" t="s">
        <v>1448</v>
      </c>
      <c r="G73">
        <v>42.329000000000001</v>
      </c>
      <c r="H73">
        <v>6.1085757748620103E-3</v>
      </c>
      <c r="I73">
        <v>50.463999999999999</v>
      </c>
      <c r="J73">
        <v>5.29901589704762E-3</v>
      </c>
      <c r="K73" t="s">
        <v>1008</v>
      </c>
      <c r="L73" t="s">
        <v>937</v>
      </c>
    </row>
    <row r="74" spans="1:12" x14ac:dyDescent="0.35">
      <c r="A74">
        <v>3.19577361885768E-2</v>
      </c>
      <c r="B74">
        <v>5.5666299963321703E-2</v>
      </c>
      <c r="C74">
        <v>1.7884305064996799E-2</v>
      </c>
      <c r="D74">
        <v>3.2571809116936898E-2</v>
      </c>
      <c r="E74" t="s">
        <v>1520</v>
      </c>
      <c r="F74" t="s">
        <v>1448</v>
      </c>
      <c r="G74">
        <v>42.517000000000003</v>
      </c>
      <c r="H74">
        <v>4.4413995133361101E-3</v>
      </c>
      <c r="I74">
        <v>50.87</v>
      </c>
      <c r="J74">
        <v>8.0453392517438899E-3</v>
      </c>
      <c r="K74" t="s">
        <v>1009</v>
      </c>
      <c r="L74" t="s">
        <v>937</v>
      </c>
    </row>
    <row r="75" spans="1:12" x14ac:dyDescent="0.35">
      <c r="A75">
        <v>4.4899260052234199E-2</v>
      </c>
      <c r="B75">
        <v>3.99278081765242E-2</v>
      </c>
      <c r="C75">
        <v>4.3789897152202203E-2</v>
      </c>
      <c r="D75">
        <v>2.2279292577718199E-2</v>
      </c>
      <c r="E75" t="s">
        <v>1521</v>
      </c>
      <c r="F75" t="s">
        <v>1448</v>
      </c>
      <c r="G75">
        <v>42.975000000000001</v>
      </c>
      <c r="H75">
        <v>1.0772161723545901E-2</v>
      </c>
      <c r="I75">
        <v>51.151000000000003</v>
      </c>
      <c r="J75">
        <v>5.5238844112444098E-3</v>
      </c>
      <c r="K75" t="s">
        <v>1010</v>
      </c>
      <c r="L75" t="s">
        <v>937</v>
      </c>
    </row>
    <row r="76" spans="1:12" x14ac:dyDescent="0.35">
      <c r="A76">
        <v>5.0215068802573502E-2</v>
      </c>
      <c r="B76">
        <v>2.3053377277420399E-2</v>
      </c>
      <c r="C76">
        <v>3.6032445200426998E-2</v>
      </c>
      <c r="D76">
        <v>2.6056753006691701E-2</v>
      </c>
      <c r="E76" t="s">
        <v>1522</v>
      </c>
      <c r="F76" t="s">
        <v>1448</v>
      </c>
      <c r="G76">
        <v>43.356999999999999</v>
      </c>
      <c r="H76">
        <v>8.8888888888889496E-3</v>
      </c>
      <c r="I76">
        <v>51.481000000000002</v>
      </c>
      <c r="J76">
        <v>6.45148677445206E-3</v>
      </c>
      <c r="K76" t="s">
        <v>1011</v>
      </c>
      <c r="L76" t="s">
        <v>937</v>
      </c>
    </row>
    <row r="77" spans="1:12" x14ac:dyDescent="0.35">
      <c r="A77">
        <v>4.1025346631292002E-2</v>
      </c>
      <c r="B77">
        <v>3.2561998713341901E-2</v>
      </c>
      <c r="C77">
        <v>5.2865449677459202E-2</v>
      </c>
      <c r="D77">
        <v>2.13020937510979E-2</v>
      </c>
      <c r="E77" t="s">
        <v>1523</v>
      </c>
      <c r="F77" t="s">
        <v>1448</v>
      </c>
      <c r="G77">
        <v>43.918999999999997</v>
      </c>
      <c r="H77">
        <v>1.29621514403671E-2</v>
      </c>
      <c r="I77">
        <v>51.753</v>
      </c>
      <c r="J77">
        <v>5.2835026514637101E-3</v>
      </c>
      <c r="K77" t="s">
        <v>1012</v>
      </c>
      <c r="L77" t="s">
        <v>937</v>
      </c>
    </row>
    <row r="78" spans="1:12" x14ac:dyDescent="0.35">
      <c r="A78">
        <v>4.6770164599538401E-2</v>
      </c>
      <c r="B78">
        <v>3.00519488200592E-2</v>
      </c>
      <c r="C78">
        <v>6.2050852369377699E-2</v>
      </c>
      <c r="D78">
        <v>1.9463013158635498E-2</v>
      </c>
      <c r="E78" t="s">
        <v>1524</v>
      </c>
      <c r="F78" t="s">
        <v>1448</v>
      </c>
      <c r="G78">
        <v>44.585000000000001</v>
      </c>
      <c r="H78">
        <v>1.5164279696714401E-2</v>
      </c>
      <c r="I78">
        <v>52.003</v>
      </c>
      <c r="J78">
        <v>4.8306378374200999E-3</v>
      </c>
      <c r="K78" t="s">
        <v>1013</v>
      </c>
      <c r="L78" t="s">
        <v>937</v>
      </c>
    </row>
    <row r="79" spans="1:12" x14ac:dyDescent="0.35">
      <c r="A79">
        <v>5.4994617531312101E-2</v>
      </c>
      <c r="B79">
        <v>2.9679316947533299E-2</v>
      </c>
      <c r="C79">
        <v>6.0821876360983101E-2</v>
      </c>
      <c r="D79">
        <v>3.2856918868300999E-2</v>
      </c>
      <c r="E79" t="s">
        <v>1525</v>
      </c>
      <c r="F79" t="s">
        <v>1448</v>
      </c>
      <c r="G79">
        <v>45.247999999999998</v>
      </c>
      <c r="H79">
        <v>1.48704721318829E-2</v>
      </c>
      <c r="I79">
        <v>52.424999999999997</v>
      </c>
      <c r="J79">
        <v>8.1149164471279196E-3</v>
      </c>
      <c r="K79" t="s">
        <v>1014</v>
      </c>
      <c r="L79" t="s">
        <v>937</v>
      </c>
    </row>
    <row r="80" spans="1:12" x14ac:dyDescent="0.35">
      <c r="A80">
        <v>2.3822978628153201E-2</v>
      </c>
      <c r="B80">
        <v>2.0057150963272801E-2</v>
      </c>
      <c r="C80">
        <v>3.9922896172757301E-2</v>
      </c>
      <c r="D80">
        <v>3.0012482573731999E-2</v>
      </c>
      <c r="E80" t="s">
        <v>1526</v>
      </c>
      <c r="F80" t="s">
        <v>1448</v>
      </c>
      <c r="G80">
        <v>45.692999999999998</v>
      </c>
      <c r="H80">
        <v>9.8346888260254506E-3</v>
      </c>
      <c r="I80">
        <v>52.814</v>
      </c>
      <c r="J80">
        <v>7.4201239866476002E-3</v>
      </c>
      <c r="K80" t="s">
        <v>1015</v>
      </c>
      <c r="L80" t="s">
        <v>937</v>
      </c>
    </row>
    <row r="81" spans="1:12" x14ac:dyDescent="0.35">
      <c r="A81">
        <v>3.1803231650019199E-2</v>
      </c>
      <c r="B81">
        <v>1.4432124176051201E-2</v>
      </c>
      <c r="C81">
        <v>6.0046453160524503E-2</v>
      </c>
      <c r="D81">
        <v>2.2222434897181301E-2</v>
      </c>
      <c r="E81" t="s">
        <v>1527</v>
      </c>
      <c r="F81" t="s">
        <v>1448</v>
      </c>
      <c r="G81">
        <v>46.363999999999997</v>
      </c>
      <c r="H81">
        <v>1.46849626857506E-2</v>
      </c>
      <c r="I81">
        <v>53.104999999999997</v>
      </c>
      <c r="J81">
        <v>5.5099026773204303E-3</v>
      </c>
      <c r="K81" t="s">
        <v>1016</v>
      </c>
      <c r="L81" t="s">
        <v>937</v>
      </c>
    </row>
    <row r="82" spans="1:12" x14ac:dyDescent="0.35">
      <c r="A82">
        <v>5.92740793130948E-2</v>
      </c>
      <c r="B82">
        <v>2.8330647899498702E-2</v>
      </c>
      <c r="C82">
        <v>6.4935137330784501E-2</v>
      </c>
      <c r="D82">
        <v>2.9085137772108E-2</v>
      </c>
      <c r="E82" t="s">
        <v>1528</v>
      </c>
      <c r="F82" t="s">
        <v>1448</v>
      </c>
      <c r="G82">
        <v>47.098999999999997</v>
      </c>
      <c r="H82">
        <v>1.5852816840652199E-2</v>
      </c>
      <c r="I82">
        <v>53.487000000000002</v>
      </c>
      <c r="J82">
        <v>7.1932962997835999E-3</v>
      </c>
      <c r="K82" t="s">
        <v>1017</v>
      </c>
      <c r="L82" t="s">
        <v>937</v>
      </c>
    </row>
    <row r="83" spans="1:12" x14ac:dyDescent="0.35">
      <c r="A83">
        <v>3.6833081072387398E-2</v>
      </c>
      <c r="B83">
        <v>7.0464261662823505E-2</v>
      </c>
      <c r="C83">
        <v>4.34077415784246E-2</v>
      </c>
      <c r="D83">
        <v>3.5768290293157798E-2</v>
      </c>
      <c r="E83" t="s">
        <v>1529</v>
      </c>
      <c r="F83" t="s">
        <v>1448</v>
      </c>
      <c r="G83">
        <v>47.601999999999997</v>
      </c>
      <c r="H83">
        <v>1.0679632263954599E-2</v>
      </c>
      <c r="I83">
        <v>53.959000000000003</v>
      </c>
      <c r="J83">
        <v>8.8245741955990092E-3</v>
      </c>
      <c r="K83" t="s">
        <v>1018</v>
      </c>
      <c r="L83" t="s">
        <v>937</v>
      </c>
    </row>
    <row r="84" spans="1:12" x14ac:dyDescent="0.35">
      <c r="A84">
        <v>5.1769155239957503E-2</v>
      </c>
      <c r="B84">
        <v>5.3870047588526803E-3</v>
      </c>
      <c r="C84">
        <v>5.9429132401131797E-2</v>
      </c>
      <c r="D84">
        <v>3.9413809912278698E-2</v>
      </c>
      <c r="E84" t="s">
        <v>1530</v>
      </c>
      <c r="F84" t="s">
        <v>1448</v>
      </c>
      <c r="G84">
        <v>48.293999999999997</v>
      </c>
      <c r="H84">
        <v>1.4537204319146299E-2</v>
      </c>
      <c r="I84">
        <v>54.482999999999997</v>
      </c>
      <c r="J84">
        <v>9.7110769287791499E-3</v>
      </c>
      <c r="K84" t="s">
        <v>1019</v>
      </c>
      <c r="L84" t="s">
        <v>937</v>
      </c>
    </row>
    <row r="85" spans="1:12" x14ac:dyDescent="0.35">
      <c r="A85">
        <v>5.3985249536158401E-2</v>
      </c>
      <c r="B85">
        <v>4.8480456964960797E-2</v>
      </c>
      <c r="C85">
        <v>7.7879333039596599E-2</v>
      </c>
      <c r="D85">
        <v>1.0688095589023601E-2</v>
      </c>
      <c r="E85" t="s">
        <v>1531</v>
      </c>
      <c r="F85" t="s">
        <v>1448</v>
      </c>
      <c r="G85">
        <v>49.207999999999998</v>
      </c>
      <c r="H85">
        <v>1.8925746469540702E-2</v>
      </c>
      <c r="I85">
        <v>54.628</v>
      </c>
      <c r="J85">
        <v>2.66138061413668E-3</v>
      </c>
      <c r="K85" t="s">
        <v>1020</v>
      </c>
      <c r="L85" t="s">
        <v>937</v>
      </c>
    </row>
    <row r="86" spans="1:12" x14ac:dyDescent="0.35">
      <c r="A86">
        <v>2.1158982786186002E-2</v>
      </c>
      <c r="B86">
        <v>3.6386290478485302E-2</v>
      </c>
      <c r="C86">
        <v>1.91574066493869E-2</v>
      </c>
      <c r="D86">
        <v>7.9315148019272197E-3</v>
      </c>
      <c r="E86" t="s">
        <v>1532</v>
      </c>
      <c r="F86" t="s">
        <v>1448</v>
      </c>
      <c r="G86">
        <v>49.442</v>
      </c>
      <c r="H86">
        <v>4.7553243375060301E-3</v>
      </c>
      <c r="I86">
        <v>54.735999999999997</v>
      </c>
      <c r="J86">
        <v>1.9770081276999601E-3</v>
      </c>
      <c r="K86" t="s">
        <v>1021</v>
      </c>
      <c r="L86" t="s">
        <v>937</v>
      </c>
    </row>
    <row r="87" spans="1:12" x14ac:dyDescent="0.35">
      <c r="A87">
        <v>2.2052154501282398E-2</v>
      </c>
      <c r="B87">
        <v>1.9883287825612099E-2</v>
      </c>
      <c r="C87">
        <v>2.5316754451185201E-2</v>
      </c>
      <c r="D87">
        <v>2.0767815828135701E-2</v>
      </c>
      <c r="E87" t="s">
        <v>1533</v>
      </c>
      <c r="F87" t="s">
        <v>1448</v>
      </c>
      <c r="G87">
        <v>49.752000000000002</v>
      </c>
      <c r="H87">
        <v>6.2699728975366097E-3</v>
      </c>
      <c r="I87">
        <v>55.018000000000001</v>
      </c>
      <c r="J87">
        <v>5.1520023384976597E-3</v>
      </c>
      <c r="K87" t="s">
        <v>1022</v>
      </c>
      <c r="L87" t="s">
        <v>937</v>
      </c>
    </row>
    <row r="88" spans="1:12" x14ac:dyDescent="0.35">
      <c r="A88">
        <v>2.7438615126695699E-2</v>
      </c>
      <c r="B88">
        <v>5.2374465161812503E-2</v>
      </c>
      <c r="C88">
        <v>3.8739820782161899E-2</v>
      </c>
      <c r="D88">
        <v>1.0657034721188501E-2</v>
      </c>
      <c r="E88" t="s">
        <v>1534</v>
      </c>
      <c r="F88" t="s">
        <v>1448</v>
      </c>
      <c r="G88">
        <v>50.226999999999997</v>
      </c>
      <c r="H88">
        <v>9.5473548802056402E-3</v>
      </c>
      <c r="I88">
        <v>55.164000000000001</v>
      </c>
      <c r="J88">
        <v>2.6536769784435399E-3</v>
      </c>
      <c r="K88" t="s">
        <v>1023</v>
      </c>
      <c r="L88" t="s">
        <v>937</v>
      </c>
    </row>
    <row r="89" spans="1:12" x14ac:dyDescent="0.35">
      <c r="A89">
        <v>2.9370792816648401E-2</v>
      </c>
      <c r="B89">
        <v>4.1076934031538899E-2</v>
      </c>
      <c r="C89">
        <v>4.6254885206873202E-2</v>
      </c>
      <c r="D89">
        <v>-9.9690396175571294E-3</v>
      </c>
      <c r="E89" t="s">
        <v>1535</v>
      </c>
      <c r="F89" t="s">
        <v>1448</v>
      </c>
      <c r="G89">
        <v>50.798000000000002</v>
      </c>
      <c r="H89">
        <v>1.13683875206563E-2</v>
      </c>
      <c r="I89">
        <v>55.026000000000003</v>
      </c>
      <c r="J89">
        <v>-2.5016314988035599E-3</v>
      </c>
      <c r="K89" t="s">
        <v>1024</v>
      </c>
      <c r="L89" t="s">
        <v>937</v>
      </c>
    </row>
    <row r="90" spans="1:12" x14ac:dyDescent="0.35">
      <c r="A90">
        <v>2.5261592124571599E-2</v>
      </c>
      <c r="B90">
        <v>5.8581566563336001E-3</v>
      </c>
      <c r="C90">
        <v>3.8335869645315497E-2</v>
      </c>
      <c r="D90">
        <v>-1.04267601108922E-2</v>
      </c>
      <c r="E90" t="s">
        <v>1536</v>
      </c>
      <c r="F90" t="s">
        <v>1448</v>
      </c>
      <c r="G90">
        <v>51.277999999999999</v>
      </c>
      <c r="H90">
        <v>9.4491909130280903E-3</v>
      </c>
      <c r="I90">
        <v>54.881999999999998</v>
      </c>
      <c r="J90">
        <v>-2.61694471704299E-3</v>
      </c>
      <c r="K90" t="s">
        <v>1025</v>
      </c>
      <c r="L90" t="s">
        <v>937</v>
      </c>
    </row>
    <row r="91" spans="1:12" x14ac:dyDescent="0.35">
      <c r="A91">
        <v>2.6883329197386899E-2</v>
      </c>
      <c r="B91">
        <v>1.4672046081608801E-2</v>
      </c>
      <c r="C91">
        <v>5.5488923116520997E-2</v>
      </c>
      <c r="D91">
        <v>1.90848323659343E-2</v>
      </c>
      <c r="E91" t="s">
        <v>1537</v>
      </c>
      <c r="F91" t="s">
        <v>1448</v>
      </c>
      <c r="G91">
        <v>51.975000000000001</v>
      </c>
      <c r="H91">
        <v>1.35925738133313E-2</v>
      </c>
      <c r="I91">
        <v>55.142000000000003</v>
      </c>
      <c r="J91">
        <v>4.7374366823367299E-3</v>
      </c>
      <c r="K91" t="s">
        <v>1026</v>
      </c>
      <c r="L91" t="s">
        <v>937</v>
      </c>
    </row>
    <row r="92" spans="1:12" x14ac:dyDescent="0.35">
      <c r="A92">
        <v>2.57889573012124E-2</v>
      </c>
      <c r="B92">
        <v>3.5352763805176303E-2</v>
      </c>
      <c r="C92">
        <v>3.4689577494526398E-2</v>
      </c>
      <c r="D92">
        <v>8.1492648352745594E-3</v>
      </c>
      <c r="E92" t="s">
        <v>1538</v>
      </c>
      <c r="F92" t="s">
        <v>1448</v>
      </c>
      <c r="G92">
        <v>52.42</v>
      </c>
      <c r="H92">
        <v>8.5618085618086592E-3</v>
      </c>
      <c r="I92">
        <v>55.253999999999998</v>
      </c>
      <c r="J92">
        <v>2.03111965470959E-3</v>
      </c>
      <c r="K92" t="s">
        <v>1027</v>
      </c>
      <c r="L92" t="s">
        <v>937</v>
      </c>
    </row>
    <row r="93" spans="1:12" x14ac:dyDescent="0.35">
      <c r="A93">
        <v>2.8170464275272301E-2</v>
      </c>
      <c r="B93">
        <v>2.5395981622951001E-2</v>
      </c>
      <c r="C93">
        <v>2.9547347848341E-2</v>
      </c>
      <c r="D93">
        <v>1.8368205985927599E-2</v>
      </c>
      <c r="E93" t="s">
        <v>1539</v>
      </c>
      <c r="F93" t="s">
        <v>1448</v>
      </c>
      <c r="G93">
        <v>52.802999999999997</v>
      </c>
      <c r="H93">
        <v>7.3063716138877001E-3</v>
      </c>
      <c r="I93">
        <v>55.506</v>
      </c>
      <c r="J93">
        <v>4.5607557823867896E-3</v>
      </c>
      <c r="K93" t="s">
        <v>1028</v>
      </c>
      <c r="L93" t="s">
        <v>937</v>
      </c>
    </row>
    <row r="94" spans="1:12" x14ac:dyDescent="0.35">
      <c r="A94">
        <v>2.40619409805858E-2</v>
      </c>
      <c r="B94">
        <v>9.9983702538513092E-3</v>
      </c>
      <c r="C94">
        <v>2.2073085991106502E-2</v>
      </c>
      <c r="D94">
        <v>3.0096377482488099E-2</v>
      </c>
      <c r="E94" t="s">
        <v>1540</v>
      </c>
      <c r="F94" t="s">
        <v>1448</v>
      </c>
      <c r="G94">
        <v>53.091999999999999</v>
      </c>
      <c r="H94">
        <v>5.4731738726967504E-3</v>
      </c>
      <c r="I94">
        <v>55.918999999999997</v>
      </c>
      <c r="J94">
        <v>7.4406370482469298E-3</v>
      </c>
      <c r="K94" t="s">
        <v>1029</v>
      </c>
      <c r="L94" t="s">
        <v>937</v>
      </c>
    </row>
    <row r="95" spans="1:12" x14ac:dyDescent="0.35">
      <c r="A95">
        <v>2.70873737268695E-2</v>
      </c>
      <c r="B95">
        <v>1.7716185249098602E-2</v>
      </c>
      <c r="C95">
        <v>2.3867747826854101E-2</v>
      </c>
      <c r="D95">
        <v>2.3524161594785199E-2</v>
      </c>
      <c r="E95" t="s">
        <v>1541</v>
      </c>
      <c r="F95" t="s">
        <v>1448</v>
      </c>
      <c r="G95">
        <v>53.405999999999999</v>
      </c>
      <c r="H95">
        <v>5.91426203571155E-3</v>
      </c>
      <c r="I95">
        <v>56.244999999999997</v>
      </c>
      <c r="J95">
        <v>5.8298610490172802E-3</v>
      </c>
      <c r="K95" t="s">
        <v>1030</v>
      </c>
      <c r="L95" t="s">
        <v>937</v>
      </c>
    </row>
    <row r="96" spans="1:12" x14ac:dyDescent="0.35">
      <c r="A96">
        <v>1.7542540867755401E-2</v>
      </c>
      <c r="B96">
        <v>2.9283418694515902E-2</v>
      </c>
      <c r="C96">
        <v>1.3096071782226999E-2</v>
      </c>
      <c r="D96">
        <v>4.0598599880798903E-3</v>
      </c>
      <c r="E96" t="s">
        <v>1542</v>
      </c>
      <c r="F96" t="s">
        <v>1448</v>
      </c>
      <c r="G96">
        <v>53.58</v>
      </c>
      <c r="H96">
        <v>3.2580608920345102E-3</v>
      </c>
      <c r="I96">
        <v>56.302</v>
      </c>
      <c r="J96">
        <v>1.01342341541466E-3</v>
      </c>
      <c r="K96" t="s">
        <v>1031</v>
      </c>
      <c r="L96" t="s">
        <v>937</v>
      </c>
    </row>
    <row r="97" spans="1:12" x14ac:dyDescent="0.35">
      <c r="A97">
        <v>2.3240038949048102E-2</v>
      </c>
      <c r="B97">
        <v>3.6370296177081797E-2</v>
      </c>
      <c r="C97">
        <v>2.0612838101556001E-2</v>
      </c>
      <c r="D97">
        <v>1.8816279960193898E-2</v>
      </c>
      <c r="E97" t="s">
        <v>1543</v>
      </c>
      <c r="F97" t="s">
        <v>1448</v>
      </c>
      <c r="G97">
        <v>53.853999999999999</v>
      </c>
      <c r="H97">
        <v>5.1138484509145599E-3</v>
      </c>
      <c r="I97">
        <v>56.564999999999998</v>
      </c>
      <c r="J97">
        <v>4.6712372562254202E-3</v>
      </c>
      <c r="K97" t="s">
        <v>1032</v>
      </c>
      <c r="L97" t="s">
        <v>937</v>
      </c>
    </row>
    <row r="98" spans="1:12" x14ac:dyDescent="0.35">
      <c r="A98">
        <v>1.4387423449919501E-2</v>
      </c>
      <c r="B98">
        <v>1.8449816517922799E-2</v>
      </c>
      <c r="C98">
        <v>3.3921123111567301E-2</v>
      </c>
      <c r="D98">
        <v>2.9526755688726598E-2</v>
      </c>
      <c r="E98" t="s">
        <v>1544</v>
      </c>
      <c r="F98" t="s">
        <v>1448</v>
      </c>
      <c r="G98">
        <v>54.305</v>
      </c>
      <c r="H98">
        <v>8.3744940023024999E-3</v>
      </c>
      <c r="I98">
        <v>56.978000000000002</v>
      </c>
      <c r="J98">
        <v>7.3013347476356101E-3</v>
      </c>
      <c r="K98" t="s">
        <v>1033</v>
      </c>
      <c r="L98" t="s">
        <v>937</v>
      </c>
    </row>
    <row r="99" spans="1:12" x14ac:dyDescent="0.35">
      <c r="A99">
        <v>2.2496438657089599E-2</v>
      </c>
      <c r="B99">
        <v>3.3991498444716703E-2</v>
      </c>
      <c r="C99">
        <v>2.3479894269272002E-2</v>
      </c>
      <c r="D99">
        <v>1.7453105874537699E-2</v>
      </c>
      <c r="E99" t="s">
        <v>1545</v>
      </c>
      <c r="F99" t="s">
        <v>1448</v>
      </c>
      <c r="G99">
        <v>54.621000000000002</v>
      </c>
      <c r="H99">
        <v>5.8189853604639899E-3</v>
      </c>
      <c r="I99">
        <v>57.225000000000001</v>
      </c>
      <c r="J99">
        <v>4.3350064937344203E-3</v>
      </c>
      <c r="K99" t="s">
        <v>1034</v>
      </c>
      <c r="L99" t="s">
        <v>937</v>
      </c>
    </row>
    <row r="100" spans="1:12" x14ac:dyDescent="0.35">
      <c r="A100">
        <v>2.90726218207682E-2</v>
      </c>
      <c r="B100">
        <v>2.3185974053502999E-2</v>
      </c>
      <c r="C100">
        <v>3.5391871305663798E-2</v>
      </c>
      <c r="D100">
        <v>3.5482240520336501E-2</v>
      </c>
      <c r="E100" t="s">
        <v>1546</v>
      </c>
      <c r="F100" t="s">
        <v>1448</v>
      </c>
      <c r="G100">
        <v>55.097999999999999</v>
      </c>
      <c r="H100">
        <v>8.7329049266764401E-3</v>
      </c>
      <c r="I100">
        <v>57.725999999999999</v>
      </c>
      <c r="J100">
        <v>8.7549148099605994E-3</v>
      </c>
      <c r="K100" t="s">
        <v>1035</v>
      </c>
      <c r="L100" t="s">
        <v>937</v>
      </c>
    </row>
    <row r="101" spans="1:12" x14ac:dyDescent="0.35">
      <c r="A101">
        <v>1.88663260541506E-2</v>
      </c>
      <c r="B101">
        <v>3.3254108726641599E-2</v>
      </c>
      <c r="C101">
        <v>3.4634574022881899E-2</v>
      </c>
      <c r="D101">
        <v>3.3748767658719397E-2</v>
      </c>
      <c r="E101" t="s">
        <v>1547</v>
      </c>
      <c r="F101" t="s">
        <v>1448</v>
      </c>
      <c r="G101">
        <v>55.569000000000003</v>
      </c>
      <c r="H101">
        <v>8.5484046607862095E-3</v>
      </c>
      <c r="I101">
        <v>58.207000000000001</v>
      </c>
      <c r="J101">
        <v>8.3324671725046907E-3</v>
      </c>
      <c r="K101" t="s">
        <v>1036</v>
      </c>
      <c r="L101" t="s">
        <v>937</v>
      </c>
    </row>
    <row r="102" spans="1:12" x14ac:dyDescent="0.35">
      <c r="A102">
        <v>1.9752209109685798E-2</v>
      </c>
      <c r="B102">
        <v>3.4122786590531799E-2</v>
      </c>
      <c r="C102">
        <v>1.8555272424330301E-2</v>
      </c>
      <c r="D102">
        <v>4.0528253340275301E-2</v>
      </c>
      <c r="E102" t="s">
        <v>1548</v>
      </c>
      <c r="F102" t="s">
        <v>1448</v>
      </c>
      <c r="G102">
        <v>55.825000000000003</v>
      </c>
      <c r="H102">
        <v>4.6068851337977001E-3</v>
      </c>
      <c r="I102">
        <v>58.787999999999997</v>
      </c>
      <c r="J102">
        <v>9.9816173312487991E-3</v>
      </c>
      <c r="K102" t="s">
        <v>1037</v>
      </c>
      <c r="L102" t="s">
        <v>937</v>
      </c>
    </row>
    <row r="103" spans="1:12" x14ac:dyDescent="0.35">
      <c r="A103">
        <v>2.3426148348960799E-2</v>
      </c>
      <c r="B103">
        <v>2.6924495262994098E-2</v>
      </c>
      <c r="C103">
        <v>3.10950653969519E-2</v>
      </c>
      <c r="D103">
        <v>2.8884969324625399E-2</v>
      </c>
      <c r="E103" t="s">
        <v>1549</v>
      </c>
      <c r="F103" t="s">
        <v>1448</v>
      </c>
      <c r="G103">
        <v>56.253999999999998</v>
      </c>
      <c r="H103">
        <v>7.6847290640393896E-3</v>
      </c>
      <c r="I103">
        <v>59.207999999999998</v>
      </c>
      <c r="J103">
        <v>7.1443151663605998E-3</v>
      </c>
      <c r="K103" t="s">
        <v>1038</v>
      </c>
      <c r="L103" t="s">
        <v>937</v>
      </c>
    </row>
    <row r="104" spans="1:12" x14ac:dyDescent="0.35">
      <c r="A104">
        <v>1.6481276503132601E-2</v>
      </c>
      <c r="B104">
        <v>2.0844963333619401E-2</v>
      </c>
      <c r="C104">
        <v>1.5303746558651399E-2</v>
      </c>
      <c r="D104">
        <v>2.2275298720186399E-2</v>
      </c>
      <c r="E104" t="s">
        <v>1550</v>
      </c>
      <c r="F104" t="s">
        <v>1448</v>
      </c>
      <c r="G104">
        <v>56.468000000000004</v>
      </c>
      <c r="H104">
        <v>3.8041739254097702E-3</v>
      </c>
      <c r="I104">
        <v>59.534999999999997</v>
      </c>
      <c r="J104">
        <v>5.5229023104985701E-3</v>
      </c>
      <c r="K104" t="s">
        <v>1039</v>
      </c>
      <c r="L104" t="s">
        <v>937</v>
      </c>
    </row>
    <row r="105" spans="1:12" x14ac:dyDescent="0.35">
      <c r="A105">
        <v>1.77105887350755E-2</v>
      </c>
      <c r="B105">
        <v>5.6392491810183902E-2</v>
      </c>
      <c r="C105">
        <v>1.3670147091618101E-2</v>
      </c>
      <c r="D105">
        <v>2.3245190160411201E-2</v>
      </c>
      <c r="E105" t="s">
        <v>1551</v>
      </c>
      <c r="F105" t="s">
        <v>1448</v>
      </c>
      <c r="G105">
        <v>56.66</v>
      </c>
      <c r="H105">
        <v>3.4001558404759299E-3</v>
      </c>
      <c r="I105">
        <v>59.878</v>
      </c>
      <c r="J105">
        <v>5.7613168724279804E-3</v>
      </c>
      <c r="K105" t="s">
        <v>1040</v>
      </c>
      <c r="L105" t="s">
        <v>937</v>
      </c>
    </row>
    <row r="106" spans="1:12" x14ac:dyDescent="0.35">
      <c r="A106">
        <v>2.24149830534284E-2</v>
      </c>
      <c r="B106">
        <v>9.43340099661172E-3</v>
      </c>
      <c r="C106">
        <v>4.4785324127958097E-2</v>
      </c>
      <c r="D106">
        <v>2.1616654614663E-2</v>
      </c>
      <c r="E106" t="s">
        <v>1552</v>
      </c>
      <c r="F106" t="s">
        <v>1448</v>
      </c>
      <c r="G106">
        <v>57.283999999999999</v>
      </c>
      <c r="H106">
        <v>1.1013060360042499E-2</v>
      </c>
      <c r="I106">
        <v>60.198999999999998</v>
      </c>
      <c r="J106">
        <v>5.3609004976786804E-3</v>
      </c>
      <c r="K106" t="s">
        <v>1041</v>
      </c>
      <c r="L106" t="s">
        <v>937</v>
      </c>
    </row>
    <row r="107" spans="1:12" x14ac:dyDescent="0.35">
      <c r="A107">
        <v>2.7006131410312901E-2</v>
      </c>
      <c r="B107">
        <v>-2.1272525988481301E-2</v>
      </c>
      <c r="C107">
        <v>5.7381634098421204E-3</v>
      </c>
      <c r="D107">
        <v>4.4593389946305803E-3</v>
      </c>
      <c r="E107" t="s">
        <v>1553</v>
      </c>
      <c r="F107" t="s">
        <v>1448</v>
      </c>
      <c r="G107">
        <v>57.366</v>
      </c>
      <c r="H107">
        <v>1.4314642832204999E-3</v>
      </c>
      <c r="I107">
        <v>60.265999999999998</v>
      </c>
      <c r="J107">
        <v>1.1129752985929999E-3</v>
      </c>
      <c r="K107" t="s">
        <v>1042</v>
      </c>
      <c r="L107" t="s">
        <v>937</v>
      </c>
    </row>
    <row r="108" spans="1:12" x14ac:dyDescent="0.35">
      <c r="A108">
        <v>1.7195373350960198E-2</v>
      </c>
      <c r="B108">
        <v>2.3444846886997699E-2</v>
      </c>
      <c r="C108">
        <v>2.6760970425558899E-2</v>
      </c>
      <c r="D108">
        <v>1.9993530620905801E-2</v>
      </c>
      <c r="E108" t="s">
        <v>1554</v>
      </c>
      <c r="F108" t="s">
        <v>1448</v>
      </c>
      <c r="G108">
        <v>57.746000000000002</v>
      </c>
      <c r="H108">
        <v>6.62413276156615E-3</v>
      </c>
      <c r="I108">
        <v>60.564999999999998</v>
      </c>
      <c r="J108">
        <v>4.9613380678989998E-3</v>
      </c>
      <c r="K108" t="s">
        <v>1043</v>
      </c>
      <c r="L108" t="s">
        <v>937</v>
      </c>
    </row>
    <row r="109" spans="1:12" x14ac:dyDescent="0.35">
      <c r="A109">
        <v>2.7544322225657499E-2</v>
      </c>
      <c r="B109">
        <v>1.3803868113502E-2</v>
      </c>
      <c r="C109">
        <v>3.2814056779429501E-2</v>
      </c>
      <c r="D109">
        <v>1.3007743413415899E-2</v>
      </c>
      <c r="E109" t="s">
        <v>1555</v>
      </c>
      <c r="F109" t="s">
        <v>1448</v>
      </c>
      <c r="G109">
        <v>58.213999999999999</v>
      </c>
      <c r="H109">
        <v>8.1044574515982699E-3</v>
      </c>
      <c r="I109">
        <v>60.761000000000003</v>
      </c>
      <c r="J109">
        <v>3.2361925204327201E-3</v>
      </c>
      <c r="K109" t="s">
        <v>1044</v>
      </c>
      <c r="L109" t="s">
        <v>937</v>
      </c>
    </row>
    <row r="110" spans="1:12" x14ac:dyDescent="0.35">
      <c r="A110">
        <v>1.7773223680601899E-2</v>
      </c>
      <c r="B110">
        <v>1.36962800731413E-2</v>
      </c>
      <c r="C110">
        <v>2.76992412803541E-2</v>
      </c>
      <c r="D110">
        <v>2.2772194889475902E-2</v>
      </c>
      <c r="E110" t="s">
        <v>1556</v>
      </c>
      <c r="F110" t="s">
        <v>1448</v>
      </c>
      <c r="G110">
        <v>58.613</v>
      </c>
      <c r="H110">
        <v>6.8540213694301402E-3</v>
      </c>
      <c r="I110">
        <v>61.103999999999999</v>
      </c>
      <c r="J110">
        <v>5.6450683826796402E-3</v>
      </c>
      <c r="K110" t="s">
        <v>1045</v>
      </c>
      <c r="L110" t="s">
        <v>937</v>
      </c>
    </row>
    <row r="111" spans="1:12" x14ac:dyDescent="0.35">
      <c r="A111">
        <v>1.0067171002752701E-2</v>
      </c>
      <c r="B111">
        <v>2.65913479501769E-2</v>
      </c>
      <c r="C111">
        <v>9.5884799897107999E-3</v>
      </c>
      <c r="D111">
        <v>2.7578432526699701E-2</v>
      </c>
      <c r="E111" t="s">
        <v>1557</v>
      </c>
      <c r="F111" t="s">
        <v>1448</v>
      </c>
      <c r="G111">
        <v>58.753</v>
      </c>
      <c r="H111">
        <v>2.3885486154948698E-3</v>
      </c>
      <c r="I111">
        <v>61.521000000000001</v>
      </c>
      <c r="J111">
        <v>6.8244304791831301E-3</v>
      </c>
      <c r="K111" t="s">
        <v>1046</v>
      </c>
      <c r="L111" t="s">
        <v>937</v>
      </c>
    </row>
    <row r="112" spans="1:12" x14ac:dyDescent="0.35">
      <c r="A112">
        <v>1.05839184448571E-2</v>
      </c>
      <c r="B112">
        <v>9.2223862003817398E-3</v>
      </c>
      <c r="C112">
        <v>1.9268623425193102E-2</v>
      </c>
      <c r="D112">
        <v>1.0181522541022199E-2</v>
      </c>
      <c r="E112" t="s">
        <v>1558</v>
      </c>
      <c r="F112" t="s">
        <v>1448</v>
      </c>
      <c r="G112">
        <v>59.033999999999999</v>
      </c>
      <c r="H112">
        <v>4.7827344986639498E-3</v>
      </c>
      <c r="I112">
        <v>61.677</v>
      </c>
      <c r="J112">
        <v>2.5357195104109801E-3</v>
      </c>
      <c r="K112" t="s">
        <v>1047</v>
      </c>
      <c r="L112" t="s">
        <v>937</v>
      </c>
    </row>
    <row r="113" spans="1:12" x14ac:dyDescent="0.35">
      <c r="A113">
        <v>1.26121897911931E-2</v>
      </c>
      <c r="B113">
        <v>2.8333969394931401E-2</v>
      </c>
      <c r="C113">
        <v>3.3061309623051399E-2</v>
      </c>
      <c r="D113">
        <v>2.5996696664996499E-2</v>
      </c>
      <c r="E113" t="s">
        <v>1559</v>
      </c>
      <c r="F113" t="s">
        <v>1448</v>
      </c>
      <c r="G113">
        <v>59.515999999999998</v>
      </c>
      <c r="H113">
        <v>8.1647863942813093E-3</v>
      </c>
      <c r="I113">
        <v>62.073999999999998</v>
      </c>
      <c r="J113">
        <v>6.4367592457479396E-3</v>
      </c>
      <c r="K113" t="s">
        <v>1048</v>
      </c>
      <c r="L113" t="s">
        <v>937</v>
      </c>
    </row>
    <row r="114" spans="1:12" x14ac:dyDescent="0.35">
      <c r="A114">
        <v>3.2090280398078302E-4</v>
      </c>
      <c r="B114">
        <v>-1.66473304304918E-2</v>
      </c>
      <c r="C114">
        <v>6.3326118015940604E-3</v>
      </c>
      <c r="D114">
        <v>1.3539104320199301E-3</v>
      </c>
      <c r="E114" t="s">
        <v>1560</v>
      </c>
      <c r="F114" t="s">
        <v>1448</v>
      </c>
      <c r="G114">
        <v>59.61</v>
      </c>
      <c r="H114">
        <v>1.57940721822714E-3</v>
      </c>
      <c r="I114">
        <v>62.094999999999999</v>
      </c>
      <c r="J114">
        <v>3.3830589296646201E-4</v>
      </c>
      <c r="K114" t="s">
        <v>1049</v>
      </c>
      <c r="L114" t="s">
        <v>937</v>
      </c>
    </row>
    <row r="115" spans="1:12" x14ac:dyDescent="0.35">
      <c r="A115">
        <v>7.2384308298694099E-3</v>
      </c>
      <c r="B115">
        <v>2.5981704959145799E-2</v>
      </c>
      <c r="C115">
        <v>2.14418814289523E-2</v>
      </c>
      <c r="D115">
        <v>2.5146473935451202E-3</v>
      </c>
      <c r="E115" t="s">
        <v>1561</v>
      </c>
      <c r="F115" t="s">
        <v>1448</v>
      </c>
      <c r="G115">
        <v>59.927</v>
      </c>
      <c r="H115">
        <v>5.3178996812615099E-3</v>
      </c>
      <c r="I115">
        <v>62.134</v>
      </c>
      <c r="J115">
        <v>6.2806989290598004E-4</v>
      </c>
      <c r="K115" t="s">
        <v>1050</v>
      </c>
      <c r="L115" t="s">
        <v>937</v>
      </c>
    </row>
    <row r="116" spans="1:12" x14ac:dyDescent="0.35">
      <c r="A116">
        <v>1.2387156771827E-2</v>
      </c>
      <c r="B116">
        <v>2.6407820145390601E-2</v>
      </c>
      <c r="C116">
        <v>3.1605845001569703E-2</v>
      </c>
      <c r="D116">
        <v>2.4885302644445099E-2</v>
      </c>
      <c r="E116" t="s">
        <v>1562</v>
      </c>
      <c r="F116" t="s">
        <v>1448</v>
      </c>
      <c r="G116">
        <v>60.395000000000003</v>
      </c>
      <c r="H116">
        <v>7.8095015602317498E-3</v>
      </c>
      <c r="I116">
        <v>62.517000000000003</v>
      </c>
      <c r="J116">
        <v>6.1640969517495802E-3</v>
      </c>
      <c r="K116" t="s">
        <v>1051</v>
      </c>
      <c r="L116" t="s">
        <v>937</v>
      </c>
    </row>
    <row r="117" spans="1:12" x14ac:dyDescent="0.35">
      <c r="A117">
        <v>1.0631455336088899E-2</v>
      </c>
      <c r="B117">
        <v>1.29075602616771E-2</v>
      </c>
      <c r="C117">
        <v>3.6519198475668799E-2</v>
      </c>
      <c r="D117">
        <v>2.2777873103542599E-2</v>
      </c>
      <c r="E117" t="s">
        <v>1563</v>
      </c>
      <c r="F117" t="s">
        <v>1448</v>
      </c>
      <c r="G117">
        <v>60.939</v>
      </c>
      <c r="H117">
        <v>9.0073681596158899E-3</v>
      </c>
      <c r="I117">
        <v>62.87</v>
      </c>
      <c r="J117">
        <v>5.6464641617479704E-3</v>
      </c>
      <c r="K117" t="s">
        <v>1052</v>
      </c>
      <c r="L117" t="s">
        <v>937</v>
      </c>
    </row>
    <row r="118" spans="1:12" x14ac:dyDescent="0.35">
      <c r="A118">
        <v>7.8778546175835001E-3</v>
      </c>
      <c r="B118">
        <v>1.19346323256166E-2</v>
      </c>
      <c r="C118">
        <v>3.4639204699016303E-2</v>
      </c>
      <c r="D118">
        <v>1.61297394114919E-2</v>
      </c>
      <c r="E118" t="s">
        <v>1564</v>
      </c>
      <c r="F118" t="s">
        <v>1448</v>
      </c>
      <c r="G118">
        <v>61.46</v>
      </c>
      <c r="H118">
        <v>8.5495331396971998E-3</v>
      </c>
      <c r="I118">
        <v>63.122</v>
      </c>
      <c r="J118">
        <v>4.0082710354700799E-3</v>
      </c>
      <c r="K118" t="s">
        <v>1053</v>
      </c>
      <c r="L118" t="s">
        <v>937</v>
      </c>
    </row>
    <row r="119" spans="1:12" x14ac:dyDescent="0.35">
      <c r="A119">
        <v>2.2971603454798002E-2</v>
      </c>
      <c r="B119">
        <v>3.4068264295770097E-2</v>
      </c>
      <c r="C119">
        <v>6.1370356227924201E-2</v>
      </c>
      <c r="D119">
        <v>2.99883116478201E-2</v>
      </c>
      <c r="E119" t="s">
        <v>1565</v>
      </c>
      <c r="F119" t="s">
        <v>1448</v>
      </c>
      <c r="G119">
        <v>62.381999999999998</v>
      </c>
      <c r="H119">
        <v>1.5001627074519901E-2</v>
      </c>
      <c r="I119">
        <v>63.59</v>
      </c>
      <c r="J119">
        <v>7.4142137448116596E-3</v>
      </c>
      <c r="K119" t="s">
        <v>1054</v>
      </c>
      <c r="L119" t="s">
        <v>937</v>
      </c>
    </row>
    <row r="120" spans="1:12" x14ac:dyDescent="0.35">
      <c r="A120">
        <v>2.21977740334749E-2</v>
      </c>
      <c r="B120">
        <v>3.6824162588046098E-2</v>
      </c>
      <c r="C120">
        <v>5.6562220210462498E-2</v>
      </c>
      <c r="D120">
        <v>1.6964868305367399E-2</v>
      </c>
      <c r="E120" t="s">
        <v>1566</v>
      </c>
      <c r="F120" t="s">
        <v>1448</v>
      </c>
      <c r="G120">
        <v>63.246000000000002</v>
      </c>
      <c r="H120">
        <v>1.3850149081466E-2</v>
      </c>
      <c r="I120">
        <v>63.857999999999997</v>
      </c>
      <c r="J120">
        <v>4.2144991350840898E-3</v>
      </c>
      <c r="K120" t="s">
        <v>1055</v>
      </c>
      <c r="L120" t="s">
        <v>937</v>
      </c>
    </row>
    <row r="121" spans="1:12" x14ac:dyDescent="0.35">
      <c r="A121">
        <v>2.4473399596212499E-2</v>
      </c>
      <c r="B121">
        <v>5.00811045761866E-2</v>
      </c>
      <c r="C121">
        <v>4.9726482376824199E-2</v>
      </c>
      <c r="D121">
        <v>3.4513513517111301E-2</v>
      </c>
      <c r="E121" t="s">
        <v>1567</v>
      </c>
      <c r="F121" t="s">
        <v>1448</v>
      </c>
      <c r="G121">
        <v>64.018000000000001</v>
      </c>
      <c r="H121">
        <v>1.2206305537109099E-2</v>
      </c>
      <c r="I121">
        <v>64.402000000000001</v>
      </c>
      <c r="J121">
        <v>8.5189013122866104E-3</v>
      </c>
      <c r="K121" t="s">
        <v>1056</v>
      </c>
      <c r="L121" t="s">
        <v>937</v>
      </c>
    </row>
    <row r="122" spans="1:12" x14ac:dyDescent="0.35">
      <c r="A122">
        <v>3.2886107964122897E-2</v>
      </c>
      <c r="B122">
        <v>3.9540884737924602E-2</v>
      </c>
      <c r="C122">
        <v>5.7040318663066601E-2</v>
      </c>
      <c r="D122">
        <v>3.2054289459933799E-2</v>
      </c>
      <c r="E122" t="s">
        <v>1568</v>
      </c>
      <c r="F122" t="s">
        <v>1448</v>
      </c>
      <c r="G122">
        <v>64.912000000000006</v>
      </c>
      <c r="H122">
        <v>1.3964822393701899E-2</v>
      </c>
      <c r="I122">
        <v>64.912000000000006</v>
      </c>
      <c r="J122">
        <v>7.9190087264371396E-3</v>
      </c>
      <c r="K122" t="s">
        <v>1057</v>
      </c>
      <c r="L122" t="s">
        <v>937</v>
      </c>
    </row>
    <row r="123" spans="1:12" x14ac:dyDescent="0.35">
      <c r="A123">
        <v>1.9193585341739101E-2</v>
      </c>
      <c r="B123">
        <v>1.5459188057563401E-2</v>
      </c>
      <c r="C123">
        <v>4.2438786901308999E-2</v>
      </c>
      <c r="D123">
        <v>4.6322155050911397E-2</v>
      </c>
      <c r="E123" t="s">
        <v>1569</v>
      </c>
      <c r="F123" t="s">
        <v>1448</v>
      </c>
      <c r="G123">
        <v>65.59</v>
      </c>
      <c r="H123">
        <v>1.0444910032043399E-2</v>
      </c>
      <c r="I123">
        <v>65.650999999999996</v>
      </c>
      <c r="J123">
        <v>1.13846438254868E-2</v>
      </c>
      <c r="K123" t="s">
        <v>1058</v>
      </c>
      <c r="L123" t="s">
        <v>937</v>
      </c>
    </row>
    <row r="124" spans="1:12" x14ac:dyDescent="0.35">
      <c r="A124">
        <v>2.6053548554263901E-2</v>
      </c>
      <c r="B124">
        <v>2.8949345820011199E-2</v>
      </c>
      <c r="C124">
        <v>4.7728620369875199E-2</v>
      </c>
      <c r="D124">
        <v>2.6457667912965801E-2</v>
      </c>
      <c r="E124" t="s">
        <v>1570</v>
      </c>
      <c r="F124" t="s">
        <v>1448</v>
      </c>
      <c r="G124">
        <v>66.358999999999995</v>
      </c>
      <c r="H124">
        <v>1.1724348223814501E-2</v>
      </c>
      <c r="I124">
        <v>66.081000000000003</v>
      </c>
      <c r="J124">
        <v>6.5497859895509202E-3</v>
      </c>
      <c r="K124" t="s">
        <v>1059</v>
      </c>
      <c r="L124" t="s">
        <v>937</v>
      </c>
    </row>
    <row r="125" spans="1:12" x14ac:dyDescent="0.35">
      <c r="A125">
        <v>2.2816932316492001E-2</v>
      </c>
      <c r="B125">
        <v>1.82242710503548E-2</v>
      </c>
      <c r="C125">
        <v>5.7499642478727998E-2</v>
      </c>
      <c r="D125">
        <v>2.3755596803619598E-2</v>
      </c>
      <c r="E125" t="s">
        <v>1571</v>
      </c>
      <c r="F125" t="s">
        <v>1448</v>
      </c>
      <c r="G125">
        <v>67.293000000000006</v>
      </c>
      <c r="H125">
        <v>1.40749559215783E-2</v>
      </c>
      <c r="I125">
        <v>66.47</v>
      </c>
      <c r="J125">
        <v>5.8867147894250396E-3</v>
      </c>
      <c r="K125" t="s">
        <v>1060</v>
      </c>
      <c r="L125" t="s">
        <v>937</v>
      </c>
    </row>
    <row r="126" spans="1:12" x14ac:dyDescent="0.35">
      <c r="A126">
        <v>2.9937016463394299E-2</v>
      </c>
      <c r="B126">
        <v>6.8223280329673397E-3</v>
      </c>
      <c r="C126">
        <v>5.4456520671492398E-2</v>
      </c>
      <c r="D126">
        <v>2.4902004743710501E-2</v>
      </c>
      <c r="E126" t="s">
        <v>1572</v>
      </c>
      <c r="F126" t="s">
        <v>1448</v>
      </c>
      <c r="G126">
        <v>68.191000000000003</v>
      </c>
      <c r="H126">
        <v>1.33446272272004E-2</v>
      </c>
      <c r="I126">
        <v>66.88</v>
      </c>
      <c r="J126">
        <v>6.16819617872721E-3</v>
      </c>
      <c r="K126" t="s">
        <v>1061</v>
      </c>
      <c r="L126" t="s">
        <v>937</v>
      </c>
    </row>
    <row r="127" spans="1:12" x14ac:dyDescent="0.35">
      <c r="A127">
        <v>1.8884884410707199E-2</v>
      </c>
      <c r="B127">
        <v>2.1198789662036002E-2</v>
      </c>
      <c r="C127">
        <v>1.7060457300781501E-2</v>
      </c>
      <c r="D127">
        <v>1.0326833438175601E-2</v>
      </c>
      <c r="E127" t="s">
        <v>1573</v>
      </c>
      <c r="F127" t="s">
        <v>1448</v>
      </c>
      <c r="G127">
        <v>68.48</v>
      </c>
      <c r="H127">
        <v>4.2380959364138899E-3</v>
      </c>
      <c r="I127">
        <v>67.052000000000007</v>
      </c>
      <c r="J127">
        <v>2.5717703349283898E-3</v>
      </c>
      <c r="K127" t="s">
        <v>1062</v>
      </c>
      <c r="L127" t="s">
        <v>937</v>
      </c>
    </row>
    <row r="128" spans="1:12" x14ac:dyDescent="0.35">
      <c r="A128">
        <v>2.0085104332627801E-3</v>
      </c>
      <c r="B128">
        <v>2.5873085754739799E-2</v>
      </c>
      <c r="C128">
        <v>1.0084643678167899E-2</v>
      </c>
      <c r="D128">
        <v>1.25865662000337E-2</v>
      </c>
      <c r="E128" t="s">
        <v>1574</v>
      </c>
      <c r="F128" t="s">
        <v>1448</v>
      </c>
      <c r="G128">
        <v>68.652000000000001</v>
      </c>
      <c r="H128">
        <v>2.5116822429906999E-3</v>
      </c>
      <c r="I128">
        <v>67.262</v>
      </c>
      <c r="J128">
        <v>3.1318976316887502E-3</v>
      </c>
      <c r="K128" t="s">
        <v>1063</v>
      </c>
      <c r="L128" t="s">
        <v>937</v>
      </c>
    </row>
    <row r="129" spans="1:12" x14ac:dyDescent="0.35">
      <c r="A129">
        <v>1.65597149400032E-3</v>
      </c>
      <c r="B129">
        <v>2.61448943379867E-2</v>
      </c>
      <c r="C129">
        <v>4.4939487008062197E-3</v>
      </c>
      <c r="D129">
        <v>2.16417401943385E-2</v>
      </c>
      <c r="E129" t="s">
        <v>1575</v>
      </c>
      <c r="F129" t="s">
        <v>1448</v>
      </c>
      <c r="G129">
        <v>68.728999999999999</v>
      </c>
      <c r="H129">
        <v>1.1215987880905901E-3</v>
      </c>
      <c r="I129">
        <v>67.623000000000005</v>
      </c>
      <c r="J129">
        <v>5.3670720466236803E-3</v>
      </c>
      <c r="K129" t="s">
        <v>1064</v>
      </c>
      <c r="L129" t="s">
        <v>937</v>
      </c>
    </row>
    <row r="130" spans="1:12" x14ac:dyDescent="0.35">
      <c r="A130">
        <v>8.0448095256371293E-3</v>
      </c>
      <c r="B130">
        <v>2.6192779718551499E-2</v>
      </c>
      <c r="C130">
        <v>2.6210777008154801E-2</v>
      </c>
      <c r="D130">
        <v>1.77439998941584E-2</v>
      </c>
      <c r="E130" t="s">
        <v>1576</v>
      </c>
      <c r="F130" t="s">
        <v>1448</v>
      </c>
      <c r="G130">
        <v>69.174999999999997</v>
      </c>
      <c r="H130">
        <v>6.4892548996784401E-3</v>
      </c>
      <c r="I130">
        <v>67.921000000000006</v>
      </c>
      <c r="J130">
        <v>4.4067846738535801E-3</v>
      </c>
      <c r="K130" t="s">
        <v>1065</v>
      </c>
      <c r="L130" t="s">
        <v>937</v>
      </c>
    </row>
    <row r="131" spans="1:12" x14ac:dyDescent="0.35">
      <c r="A131">
        <v>2.9998743908273201E-2</v>
      </c>
      <c r="B131">
        <v>3.8349371649444103E-2</v>
      </c>
      <c r="C131">
        <v>3.99637104830428E-2</v>
      </c>
      <c r="D131">
        <v>2.19088618142655E-2</v>
      </c>
      <c r="E131" t="s">
        <v>1577</v>
      </c>
      <c r="F131" t="s">
        <v>1448</v>
      </c>
      <c r="G131">
        <v>69.855999999999995</v>
      </c>
      <c r="H131">
        <v>9.8445970365015293E-3</v>
      </c>
      <c r="I131">
        <v>68.290000000000006</v>
      </c>
      <c r="J131">
        <v>5.4327822028532599E-3</v>
      </c>
      <c r="K131" t="s">
        <v>1066</v>
      </c>
      <c r="L131" t="s">
        <v>937</v>
      </c>
    </row>
    <row r="132" spans="1:12" x14ac:dyDescent="0.35">
      <c r="A132">
        <v>2.0869776308943801E-2</v>
      </c>
      <c r="B132">
        <v>3.4801584391165798E-2</v>
      </c>
      <c r="C132">
        <v>3.3157579483975103E-2</v>
      </c>
      <c r="D132">
        <v>1.23573378485025E-2</v>
      </c>
      <c r="E132" t="s">
        <v>1578</v>
      </c>
      <c r="F132" t="s">
        <v>1448</v>
      </c>
      <c r="G132">
        <v>70.427999999999997</v>
      </c>
      <c r="H132">
        <v>8.1882730187814393E-3</v>
      </c>
      <c r="I132">
        <v>68.5</v>
      </c>
      <c r="J132">
        <v>3.07512080831729E-3</v>
      </c>
      <c r="K132" t="s">
        <v>1067</v>
      </c>
      <c r="L132" t="s">
        <v>937</v>
      </c>
    </row>
    <row r="133" spans="1:12" x14ac:dyDescent="0.35">
      <c r="A133">
        <v>1.8806157080279301E-2</v>
      </c>
      <c r="B133">
        <v>7.6203068975526894E-2</v>
      </c>
      <c r="C133">
        <v>4.04120889716926E-2</v>
      </c>
      <c r="D133">
        <v>6.9083360828583497E-3</v>
      </c>
      <c r="E133" t="s">
        <v>1579</v>
      </c>
      <c r="F133" t="s">
        <v>1448</v>
      </c>
      <c r="G133">
        <v>71.129000000000005</v>
      </c>
      <c r="H133">
        <v>9.9534276140171903E-3</v>
      </c>
      <c r="I133">
        <v>68.617999999999995</v>
      </c>
      <c r="J133">
        <v>1.7226277372262E-3</v>
      </c>
      <c r="K133" t="s">
        <v>1068</v>
      </c>
      <c r="L133" t="s">
        <v>937</v>
      </c>
    </row>
    <row r="134" spans="1:12" x14ac:dyDescent="0.35">
      <c r="A134">
        <v>3.0939531110064901E-2</v>
      </c>
      <c r="B134">
        <v>4.5343406532494003E-2</v>
      </c>
      <c r="C134">
        <v>6.4192818314913899E-2</v>
      </c>
      <c r="D134">
        <v>3.35839967225895E-2</v>
      </c>
      <c r="E134" t="s">
        <v>1580</v>
      </c>
      <c r="F134" t="s">
        <v>1448</v>
      </c>
      <c r="G134">
        <v>72.244</v>
      </c>
      <c r="H134">
        <v>1.5675744070632099E-2</v>
      </c>
      <c r="I134">
        <v>69.186999999999998</v>
      </c>
      <c r="J134">
        <v>8.2922848232243104E-3</v>
      </c>
      <c r="K134" t="s">
        <v>1069</v>
      </c>
      <c r="L134" t="s">
        <v>937</v>
      </c>
    </row>
    <row r="135" spans="1:12" x14ac:dyDescent="0.35">
      <c r="A135">
        <v>4.0077661469082298E-3</v>
      </c>
      <c r="B135">
        <v>2.8726975579467701E-2</v>
      </c>
      <c r="C135">
        <v>2.60483280529056E-3</v>
      </c>
      <c r="D135">
        <v>4.1691340309692997E-3</v>
      </c>
      <c r="E135" t="s">
        <v>1581</v>
      </c>
      <c r="F135" t="s">
        <v>1448</v>
      </c>
      <c r="G135">
        <v>72.290999999999997</v>
      </c>
      <c r="H135">
        <v>6.5057305797022703E-4</v>
      </c>
      <c r="I135">
        <v>69.259</v>
      </c>
      <c r="J135">
        <v>1.0406579270672001E-3</v>
      </c>
      <c r="K135" t="s">
        <v>1070</v>
      </c>
      <c r="L135" t="s">
        <v>937</v>
      </c>
    </row>
    <row r="136" spans="1:12" x14ac:dyDescent="0.35">
      <c r="A136">
        <v>2.6637470683258401E-2</v>
      </c>
      <c r="B136">
        <v>3.6701160751028999E-2</v>
      </c>
      <c r="C136">
        <v>3.2537484109284899E-2</v>
      </c>
      <c r="D136">
        <v>5.0920666130191998E-3</v>
      </c>
      <c r="E136" t="s">
        <v>1582</v>
      </c>
      <c r="F136" t="s">
        <v>1448</v>
      </c>
      <c r="G136">
        <v>72.872</v>
      </c>
      <c r="H136">
        <v>8.0369617241426994E-3</v>
      </c>
      <c r="I136">
        <v>69.346999999999994</v>
      </c>
      <c r="J136">
        <v>1.2705929915244299E-3</v>
      </c>
      <c r="K136" t="s">
        <v>1071</v>
      </c>
      <c r="L136" t="s">
        <v>937</v>
      </c>
    </row>
    <row r="137" spans="1:12" x14ac:dyDescent="0.35">
      <c r="A137">
        <v>1.9809591582912799E-2</v>
      </c>
      <c r="B137">
        <v>3.0297839189273201E-2</v>
      </c>
      <c r="C137">
        <v>3.6723057880070603E-2</v>
      </c>
      <c r="D137">
        <v>1.11208187291489E-2</v>
      </c>
      <c r="E137" t="s">
        <v>1583</v>
      </c>
      <c r="F137" t="s">
        <v>1448</v>
      </c>
      <c r="G137">
        <v>73.531999999999996</v>
      </c>
      <c r="H137">
        <v>9.0569766165331505E-3</v>
      </c>
      <c r="I137">
        <v>69.539000000000001</v>
      </c>
      <c r="J137">
        <v>2.7686850188184402E-3</v>
      </c>
      <c r="K137" t="s">
        <v>1072</v>
      </c>
      <c r="L137" t="s">
        <v>937</v>
      </c>
    </row>
    <row r="138" spans="1:12" x14ac:dyDescent="0.35">
      <c r="A138">
        <v>3.1204615634115699E-2</v>
      </c>
      <c r="B138">
        <v>3.4471201135703997E-2</v>
      </c>
      <c r="C138">
        <v>5.7672124037001303E-2</v>
      </c>
      <c r="D138">
        <v>2.6313046913832801E-2</v>
      </c>
      <c r="E138" t="s">
        <v>1584</v>
      </c>
      <c r="F138" t="s">
        <v>1448</v>
      </c>
      <c r="G138">
        <v>74.569999999999993</v>
      </c>
      <c r="H138">
        <v>1.41163031061307E-2</v>
      </c>
      <c r="I138">
        <v>69.992000000000004</v>
      </c>
      <c r="J138">
        <v>6.5143300881520504E-3</v>
      </c>
      <c r="K138" t="s">
        <v>1073</v>
      </c>
      <c r="L138" t="s">
        <v>937</v>
      </c>
    </row>
    <row r="139" spans="1:12" x14ac:dyDescent="0.35">
      <c r="A139">
        <v>2.7200294389546201E-2</v>
      </c>
      <c r="B139">
        <v>3.5181669062461299E-2</v>
      </c>
      <c r="C139">
        <v>5.42271951092188E-2</v>
      </c>
      <c r="D139">
        <v>7.5544557477534205E-2</v>
      </c>
      <c r="E139" t="s">
        <v>1585</v>
      </c>
      <c r="F139" t="s">
        <v>1448</v>
      </c>
      <c r="G139">
        <v>75.561000000000007</v>
      </c>
      <c r="H139">
        <v>1.3289526619284101E-2</v>
      </c>
      <c r="I139">
        <v>71.278000000000006</v>
      </c>
      <c r="J139">
        <v>1.8373528403245999E-2</v>
      </c>
      <c r="K139" t="s">
        <v>1074</v>
      </c>
      <c r="L139" t="s">
        <v>937</v>
      </c>
    </row>
    <row r="140" spans="1:12" x14ac:dyDescent="0.35">
      <c r="A140">
        <v>1.9813936050087699E-2</v>
      </c>
      <c r="B140">
        <v>3.71188179062025E-2</v>
      </c>
      <c r="C140">
        <v>5.5705667373545202E-2</v>
      </c>
      <c r="D140">
        <v>0.112118604043563</v>
      </c>
      <c r="E140" t="s">
        <v>1586</v>
      </c>
      <c r="F140" t="s">
        <v>1448</v>
      </c>
      <c r="G140">
        <v>76.591999999999999</v>
      </c>
      <c r="H140">
        <v>1.3644605021108799E-2</v>
      </c>
      <c r="I140">
        <v>73.197000000000003</v>
      </c>
      <c r="J140">
        <v>2.6922753163668899E-2</v>
      </c>
      <c r="K140" t="s">
        <v>1075</v>
      </c>
      <c r="L140" t="s">
        <v>937</v>
      </c>
    </row>
    <row r="141" spans="1:12" x14ac:dyDescent="0.35">
      <c r="A141">
        <v>3.4620969363609901E-2</v>
      </c>
      <c r="B141">
        <v>3.9499400752586601E-2</v>
      </c>
      <c r="C141">
        <v>6.4048552869122796E-2</v>
      </c>
      <c r="D141">
        <v>9.9586266592777403E-2</v>
      </c>
      <c r="E141" t="s">
        <v>1587</v>
      </c>
      <c r="F141" t="s">
        <v>1448</v>
      </c>
      <c r="G141">
        <v>77.790000000000006</v>
      </c>
      <c r="H141">
        <v>1.5641320242323099E-2</v>
      </c>
      <c r="I141">
        <v>74.954999999999998</v>
      </c>
      <c r="J141">
        <v>2.4017377761383699E-2</v>
      </c>
      <c r="K141" t="s">
        <v>1076</v>
      </c>
      <c r="L141" t="s">
        <v>937</v>
      </c>
    </row>
    <row r="142" spans="1:12" x14ac:dyDescent="0.35">
      <c r="A142">
        <v>2.34535899973984E-2</v>
      </c>
      <c r="B142">
        <v>5.3706890981395999E-2</v>
      </c>
      <c r="C142">
        <v>3.69057460702173E-2</v>
      </c>
      <c r="D142">
        <v>3.4210597371460802E-2</v>
      </c>
      <c r="E142" t="s">
        <v>1588</v>
      </c>
      <c r="F142" t="s">
        <v>1448</v>
      </c>
      <c r="G142">
        <v>78.498000000000005</v>
      </c>
      <c r="H142">
        <v>9.1014269186271406E-3</v>
      </c>
      <c r="I142">
        <v>75.587999999999994</v>
      </c>
      <c r="J142">
        <v>8.4450670402240694E-3</v>
      </c>
      <c r="K142" t="s">
        <v>1077</v>
      </c>
      <c r="L142" t="s">
        <v>937</v>
      </c>
    </row>
    <row r="143" spans="1:12" x14ac:dyDescent="0.35">
      <c r="A143">
        <v>2.5499802950129401E-2</v>
      </c>
      <c r="B143">
        <v>3.6566859174503898E-2</v>
      </c>
      <c r="C143">
        <v>4.6392177019789503E-2</v>
      </c>
      <c r="D143">
        <v>7.7400259900339399E-2</v>
      </c>
      <c r="E143" t="s">
        <v>1589</v>
      </c>
      <c r="F143" t="s">
        <v>1448</v>
      </c>
      <c r="G143">
        <v>79.393000000000001</v>
      </c>
      <c r="H143">
        <v>1.14015643710668E-2</v>
      </c>
      <c r="I143">
        <v>77.010000000000005</v>
      </c>
      <c r="J143">
        <v>1.8812509922210102E-2</v>
      </c>
      <c r="K143" t="s">
        <v>1078</v>
      </c>
      <c r="L143" t="s">
        <v>937</v>
      </c>
    </row>
    <row r="144" spans="1:12" x14ac:dyDescent="0.35">
      <c r="A144">
        <v>4.3914132970667798E-2</v>
      </c>
      <c r="B144">
        <v>4.2425430776049898E-2</v>
      </c>
      <c r="C144">
        <v>5.93159029125543E-2</v>
      </c>
      <c r="D144">
        <v>9.2099438138909306E-2</v>
      </c>
      <c r="E144" t="s">
        <v>1590</v>
      </c>
      <c r="F144" t="s">
        <v>1448</v>
      </c>
      <c r="G144">
        <v>80.545000000000002</v>
      </c>
      <c r="H144">
        <v>1.45100953484565E-2</v>
      </c>
      <c r="I144">
        <v>78.724999999999994</v>
      </c>
      <c r="J144">
        <v>2.2269835086352399E-2</v>
      </c>
      <c r="K144" t="s">
        <v>1079</v>
      </c>
      <c r="L144" t="s">
        <v>937</v>
      </c>
    </row>
    <row r="145" spans="1:12" x14ac:dyDescent="0.35">
      <c r="A145">
        <v>3.2225013743436802E-2</v>
      </c>
      <c r="B145">
        <v>2.9052051363888599E-2</v>
      </c>
      <c r="C145">
        <v>6.9322056053448003E-2</v>
      </c>
      <c r="D145">
        <v>5.6967190258747399E-2</v>
      </c>
      <c r="E145" t="s">
        <v>1591</v>
      </c>
      <c r="F145" t="s">
        <v>1448</v>
      </c>
      <c r="G145">
        <v>81.906000000000006</v>
      </c>
      <c r="H145">
        <v>1.68973865541002E-2</v>
      </c>
      <c r="I145">
        <v>79.822999999999993</v>
      </c>
      <c r="J145">
        <v>1.39472848523341E-2</v>
      </c>
      <c r="K145" t="s">
        <v>1080</v>
      </c>
      <c r="L145" t="s">
        <v>937</v>
      </c>
    </row>
    <row r="146" spans="1:12" x14ac:dyDescent="0.35">
      <c r="A146">
        <v>2.0935342800184199E-2</v>
      </c>
      <c r="B146">
        <v>3.4093201961780999E-2</v>
      </c>
      <c r="C146">
        <v>2.9725271896635399E-2</v>
      </c>
      <c r="D146">
        <v>2.50876168066392E-2</v>
      </c>
      <c r="E146" t="s">
        <v>1592</v>
      </c>
      <c r="F146" t="s">
        <v>1448</v>
      </c>
      <c r="G146">
        <v>82.507999999999996</v>
      </c>
      <c r="H146">
        <v>7.3498888970282604E-3</v>
      </c>
      <c r="I146">
        <v>80.319000000000003</v>
      </c>
      <c r="J146">
        <v>6.2137479172670301E-3</v>
      </c>
      <c r="K146" t="s">
        <v>1081</v>
      </c>
      <c r="L146" t="s">
        <v>937</v>
      </c>
    </row>
    <row r="147" spans="1:12" x14ac:dyDescent="0.35">
      <c r="A147">
        <v>3.5555363218846101E-2</v>
      </c>
      <c r="B147">
        <v>2.8135458399094499E-2</v>
      </c>
      <c r="C147">
        <v>5.61203132204302E-2</v>
      </c>
      <c r="D147">
        <v>9.1105361450751501E-2</v>
      </c>
      <c r="E147" t="s">
        <v>1593</v>
      </c>
      <c r="F147" t="s">
        <v>1448</v>
      </c>
      <c r="G147">
        <v>83.641999999999996</v>
      </c>
      <c r="H147">
        <v>1.37441217821301E-2</v>
      </c>
      <c r="I147">
        <v>82.088999999999999</v>
      </c>
      <c r="J147">
        <v>2.20371269562618E-2</v>
      </c>
      <c r="K147" t="s">
        <v>1082</v>
      </c>
      <c r="L147" t="s">
        <v>937</v>
      </c>
    </row>
    <row r="148" spans="1:12" x14ac:dyDescent="0.35">
      <c r="A148">
        <v>2.9090990484891902E-2</v>
      </c>
      <c r="B148">
        <v>2.9966625510563099E-2</v>
      </c>
      <c r="C148">
        <v>3.6843754178801799E-2</v>
      </c>
      <c r="D148">
        <v>5.6869734933791702E-2</v>
      </c>
      <c r="E148" t="s">
        <v>1594</v>
      </c>
      <c r="F148" t="s">
        <v>1448</v>
      </c>
      <c r="G148">
        <v>84.402000000000001</v>
      </c>
      <c r="H148">
        <v>9.0863441811530592E-3</v>
      </c>
      <c r="I148">
        <v>83.231999999999999</v>
      </c>
      <c r="J148">
        <v>1.39239118517707E-2</v>
      </c>
      <c r="K148" t="s">
        <v>1083</v>
      </c>
      <c r="L148" t="s">
        <v>937</v>
      </c>
    </row>
    <row r="149" spans="1:12" x14ac:dyDescent="0.35">
      <c r="A149">
        <v>-6.5707467210734897E-3</v>
      </c>
      <c r="B149">
        <v>2.09838687014814E-2</v>
      </c>
      <c r="C149">
        <v>3.0338463665483501E-2</v>
      </c>
      <c r="D149">
        <v>9.7213617262259494E-2</v>
      </c>
      <c r="E149" t="s">
        <v>1595</v>
      </c>
      <c r="F149" t="s">
        <v>1448</v>
      </c>
      <c r="G149">
        <v>85.034999999999997</v>
      </c>
      <c r="H149">
        <v>7.4998222790929603E-3</v>
      </c>
      <c r="I149">
        <v>85.185000000000002</v>
      </c>
      <c r="J149">
        <v>2.34645328719723E-2</v>
      </c>
      <c r="K149" t="s">
        <v>1084</v>
      </c>
      <c r="L149" t="s">
        <v>937</v>
      </c>
    </row>
    <row r="150" spans="1:12" x14ac:dyDescent="0.35">
      <c r="A150">
        <v>3.7059917165470399E-2</v>
      </c>
      <c r="B150">
        <v>3.4651107406359301E-2</v>
      </c>
      <c r="C150">
        <v>7.2299496950969405E-2</v>
      </c>
      <c r="D150">
        <v>0.104792955269219</v>
      </c>
      <c r="E150" t="s">
        <v>1596</v>
      </c>
      <c r="F150" t="s">
        <v>1448</v>
      </c>
      <c r="G150">
        <v>86.531999999999996</v>
      </c>
      <c r="H150">
        <v>1.7604515787616799E-2</v>
      </c>
      <c r="I150">
        <v>87.334000000000003</v>
      </c>
      <c r="J150">
        <v>2.5227446146622E-2</v>
      </c>
      <c r="K150" t="s">
        <v>1085</v>
      </c>
      <c r="L150" t="s">
        <v>937</v>
      </c>
    </row>
    <row r="151" spans="1:12" x14ac:dyDescent="0.35">
      <c r="A151">
        <v>3.4406916686266602E-2</v>
      </c>
      <c r="B151">
        <v>3.2361806516408201E-2</v>
      </c>
      <c r="C151">
        <v>4.4022069506022297E-2</v>
      </c>
      <c r="D151">
        <v>4.2476788274359099E-2</v>
      </c>
      <c r="E151" t="s">
        <v>1597</v>
      </c>
      <c r="F151" t="s">
        <v>1448</v>
      </c>
      <c r="G151">
        <v>87.468999999999994</v>
      </c>
      <c r="H151">
        <v>1.0828364073406401E-2</v>
      </c>
      <c r="I151">
        <v>88.247</v>
      </c>
      <c r="J151">
        <v>1.0454118670849799E-2</v>
      </c>
      <c r="K151" t="s">
        <v>1086</v>
      </c>
      <c r="L151" t="s">
        <v>937</v>
      </c>
    </row>
    <row r="152" spans="1:12" x14ac:dyDescent="0.35">
      <c r="A152">
        <v>2.2795387185985401E-2</v>
      </c>
      <c r="B152">
        <v>2.78463672712683E-2</v>
      </c>
      <c r="C152">
        <v>4.5480126137950501E-2</v>
      </c>
      <c r="D152">
        <v>3.9088464000031499E-2</v>
      </c>
      <c r="E152" t="s">
        <v>1598</v>
      </c>
      <c r="F152" t="s">
        <v>1448</v>
      </c>
      <c r="G152">
        <v>88.447000000000003</v>
      </c>
      <c r="H152">
        <v>1.11811041626177E-2</v>
      </c>
      <c r="I152">
        <v>89.096999999999994</v>
      </c>
      <c r="J152">
        <v>9.6320554806394992E-3</v>
      </c>
      <c r="K152" t="s">
        <v>1087</v>
      </c>
      <c r="L152" t="s">
        <v>937</v>
      </c>
    </row>
    <row r="153" spans="1:12" x14ac:dyDescent="0.35">
      <c r="A153">
        <v>4.1308326629664098E-2</v>
      </c>
      <c r="B153">
        <v>3.2459146974833902E-2</v>
      </c>
      <c r="C153">
        <v>6.2039731527971001E-2</v>
      </c>
      <c r="D153">
        <v>4.7886506250196997E-2</v>
      </c>
      <c r="E153" t="s">
        <v>1599</v>
      </c>
      <c r="F153" t="s">
        <v>1448</v>
      </c>
      <c r="G153">
        <v>89.787999999999997</v>
      </c>
      <c r="H153">
        <v>1.51616222144335E-2</v>
      </c>
      <c r="I153">
        <v>90.144999999999996</v>
      </c>
      <c r="J153">
        <v>1.1762461137861099E-2</v>
      </c>
      <c r="K153" t="s">
        <v>1088</v>
      </c>
      <c r="L153" t="s">
        <v>937</v>
      </c>
    </row>
    <row r="154" spans="1:12" x14ac:dyDescent="0.35">
      <c r="A154">
        <v>3.2954987594988598E-2</v>
      </c>
      <c r="B154">
        <v>3.4144429632388298E-2</v>
      </c>
      <c r="C154">
        <v>7.23147883586404E-2</v>
      </c>
      <c r="D154">
        <v>3.8436409888859401E-2</v>
      </c>
      <c r="E154" t="s">
        <v>1600</v>
      </c>
      <c r="F154" t="s">
        <v>1448</v>
      </c>
      <c r="G154">
        <v>91.369</v>
      </c>
      <c r="H154">
        <v>1.7608143627210901E-2</v>
      </c>
      <c r="I154">
        <v>90.998999999999995</v>
      </c>
      <c r="J154">
        <v>9.4736258250596207E-3</v>
      </c>
      <c r="K154" t="s">
        <v>1089</v>
      </c>
      <c r="L154" t="s">
        <v>937</v>
      </c>
    </row>
    <row r="155" spans="1:12" x14ac:dyDescent="0.35">
      <c r="A155">
        <v>3.9493950261418401E-2</v>
      </c>
      <c r="B155">
        <v>4.1602053152730099E-2</v>
      </c>
      <c r="C155">
        <v>6.3263019462217004E-2</v>
      </c>
      <c r="D155">
        <v>3.1126430511134499E-2</v>
      </c>
      <c r="E155" t="s">
        <v>1601</v>
      </c>
      <c r="F155" t="s">
        <v>1448</v>
      </c>
      <c r="G155">
        <v>92.781000000000006</v>
      </c>
      <c r="H155">
        <v>1.5453819129026301E-2</v>
      </c>
      <c r="I155">
        <v>91.698999999999998</v>
      </c>
      <c r="J155">
        <v>7.6923922240903497E-3</v>
      </c>
      <c r="K155" t="s">
        <v>1090</v>
      </c>
      <c r="L155" t="s">
        <v>937</v>
      </c>
    </row>
    <row r="156" spans="1:12" x14ac:dyDescent="0.35">
      <c r="A156">
        <v>4.3386852489040402E-2</v>
      </c>
      <c r="B156">
        <v>3.03408157550791E-2</v>
      </c>
      <c r="C156">
        <v>5.52136316684275E-2</v>
      </c>
      <c r="D156">
        <v>5.2701497522020399E-2</v>
      </c>
      <c r="E156" t="s">
        <v>1602</v>
      </c>
      <c r="F156" t="s">
        <v>1448</v>
      </c>
      <c r="G156">
        <v>94.036000000000001</v>
      </c>
      <c r="H156">
        <v>1.35264763259719E-2</v>
      </c>
      <c r="I156">
        <v>92.884</v>
      </c>
      <c r="J156">
        <v>1.29227145334192E-2</v>
      </c>
      <c r="K156" t="s">
        <v>1091</v>
      </c>
      <c r="L156" t="s">
        <v>937</v>
      </c>
    </row>
    <row r="157" spans="1:12" x14ac:dyDescent="0.35">
      <c r="A157">
        <v>-6.2360196436278902E-2</v>
      </c>
      <c r="B157">
        <v>-1.8917326805224201E-2</v>
      </c>
      <c r="C157">
        <v>-7.4155067193705196E-2</v>
      </c>
      <c r="D157">
        <v>7.5335045349203197E-2</v>
      </c>
      <c r="E157" t="s">
        <v>1603</v>
      </c>
      <c r="F157" t="s">
        <v>1448</v>
      </c>
      <c r="G157">
        <v>92.242000000000004</v>
      </c>
      <c r="H157">
        <v>-1.9077799991492599E-2</v>
      </c>
      <c r="I157">
        <v>94.585999999999999</v>
      </c>
      <c r="J157">
        <v>1.8323930924594199E-2</v>
      </c>
      <c r="K157" t="s">
        <v>1092</v>
      </c>
      <c r="L157" t="s">
        <v>937</v>
      </c>
    </row>
    <row r="158" spans="1:12" x14ac:dyDescent="0.35">
      <c r="A158">
        <v>-2.6731212813050201E-2</v>
      </c>
      <c r="B158">
        <v>-3.3135327897025703E-2</v>
      </c>
      <c r="C158">
        <v>-6.8462037949067106E-2</v>
      </c>
      <c r="D158">
        <v>2.5185264843212301E-2</v>
      </c>
      <c r="E158" t="s">
        <v>1604</v>
      </c>
      <c r="F158" t="s">
        <v>1448</v>
      </c>
      <c r="G158">
        <v>90.620999999999995</v>
      </c>
      <c r="H158">
        <v>-1.7573339693415201E-2</v>
      </c>
      <c r="I158">
        <v>95.176000000000002</v>
      </c>
      <c r="J158">
        <v>6.2377095976149403E-3</v>
      </c>
      <c r="K158" t="s">
        <v>1093</v>
      </c>
      <c r="L158" t="s">
        <v>937</v>
      </c>
    </row>
    <row r="159" spans="1:12" x14ac:dyDescent="0.35">
      <c r="A159">
        <v>1.6004255010514602E-2</v>
      </c>
      <c r="B159">
        <v>7.2471101838833497E-4</v>
      </c>
      <c r="C159">
        <v>1.9832196265286098E-2</v>
      </c>
      <c r="D159">
        <v>-3.4674689642026801E-2</v>
      </c>
      <c r="E159" t="s">
        <v>1605</v>
      </c>
      <c r="F159" t="s">
        <v>1448</v>
      </c>
      <c r="G159">
        <v>91.066999999999993</v>
      </c>
      <c r="H159">
        <v>4.9215965394333603E-3</v>
      </c>
      <c r="I159">
        <v>94.34</v>
      </c>
      <c r="J159">
        <v>-8.7837269899974108E-3</v>
      </c>
      <c r="K159" t="s">
        <v>1094</v>
      </c>
      <c r="L159" t="s">
        <v>937</v>
      </c>
    </row>
    <row r="160" spans="1:12" x14ac:dyDescent="0.35">
      <c r="A160">
        <v>2.78350080421834E-2</v>
      </c>
      <c r="B160">
        <v>1.22854862155337E-2</v>
      </c>
      <c r="C160">
        <v>3.47933032481611E-2</v>
      </c>
      <c r="D160">
        <v>-3.55556982427905E-2</v>
      </c>
      <c r="E160" t="s">
        <v>1606</v>
      </c>
      <c r="F160" t="s">
        <v>1448</v>
      </c>
      <c r="G160">
        <v>91.849000000000004</v>
      </c>
      <c r="H160">
        <v>8.5870842346844594E-3</v>
      </c>
      <c r="I160">
        <v>93.49</v>
      </c>
      <c r="J160">
        <v>-9.0099639601441996E-3</v>
      </c>
      <c r="K160" t="s">
        <v>1095</v>
      </c>
      <c r="L160" t="s">
        <v>937</v>
      </c>
    </row>
    <row r="161" spans="1:12" x14ac:dyDescent="0.35">
      <c r="A161">
        <v>3.1240948480233E-2</v>
      </c>
      <c r="B161">
        <v>3.11127095791379E-2</v>
      </c>
      <c r="C161">
        <v>3.76238534925952E-2</v>
      </c>
      <c r="D161">
        <v>-3.0769865450653898E-3</v>
      </c>
      <c r="E161" t="s">
        <v>1607</v>
      </c>
      <c r="F161" t="s">
        <v>1448</v>
      </c>
      <c r="G161">
        <v>92.700999999999993</v>
      </c>
      <c r="H161">
        <v>9.2760944593843798E-3</v>
      </c>
      <c r="I161">
        <v>93.418000000000006</v>
      </c>
      <c r="J161">
        <v>-7.7013584340557305E-4</v>
      </c>
      <c r="K161" t="s">
        <v>1096</v>
      </c>
      <c r="L161" t="s">
        <v>937</v>
      </c>
    </row>
    <row r="162" spans="1:12" x14ac:dyDescent="0.35">
      <c r="A162">
        <v>1.5538458112328299E-2</v>
      </c>
      <c r="B162">
        <v>2.5706833981413501E-2</v>
      </c>
      <c r="C162">
        <v>4.6975487060338501E-2</v>
      </c>
      <c r="D162">
        <v>1.13952226394907E-2</v>
      </c>
      <c r="E162" t="s">
        <v>1608</v>
      </c>
      <c r="F162" t="s">
        <v>1448</v>
      </c>
      <c r="G162">
        <v>93.771000000000001</v>
      </c>
      <c r="H162">
        <v>1.15424860573241E-2</v>
      </c>
      <c r="I162">
        <v>93.683000000000007</v>
      </c>
      <c r="J162">
        <v>2.8367124108843499E-3</v>
      </c>
      <c r="K162" t="s">
        <v>1097</v>
      </c>
      <c r="L162" t="s">
        <v>937</v>
      </c>
    </row>
    <row r="163" spans="1:12" x14ac:dyDescent="0.35">
      <c r="A163">
        <v>6.2204942357442202E-3</v>
      </c>
      <c r="B163">
        <v>3.1017939025557401E-2</v>
      </c>
      <c r="C163">
        <v>2.9062361366274402E-2</v>
      </c>
      <c r="D163">
        <v>1.7491325837778699E-2</v>
      </c>
      <c r="E163" t="s">
        <v>1609</v>
      </c>
      <c r="F163" t="s">
        <v>1448</v>
      </c>
      <c r="G163">
        <v>94.444999999999993</v>
      </c>
      <c r="H163">
        <v>7.18772328331774E-3</v>
      </c>
      <c r="I163">
        <v>94.09</v>
      </c>
      <c r="J163">
        <v>4.3444381584705196E-3</v>
      </c>
      <c r="K163" t="s">
        <v>1098</v>
      </c>
      <c r="L163" t="s">
        <v>937</v>
      </c>
    </row>
    <row r="164" spans="1:12" x14ac:dyDescent="0.35">
      <c r="A164">
        <v>7.72594376628044E-3</v>
      </c>
      <c r="B164">
        <v>1.59750935835106E-2</v>
      </c>
      <c r="C164">
        <v>2.3067349052007899E-2</v>
      </c>
      <c r="D164">
        <v>1.2643202128826501E-2</v>
      </c>
      <c r="E164" t="s">
        <v>1610</v>
      </c>
      <c r="F164" t="s">
        <v>1448</v>
      </c>
      <c r="G164">
        <v>94.984999999999999</v>
      </c>
      <c r="H164">
        <v>5.7176134258034601E-3</v>
      </c>
      <c r="I164">
        <v>94.385999999999996</v>
      </c>
      <c r="J164">
        <v>3.1459241152087501E-3</v>
      </c>
      <c r="K164" t="s">
        <v>1099</v>
      </c>
      <c r="L164" t="s">
        <v>937</v>
      </c>
    </row>
    <row r="165" spans="1:12" x14ac:dyDescent="0.35">
      <c r="A165">
        <v>2.5862689650447499E-2</v>
      </c>
      <c r="B165">
        <v>3.29452826155043E-2</v>
      </c>
      <c r="C165">
        <v>3.7879756208726099E-2</v>
      </c>
      <c r="D165">
        <v>1.8090208281751299E-2</v>
      </c>
      <c r="E165" t="s">
        <v>1611</v>
      </c>
      <c r="F165" t="s">
        <v>1448</v>
      </c>
      <c r="G165">
        <v>95.872</v>
      </c>
      <c r="H165">
        <v>9.3383165763014607E-3</v>
      </c>
      <c r="I165">
        <v>94.81</v>
      </c>
      <c r="J165">
        <v>4.4921916385904899E-3</v>
      </c>
      <c r="K165" t="s">
        <v>1100</v>
      </c>
      <c r="L165" t="s">
        <v>937</v>
      </c>
    </row>
    <row r="166" spans="1:12" x14ac:dyDescent="0.35">
      <c r="A166">
        <v>3.4016266815046298E-2</v>
      </c>
      <c r="B166">
        <v>3.64259738306612E-2</v>
      </c>
      <c r="C166">
        <v>4.5137017344844002E-2</v>
      </c>
      <c r="D166">
        <v>2.4394704867924499E-2</v>
      </c>
      <c r="E166" t="s">
        <v>1612</v>
      </c>
      <c r="F166" t="s">
        <v>1448</v>
      </c>
      <c r="G166">
        <v>96.936000000000007</v>
      </c>
      <c r="H166">
        <v>1.10981308411215E-2</v>
      </c>
      <c r="I166">
        <v>95.382999999999996</v>
      </c>
      <c r="J166">
        <v>6.0436662799281402E-3</v>
      </c>
      <c r="K166" t="s">
        <v>1101</v>
      </c>
      <c r="L166" t="s">
        <v>937</v>
      </c>
    </row>
    <row r="167" spans="1:12" x14ac:dyDescent="0.35">
      <c r="A167">
        <v>3.9906323464895102E-2</v>
      </c>
      <c r="B167">
        <v>3.6682670107609103E-2</v>
      </c>
      <c r="C167">
        <v>5.0829697512543702E-2</v>
      </c>
      <c r="D167">
        <v>4.1043493786856698E-2</v>
      </c>
      <c r="E167" t="s">
        <v>1613</v>
      </c>
      <c r="F167" t="s">
        <v>1448</v>
      </c>
      <c r="G167">
        <v>98.144999999999996</v>
      </c>
      <c r="H167">
        <v>1.24721465709332E-2</v>
      </c>
      <c r="I167">
        <v>96.346999999999994</v>
      </c>
      <c r="J167">
        <v>1.01066227734501E-2</v>
      </c>
      <c r="K167" t="s">
        <v>1102</v>
      </c>
      <c r="L167" t="s">
        <v>937</v>
      </c>
    </row>
    <row r="168" spans="1:12" x14ac:dyDescent="0.35">
      <c r="A168">
        <v>1.8640626124373699E-2</v>
      </c>
      <c r="B168">
        <v>1.39908352832361E-2</v>
      </c>
      <c r="C168">
        <v>1.5247657751557699E-2</v>
      </c>
      <c r="D168">
        <v>4.5983903903995101E-2</v>
      </c>
      <c r="E168" t="s">
        <v>1614</v>
      </c>
      <c r="F168" t="s">
        <v>1448</v>
      </c>
      <c r="G168">
        <v>98.516999999999996</v>
      </c>
      <c r="H168">
        <v>3.7903102552345699E-3</v>
      </c>
      <c r="I168">
        <v>97.436000000000007</v>
      </c>
      <c r="J168">
        <v>1.13028947450362E-2</v>
      </c>
      <c r="K168" t="s">
        <v>1103</v>
      </c>
      <c r="L168" t="s">
        <v>937</v>
      </c>
    </row>
    <row r="169" spans="1:12" x14ac:dyDescent="0.35">
      <c r="A169">
        <v>1.32561299755005E-2</v>
      </c>
      <c r="B169">
        <v>-5.33618345022691E-3</v>
      </c>
      <c r="C169">
        <v>-1.40950235359611E-2</v>
      </c>
      <c r="D169">
        <v>3.8137779822804398E-2</v>
      </c>
      <c r="E169" t="s">
        <v>1615</v>
      </c>
      <c r="F169" t="s">
        <v>1448</v>
      </c>
      <c r="G169">
        <v>98.168000000000006</v>
      </c>
      <c r="H169">
        <v>-3.54253580600294E-3</v>
      </c>
      <c r="I169">
        <v>98.352000000000004</v>
      </c>
      <c r="J169">
        <v>9.4010427357444897E-3</v>
      </c>
      <c r="K169" t="s">
        <v>1104</v>
      </c>
      <c r="L169" t="s">
        <v>937</v>
      </c>
    </row>
    <row r="170" spans="1:12" x14ac:dyDescent="0.35">
      <c r="A170">
        <v>2.6761481120787502E-2</v>
      </c>
      <c r="B170">
        <v>1.39201532997375E-2</v>
      </c>
      <c r="C170">
        <v>5.4116713606157101E-2</v>
      </c>
      <c r="D170">
        <v>3.0312571909831599E-2</v>
      </c>
      <c r="E170" t="s">
        <v>1616</v>
      </c>
      <c r="F170" t="s">
        <v>1448</v>
      </c>
      <c r="G170">
        <v>99.47</v>
      </c>
      <c r="H170">
        <v>1.32629777524242E-2</v>
      </c>
      <c r="I170">
        <v>99.088999999999999</v>
      </c>
      <c r="J170">
        <v>7.4934927606962196E-3</v>
      </c>
      <c r="K170" t="s">
        <v>1105</v>
      </c>
      <c r="L170" t="s">
        <v>937</v>
      </c>
    </row>
    <row r="171" spans="1:12" x14ac:dyDescent="0.35">
      <c r="A171">
        <v>9.7203652064314899E-3</v>
      </c>
      <c r="B171">
        <v>8.8550245823753003E-3</v>
      </c>
      <c r="C171">
        <v>-6.9787462524018001E-3</v>
      </c>
      <c r="D171">
        <v>3.2273930792219303E-2</v>
      </c>
      <c r="E171" t="s">
        <v>1617</v>
      </c>
      <c r="F171" t="s">
        <v>1448</v>
      </c>
      <c r="G171">
        <v>99.296000000000006</v>
      </c>
      <c r="H171">
        <v>-1.7492711370261599E-3</v>
      </c>
      <c r="I171">
        <v>99.879000000000005</v>
      </c>
      <c r="J171">
        <v>7.9726306653615797E-3</v>
      </c>
      <c r="K171" t="s">
        <v>1106</v>
      </c>
      <c r="L171" t="s">
        <v>937</v>
      </c>
    </row>
    <row r="172" spans="1:12" x14ac:dyDescent="0.35">
      <c r="A172">
        <v>1.1676944984941699E-2</v>
      </c>
      <c r="B172">
        <v>7.7077122555302396E-3</v>
      </c>
      <c r="C172">
        <v>2.44311343320835E-2</v>
      </c>
      <c r="D172">
        <v>2.17207841742009E-2</v>
      </c>
      <c r="E172" t="s">
        <v>1618</v>
      </c>
      <c r="F172" t="s">
        <v>1448</v>
      </c>
      <c r="G172">
        <v>99.897000000000006</v>
      </c>
      <c r="H172">
        <v>6.0526103770543998E-3</v>
      </c>
      <c r="I172">
        <v>100.417</v>
      </c>
      <c r="J172">
        <v>5.3865176864005297E-3</v>
      </c>
      <c r="K172" t="s">
        <v>1107</v>
      </c>
      <c r="L172" t="s">
        <v>937</v>
      </c>
    </row>
    <row r="173" spans="1:12" x14ac:dyDescent="0.35">
      <c r="A173">
        <v>2.2614716677978E-2</v>
      </c>
      <c r="B173">
        <v>4.9632662336496196E-3</v>
      </c>
      <c r="C173">
        <v>5.8918140200379103E-2</v>
      </c>
      <c r="D173">
        <v>7.9104688711333394E-3</v>
      </c>
      <c r="E173" t="s">
        <v>1619</v>
      </c>
      <c r="F173" t="s">
        <v>1448</v>
      </c>
      <c r="G173">
        <v>101.337</v>
      </c>
      <c r="H173">
        <v>1.4414847292711501E-2</v>
      </c>
      <c r="I173">
        <v>100.61499999999999</v>
      </c>
      <c r="J173">
        <v>1.9717776870449301E-3</v>
      </c>
      <c r="K173" t="s">
        <v>1108</v>
      </c>
      <c r="L173" t="s">
        <v>937</v>
      </c>
    </row>
    <row r="174" spans="1:12" x14ac:dyDescent="0.35">
      <c r="A174">
        <v>1.45079389824292E-2</v>
      </c>
      <c r="B174">
        <v>-1.9949826125076301E-4</v>
      </c>
      <c r="C174">
        <v>5.3376513955371498E-2</v>
      </c>
      <c r="D174">
        <v>1.6319173615011201E-2</v>
      </c>
      <c r="E174" t="s">
        <v>1620</v>
      </c>
      <c r="F174" t="s">
        <v>1448</v>
      </c>
      <c r="G174">
        <v>102.663</v>
      </c>
      <c r="H174">
        <v>1.3085052843482501E-2</v>
      </c>
      <c r="I174">
        <v>101.023</v>
      </c>
      <c r="J174">
        <v>4.05506137255873E-3</v>
      </c>
      <c r="K174" t="s">
        <v>1109</v>
      </c>
      <c r="L174" t="s">
        <v>937</v>
      </c>
    </row>
    <row r="175" spans="1:12" x14ac:dyDescent="0.35">
      <c r="A175">
        <v>2.8548469670495202E-3</v>
      </c>
      <c r="B175">
        <v>7.9245575399269404E-3</v>
      </c>
      <c r="C175">
        <v>2.14833879994034E-2</v>
      </c>
      <c r="D175">
        <v>2.0547855013869399E-2</v>
      </c>
      <c r="E175" t="s">
        <v>1621</v>
      </c>
      <c r="F175" t="s">
        <v>1448</v>
      </c>
      <c r="G175">
        <v>103.21</v>
      </c>
      <c r="H175">
        <v>5.3281123676494103E-3</v>
      </c>
      <c r="I175">
        <v>101.538</v>
      </c>
      <c r="J175">
        <v>5.0978490046820202E-3</v>
      </c>
      <c r="K175" t="s">
        <v>1110</v>
      </c>
      <c r="L175" t="s">
        <v>937</v>
      </c>
    </row>
    <row r="176" spans="1:12" x14ac:dyDescent="0.35">
      <c r="A176">
        <v>1.6326843500240801E-2</v>
      </c>
      <c r="B176">
        <v>1.3006397529373E-2</v>
      </c>
      <c r="C176">
        <v>3.4225885044726997E-2</v>
      </c>
      <c r="D176">
        <v>2.1723337040250802E-2</v>
      </c>
      <c r="E176" t="s">
        <v>1622</v>
      </c>
      <c r="F176" t="s">
        <v>1448</v>
      </c>
      <c r="G176">
        <v>104.08199999999999</v>
      </c>
      <c r="H176">
        <v>8.4487937215385108E-3</v>
      </c>
      <c r="I176">
        <v>102.08499999999999</v>
      </c>
      <c r="J176">
        <v>5.3871456991470001E-3</v>
      </c>
      <c r="K176" t="s">
        <v>1111</v>
      </c>
      <c r="L176" t="s">
        <v>937</v>
      </c>
    </row>
    <row r="177" spans="1:12" x14ac:dyDescent="0.35">
      <c r="A177">
        <v>1.6859105016114002E-2</v>
      </c>
      <c r="B177">
        <v>6.2259222369993199E-2</v>
      </c>
      <c r="C177">
        <v>2.1461497744286601E-2</v>
      </c>
      <c r="D177">
        <v>3.0554089712781E-2</v>
      </c>
      <c r="E177" t="s">
        <v>1623</v>
      </c>
      <c r="F177" t="s">
        <v>1448</v>
      </c>
      <c r="G177">
        <v>104.636</v>
      </c>
      <c r="H177">
        <v>5.3227263119464104E-3</v>
      </c>
      <c r="I177">
        <v>102.85599999999999</v>
      </c>
      <c r="J177">
        <v>7.55252975461618E-3</v>
      </c>
      <c r="K177" t="s">
        <v>1112</v>
      </c>
      <c r="L177" t="s">
        <v>937</v>
      </c>
    </row>
    <row r="178" spans="1:12" x14ac:dyDescent="0.35">
      <c r="A178">
        <v>1.93744928521071E-2</v>
      </c>
      <c r="B178">
        <v>-1.02831916231174E-2</v>
      </c>
      <c r="C178">
        <v>3.4027993671362999E-2</v>
      </c>
      <c r="D178">
        <v>2.27077607090642E-2</v>
      </c>
      <c r="E178" t="s">
        <v>1624</v>
      </c>
      <c r="F178" t="s">
        <v>1448</v>
      </c>
      <c r="G178">
        <v>105.515</v>
      </c>
      <c r="H178">
        <v>8.4005504797584098E-3</v>
      </c>
      <c r="I178">
        <v>103.435</v>
      </c>
      <c r="J178">
        <v>5.6292292136579398E-3</v>
      </c>
      <c r="K178" t="s">
        <v>1113</v>
      </c>
      <c r="L178" t="s">
        <v>937</v>
      </c>
    </row>
    <row r="179" spans="1:12" x14ac:dyDescent="0.35">
      <c r="A179">
        <v>2.0192934056340501E-2</v>
      </c>
      <c r="B179">
        <v>1.7798477087045E-2</v>
      </c>
      <c r="C179">
        <v>1.2683683496116101E-2</v>
      </c>
      <c r="D179">
        <v>1.8378329285591199E-2</v>
      </c>
      <c r="E179" t="s">
        <v>1625</v>
      </c>
      <c r="F179" t="s">
        <v>1448</v>
      </c>
      <c r="G179">
        <v>105.848</v>
      </c>
      <c r="H179">
        <v>3.1559493910817702E-3</v>
      </c>
      <c r="I179">
        <v>103.907</v>
      </c>
      <c r="J179">
        <v>4.5632522840430801E-3</v>
      </c>
      <c r="K179" t="s">
        <v>1114</v>
      </c>
      <c r="L179" t="s">
        <v>937</v>
      </c>
    </row>
    <row r="180" spans="1:12" x14ac:dyDescent="0.35">
      <c r="A180">
        <v>1.13601398604235E-2</v>
      </c>
      <c r="B180">
        <v>1.8827452214838801E-2</v>
      </c>
      <c r="C180">
        <v>2.3098181930942801E-2</v>
      </c>
      <c r="D180">
        <v>1.94654703730235E-2</v>
      </c>
      <c r="E180" t="s">
        <v>1626</v>
      </c>
      <c r="F180" t="s">
        <v>1448</v>
      </c>
      <c r="G180">
        <v>106.45399999999999</v>
      </c>
      <c r="H180">
        <v>5.7251908396946903E-3</v>
      </c>
      <c r="I180">
        <v>104.40900000000001</v>
      </c>
      <c r="J180">
        <v>4.8312433233566E-3</v>
      </c>
      <c r="K180" t="s">
        <v>1115</v>
      </c>
      <c r="L180" t="s">
        <v>937</v>
      </c>
    </row>
    <row r="181" spans="1:12" x14ac:dyDescent="0.35">
      <c r="A181">
        <v>-4.6048768205230201E-3</v>
      </c>
      <c r="B181">
        <v>5.3720415632923001E-3</v>
      </c>
      <c r="C181">
        <v>-3.1150724387948299E-3</v>
      </c>
      <c r="D181">
        <v>7.0678568534106E-3</v>
      </c>
      <c r="E181" t="s">
        <v>1627</v>
      </c>
      <c r="F181" t="s">
        <v>1448</v>
      </c>
      <c r="G181">
        <v>106.371</v>
      </c>
      <c r="H181">
        <v>-7.7967948597512703E-4</v>
      </c>
      <c r="I181">
        <v>104.593</v>
      </c>
      <c r="J181">
        <v>1.76230018484991E-3</v>
      </c>
      <c r="K181" t="s">
        <v>1116</v>
      </c>
      <c r="L181" t="s">
        <v>937</v>
      </c>
    </row>
    <row r="182" spans="1:12" x14ac:dyDescent="0.35">
      <c r="A182">
        <v>-1.65067373701384E-2</v>
      </c>
      <c r="B182">
        <v>-6.4248737444822001E-3</v>
      </c>
      <c r="C182">
        <v>-3.9305105462135198E-2</v>
      </c>
      <c r="D182">
        <v>-1.18502082280647E-3</v>
      </c>
      <c r="E182" t="s">
        <v>1628</v>
      </c>
      <c r="F182" t="s">
        <v>1448</v>
      </c>
      <c r="G182">
        <v>105.31</v>
      </c>
      <c r="H182">
        <v>-9.9745231313045392E-3</v>
      </c>
      <c r="I182">
        <v>104.562</v>
      </c>
      <c r="J182">
        <v>-2.9638694750133698E-4</v>
      </c>
      <c r="K182" t="s">
        <v>1117</v>
      </c>
      <c r="L182" t="s">
        <v>937</v>
      </c>
    </row>
    <row r="183" spans="1:12" x14ac:dyDescent="0.35">
      <c r="A183">
        <v>1.9548766403745001E-2</v>
      </c>
      <c r="B183">
        <v>7.87290366046434E-3</v>
      </c>
      <c r="C183">
        <v>2.82887807392058E-2</v>
      </c>
      <c r="D183">
        <v>1.76749178700988E-2</v>
      </c>
      <c r="E183" t="s">
        <v>1629</v>
      </c>
      <c r="F183" t="s">
        <v>1448</v>
      </c>
      <c r="G183">
        <v>106.047</v>
      </c>
      <c r="H183">
        <v>6.9983857183553199E-3</v>
      </c>
      <c r="I183">
        <v>105.021</v>
      </c>
      <c r="J183">
        <v>4.3897400585299904E-3</v>
      </c>
      <c r="K183" t="s">
        <v>1118</v>
      </c>
      <c r="L183" t="s">
        <v>937</v>
      </c>
    </row>
    <row r="184" spans="1:12" x14ac:dyDescent="0.35">
      <c r="A184">
        <v>9.6917092109320997E-3</v>
      </c>
      <c r="B184">
        <v>6.1419866574232698E-3</v>
      </c>
      <c r="C184">
        <v>2.4162101667697402E-3</v>
      </c>
      <c r="D184">
        <v>1.1398511762960899E-2</v>
      </c>
      <c r="E184" t="s">
        <v>1630</v>
      </c>
      <c r="F184" t="s">
        <v>1448</v>
      </c>
      <c r="G184">
        <v>106.111</v>
      </c>
      <c r="H184">
        <v>6.0350599262592997E-4</v>
      </c>
      <c r="I184">
        <v>105.319</v>
      </c>
      <c r="J184">
        <v>2.8375277325487498E-3</v>
      </c>
      <c r="K184" t="s">
        <v>1119</v>
      </c>
      <c r="L184" t="s">
        <v>937</v>
      </c>
    </row>
    <row r="185" spans="1:12" x14ac:dyDescent="0.35">
      <c r="A185">
        <v>-3.9403871252573497E-3</v>
      </c>
      <c r="B185">
        <v>-3.1716537268759999E-3</v>
      </c>
      <c r="C185">
        <v>-1.5664221695060501E-2</v>
      </c>
      <c r="D185">
        <v>-2.2010123911118101E-3</v>
      </c>
      <c r="E185" t="s">
        <v>1631</v>
      </c>
      <c r="F185" t="s">
        <v>1448</v>
      </c>
      <c r="G185">
        <v>105.693</v>
      </c>
      <c r="H185">
        <v>-3.9392711405981098E-3</v>
      </c>
      <c r="I185">
        <v>105.261</v>
      </c>
      <c r="J185">
        <v>-5.5070784948596497E-4</v>
      </c>
      <c r="K185" t="s">
        <v>1120</v>
      </c>
      <c r="L185" t="s">
        <v>937</v>
      </c>
    </row>
    <row r="186" spans="1:12" x14ac:dyDescent="0.35">
      <c r="A186">
        <v>2.1316685833889801E-3</v>
      </c>
      <c r="B186">
        <v>-9.9615046560082004E-3</v>
      </c>
      <c r="C186">
        <v>-3.3665208430493802E-2</v>
      </c>
      <c r="D186">
        <v>-9.6550430027560995E-3</v>
      </c>
      <c r="E186" t="s">
        <v>1632</v>
      </c>
      <c r="F186" t="s">
        <v>1448</v>
      </c>
      <c r="G186">
        <v>104.792</v>
      </c>
      <c r="H186">
        <v>-8.5246894307096106E-3</v>
      </c>
      <c r="I186">
        <v>105.006</v>
      </c>
      <c r="J186">
        <v>-2.4225496622680702E-3</v>
      </c>
      <c r="K186" t="s">
        <v>1121</v>
      </c>
      <c r="L186" t="s">
        <v>937</v>
      </c>
    </row>
    <row r="187" spans="1:12" x14ac:dyDescent="0.35">
      <c r="A187">
        <v>2.5357857709627601E-2</v>
      </c>
      <c r="B187">
        <v>2.1698746196001199E-2</v>
      </c>
      <c r="C187">
        <v>3.0770998377488399E-2</v>
      </c>
      <c r="D187">
        <v>3.3008554152673703E-2</v>
      </c>
      <c r="E187" t="s">
        <v>1633</v>
      </c>
      <c r="F187" t="s">
        <v>1448</v>
      </c>
      <c r="G187">
        <v>105.589</v>
      </c>
      <c r="H187">
        <v>7.6055424078174099E-3</v>
      </c>
      <c r="I187">
        <v>105.86199999999999</v>
      </c>
      <c r="J187">
        <v>8.1519151286593202E-3</v>
      </c>
      <c r="K187" t="s">
        <v>1122</v>
      </c>
      <c r="L187" t="s">
        <v>937</v>
      </c>
    </row>
    <row r="188" spans="1:12" x14ac:dyDescent="0.35">
      <c r="A188">
        <v>1.5085753101185199E-2</v>
      </c>
      <c r="B188">
        <v>1.5625918949128799E-2</v>
      </c>
      <c r="C188">
        <v>1.5469326265677499E-2</v>
      </c>
      <c r="D188">
        <v>3.0262315011426702E-3</v>
      </c>
      <c r="E188" t="s">
        <v>1634</v>
      </c>
      <c r="F188" t="s">
        <v>1448</v>
      </c>
      <c r="G188">
        <v>105.995</v>
      </c>
      <c r="H188">
        <v>3.8450975006867299E-3</v>
      </c>
      <c r="I188">
        <v>105.94199999999999</v>
      </c>
      <c r="J188">
        <v>7.5570081804610101E-4</v>
      </c>
      <c r="K188" t="s">
        <v>1123</v>
      </c>
      <c r="L188" t="s">
        <v>937</v>
      </c>
    </row>
    <row r="189" spans="1:12" x14ac:dyDescent="0.35">
      <c r="A189">
        <v>1.9065277405527499E-2</v>
      </c>
      <c r="B189">
        <v>1.9426037707255001E-2</v>
      </c>
      <c r="C189">
        <v>1.98067429774604E-2</v>
      </c>
      <c r="D189">
        <v>1.9471921944120799E-2</v>
      </c>
      <c r="E189" t="s">
        <v>1635</v>
      </c>
      <c r="F189" t="s">
        <v>1448</v>
      </c>
      <c r="G189">
        <v>106.51600000000001</v>
      </c>
      <c r="H189">
        <v>4.9153261946317502E-3</v>
      </c>
      <c r="I189">
        <v>106.45399999999999</v>
      </c>
      <c r="J189">
        <v>4.8328330595985803E-3</v>
      </c>
      <c r="K189" t="s">
        <v>1124</v>
      </c>
      <c r="L189" t="s">
        <v>937</v>
      </c>
    </row>
    <row r="190" spans="1:12" x14ac:dyDescent="0.35">
      <c r="A190">
        <v>2.3896314746341098E-2</v>
      </c>
      <c r="B190">
        <v>1.9409885132803301E-2</v>
      </c>
      <c r="C190">
        <v>3.9514900887574103E-2</v>
      </c>
      <c r="D190">
        <v>2.7099611156277601E-2</v>
      </c>
      <c r="E190" t="s">
        <v>1636</v>
      </c>
      <c r="F190" t="s">
        <v>1448</v>
      </c>
      <c r="G190">
        <v>107.53400000000001</v>
      </c>
      <c r="H190">
        <v>9.5572496150813108E-3</v>
      </c>
      <c r="I190">
        <v>107.188</v>
      </c>
      <c r="J190">
        <v>6.8949969000695601E-3</v>
      </c>
      <c r="K190" t="s">
        <v>1125</v>
      </c>
      <c r="L190" t="s">
        <v>937</v>
      </c>
    </row>
    <row r="191" spans="1:12" x14ac:dyDescent="0.35">
      <c r="A191">
        <v>9.9328007831764892E-3</v>
      </c>
      <c r="B191">
        <v>1.3103273651826199E-2</v>
      </c>
      <c r="C191">
        <v>9.0306358829268501E-3</v>
      </c>
      <c r="D191">
        <v>2.1521193573355E-2</v>
      </c>
      <c r="E191" t="s">
        <v>1637</v>
      </c>
      <c r="F191" t="s">
        <v>1448</v>
      </c>
      <c r="G191">
        <v>107.80200000000001</v>
      </c>
      <c r="H191">
        <v>2.49223501404217E-3</v>
      </c>
      <c r="I191">
        <v>107.712</v>
      </c>
      <c r="J191">
        <v>4.8886069336120403E-3</v>
      </c>
      <c r="K191" t="s">
        <v>1126</v>
      </c>
      <c r="L191" t="s">
        <v>937</v>
      </c>
    </row>
    <row r="192" spans="1:12" x14ac:dyDescent="0.35">
      <c r="A192">
        <v>1.4603017582518699E-2</v>
      </c>
      <c r="B192">
        <v>1.7788818797953999E-2</v>
      </c>
      <c r="C192">
        <v>3.6635495652026999E-2</v>
      </c>
      <c r="D192">
        <v>3.6311211479282998E-2</v>
      </c>
      <c r="E192" t="s">
        <v>1638</v>
      </c>
      <c r="F192" t="s">
        <v>1448</v>
      </c>
      <c r="G192">
        <v>108.785</v>
      </c>
      <c r="H192">
        <v>9.1185692287711895E-3</v>
      </c>
      <c r="I192">
        <v>108.676</v>
      </c>
      <c r="J192">
        <v>8.94979203802726E-3</v>
      </c>
      <c r="K192" t="s">
        <v>1127</v>
      </c>
      <c r="L192" t="s">
        <v>937</v>
      </c>
    </row>
    <row r="193" spans="1:12" x14ac:dyDescent="0.35">
      <c r="A193">
        <v>2.5719713356744601E-2</v>
      </c>
      <c r="B193">
        <v>2.90667642529692E-2</v>
      </c>
      <c r="C193">
        <v>5.7042627848445E-2</v>
      </c>
      <c r="D193">
        <v>2.3197124388088401E-2</v>
      </c>
      <c r="E193" t="s">
        <v>1639</v>
      </c>
      <c r="F193" t="s">
        <v>1448</v>
      </c>
      <c r="G193">
        <v>110.252</v>
      </c>
      <c r="H193">
        <v>1.3485315071011699E-2</v>
      </c>
      <c r="I193">
        <v>109.285</v>
      </c>
      <c r="J193">
        <v>5.6038131694209304E-3</v>
      </c>
      <c r="K193" t="s">
        <v>1128</v>
      </c>
      <c r="L193" t="s">
        <v>937</v>
      </c>
    </row>
    <row r="194" spans="1:12" x14ac:dyDescent="0.35">
      <c r="A194">
        <v>2.9147369447939799E-2</v>
      </c>
      <c r="B194">
        <v>4.11537159385129E-2</v>
      </c>
      <c r="C194">
        <v>5.2316315130779299E-2</v>
      </c>
      <c r="D194">
        <v>3.8107075575473298E-2</v>
      </c>
      <c r="E194" t="s">
        <v>1640</v>
      </c>
      <c r="F194" t="s">
        <v>1448</v>
      </c>
      <c r="G194">
        <v>111.627</v>
      </c>
      <c r="H194">
        <v>1.24714290897217E-2</v>
      </c>
      <c r="I194">
        <v>110.291</v>
      </c>
      <c r="J194">
        <v>9.2052889234570702E-3</v>
      </c>
      <c r="K194" t="s">
        <v>1129</v>
      </c>
      <c r="L194" t="s">
        <v>937</v>
      </c>
    </row>
    <row r="195" spans="1:12" x14ac:dyDescent="0.35">
      <c r="A195">
        <v>2.1663179127611398E-2</v>
      </c>
      <c r="B195">
        <v>2.95524402709311E-2</v>
      </c>
      <c r="C195">
        <v>4.1414814571916599E-2</v>
      </c>
      <c r="D195">
        <v>5.71493007542314E-2</v>
      </c>
      <c r="E195" t="s">
        <v>1641</v>
      </c>
      <c r="F195" t="s">
        <v>1448</v>
      </c>
      <c r="G195">
        <v>112.81100000000001</v>
      </c>
      <c r="H195">
        <v>1.06067528465337E-2</v>
      </c>
      <c r="I195">
        <v>111.736</v>
      </c>
      <c r="J195">
        <v>1.3101703674824E-2</v>
      </c>
      <c r="K195" t="s">
        <v>1130</v>
      </c>
      <c r="L195" t="s">
        <v>937</v>
      </c>
    </row>
    <row r="196" spans="1:12" x14ac:dyDescent="0.35">
      <c r="A196">
        <v>1.4350946991545E-2</v>
      </c>
      <c r="B196">
        <v>2.3387558006987101E-2</v>
      </c>
      <c r="C196">
        <v>3.8836746328921902E-2</v>
      </c>
      <c r="D196">
        <v>2.9745006586506799E-2</v>
      </c>
      <c r="E196" t="s">
        <v>1642</v>
      </c>
      <c r="F196" t="s">
        <v>1448</v>
      </c>
      <c r="G196">
        <v>113.875</v>
      </c>
      <c r="H196">
        <v>9.4317043550717905E-3</v>
      </c>
      <c r="I196">
        <v>112.542</v>
      </c>
      <c r="J196">
        <v>7.2134316603422698E-3</v>
      </c>
      <c r="K196" t="s">
        <v>1131</v>
      </c>
      <c r="L196" t="s">
        <v>937</v>
      </c>
    </row>
    <row r="197" spans="1:12" x14ac:dyDescent="0.35">
      <c r="A197">
        <v>1.51565091171486E-2</v>
      </c>
      <c r="B197">
        <v>2.9652502701153601E-2</v>
      </c>
      <c r="C197">
        <v>1.6036274889288799E-2</v>
      </c>
      <c r="D197">
        <v>4.1912016313216102E-2</v>
      </c>
      <c r="E197" t="s">
        <v>1643</v>
      </c>
      <c r="F197" t="s">
        <v>1448</v>
      </c>
      <c r="G197">
        <v>114.43899999999999</v>
      </c>
      <c r="H197">
        <v>4.9527991218440998E-3</v>
      </c>
      <c r="I197">
        <v>113.715</v>
      </c>
      <c r="J197">
        <v>1.0422775497147801E-2</v>
      </c>
      <c r="K197" t="s">
        <v>1132</v>
      </c>
      <c r="L197" t="s">
        <v>937</v>
      </c>
    </row>
    <row r="198" spans="1:12" x14ac:dyDescent="0.35">
      <c r="A198">
        <v>8.3593342288621492E-3</v>
      </c>
      <c r="B198">
        <v>4.3357912415273203E-2</v>
      </c>
      <c r="C198">
        <v>-1.6750426853228501E-2</v>
      </c>
      <c r="D198">
        <v>1.5721372171975601E-2</v>
      </c>
      <c r="E198" t="s">
        <v>1644</v>
      </c>
      <c r="F198" t="s">
        <v>1448</v>
      </c>
      <c r="G198">
        <v>113.98</v>
      </c>
      <c r="H198">
        <v>-4.0108704200489996E-3</v>
      </c>
      <c r="I198">
        <v>114.175</v>
      </c>
      <c r="J198">
        <v>4.0452007211009304E-3</v>
      </c>
      <c r="K198" t="s">
        <v>1133</v>
      </c>
      <c r="L198" t="s">
        <v>937</v>
      </c>
    </row>
    <row r="199" spans="1:12" x14ac:dyDescent="0.35">
      <c r="A199">
        <v>2.4734353401226102E-2</v>
      </c>
      <c r="B199">
        <v>-2.6343933972632301E-2</v>
      </c>
      <c r="C199">
        <v>2.5813818283005E-2</v>
      </c>
      <c r="D199">
        <v>4.8037769815769002E-2</v>
      </c>
      <c r="E199" t="s">
        <v>1645</v>
      </c>
      <c r="F199" t="s">
        <v>1448</v>
      </c>
      <c r="G199">
        <v>114.758</v>
      </c>
      <c r="H199">
        <v>6.8257589050710896E-3</v>
      </c>
      <c r="I199">
        <v>115.41800000000001</v>
      </c>
      <c r="J199">
        <v>1.0886796584191E-2</v>
      </c>
      <c r="K199" t="s">
        <v>1134</v>
      </c>
      <c r="L199" t="s">
        <v>937</v>
      </c>
    </row>
    <row r="200" spans="1:12" x14ac:dyDescent="0.35">
      <c r="A200">
        <v>1.0490970472330399E-2</v>
      </c>
      <c r="B200">
        <v>1.0018821110834301E-2</v>
      </c>
      <c r="C200">
        <v>8.6124156242581903E-3</v>
      </c>
      <c r="D200">
        <v>1.9083730667159401E-2</v>
      </c>
      <c r="E200" t="s">
        <v>1646</v>
      </c>
      <c r="F200" t="s">
        <v>1448</v>
      </c>
      <c r="G200">
        <v>114.919</v>
      </c>
      <c r="H200">
        <v>1.40295229962173E-3</v>
      </c>
      <c r="I200">
        <v>115.982</v>
      </c>
      <c r="J200">
        <v>4.8865861477411796E-3</v>
      </c>
      <c r="K200" t="s">
        <v>1135</v>
      </c>
      <c r="L200" t="s">
        <v>937</v>
      </c>
    </row>
    <row r="201" spans="1:12" x14ac:dyDescent="0.35">
      <c r="A201">
        <v>1.45690487077856E-2</v>
      </c>
      <c r="B201">
        <v>1.6245763277308499E-2</v>
      </c>
      <c r="C201">
        <v>1.6996215944869601E-2</v>
      </c>
      <c r="D201">
        <v>5.8979339636946503E-3</v>
      </c>
      <c r="E201" t="s">
        <v>1647</v>
      </c>
      <c r="F201" t="s">
        <v>1448</v>
      </c>
      <c r="G201">
        <v>115.285</v>
      </c>
      <c r="H201">
        <v>3.1848519391919298E-3</v>
      </c>
      <c r="I201">
        <v>116.167</v>
      </c>
      <c r="J201">
        <v>1.59507509785994E-3</v>
      </c>
      <c r="K201" t="s">
        <v>1136</v>
      </c>
      <c r="L201" t="s">
        <v>937</v>
      </c>
    </row>
    <row r="202" spans="1:12" x14ac:dyDescent="0.35">
      <c r="A202">
        <v>1.46624987744557E-2</v>
      </c>
      <c r="B202">
        <v>1.3591255249432201E-2</v>
      </c>
      <c r="C202">
        <v>5.0660572456327199E-2</v>
      </c>
      <c r="D202">
        <v>1.0418465412080901E-2</v>
      </c>
      <c r="E202" t="s">
        <v>1648</v>
      </c>
      <c r="F202" t="s">
        <v>1448</v>
      </c>
      <c r="G202">
        <v>116.54600000000001</v>
      </c>
      <c r="H202">
        <v>1.09381099015484E-2</v>
      </c>
      <c r="I202">
        <v>116.5</v>
      </c>
      <c r="J202">
        <v>2.86656279322006E-3</v>
      </c>
      <c r="K202" t="s">
        <v>1137</v>
      </c>
      <c r="L202" t="s">
        <v>937</v>
      </c>
    </row>
    <row r="203" spans="1:12" x14ac:dyDescent="0.35">
      <c r="A203">
        <v>-1.7940859457881899E-2</v>
      </c>
      <c r="B203">
        <v>3.31045118831508E-3</v>
      </c>
      <c r="C203">
        <v>-1.06133933402519E-3</v>
      </c>
      <c r="D203">
        <v>-7.65559802497651E-3</v>
      </c>
      <c r="E203" t="s">
        <v>1649</v>
      </c>
      <c r="F203" t="s">
        <v>1448</v>
      </c>
      <c r="G203">
        <v>116.072</v>
      </c>
      <c r="H203">
        <v>-4.0670636486881398E-3</v>
      </c>
      <c r="I203">
        <v>116.19499999999999</v>
      </c>
      <c r="J203">
        <v>-2.61802575107306E-3</v>
      </c>
      <c r="K203" t="s">
        <v>1138</v>
      </c>
      <c r="L203" t="s">
        <v>937</v>
      </c>
    </row>
    <row r="204" spans="1:12" x14ac:dyDescent="0.35">
      <c r="A204">
        <v>3.3775526155126898E-2</v>
      </c>
      <c r="B204">
        <v>2.5959727144998501E-2</v>
      </c>
      <c r="C204">
        <v>3.4596703938155803E-2</v>
      </c>
      <c r="D204">
        <v>4.1355015452944698E-2</v>
      </c>
      <c r="E204" t="s">
        <v>1650</v>
      </c>
      <c r="F204" t="s">
        <v>1448</v>
      </c>
      <c r="G204">
        <v>116.51900000000001</v>
      </c>
      <c r="H204">
        <v>3.8510579640223001E-3</v>
      </c>
      <c r="I204">
        <v>117.285</v>
      </c>
      <c r="J204">
        <v>9.3807823056069103E-3</v>
      </c>
      <c r="K204" t="s">
        <v>1139</v>
      </c>
      <c r="L204" t="s">
        <v>937</v>
      </c>
    </row>
    <row r="205" spans="1:12" x14ac:dyDescent="0.35">
      <c r="A205">
        <v>1.6442937470855502E-2</v>
      </c>
      <c r="B205">
        <v>2.4447407360365301E-2</v>
      </c>
      <c r="C205">
        <v>5.1547958936444697E-2</v>
      </c>
      <c r="D205">
        <v>1.8415186976738801E-2</v>
      </c>
      <c r="E205" t="s">
        <v>1651</v>
      </c>
      <c r="F205" t="s">
        <v>1448</v>
      </c>
      <c r="G205">
        <v>117.593</v>
      </c>
      <c r="H205">
        <v>9.2173808563409398E-3</v>
      </c>
      <c r="I205">
        <v>117.706</v>
      </c>
      <c r="J205">
        <v>3.5895468303705999E-3</v>
      </c>
      <c r="K205" t="s">
        <v>1140</v>
      </c>
      <c r="L205" t="s">
        <v>937</v>
      </c>
    </row>
    <row r="206" spans="1:12" x14ac:dyDescent="0.35">
      <c r="A206">
        <v>4.5025943450948999E-2</v>
      </c>
      <c r="B206">
        <v>4.0827649049089101E-2</v>
      </c>
      <c r="C206">
        <v>9.2834286401326696E-2</v>
      </c>
      <c r="D206">
        <v>6.4160755006020101E-2</v>
      </c>
      <c r="E206" t="s">
        <v>1652</v>
      </c>
      <c r="F206" t="s">
        <v>1448</v>
      </c>
      <c r="G206">
        <v>119.419</v>
      </c>
      <c r="H206">
        <v>1.5528135178114201E-2</v>
      </c>
      <c r="I206">
        <v>119.416</v>
      </c>
      <c r="J206">
        <v>1.45277216114725E-2</v>
      </c>
      <c r="K206" t="s">
        <v>1141</v>
      </c>
      <c r="L206" t="s">
        <v>937</v>
      </c>
    </row>
    <row r="207" spans="1:12" x14ac:dyDescent="0.35">
      <c r="A207">
        <v>6.4441802743663304E-2</v>
      </c>
      <c r="B207">
        <v>4.1247362410053098E-2</v>
      </c>
      <c r="C207">
        <v>8.0575514620662397E-2</v>
      </c>
      <c r="D207">
        <v>0.104589902157439</v>
      </c>
      <c r="E207" t="s">
        <v>1653</v>
      </c>
      <c r="F207" t="s">
        <v>1448</v>
      </c>
      <c r="G207">
        <v>121.425</v>
      </c>
      <c r="H207">
        <v>1.6797996968656699E-2</v>
      </c>
      <c r="I207">
        <v>122.101</v>
      </c>
      <c r="J207">
        <v>2.24844241977624E-2</v>
      </c>
      <c r="K207" t="s">
        <v>1142</v>
      </c>
      <c r="L207" t="s">
        <v>937</v>
      </c>
    </row>
    <row r="208" spans="1:12" x14ac:dyDescent="0.35">
      <c r="A208">
        <v>5.5998846943190198E-2</v>
      </c>
      <c r="B208">
        <v>4.40178580952795E-2</v>
      </c>
      <c r="C208">
        <v>6.4680375979367696E-2</v>
      </c>
      <c r="D208">
        <v>9.3631239224950299E-2</v>
      </c>
      <c r="E208" t="s">
        <v>1654</v>
      </c>
      <c r="F208" t="s">
        <v>1448</v>
      </c>
      <c r="G208">
        <v>123.291</v>
      </c>
      <c r="H208">
        <v>1.53675108091413E-2</v>
      </c>
      <c r="I208">
        <v>124.71</v>
      </c>
      <c r="J208">
        <v>2.13675563672697E-2</v>
      </c>
      <c r="K208" t="s">
        <v>1143</v>
      </c>
      <c r="L208" t="s">
        <v>937</v>
      </c>
    </row>
    <row r="209" spans="1:12" x14ac:dyDescent="0.35">
      <c r="A209">
        <v>6.1859650545573498E-2</v>
      </c>
      <c r="B209">
        <v>4.34322998250962E-2</v>
      </c>
      <c r="C209">
        <v>8.4136934840178798E-2</v>
      </c>
      <c r="D209">
        <v>0.12124821634027599</v>
      </c>
      <c r="E209" t="s">
        <v>1655</v>
      </c>
      <c r="F209" t="s">
        <v>1448</v>
      </c>
      <c r="G209">
        <v>125.712</v>
      </c>
      <c r="H209">
        <v>1.96364698153151E-2</v>
      </c>
      <c r="I209">
        <v>128.44900000000001</v>
      </c>
      <c r="J209">
        <v>2.9981557212733798E-2</v>
      </c>
      <c r="K209" t="s">
        <v>1144</v>
      </c>
      <c r="L209" t="s">
        <v>937</v>
      </c>
    </row>
    <row r="210" spans="1:12" x14ac:dyDescent="0.35">
      <c r="A210">
        <v>7.4784916271317198E-2</v>
      </c>
      <c r="B210">
        <v>5.6798579453040801E-2</v>
      </c>
      <c r="C210">
        <v>0.10120576467409099</v>
      </c>
      <c r="D210">
        <v>0.12687792670398401</v>
      </c>
      <c r="E210" t="s">
        <v>1656</v>
      </c>
      <c r="F210" t="s">
        <v>1448</v>
      </c>
      <c r="G210">
        <v>129</v>
      </c>
      <c r="H210">
        <v>2.6155021000381799E-2</v>
      </c>
      <c r="I210">
        <v>132.33099999999999</v>
      </c>
      <c r="J210">
        <v>3.0222111499505398E-2</v>
      </c>
      <c r="K210" t="s">
        <v>1145</v>
      </c>
      <c r="L210" t="s">
        <v>937</v>
      </c>
    </row>
    <row r="211" spans="1:12" x14ac:dyDescent="0.35">
      <c r="A211">
        <v>7.2922192171477093E-2</v>
      </c>
      <c r="B211">
        <v>5.9959109255099501E-2</v>
      </c>
      <c r="C211">
        <v>0.15221841372862299</v>
      </c>
      <c r="D211">
        <v>0.13796693794697101</v>
      </c>
      <c r="E211" t="s">
        <v>1657</v>
      </c>
      <c r="F211" t="s">
        <v>1448</v>
      </c>
      <c r="G211">
        <v>133.62100000000001</v>
      </c>
      <c r="H211">
        <v>3.5821705426356799E-2</v>
      </c>
      <c r="I211">
        <v>136.69900000000001</v>
      </c>
      <c r="J211">
        <v>3.3008138682546297E-2</v>
      </c>
      <c r="K211" t="s">
        <v>1146</v>
      </c>
      <c r="L211" t="s">
        <v>937</v>
      </c>
    </row>
    <row r="212" spans="1:12" x14ac:dyDescent="0.35">
      <c r="A212">
        <v>4.1796200977757901E-2</v>
      </c>
      <c r="B212">
        <v>4.8377032065661102E-2</v>
      </c>
      <c r="C212">
        <v>8.9811228034972802E-3</v>
      </c>
      <c r="D212">
        <v>8.9581033951388098E-2</v>
      </c>
      <c r="E212" t="s">
        <v>1658</v>
      </c>
      <c r="F212" t="s">
        <v>1448</v>
      </c>
      <c r="H212">
        <v>1.10762503071244E-2</v>
      </c>
      <c r="J212">
        <v>1.10762503071244E-2</v>
      </c>
      <c r="K212" t="s">
        <v>1147</v>
      </c>
      <c r="L212" t="s">
        <v>1148</v>
      </c>
    </row>
    <row r="213" spans="1:12" x14ac:dyDescent="0.35">
      <c r="A213">
        <v>2.7447616796656402E-2</v>
      </c>
      <c r="B213">
        <v>2.3249618404576101E-2</v>
      </c>
      <c r="C213">
        <v>3.8298767461848897E-2</v>
      </c>
      <c r="D213">
        <v>3.8298767461848897E-2</v>
      </c>
      <c r="E213" t="s">
        <v>1659</v>
      </c>
      <c r="F213" t="s">
        <v>1660</v>
      </c>
      <c r="H213">
        <v>9.4401732935755992E-3</v>
      </c>
      <c r="J213">
        <v>9.4401732935755992E-3</v>
      </c>
      <c r="K213" t="s">
        <v>1149</v>
      </c>
      <c r="L213" t="s">
        <v>1148</v>
      </c>
    </row>
    <row r="214" spans="1:12" x14ac:dyDescent="0.35">
      <c r="A214">
        <v>2.49173870638888E-2</v>
      </c>
      <c r="B214">
        <v>2.1715756912072299E-2</v>
      </c>
      <c r="C214">
        <v>3.6085750781477598E-2</v>
      </c>
      <c r="D214">
        <v>3.6085750781477598E-2</v>
      </c>
      <c r="E214" t="s">
        <v>1661</v>
      </c>
      <c r="F214" t="s">
        <v>1660</v>
      </c>
      <c r="H214">
        <v>8.9018658885664497E-3</v>
      </c>
      <c r="J214">
        <v>8.9018658885664497E-3</v>
      </c>
      <c r="K214" t="s">
        <v>1150</v>
      </c>
      <c r="L214" t="s">
        <v>1148</v>
      </c>
    </row>
    <row r="215" spans="1:12" x14ac:dyDescent="0.35">
      <c r="A215">
        <v>2.33440010578361E-2</v>
      </c>
      <c r="B215">
        <v>2.1485909848918801E-2</v>
      </c>
      <c r="C215">
        <v>3.2005284910624002E-2</v>
      </c>
      <c r="D215">
        <v>3.2005284910624002E-2</v>
      </c>
      <c r="E215" t="s">
        <v>1662</v>
      </c>
      <c r="F215" t="s">
        <v>1660</v>
      </c>
      <c r="H215">
        <v>7.9070438771131606E-3</v>
      </c>
      <c r="J215">
        <v>7.9070438771131606E-3</v>
      </c>
      <c r="K215" t="s">
        <v>1151</v>
      </c>
      <c r="L215" t="s">
        <v>1148</v>
      </c>
    </row>
    <row r="216" spans="1:12" x14ac:dyDescent="0.35">
      <c r="A216">
        <v>2.2676579457354702E-2</v>
      </c>
      <c r="B216">
        <v>2.1729771469873E-2</v>
      </c>
      <c r="C216">
        <v>2.9538555790939999E-2</v>
      </c>
      <c r="D216">
        <v>2.9538555790939999E-2</v>
      </c>
      <c r="E216" t="s">
        <v>1663</v>
      </c>
      <c r="F216" t="s">
        <v>1660</v>
      </c>
      <c r="H216">
        <v>7.3042210756391101E-3</v>
      </c>
      <c r="J216">
        <v>7.3042210756391101E-3</v>
      </c>
      <c r="K216" t="s">
        <v>1152</v>
      </c>
      <c r="L216" t="s">
        <v>1148</v>
      </c>
    </row>
    <row r="217" spans="1:12" x14ac:dyDescent="0.35">
      <c r="A217">
        <v>2.2178287431426899E-2</v>
      </c>
      <c r="B217">
        <v>2.22727407121028E-2</v>
      </c>
      <c r="C217">
        <v>2.8512142036472E-2</v>
      </c>
      <c r="D217">
        <v>2.8512142036472E-2</v>
      </c>
      <c r="E217" t="s">
        <v>1664</v>
      </c>
      <c r="F217" t="s">
        <v>1660</v>
      </c>
      <c r="H217">
        <v>7.0530654325617901E-3</v>
      </c>
      <c r="J217">
        <v>7.0530654325617901E-3</v>
      </c>
      <c r="K217" t="s">
        <v>1153</v>
      </c>
      <c r="L217" t="s">
        <v>1148</v>
      </c>
    </row>
    <row r="218" spans="1:12" x14ac:dyDescent="0.35">
      <c r="A218">
        <v>2.1434276652948898E-2</v>
      </c>
      <c r="B218">
        <v>2.23623952750127E-2</v>
      </c>
      <c r="C218">
        <v>2.8283584176253401E-2</v>
      </c>
      <c r="D218">
        <v>2.8283584176253401E-2</v>
      </c>
      <c r="E218" t="s">
        <v>1665</v>
      </c>
      <c r="F218" t="s">
        <v>1660</v>
      </c>
      <c r="H218">
        <v>6.9971134735056202E-3</v>
      </c>
      <c r="J218">
        <v>6.9971134735056202E-3</v>
      </c>
      <c r="K218" t="s">
        <v>1154</v>
      </c>
      <c r="L218" t="s">
        <v>1148</v>
      </c>
    </row>
    <row r="219" spans="1:12" x14ac:dyDescent="0.35">
      <c r="A219">
        <v>2.10072065089228E-2</v>
      </c>
      <c r="B219">
        <v>2.2496789219665199E-2</v>
      </c>
      <c r="C219">
        <v>2.7654852328046001E-2</v>
      </c>
      <c r="D219">
        <v>2.7654852328046001E-2</v>
      </c>
      <c r="E219" t="s">
        <v>1666</v>
      </c>
      <c r="F219" t="s">
        <v>1660</v>
      </c>
      <c r="H219">
        <v>6.8431490448084302E-3</v>
      </c>
      <c r="J219">
        <v>6.8431490448084302E-3</v>
      </c>
      <c r="K219" t="s">
        <v>1155</v>
      </c>
      <c r="L219" t="s">
        <v>1148</v>
      </c>
    </row>
    <row r="220" spans="1:12" x14ac:dyDescent="0.35">
      <c r="A220">
        <v>2.0591622707038602E-2</v>
      </c>
      <c r="B220">
        <v>2.25123599902981E-2</v>
      </c>
      <c r="C220">
        <v>2.7753662335143502E-2</v>
      </c>
      <c r="D220">
        <v>2.7753662335143502E-2</v>
      </c>
      <c r="E220" t="s">
        <v>1667</v>
      </c>
      <c r="F220" t="s">
        <v>1660</v>
      </c>
      <c r="H220">
        <v>6.8673504076357502E-3</v>
      </c>
      <c r="J220">
        <v>6.8673504076357502E-3</v>
      </c>
      <c r="K220" t="s">
        <v>1156</v>
      </c>
      <c r="L220" t="s">
        <v>1148</v>
      </c>
    </row>
    <row r="221" spans="1:12" x14ac:dyDescent="0.35">
      <c r="A221">
        <v>2.0347186911993099E-2</v>
      </c>
      <c r="B221">
        <v>2.2891901714989799E-2</v>
      </c>
      <c r="C221">
        <v>2.8110399323646899E-2</v>
      </c>
      <c r="D221">
        <v>2.8110399323646899E-2</v>
      </c>
      <c r="E221" t="s">
        <v>1668</v>
      </c>
      <c r="F221" t="s">
        <v>1660</v>
      </c>
      <c r="H221">
        <v>6.9547108559351303E-3</v>
      </c>
      <c r="J221">
        <v>6.9547108559351303E-3</v>
      </c>
      <c r="K221" t="s">
        <v>1157</v>
      </c>
      <c r="L221" t="s">
        <v>1148</v>
      </c>
    </row>
    <row r="222" spans="1:12" x14ac:dyDescent="0.35">
      <c r="A222">
        <v>2.03844462174123E-2</v>
      </c>
      <c r="B222">
        <v>2.2688598137850801E-2</v>
      </c>
      <c r="C222">
        <v>2.89673943247446E-2</v>
      </c>
      <c r="D222">
        <v>2.89673943247446E-2</v>
      </c>
      <c r="E222" t="s">
        <v>1669</v>
      </c>
      <c r="F222" t="s">
        <v>1660</v>
      </c>
      <c r="H222">
        <v>7.1644853940870902E-3</v>
      </c>
      <c r="J222">
        <v>7.1644853940870902E-3</v>
      </c>
      <c r="K222" t="s">
        <v>1158</v>
      </c>
      <c r="L222" t="s">
        <v>1148</v>
      </c>
    </row>
    <row r="223" spans="1:12" x14ac:dyDescent="0.35">
      <c r="A223">
        <v>2.02121429685698E-2</v>
      </c>
      <c r="B223">
        <v>2.2861927422401802E-2</v>
      </c>
      <c r="C223">
        <v>2.97171972862664E-2</v>
      </c>
      <c r="D223">
        <v>2.97171972862664E-2</v>
      </c>
      <c r="E223" t="s">
        <v>1670</v>
      </c>
      <c r="F223" t="s">
        <v>1660</v>
      </c>
      <c r="H223">
        <v>7.3479141028771596E-3</v>
      </c>
      <c r="J223">
        <v>7.3479141028771596E-3</v>
      </c>
      <c r="K223" t="s">
        <v>1159</v>
      </c>
      <c r="L223" t="s">
        <v>1148</v>
      </c>
    </row>
    <row r="224" spans="1:12" x14ac:dyDescent="0.35">
      <c r="A224">
        <v>2.00951255413373E-2</v>
      </c>
      <c r="B224">
        <v>2.2789213164977801E-2</v>
      </c>
      <c r="C224">
        <v>2.9972823640437098E-2</v>
      </c>
      <c r="D224">
        <v>2.9972823640437098E-2</v>
      </c>
      <c r="E224" t="s">
        <v>1671</v>
      </c>
      <c r="F224" t="s">
        <v>1660</v>
      </c>
      <c r="H224">
        <v>7.4104265836887296E-3</v>
      </c>
      <c r="J224">
        <v>7.4104265836887296E-3</v>
      </c>
      <c r="K224" t="s">
        <v>1160</v>
      </c>
      <c r="L224" t="s">
        <v>1148</v>
      </c>
    </row>
    <row r="225" spans="1:12" x14ac:dyDescent="0.35">
      <c r="A225">
        <v>2.0005533751415599E-2</v>
      </c>
      <c r="B225">
        <v>2.30067515754304E-2</v>
      </c>
      <c r="C225">
        <v>3.0378543432117301E-2</v>
      </c>
      <c r="D225">
        <v>3.0378543432117301E-2</v>
      </c>
      <c r="E225" t="s">
        <v>1672</v>
      </c>
      <c r="F225" t="s">
        <v>1660</v>
      </c>
      <c r="H225">
        <v>7.5096199742570296E-3</v>
      </c>
      <c r="J225">
        <v>7.5096199742570296E-3</v>
      </c>
      <c r="K225" t="s">
        <v>1161</v>
      </c>
      <c r="L225" t="s">
        <v>1148</v>
      </c>
    </row>
    <row r="226" spans="1:12" x14ac:dyDescent="0.35">
      <c r="A226">
        <v>1.9992497685795502E-2</v>
      </c>
      <c r="B226">
        <v>2.28689196510703E-2</v>
      </c>
      <c r="C226">
        <v>3.0384347471833498E-2</v>
      </c>
      <c r="D226">
        <v>3.0384347471833498E-2</v>
      </c>
      <c r="E226" t="s">
        <v>1673</v>
      </c>
      <c r="F226" t="s">
        <v>1660</v>
      </c>
      <c r="H226">
        <v>7.5110387764860701E-3</v>
      </c>
      <c r="J226">
        <v>7.5110387764860701E-3</v>
      </c>
      <c r="K226" t="s">
        <v>1162</v>
      </c>
      <c r="L226" t="s">
        <v>1148</v>
      </c>
    </row>
    <row r="227" spans="1:12" x14ac:dyDescent="0.35">
      <c r="A227">
        <v>1.99491524210023E-2</v>
      </c>
      <c r="B227">
        <v>2.2952518060170599E-2</v>
      </c>
      <c r="C227">
        <v>3.0780667439755299E-2</v>
      </c>
      <c r="D227">
        <v>3.0780667439755299E-2</v>
      </c>
      <c r="E227" t="s">
        <v>1674</v>
      </c>
      <c r="F227" t="s">
        <v>1660</v>
      </c>
      <c r="H227">
        <v>7.6079053396602703E-3</v>
      </c>
      <c r="J227">
        <v>7.6079053396602703E-3</v>
      </c>
      <c r="K227" t="s">
        <v>1163</v>
      </c>
      <c r="L227" t="s">
        <v>1148</v>
      </c>
    </row>
    <row r="228" spans="1:12" x14ac:dyDescent="0.35">
      <c r="A228">
        <v>1.99785657506244E-2</v>
      </c>
      <c r="B228">
        <v>2.3092018308592099E-2</v>
      </c>
      <c r="C228">
        <v>3.09234356698747E-2</v>
      </c>
      <c r="D228">
        <v>3.09234356698747E-2</v>
      </c>
      <c r="E228" t="s">
        <v>1675</v>
      </c>
      <c r="F228" t="s">
        <v>1660</v>
      </c>
      <c r="H228">
        <v>7.6427931995954896E-3</v>
      </c>
      <c r="J228">
        <v>7.6427931995954896E-3</v>
      </c>
      <c r="K228" t="s">
        <v>1164</v>
      </c>
      <c r="L228" t="s">
        <v>1148</v>
      </c>
    </row>
    <row r="229" spans="1:12" x14ac:dyDescent="0.35">
      <c r="A229">
        <v>1.9973482507164499E-2</v>
      </c>
      <c r="B229">
        <v>2.29188557927167E-2</v>
      </c>
      <c r="C229">
        <v>3.0940126349132901E-2</v>
      </c>
      <c r="D229">
        <v>3.0940126349132901E-2</v>
      </c>
      <c r="E229" t="s">
        <v>1676</v>
      </c>
      <c r="F229" t="s">
        <v>1660</v>
      </c>
      <c r="H229">
        <v>7.6468716160857904E-3</v>
      </c>
      <c r="J229">
        <v>7.6468716160857904E-3</v>
      </c>
      <c r="K229" t="s">
        <v>1165</v>
      </c>
      <c r="L229" t="s">
        <v>1148</v>
      </c>
    </row>
    <row r="230" spans="1:12" x14ac:dyDescent="0.35">
      <c r="A230">
        <v>2.00262569988248E-2</v>
      </c>
      <c r="B230">
        <v>2.34219478386497E-2</v>
      </c>
      <c r="C230">
        <v>3.08963138434795E-2</v>
      </c>
      <c r="D230">
        <v>3.08963138434795E-2</v>
      </c>
      <c r="E230" t="s">
        <v>1677</v>
      </c>
      <c r="F230" t="s">
        <v>1660</v>
      </c>
      <c r="H230">
        <v>7.6361657960506398E-3</v>
      </c>
      <c r="J230">
        <v>7.6361657960506398E-3</v>
      </c>
      <c r="K230" t="s">
        <v>1166</v>
      </c>
      <c r="L230" t="s">
        <v>1148</v>
      </c>
    </row>
    <row r="231" spans="1:12" x14ac:dyDescent="0.35">
      <c r="A231">
        <v>2.0068184200822601E-2</v>
      </c>
      <c r="B231">
        <v>2.29559923804479E-2</v>
      </c>
      <c r="C231">
        <v>3.1171169586274899E-2</v>
      </c>
      <c r="D231">
        <v>3.1171169586274899E-2</v>
      </c>
      <c r="E231" t="s">
        <v>1678</v>
      </c>
      <c r="F231" t="s">
        <v>1660</v>
      </c>
      <c r="H231">
        <v>7.7033226228278E-3</v>
      </c>
      <c r="J231">
        <v>7.7033226228278E-3</v>
      </c>
      <c r="K231" t="s">
        <v>1167</v>
      </c>
      <c r="L231" t="s">
        <v>1148</v>
      </c>
    </row>
    <row r="232" spans="1:12" x14ac:dyDescent="0.35">
      <c r="A232">
        <v>2.00733299513789E-2</v>
      </c>
      <c r="B232">
        <v>2.3089907346120601E-2</v>
      </c>
      <c r="C232">
        <v>3.11290252355114E-2</v>
      </c>
      <c r="D232">
        <v>3.11290252355114E-2</v>
      </c>
      <c r="E232" t="s">
        <v>1679</v>
      </c>
      <c r="F232" t="s">
        <v>1660</v>
      </c>
      <c r="H232">
        <v>7.6930261622452098E-3</v>
      </c>
      <c r="J232">
        <v>7.6930261622452098E-3</v>
      </c>
      <c r="K232" t="s">
        <v>1168</v>
      </c>
      <c r="L232" t="s">
        <v>1148</v>
      </c>
    </row>
    <row r="233" spans="1:12" x14ac:dyDescent="0.35">
      <c r="A233">
        <v>2.00833471581769E-2</v>
      </c>
      <c r="B233">
        <v>2.2986135275529802E-2</v>
      </c>
      <c r="C233">
        <v>3.12799263503531E-2</v>
      </c>
      <c r="D233">
        <v>3.12799263503531E-2</v>
      </c>
      <c r="E233" t="s">
        <v>1680</v>
      </c>
      <c r="F233" t="s">
        <v>1660</v>
      </c>
      <c r="H233">
        <v>7.72989197946106E-3</v>
      </c>
      <c r="J233">
        <v>7.72989197946106E-3</v>
      </c>
      <c r="K233" t="s">
        <v>1169</v>
      </c>
      <c r="L233" t="s">
        <v>1148</v>
      </c>
    </row>
    <row r="234" spans="1:12" x14ac:dyDescent="0.35">
      <c r="A234">
        <v>2.0140093939852201E-2</v>
      </c>
      <c r="B234">
        <v>2.31414769468055E-2</v>
      </c>
      <c r="C234">
        <v>3.1432246791632999E-2</v>
      </c>
      <c r="D234">
        <v>3.1432246791632999E-2</v>
      </c>
      <c r="E234" t="s">
        <v>1681</v>
      </c>
      <c r="F234" t="s">
        <v>1660</v>
      </c>
      <c r="H234">
        <v>7.76710044167461E-3</v>
      </c>
      <c r="J234">
        <v>7.76710044167461E-3</v>
      </c>
      <c r="K234" t="s">
        <v>1170</v>
      </c>
      <c r="L234" t="s">
        <v>1148</v>
      </c>
    </row>
    <row r="235" spans="1:12" x14ac:dyDescent="0.35">
      <c r="A235">
        <v>2.02021592909249E-2</v>
      </c>
      <c r="B235">
        <v>2.2984714477401601E-2</v>
      </c>
      <c r="C235">
        <v>3.1205847095053599E-2</v>
      </c>
      <c r="D235">
        <v>3.1205847095053599E-2</v>
      </c>
      <c r="E235" t="s">
        <v>1682</v>
      </c>
      <c r="F235" t="s">
        <v>1660</v>
      </c>
      <c r="H235">
        <v>7.7117945916846996E-3</v>
      </c>
      <c r="J235">
        <v>7.7117945916846996E-3</v>
      </c>
      <c r="K235" t="s">
        <v>1171</v>
      </c>
      <c r="L235" t="s">
        <v>1148</v>
      </c>
    </row>
    <row r="236" spans="1:12" x14ac:dyDescent="0.35">
      <c r="A236">
        <v>2.0211898969260102E-2</v>
      </c>
      <c r="B236">
        <v>2.2913195171825301E-2</v>
      </c>
      <c r="C236">
        <v>3.14110402970686E-2</v>
      </c>
      <c r="D236">
        <v>3.14110402970686E-2</v>
      </c>
      <c r="E236" t="s">
        <v>1683</v>
      </c>
      <c r="F236" t="s">
        <v>1660</v>
      </c>
      <c r="H236">
        <v>7.7619204183672101E-3</v>
      </c>
      <c r="J236">
        <v>7.7619204183672101E-3</v>
      </c>
      <c r="K236" t="s">
        <v>1172</v>
      </c>
      <c r="L236" t="s">
        <v>1148</v>
      </c>
    </row>
    <row r="237" spans="1:12" x14ac:dyDescent="0.35">
      <c r="A237">
        <v>2.0290430669000999E-2</v>
      </c>
      <c r="B237">
        <v>2.29758501503456E-2</v>
      </c>
      <c r="C237">
        <v>3.1565029186180898E-2</v>
      </c>
      <c r="D237">
        <v>3.1565029186180898E-2</v>
      </c>
      <c r="E237" t="s">
        <v>1684</v>
      </c>
      <c r="F237" t="s">
        <v>1660</v>
      </c>
      <c r="H237">
        <v>7.7995328359632401E-3</v>
      </c>
      <c r="J237">
        <v>7.7995328359632401E-3</v>
      </c>
      <c r="K237" t="s">
        <v>1173</v>
      </c>
      <c r="L237" t="s">
        <v>1148</v>
      </c>
    </row>
    <row r="238" spans="1:12" x14ac:dyDescent="0.35">
      <c r="A238">
        <v>2.0308808571870299E-2</v>
      </c>
      <c r="B238">
        <v>2.2824531954790599E-2</v>
      </c>
      <c r="C238">
        <v>3.1531274423854297E-2</v>
      </c>
      <c r="D238">
        <v>3.1531274423854297E-2</v>
      </c>
      <c r="E238" t="s">
        <v>1685</v>
      </c>
      <c r="F238" t="s">
        <v>1660</v>
      </c>
      <c r="H238">
        <v>7.7912884572341997E-3</v>
      </c>
      <c r="J238">
        <v>7.7912884572341997E-3</v>
      </c>
      <c r="K238" t="s">
        <v>1174</v>
      </c>
      <c r="L238" t="s">
        <v>1148</v>
      </c>
    </row>
    <row r="239" spans="1:12" x14ac:dyDescent="0.35">
      <c r="A239">
        <v>2.03080060292413E-2</v>
      </c>
      <c r="B239">
        <v>2.2972481063801901E-2</v>
      </c>
      <c r="C239">
        <v>3.1542996473644003E-2</v>
      </c>
      <c r="D239">
        <v>3.1542996473644003E-2</v>
      </c>
      <c r="E239" t="s">
        <v>1686</v>
      </c>
      <c r="F239" t="s">
        <v>1660</v>
      </c>
      <c r="H239">
        <v>7.7941515137436301E-3</v>
      </c>
      <c r="J239">
        <v>7.7941515137436301E-3</v>
      </c>
      <c r="K239" t="s">
        <v>1175</v>
      </c>
      <c r="L239" t="s">
        <v>1148</v>
      </c>
    </row>
    <row r="240" spans="1:12" x14ac:dyDescent="0.35">
      <c r="A240">
        <v>2.0323983720006399E-2</v>
      </c>
      <c r="B240">
        <v>2.2824566637221998E-2</v>
      </c>
      <c r="C240">
        <v>3.1855243350590097E-2</v>
      </c>
      <c r="D240">
        <v>3.1855243350590097E-2</v>
      </c>
      <c r="E240" t="s">
        <v>1687</v>
      </c>
      <c r="F240" t="s">
        <v>1660</v>
      </c>
      <c r="H240">
        <v>7.8704073905595494E-3</v>
      </c>
      <c r="J240">
        <v>7.8704073905595494E-3</v>
      </c>
      <c r="K240" t="s">
        <v>1176</v>
      </c>
      <c r="L240" t="s">
        <v>1148</v>
      </c>
    </row>
    <row r="241" spans="1:12" x14ac:dyDescent="0.35">
      <c r="A241">
        <v>2.0325704902500501E-2</v>
      </c>
      <c r="B241">
        <v>2.2886555231629101E-2</v>
      </c>
      <c r="C241">
        <v>3.1708818720508798E-2</v>
      </c>
      <c r="D241">
        <v>3.1708818720508798E-2</v>
      </c>
      <c r="E241" t="s">
        <v>1688</v>
      </c>
      <c r="F241" t="s">
        <v>1660</v>
      </c>
      <c r="H241">
        <v>7.8346502176538397E-3</v>
      </c>
      <c r="J241">
        <v>7.8346502176538397E-3</v>
      </c>
      <c r="K241" t="s">
        <v>1177</v>
      </c>
      <c r="L241" t="s">
        <v>1148</v>
      </c>
    </row>
    <row r="242" spans="1:12" x14ac:dyDescent="0.35">
      <c r="A242">
        <v>2.0305041683886599E-2</v>
      </c>
      <c r="B242">
        <v>2.29465623765257E-2</v>
      </c>
      <c r="C242">
        <v>3.1893508731351002E-2</v>
      </c>
      <c r="D242">
        <v>3.1893508731351002E-2</v>
      </c>
      <c r="E242" t="s">
        <v>1689</v>
      </c>
      <c r="F242" t="s">
        <v>1660</v>
      </c>
      <c r="H242">
        <v>7.8797512420421007E-3</v>
      </c>
      <c r="J242">
        <v>7.8797512420421007E-3</v>
      </c>
      <c r="K242" t="s">
        <v>1178</v>
      </c>
      <c r="L242" t="s">
        <v>1148</v>
      </c>
    </row>
    <row r="243" spans="1:12" x14ac:dyDescent="0.35">
      <c r="A243">
        <v>2.0287096358251301E-2</v>
      </c>
      <c r="B243">
        <v>2.2798980065175601E-2</v>
      </c>
      <c r="C243">
        <v>3.1810408581062898E-2</v>
      </c>
      <c r="D243">
        <v>3.1810408581062898E-2</v>
      </c>
      <c r="E243" t="s">
        <v>1690</v>
      </c>
      <c r="F243" t="s">
        <v>1660</v>
      </c>
      <c r="H243">
        <v>7.8594590588953999E-3</v>
      </c>
      <c r="J243">
        <v>7.8594590588953999E-3</v>
      </c>
      <c r="K243" t="s">
        <v>1179</v>
      </c>
      <c r="L243" t="s">
        <v>1148</v>
      </c>
    </row>
    <row r="244" spans="1:12" x14ac:dyDescent="0.35">
      <c r="A244">
        <v>2.0271579331879098E-2</v>
      </c>
      <c r="B244">
        <v>2.2857567238674801E-2</v>
      </c>
      <c r="C244">
        <v>3.1611362599311098E-2</v>
      </c>
      <c r="D244">
        <v>3.1611362599311098E-2</v>
      </c>
      <c r="E244" t="s">
        <v>1691</v>
      </c>
      <c r="F244" t="s">
        <v>1660</v>
      </c>
      <c r="H244">
        <v>7.8108491379678098E-3</v>
      </c>
      <c r="J244">
        <v>7.8108491379678098E-3</v>
      </c>
      <c r="K244" t="s">
        <v>1180</v>
      </c>
      <c r="L244" t="s">
        <v>1148</v>
      </c>
    </row>
    <row r="245" spans="1:12" x14ac:dyDescent="0.35">
      <c r="A245">
        <v>2.0226750918557398E-2</v>
      </c>
      <c r="B245">
        <v>2.30078651102898E-2</v>
      </c>
      <c r="C245">
        <v>3.1895036638032601E-2</v>
      </c>
      <c r="D245">
        <v>3.1895036638032601E-2</v>
      </c>
      <c r="E245" t="s">
        <v>1692</v>
      </c>
      <c r="F245" t="s">
        <v>1660</v>
      </c>
      <c r="H245">
        <v>7.8801243293176206E-3</v>
      </c>
      <c r="J245">
        <v>7.8801243293176206E-3</v>
      </c>
      <c r="K245" t="s">
        <v>1181</v>
      </c>
      <c r="L245" t="s">
        <v>1148</v>
      </c>
    </row>
    <row r="246" spans="1:12" x14ac:dyDescent="0.35">
      <c r="A246">
        <v>2.0229639632362201E-2</v>
      </c>
      <c r="B246">
        <v>2.2755662461575201E-2</v>
      </c>
      <c r="C246">
        <v>3.1906732152356301E-2</v>
      </c>
      <c r="D246">
        <v>3.1906732152356301E-2</v>
      </c>
      <c r="E246" t="s">
        <v>1693</v>
      </c>
      <c r="F246" t="s">
        <v>1660</v>
      </c>
      <c r="H246">
        <v>7.88298014941358E-3</v>
      </c>
      <c r="J246">
        <v>7.88298014941358E-3</v>
      </c>
      <c r="K246" t="s">
        <v>1182</v>
      </c>
      <c r="L246" t="s">
        <v>1148</v>
      </c>
    </row>
    <row r="247" spans="1:12" x14ac:dyDescent="0.35">
      <c r="A247">
        <v>2.0196749252488402E-2</v>
      </c>
      <c r="B247">
        <v>2.2817811468051102E-2</v>
      </c>
      <c r="C247">
        <v>3.1666344390047098E-2</v>
      </c>
      <c r="D247">
        <v>3.1666344390047098E-2</v>
      </c>
      <c r="E247" t="s">
        <v>1694</v>
      </c>
      <c r="F247" t="s">
        <v>1660</v>
      </c>
      <c r="H247">
        <v>7.8242771932854893E-3</v>
      </c>
      <c r="J247">
        <v>7.8242771932854893E-3</v>
      </c>
      <c r="K247" t="s">
        <v>1183</v>
      </c>
      <c r="L247" t="s">
        <v>1148</v>
      </c>
    </row>
    <row r="248" spans="1:12" x14ac:dyDescent="0.35">
      <c r="A248">
        <v>2.0138226913895701E-2</v>
      </c>
      <c r="B248">
        <v>2.3174738681931199E-2</v>
      </c>
      <c r="C248">
        <v>3.1749922428638201E-2</v>
      </c>
      <c r="D248">
        <v>3.1749922428638201E-2</v>
      </c>
      <c r="E248" t="s">
        <v>1695</v>
      </c>
      <c r="F248" t="s">
        <v>1660</v>
      </c>
      <c r="H248">
        <v>7.8446882055194199E-3</v>
      </c>
      <c r="J248">
        <v>7.8446882055194199E-3</v>
      </c>
      <c r="K248" t="s">
        <v>1184</v>
      </c>
      <c r="L248" t="s">
        <v>1148</v>
      </c>
    </row>
    <row r="249" spans="1:12" x14ac:dyDescent="0.35">
      <c r="A249">
        <v>2.0129535533826501E-2</v>
      </c>
      <c r="B249">
        <v>2.27379267080541E-2</v>
      </c>
      <c r="C249">
        <v>3.1908648163189397E-2</v>
      </c>
      <c r="D249">
        <v>3.1908648163189397E-2</v>
      </c>
      <c r="E249" t="s">
        <v>1696</v>
      </c>
      <c r="F249" t="s">
        <v>1660</v>
      </c>
      <c r="H249">
        <v>7.8834480001659397E-3</v>
      </c>
      <c r="J249">
        <v>7.8834480001659397E-3</v>
      </c>
      <c r="K249" t="s">
        <v>1185</v>
      </c>
      <c r="L249" t="s">
        <v>1148</v>
      </c>
    </row>
    <row r="250" spans="1:12" x14ac:dyDescent="0.35">
      <c r="A250">
        <v>2.0106884793451098E-2</v>
      </c>
      <c r="B250">
        <v>2.3093327603912001E-2</v>
      </c>
      <c r="C250">
        <v>3.1692204125751702E-2</v>
      </c>
      <c r="D250">
        <v>3.1692204125751702E-2</v>
      </c>
      <c r="E250" t="s">
        <v>1697</v>
      </c>
      <c r="F250" t="s">
        <v>1660</v>
      </c>
      <c r="H250">
        <v>7.8305926616084598E-3</v>
      </c>
      <c r="J250">
        <v>7.8305926616084598E-3</v>
      </c>
      <c r="K250" t="s">
        <v>1186</v>
      </c>
      <c r="L250" t="s">
        <v>1148</v>
      </c>
    </row>
    <row r="251" spans="1:12" x14ac:dyDescent="0.35">
      <c r="A251">
        <v>2.0037252982960399E-2</v>
      </c>
      <c r="B251">
        <v>2.2853757020905099E-2</v>
      </c>
      <c r="C251">
        <v>3.1763978164364597E-2</v>
      </c>
      <c r="D251">
        <v>3.1763978164364597E-2</v>
      </c>
      <c r="E251" t="s">
        <v>1698</v>
      </c>
      <c r="F251" t="s">
        <v>1660</v>
      </c>
      <c r="H251">
        <v>7.8481207054677E-3</v>
      </c>
      <c r="J251">
        <v>7.8481207054677E-3</v>
      </c>
      <c r="K251" t="s">
        <v>1187</v>
      </c>
      <c r="L251" t="s">
        <v>1148</v>
      </c>
    </row>
    <row r="252" spans="1:12" x14ac:dyDescent="0.35">
      <c r="A252">
        <v>2.0056022895238401E-2</v>
      </c>
      <c r="B252">
        <v>2.2713969923905002E-2</v>
      </c>
      <c r="C252">
        <v>3.17278315390737E-2</v>
      </c>
      <c r="D252">
        <v>3.17278315390737E-2</v>
      </c>
      <c r="E252" t="s">
        <v>1699</v>
      </c>
      <c r="F252" t="s">
        <v>1660</v>
      </c>
      <c r="H252">
        <v>7.8392933990876195E-3</v>
      </c>
      <c r="J252">
        <v>7.8392933990876195E-3</v>
      </c>
      <c r="K252" t="s">
        <v>1188</v>
      </c>
      <c r="L252" t="s">
        <v>1148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4" sqref="B4"/>
    </sheetView>
  </sheetViews>
  <sheetFormatPr defaultColWidth="10.9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116.15" customHeight="1" x14ac:dyDescent="0.35">
      <c r="A2" s="41" t="s">
        <v>879</v>
      </c>
      <c r="B2" s="42" t="s">
        <v>909</v>
      </c>
      <c r="C2" s="42" t="s">
        <v>910</v>
      </c>
      <c r="D2" s="38" t="s">
        <v>924</v>
      </c>
    </row>
    <row r="3" spans="1:4" ht="63.75" customHeight="1" x14ac:dyDescent="0.35">
      <c r="A3" s="19" t="s">
        <v>79</v>
      </c>
      <c r="B3" s="37" t="s">
        <v>40</v>
      </c>
      <c r="C3" s="37" t="s">
        <v>41</v>
      </c>
      <c r="D3" s="39" t="s">
        <v>924</v>
      </c>
    </row>
    <row r="4" spans="1:4" ht="137.25" customHeight="1" x14ac:dyDescent="0.35">
      <c r="A4" s="47" t="s">
        <v>80</v>
      </c>
      <c r="B4" s="37" t="s">
        <v>908</v>
      </c>
      <c r="C4" s="14" t="s">
        <v>881</v>
      </c>
      <c r="D4" s="39"/>
    </row>
    <row r="5" spans="1:4" ht="29.25" customHeight="1" x14ac:dyDescent="0.35">
      <c r="A5" s="47" t="s">
        <v>81</v>
      </c>
      <c r="B5" s="48" t="s">
        <v>82</v>
      </c>
      <c r="C5" s="35" t="s">
        <v>83</v>
      </c>
      <c r="D5" s="39"/>
    </row>
    <row r="6" spans="1:4" ht="43.4" customHeight="1" x14ac:dyDescent="0.35">
      <c r="A6" s="21" t="s">
        <v>84</v>
      </c>
      <c r="B6" s="43" t="s">
        <v>883</v>
      </c>
      <c r="C6" s="36" t="s">
        <v>882</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I89"/>
  <sheetViews>
    <sheetView zoomScaleNormal="100" workbookViewId="0">
      <pane xSplit="1" ySplit="1" topLeftCell="GQ2" activePane="bottomRight" state="frozen"/>
      <selection pane="topRight" activeCell="B1" sqref="B1"/>
      <selection pane="bottomLeft" activeCell="A2" sqref="A2"/>
      <selection pane="bottomRight" activeCell="A79" sqref="A79"/>
    </sheetView>
  </sheetViews>
  <sheetFormatPr defaultColWidth="10.90625" defaultRowHeight="14.5" x14ac:dyDescent="0.35"/>
  <cols>
    <col min="1" max="217" width="11.7265625" customWidth="1"/>
  </cols>
  <sheetData>
    <row r="1" spans="1:217" x14ac:dyDescent="0.35">
      <c r="A1" s="77" t="s">
        <v>2020</v>
      </c>
      <c r="B1" s="77" t="s">
        <v>2021</v>
      </c>
      <c r="C1" s="77" t="s">
        <v>2022</v>
      </c>
      <c r="D1" s="77" t="s">
        <v>2023</v>
      </c>
      <c r="E1" s="77" t="s">
        <v>2024</v>
      </c>
      <c r="F1" s="77" t="s">
        <v>2025</v>
      </c>
      <c r="G1" s="77" t="s">
        <v>2026</v>
      </c>
      <c r="H1" s="77" t="s">
        <v>2027</v>
      </c>
      <c r="I1" s="77" t="s">
        <v>2028</v>
      </c>
      <c r="J1" s="77" t="s">
        <v>2029</v>
      </c>
      <c r="K1" s="77" t="s">
        <v>2030</v>
      </c>
      <c r="L1" s="77" t="s">
        <v>2031</v>
      </c>
      <c r="M1" s="77" t="s">
        <v>2032</v>
      </c>
      <c r="N1" s="77" t="s">
        <v>2033</v>
      </c>
      <c r="O1" s="77" t="s">
        <v>2034</v>
      </c>
      <c r="P1" s="77" t="s">
        <v>2035</v>
      </c>
      <c r="Q1" s="77" t="s">
        <v>2036</v>
      </c>
      <c r="R1" s="77" t="s">
        <v>2037</v>
      </c>
      <c r="S1" s="77" t="s">
        <v>2038</v>
      </c>
      <c r="T1" s="77" t="s">
        <v>2039</v>
      </c>
      <c r="U1" s="77" t="s">
        <v>2040</v>
      </c>
      <c r="V1" s="77" t="s">
        <v>2041</v>
      </c>
      <c r="W1" s="77" t="s">
        <v>2042</v>
      </c>
      <c r="X1" s="77" t="s">
        <v>2043</v>
      </c>
      <c r="Y1" s="77" t="s">
        <v>2044</v>
      </c>
      <c r="Z1" s="77" t="s">
        <v>2045</v>
      </c>
      <c r="AA1" s="77" t="s">
        <v>2046</v>
      </c>
      <c r="AB1" s="77" t="s">
        <v>2047</v>
      </c>
      <c r="AC1" s="77" t="s">
        <v>2048</v>
      </c>
      <c r="AD1" s="77" t="s">
        <v>2049</v>
      </c>
      <c r="AE1" s="77" t="s">
        <v>2050</v>
      </c>
      <c r="AF1" s="77" t="s">
        <v>2051</v>
      </c>
      <c r="AG1" s="77" t="s">
        <v>2052</v>
      </c>
      <c r="AH1" s="77" t="s">
        <v>2053</v>
      </c>
      <c r="AI1" s="77" t="s">
        <v>2054</v>
      </c>
      <c r="AJ1" s="77" t="s">
        <v>2055</v>
      </c>
      <c r="AK1" s="77" t="s">
        <v>2056</v>
      </c>
      <c r="AL1" s="77" t="s">
        <v>2057</v>
      </c>
      <c r="AM1" s="77" t="s">
        <v>2058</v>
      </c>
      <c r="AN1" s="77" t="s">
        <v>2059</v>
      </c>
      <c r="AO1" s="77" t="s">
        <v>2060</v>
      </c>
      <c r="AP1" s="77" t="s">
        <v>2061</v>
      </c>
      <c r="AQ1" s="77" t="s">
        <v>2062</v>
      </c>
      <c r="AR1" s="77" t="s">
        <v>2063</v>
      </c>
      <c r="AS1" s="77" t="s">
        <v>2064</v>
      </c>
      <c r="AT1" s="77" t="s">
        <v>2065</v>
      </c>
      <c r="AU1" s="77" t="s">
        <v>2066</v>
      </c>
      <c r="AV1" s="77" t="s">
        <v>2067</v>
      </c>
      <c r="AW1" s="77" t="s">
        <v>2068</v>
      </c>
      <c r="AX1" s="77" t="s">
        <v>2069</v>
      </c>
      <c r="AY1" s="77" t="s">
        <v>2070</v>
      </c>
      <c r="AZ1" s="77" t="s">
        <v>2071</v>
      </c>
      <c r="BA1" s="77" t="s">
        <v>2072</v>
      </c>
      <c r="BB1" s="77" t="s">
        <v>2073</v>
      </c>
      <c r="BC1" s="77" t="s">
        <v>2074</v>
      </c>
      <c r="BD1" s="77" t="s">
        <v>2075</v>
      </c>
      <c r="BE1" s="77" t="s">
        <v>2076</v>
      </c>
      <c r="BF1" s="77" t="s">
        <v>2077</v>
      </c>
      <c r="BG1" s="77" t="s">
        <v>2078</v>
      </c>
      <c r="BH1" s="77" t="s">
        <v>2079</v>
      </c>
      <c r="BI1" s="77" t="s">
        <v>2080</v>
      </c>
      <c r="BJ1" s="77" t="s">
        <v>2081</v>
      </c>
      <c r="BK1" s="77" t="s">
        <v>2082</v>
      </c>
      <c r="BL1" s="77" t="s">
        <v>2083</v>
      </c>
      <c r="BM1" s="77" t="s">
        <v>2084</v>
      </c>
      <c r="BN1" s="77" t="s">
        <v>2085</v>
      </c>
      <c r="BO1" s="77" t="s">
        <v>2086</v>
      </c>
      <c r="BP1" s="77" t="s">
        <v>2087</v>
      </c>
      <c r="BQ1" s="77" t="s">
        <v>2088</v>
      </c>
      <c r="BR1" s="77" t="s">
        <v>2089</v>
      </c>
      <c r="BS1" s="77" t="s">
        <v>2090</v>
      </c>
      <c r="BT1" s="77" t="s">
        <v>2091</v>
      </c>
      <c r="BU1" s="77" t="s">
        <v>2092</v>
      </c>
      <c r="BV1" s="77" t="s">
        <v>2093</v>
      </c>
      <c r="BW1" s="77" t="s">
        <v>2094</v>
      </c>
      <c r="BX1" s="77" t="s">
        <v>2095</v>
      </c>
      <c r="BY1" s="77" t="s">
        <v>2096</v>
      </c>
      <c r="BZ1" s="77" t="s">
        <v>2097</v>
      </c>
      <c r="CA1" s="77" t="s">
        <v>2098</v>
      </c>
      <c r="CB1" s="77" t="s">
        <v>2099</v>
      </c>
      <c r="CC1" s="77" t="s">
        <v>2100</v>
      </c>
      <c r="CD1" s="77" t="s">
        <v>2101</v>
      </c>
      <c r="CE1" s="77" t="s">
        <v>2102</v>
      </c>
      <c r="CF1" s="77" t="s">
        <v>2103</v>
      </c>
      <c r="CG1" s="77" t="s">
        <v>2104</v>
      </c>
      <c r="CH1" s="77" t="s">
        <v>2105</v>
      </c>
      <c r="CI1" s="77" t="s">
        <v>2106</v>
      </c>
      <c r="CJ1" s="77" t="s">
        <v>2107</v>
      </c>
      <c r="CK1" s="77" t="s">
        <v>2108</v>
      </c>
      <c r="CL1" s="77" t="s">
        <v>2109</v>
      </c>
      <c r="CM1" s="77" t="s">
        <v>2110</v>
      </c>
      <c r="CN1" s="77" t="s">
        <v>2111</v>
      </c>
      <c r="CO1" s="77" t="s">
        <v>2112</v>
      </c>
      <c r="CP1" s="77" t="s">
        <v>2113</v>
      </c>
      <c r="CQ1" s="77" t="s">
        <v>2114</v>
      </c>
      <c r="CR1" s="77" t="s">
        <v>2115</v>
      </c>
      <c r="CS1" s="77" t="s">
        <v>2116</v>
      </c>
      <c r="CT1" s="77" t="s">
        <v>2117</v>
      </c>
      <c r="CU1" s="77" t="s">
        <v>2118</v>
      </c>
      <c r="CV1" s="77" t="s">
        <v>2119</v>
      </c>
      <c r="CW1" s="77" t="s">
        <v>2120</v>
      </c>
      <c r="CX1" s="77" t="s">
        <v>2121</v>
      </c>
      <c r="CY1" s="77" t="s">
        <v>2122</v>
      </c>
      <c r="CZ1" s="77" t="s">
        <v>2123</v>
      </c>
      <c r="DA1" s="77" t="s">
        <v>2124</v>
      </c>
      <c r="DB1" s="77" t="s">
        <v>2125</v>
      </c>
      <c r="DC1" s="77" t="s">
        <v>2126</v>
      </c>
      <c r="DD1" s="77" t="s">
        <v>2127</v>
      </c>
      <c r="DE1" s="77" t="s">
        <v>2128</v>
      </c>
      <c r="DF1" s="77" t="s">
        <v>2129</v>
      </c>
      <c r="DG1" s="77" t="s">
        <v>2130</v>
      </c>
      <c r="DH1" s="77" t="s">
        <v>2131</v>
      </c>
      <c r="DI1" s="77" t="s">
        <v>2132</v>
      </c>
      <c r="DJ1" s="77" t="s">
        <v>2133</v>
      </c>
      <c r="DK1" s="77" t="s">
        <v>2134</v>
      </c>
      <c r="DL1" s="77" t="s">
        <v>2135</v>
      </c>
      <c r="DM1" s="77" t="s">
        <v>2136</v>
      </c>
      <c r="DN1" s="77" t="s">
        <v>2137</v>
      </c>
      <c r="DO1" s="77" t="s">
        <v>2138</v>
      </c>
      <c r="DP1" s="77" t="s">
        <v>2139</v>
      </c>
      <c r="DQ1" s="77" t="s">
        <v>2140</v>
      </c>
      <c r="DR1" s="77" t="s">
        <v>2141</v>
      </c>
      <c r="DS1" s="77" t="s">
        <v>2142</v>
      </c>
      <c r="DT1" s="77" t="s">
        <v>2143</v>
      </c>
      <c r="DU1" s="77" t="s">
        <v>2144</v>
      </c>
      <c r="DV1" s="77" t="s">
        <v>2145</v>
      </c>
      <c r="DW1" s="77" t="s">
        <v>2146</v>
      </c>
      <c r="DX1" s="77" t="s">
        <v>2147</v>
      </c>
      <c r="DY1" s="77" t="s">
        <v>2148</v>
      </c>
      <c r="DZ1" s="77" t="s">
        <v>2149</v>
      </c>
      <c r="EA1" s="77" t="s">
        <v>2150</v>
      </c>
      <c r="EB1" s="77" t="s">
        <v>2151</v>
      </c>
      <c r="EC1" s="77" t="s">
        <v>2152</v>
      </c>
      <c r="ED1" s="77" t="s">
        <v>2153</v>
      </c>
      <c r="EE1" s="77" t="s">
        <v>2154</v>
      </c>
      <c r="EF1" s="77" t="s">
        <v>2155</v>
      </c>
      <c r="EG1" s="77" t="s">
        <v>2156</v>
      </c>
      <c r="EH1" s="77" t="s">
        <v>2157</v>
      </c>
      <c r="EI1" s="77" t="s">
        <v>2158</v>
      </c>
      <c r="EJ1" s="77" t="s">
        <v>2159</v>
      </c>
      <c r="EK1" s="77" t="s">
        <v>2160</v>
      </c>
      <c r="EL1" s="77" t="s">
        <v>2161</v>
      </c>
      <c r="EM1" s="77" t="s">
        <v>2162</v>
      </c>
      <c r="EN1" s="77" t="s">
        <v>2163</v>
      </c>
      <c r="EO1" s="77" t="s">
        <v>2164</v>
      </c>
      <c r="EP1" s="77" t="s">
        <v>2165</v>
      </c>
      <c r="EQ1" s="77" t="s">
        <v>2166</v>
      </c>
      <c r="ER1" s="77" t="s">
        <v>2167</v>
      </c>
      <c r="ES1" s="77" t="s">
        <v>2168</v>
      </c>
      <c r="ET1" s="77" t="s">
        <v>2169</v>
      </c>
      <c r="EU1" s="77" t="s">
        <v>2170</v>
      </c>
      <c r="EV1" s="77" t="s">
        <v>2171</v>
      </c>
      <c r="EW1" s="77" t="s">
        <v>2172</v>
      </c>
      <c r="EX1" s="77" t="s">
        <v>2173</v>
      </c>
      <c r="EY1" s="77" t="s">
        <v>2174</v>
      </c>
      <c r="EZ1" s="77" t="s">
        <v>2175</v>
      </c>
      <c r="FA1" s="77" t="s">
        <v>2176</v>
      </c>
      <c r="FB1" s="77" t="s">
        <v>2177</v>
      </c>
      <c r="FC1" s="77" t="s">
        <v>2178</v>
      </c>
      <c r="FD1" s="77" t="s">
        <v>2179</v>
      </c>
      <c r="FE1" s="77" t="s">
        <v>2180</v>
      </c>
      <c r="FF1" s="77" t="s">
        <v>2181</v>
      </c>
      <c r="FG1" s="77" t="s">
        <v>2182</v>
      </c>
      <c r="FH1" s="77" t="s">
        <v>2183</v>
      </c>
      <c r="FI1" s="77" t="s">
        <v>2184</v>
      </c>
      <c r="FJ1" s="77" t="s">
        <v>2185</v>
      </c>
      <c r="FK1" s="77" t="s">
        <v>2186</v>
      </c>
      <c r="FL1" s="77" t="s">
        <v>2187</v>
      </c>
      <c r="FM1" s="77" t="s">
        <v>2188</v>
      </c>
      <c r="FN1" s="77" t="s">
        <v>2189</v>
      </c>
      <c r="FO1" s="77" t="s">
        <v>2190</v>
      </c>
      <c r="FP1" s="77" t="s">
        <v>2191</v>
      </c>
      <c r="FQ1" s="77" t="s">
        <v>2192</v>
      </c>
      <c r="FR1" s="77" t="s">
        <v>2193</v>
      </c>
      <c r="FS1" s="77" t="s">
        <v>2194</v>
      </c>
      <c r="FT1" s="77" t="s">
        <v>2195</v>
      </c>
      <c r="FU1" s="77" t="s">
        <v>2196</v>
      </c>
      <c r="FV1" s="77" t="s">
        <v>2197</v>
      </c>
      <c r="FW1" s="77" t="s">
        <v>2198</v>
      </c>
      <c r="FX1" s="77" t="s">
        <v>2199</v>
      </c>
      <c r="FY1" s="77" t="s">
        <v>2200</v>
      </c>
      <c r="FZ1" s="77" t="s">
        <v>2201</v>
      </c>
      <c r="GA1" s="77" t="s">
        <v>2202</v>
      </c>
      <c r="GB1" s="77" t="s">
        <v>2203</v>
      </c>
      <c r="GC1" s="77" t="s">
        <v>2204</v>
      </c>
      <c r="GD1" s="77" t="s">
        <v>2205</v>
      </c>
      <c r="GE1" s="77" t="s">
        <v>2206</v>
      </c>
      <c r="GF1" s="77" t="s">
        <v>2207</v>
      </c>
      <c r="GG1" s="77" t="s">
        <v>2208</v>
      </c>
      <c r="GH1" s="77" t="s">
        <v>2209</v>
      </c>
      <c r="GI1" s="77" t="s">
        <v>2210</v>
      </c>
      <c r="GJ1" s="77" t="s">
        <v>2211</v>
      </c>
      <c r="GK1" s="77" t="s">
        <v>2212</v>
      </c>
      <c r="GL1" s="77" t="s">
        <v>2213</v>
      </c>
      <c r="GM1" s="77" t="s">
        <v>2214</v>
      </c>
      <c r="GN1" s="77" t="s">
        <v>2215</v>
      </c>
      <c r="GO1" s="77" t="s">
        <v>2216</v>
      </c>
      <c r="GP1" s="77" t="s">
        <v>2217</v>
      </c>
      <c r="GQ1" s="77" t="s">
        <v>2218</v>
      </c>
      <c r="GR1" s="77" t="s">
        <v>2219</v>
      </c>
      <c r="GS1" s="77" t="s">
        <v>2220</v>
      </c>
      <c r="GT1" s="77" t="s">
        <v>2221</v>
      </c>
      <c r="GU1" s="77" t="s">
        <v>2222</v>
      </c>
      <c r="GV1" s="77" t="s">
        <v>2223</v>
      </c>
      <c r="GW1" s="77" t="s">
        <v>2224</v>
      </c>
      <c r="GX1" s="77" t="s">
        <v>2225</v>
      </c>
      <c r="GY1" s="77" t="s">
        <v>2226</v>
      </c>
      <c r="GZ1" s="77" t="s">
        <v>2227</v>
      </c>
      <c r="HA1" s="77" t="s">
        <v>2228</v>
      </c>
      <c r="HB1" s="77" t="s">
        <v>2229</v>
      </c>
      <c r="HC1" s="77" t="s">
        <v>2230</v>
      </c>
      <c r="HD1" s="77" t="s">
        <v>2231</v>
      </c>
      <c r="HE1" s="77" t="s">
        <v>2232</v>
      </c>
      <c r="HF1" s="77" t="s">
        <v>2233</v>
      </c>
      <c r="HG1" s="77" t="s">
        <v>2234</v>
      </c>
      <c r="HH1" s="1226" t="s">
        <v>2235</v>
      </c>
      <c r="HI1" s="1226" t="s">
        <v>2236</v>
      </c>
    </row>
    <row r="2" spans="1:217" x14ac:dyDescent="0.35">
      <c r="A2" s="35" t="s">
        <v>2237</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16648.2</v>
      </c>
      <c r="FS2" s="35">
        <v>16728.7</v>
      </c>
      <c r="FT2" s="35">
        <v>16953.8</v>
      </c>
      <c r="FU2" s="35">
        <v>17192</v>
      </c>
      <c r="FV2" s="35">
        <v>17197.7</v>
      </c>
      <c r="FW2" s="35">
        <v>17518.5</v>
      </c>
      <c r="FX2" s="35">
        <v>17804.2</v>
      </c>
      <c r="FY2" s="35">
        <v>17912.099999999999</v>
      </c>
      <c r="FZ2" s="35">
        <v>18063.5</v>
      </c>
      <c r="GA2" s="35">
        <v>18279.8</v>
      </c>
      <c r="GB2" s="35">
        <v>18401.599999999999</v>
      </c>
      <c r="GC2" s="35">
        <v>18435.099999999999</v>
      </c>
      <c r="GD2" s="35">
        <v>18525.900000000001</v>
      </c>
      <c r="GE2" s="35">
        <v>18711.7</v>
      </c>
      <c r="GF2" s="35">
        <v>18892.599999999999</v>
      </c>
      <c r="GG2" s="35">
        <v>19089.400000000001</v>
      </c>
      <c r="GH2" s="35">
        <v>19280.099999999999</v>
      </c>
      <c r="GI2" s="35">
        <v>19438.599999999999</v>
      </c>
      <c r="GJ2" s="35">
        <v>19692.599999999999</v>
      </c>
      <c r="GK2" s="35">
        <v>20037.099999999999</v>
      </c>
      <c r="GL2" s="35">
        <v>20328.599999999999</v>
      </c>
      <c r="GM2" s="35">
        <v>20580.900000000001</v>
      </c>
      <c r="GN2" s="35">
        <v>20798.7</v>
      </c>
      <c r="GO2" s="35">
        <v>20917.900000000001</v>
      </c>
      <c r="GP2" s="35">
        <v>21104.1</v>
      </c>
      <c r="GQ2" s="35">
        <v>21384.799999999999</v>
      </c>
      <c r="GR2" s="35">
        <v>21694.3</v>
      </c>
      <c r="GS2" s="35">
        <v>21902.400000000001</v>
      </c>
      <c r="GT2" s="35">
        <v>21706.5</v>
      </c>
      <c r="GU2" s="35">
        <v>19913.099999999999</v>
      </c>
      <c r="GV2" s="35">
        <v>21647.599999999999</v>
      </c>
      <c r="GW2" s="35">
        <v>22024.5</v>
      </c>
      <c r="GX2" s="35">
        <v>22600.2</v>
      </c>
      <c r="GY2" s="35">
        <v>23292.400000000001</v>
      </c>
      <c r="GZ2" s="35">
        <v>23829</v>
      </c>
      <c r="HA2" s="35">
        <v>24654.6</v>
      </c>
      <c r="HB2" s="35">
        <v>25029.1</v>
      </c>
      <c r="HC2">
        <v>25544.3</v>
      </c>
      <c r="HD2">
        <v>25994.6</v>
      </c>
      <c r="HE2">
        <v>26408.400000000001</v>
      </c>
      <c r="HF2">
        <v>26813.599999999999</v>
      </c>
      <c r="HG2">
        <v>27063</v>
      </c>
      <c r="HH2">
        <v>27610.1</v>
      </c>
      <c r="HI2">
        <v>27938.799999999999</v>
      </c>
    </row>
    <row r="3" spans="1:217" x14ac:dyDescent="0.35">
      <c r="A3" s="35" t="s">
        <v>2238</v>
      </c>
      <c r="B3" s="35">
        <v>5300.7</v>
      </c>
      <c r="C3" s="35">
        <v>5308.2</v>
      </c>
      <c r="D3" s="35">
        <v>5357.1</v>
      </c>
      <c r="E3" s="35">
        <v>5299.7</v>
      </c>
      <c r="F3" s="35">
        <v>5443.6</v>
      </c>
      <c r="G3" s="35">
        <v>5473.1</v>
      </c>
      <c r="H3" s="35">
        <v>5518.1</v>
      </c>
      <c r="I3" s="35">
        <v>5531</v>
      </c>
      <c r="J3" s="35">
        <v>5632.6</v>
      </c>
      <c r="K3" s="35">
        <v>5760.5</v>
      </c>
      <c r="L3" s="35">
        <v>5814.9</v>
      </c>
      <c r="M3" s="35">
        <v>5912.2</v>
      </c>
      <c r="N3" s="35">
        <v>6058.5</v>
      </c>
      <c r="O3" s="35">
        <v>6124.5</v>
      </c>
      <c r="P3" s="35">
        <v>6092.3</v>
      </c>
      <c r="Q3" s="35">
        <v>6150.1</v>
      </c>
      <c r="R3" s="35">
        <v>6097.3</v>
      </c>
      <c r="S3" s="35">
        <v>6111.8</v>
      </c>
      <c r="T3" s="35">
        <v>6054</v>
      </c>
      <c r="U3" s="35">
        <v>6030.5</v>
      </c>
      <c r="V3" s="35">
        <v>5957</v>
      </c>
      <c r="W3" s="35">
        <v>5999.6</v>
      </c>
      <c r="X3" s="35">
        <v>6102.3</v>
      </c>
      <c r="Y3" s="35">
        <v>6184.5</v>
      </c>
      <c r="Z3" s="35">
        <v>6323.6</v>
      </c>
      <c r="AA3" s="35">
        <v>6370</v>
      </c>
      <c r="AB3" s="35">
        <v>6404.9</v>
      </c>
      <c r="AC3" s="35">
        <v>6451.2</v>
      </c>
      <c r="AD3" s="35">
        <v>6527.7</v>
      </c>
      <c r="AE3" s="35">
        <v>6654.5</v>
      </c>
      <c r="AF3" s="35">
        <v>6774.5</v>
      </c>
      <c r="AG3" s="35">
        <v>6774.6</v>
      </c>
      <c r="AH3" s="35">
        <v>6796.3</v>
      </c>
      <c r="AI3" s="35">
        <v>7058.9</v>
      </c>
      <c r="AJ3" s="35">
        <v>7129.9</v>
      </c>
      <c r="AK3" s="35">
        <v>7225.8</v>
      </c>
      <c r="AL3" s="35">
        <v>7238.7</v>
      </c>
      <c r="AM3" s="35">
        <v>7246.5</v>
      </c>
      <c r="AN3" s="35">
        <v>7300.3</v>
      </c>
      <c r="AO3" s="35">
        <v>7318.5</v>
      </c>
      <c r="AP3" s="35">
        <v>7341.6</v>
      </c>
      <c r="AQ3" s="35">
        <v>7190.3</v>
      </c>
      <c r="AR3" s="35">
        <v>7181.7</v>
      </c>
      <c r="AS3" s="35">
        <v>7315.7</v>
      </c>
      <c r="AT3" s="35">
        <v>7459</v>
      </c>
      <c r="AU3" s="35">
        <v>7403.7</v>
      </c>
      <c r="AV3" s="35">
        <v>7492.4</v>
      </c>
      <c r="AW3" s="35">
        <v>7410.8</v>
      </c>
      <c r="AX3" s="35">
        <v>7295.6</v>
      </c>
      <c r="AY3" s="35">
        <v>7328.9</v>
      </c>
      <c r="AZ3" s="35">
        <v>7300.9</v>
      </c>
      <c r="BA3" s="35">
        <v>7303.8</v>
      </c>
      <c r="BB3" s="35">
        <v>7400.1</v>
      </c>
      <c r="BC3" s="35">
        <v>7568.5</v>
      </c>
      <c r="BD3" s="35">
        <v>7719.7</v>
      </c>
      <c r="BE3" s="35">
        <v>7880.8</v>
      </c>
      <c r="BF3" s="35">
        <v>8034.8</v>
      </c>
      <c r="BG3" s="35">
        <v>8173.7</v>
      </c>
      <c r="BH3" s="35">
        <v>8252.5</v>
      </c>
      <c r="BI3" s="35">
        <v>8320.2000000000007</v>
      </c>
      <c r="BJ3" s="35">
        <v>8400.7999999999993</v>
      </c>
      <c r="BK3" s="35">
        <v>8474.7999999999993</v>
      </c>
      <c r="BL3" s="35">
        <v>8604.2000000000007</v>
      </c>
      <c r="BM3" s="35">
        <v>8668.2000000000007</v>
      </c>
      <c r="BN3" s="35">
        <v>8749.1</v>
      </c>
      <c r="BO3" s="35">
        <v>8788.5</v>
      </c>
      <c r="BP3" s="35">
        <v>8872.6</v>
      </c>
      <c r="BQ3" s="35">
        <v>8920.2000000000007</v>
      </c>
      <c r="BR3" s="35">
        <v>8986.4</v>
      </c>
      <c r="BS3" s="35">
        <v>9083.2999999999993</v>
      </c>
      <c r="BT3" s="35">
        <v>9162</v>
      </c>
      <c r="BU3" s="35">
        <v>9319.2999999999993</v>
      </c>
      <c r="BV3" s="35">
        <v>9367.5</v>
      </c>
      <c r="BW3" s="35">
        <v>9490.6</v>
      </c>
      <c r="BX3" s="35">
        <v>9546.2000000000007</v>
      </c>
      <c r="BY3" s="35">
        <v>9673.4</v>
      </c>
      <c r="BZ3" s="35">
        <v>9771.7000000000007</v>
      </c>
      <c r="CA3" s="35">
        <v>9846.2999999999993</v>
      </c>
      <c r="CB3" s="35">
        <v>9919.2000000000007</v>
      </c>
      <c r="CC3" s="35">
        <v>9938.7999999999993</v>
      </c>
      <c r="CD3" s="35">
        <v>10047.4</v>
      </c>
      <c r="CE3" s="35">
        <v>10083.9</v>
      </c>
      <c r="CF3" s="35">
        <v>10090.6</v>
      </c>
      <c r="CG3" s="35">
        <v>9998.7000000000007</v>
      </c>
      <c r="CH3" s="35">
        <v>9951.9</v>
      </c>
      <c r="CI3" s="35">
        <v>10029.5</v>
      </c>
      <c r="CJ3" s="35">
        <v>10080.200000000001</v>
      </c>
      <c r="CK3" s="35">
        <v>10115.299999999999</v>
      </c>
      <c r="CL3" s="35">
        <v>10236.4</v>
      </c>
      <c r="CM3" s="35">
        <v>10347.4</v>
      </c>
      <c r="CN3" s="35">
        <v>10449.700000000001</v>
      </c>
      <c r="CO3" s="35">
        <v>10558.6</v>
      </c>
      <c r="CP3" s="35">
        <v>10576.3</v>
      </c>
      <c r="CQ3" s="35">
        <v>10637.8</v>
      </c>
      <c r="CR3" s="35">
        <v>10688.6</v>
      </c>
      <c r="CS3" s="35">
        <v>10834</v>
      </c>
      <c r="CT3" s="35">
        <v>10939.1</v>
      </c>
      <c r="CU3" s="35">
        <v>11087.4</v>
      </c>
      <c r="CV3" s="35">
        <v>11152.2</v>
      </c>
      <c r="CW3" s="35">
        <v>11279.9</v>
      </c>
      <c r="CX3" s="35">
        <v>11320</v>
      </c>
      <c r="CY3" s="35">
        <v>11353.7</v>
      </c>
      <c r="CZ3" s="35">
        <v>11450.3</v>
      </c>
      <c r="DA3" s="35">
        <v>11528.1</v>
      </c>
      <c r="DB3" s="35">
        <v>11614.4</v>
      </c>
      <c r="DC3" s="35">
        <v>11808.1</v>
      </c>
      <c r="DD3" s="35">
        <v>11914.1</v>
      </c>
      <c r="DE3" s="35">
        <v>12037.8</v>
      </c>
      <c r="DF3" s="35">
        <v>12115.5</v>
      </c>
      <c r="DG3" s="35">
        <v>12317.2</v>
      </c>
      <c r="DH3" s="35">
        <v>12471</v>
      </c>
      <c r="DI3" s="35">
        <v>12577.5</v>
      </c>
      <c r="DJ3" s="35">
        <v>12703.7</v>
      </c>
      <c r="DK3" s="35">
        <v>12821.3</v>
      </c>
      <c r="DL3" s="35">
        <v>12982.8</v>
      </c>
      <c r="DM3" s="35">
        <v>13191.7</v>
      </c>
      <c r="DN3" s="35">
        <v>13315.6</v>
      </c>
      <c r="DO3" s="35">
        <v>13426.7</v>
      </c>
      <c r="DP3" s="35">
        <v>13604.8</v>
      </c>
      <c r="DQ3" s="35">
        <v>13828</v>
      </c>
      <c r="DR3" s="35">
        <v>13878.1</v>
      </c>
      <c r="DS3" s="35">
        <v>14130.9</v>
      </c>
      <c r="DT3" s="35">
        <v>14145.3</v>
      </c>
      <c r="DU3" s="35">
        <v>14229.8</v>
      </c>
      <c r="DV3" s="35">
        <v>14183.1</v>
      </c>
      <c r="DW3" s="35">
        <v>14271.7</v>
      </c>
      <c r="DX3" s="35">
        <v>14214.5</v>
      </c>
      <c r="DY3" s="35">
        <v>14253.6</v>
      </c>
      <c r="DZ3" s="35">
        <v>14372.8</v>
      </c>
      <c r="EA3" s="35">
        <v>14460.8</v>
      </c>
      <c r="EB3" s="35">
        <v>14519.6</v>
      </c>
      <c r="EC3" s="35">
        <v>14537.6</v>
      </c>
      <c r="ED3" s="35">
        <v>14614.1</v>
      </c>
      <c r="EE3" s="35">
        <v>14743.6</v>
      </c>
      <c r="EF3" s="35">
        <v>14988.8</v>
      </c>
      <c r="EG3" s="35">
        <v>15162.8</v>
      </c>
      <c r="EH3" s="35">
        <v>15248.7</v>
      </c>
      <c r="EI3" s="35">
        <v>15366.9</v>
      </c>
      <c r="EJ3" s="35">
        <v>15512.6</v>
      </c>
      <c r="EK3" s="35">
        <v>15670.9</v>
      </c>
      <c r="EL3" s="35">
        <v>15844.7</v>
      </c>
      <c r="EM3" s="35">
        <v>15922.8</v>
      </c>
      <c r="EN3" s="35">
        <v>16047.6</v>
      </c>
      <c r="EO3" s="35">
        <v>16136.7</v>
      </c>
      <c r="EP3" s="35">
        <v>16353.8</v>
      </c>
      <c r="EQ3" s="35">
        <v>16396.2</v>
      </c>
      <c r="ER3" s="35">
        <v>16420.7</v>
      </c>
      <c r="ES3" s="35">
        <v>16561.900000000001</v>
      </c>
      <c r="ET3" s="35">
        <v>16611.7</v>
      </c>
      <c r="EU3" s="35">
        <v>16713.3</v>
      </c>
      <c r="EV3" s="35">
        <v>16809.599999999999</v>
      </c>
      <c r="EW3" s="35">
        <v>16915.2</v>
      </c>
      <c r="EX3" s="35">
        <v>16843</v>
      </c>
      <c r="EY3" s="35">
        <v>16943.3</v>
      </c>
      <c r="EZ3" s="35">
        <v>16854.3</v>
      </c>
      <c r="FA3" s="35">
        <v>16485.400000000001</v>
      </c>
      <c r="FB3" s="35">
        <v>16298.3</v>
      </c>
      <c r="FC3" s="35">
        <v>16269.1</v>
      </c>
      <c r="FD3" s="35">
        <v>16326.3</v>
      </c>
      <c r="FE3" s="35">
        <v>16502.8</v>
      </c>
      <c r="FF3" s="35">
        <v>16582.7</v>
      </c>
      <c r="FG3" s="35">
        <v>16743.2</v>
      </c>
      <c r="FH3" s="35">
        <v>16872.3</v>
      </c>
      <c r="FI3" s="35">
        <v>16960.900000000001</v>
      </c>
      <c r="FJ3" s="35">
        <v>16920.599999999999</v>
      </c>
      <c r="FK3" s="35">
        <v>17035.099999999999</v>
      </c>
      <c r="FL3" s="35">
        <v>17031.3</v>
      </c>
      <c r="FM3" s="35">
        <v>17222.599999999999</v>
      </c>
      <c r="FN3" s="35">
        <v>17367</v>
      </c>
      <c r="FO3" s="35">
        <v>17444.5</v>
      </c>
      <c r="FP3" s="35">
        <v>17469.7</v>
      </c>
      <c r="FQ3" s="35">
        <v>17489.900000000001</v>
      </c>
      <c r="FR3" s="35">
        <v>17662.400000000001</v>
      </c>
      <c r="FS3" s="35">
        <v>17709.7</v>
      </c>
      <c r="FT3" s="35">
        <v>17860.5</v>
      </c>
      <c r="FU3" s="35">
        <v>18016.099999999999</v>
      </c>
      <c r="FV3" s="35">
        <v>17954</v>
      </c>
      <c r="FW3" s="35">
        <v>18185.900000000001</v>
      </c>
      <c r="FX3" s="35">
        <v>18406.900000000001</v>
      </c>
      <c r="FY3" s="35">
        <v>18500</v>
      </c>
      <c r="FZ3" s="35">
        <v>18666.599999999999</v>
      </c>
      <c r="GA3" s="35">
        <v>18782.2</v>
      </c>
      <c r="GB3" s="35">
        <v>18857.400000000001</v>
      </c>
      <c r="GC3" s="35">
        <v>18892.2</v>
      </c>
      <c r="GD3" s="35">
        <v>19001.7</v>
      </c>
      <c r="GE3" s="35">
        <v>19062.7</v>
      </c>
      <c r="GF3" s="35">
        <v>19197.900000000001</v>
      </c>
      <c r="GG3" s="35">
        <v>19304.400000000001</v>
      </c>
      <c r="GH3" s="35">
        <v>19398.3</v>
      </c>
      <c r="GI3" s="35">
        <v>19506.900000000001</v>
      </c>
      <c r="GJ3" s="35">
        <v>19660.8</v>
      </c>
      <c r="GK3" s="35">
        <v>19882.400000000001</v>
      </c>
      <c r="GL3" s="35">
        <v>20044.099999999999</v>
      </c>
      <c r="GM3" s="35">
        <v>20150.5</v>
      </c>
      <c r="GN3" s="35">
        <v>20276.2</v>
      </c>
      <c r="GO3" s="35">
        <v>20304.900000000001</v>
      </c>
      <c r="GP3" s="35">
        <v>20415.2</v>
      </c>
      <c r="GQ3" s="35">
        <v>20584.5</v>
      </c>
      <c r="GR3" s="35">
        <v>20817.599999999999</v>
      </c>
      <c r="GS3" s="35">
        <v>20951.099999999999</v>
      </c>
      <c r="GT3" s="35">
        <v>20665.599999999999</v>
      </c>
      <c r="GU3" s="35">
        <v>19034.8</v>
      </c>
      <c r="GV3" s="35">
        <v>20511.8</v>
      </c>
      <c r="GW3" s="35">
        <v>20724.099999999999</v>
      </c>
      <c r="GX3" s="35">
        <v>20990.5</v>
      </c>
      <c r="GY3" s="35">
        <v>21309.5</v>
      </c>
      <c r="GZ3" s="35">
        <v>21483.1</v>
      </c>
      <c r="HA3" s="35">
        <v>21847.599999999999</v>
      </c>
      <c r="HB3" s="35">
        <v>21738.9</v>
      </c>
      <c r="HC3">
        <v>21708.2</v>
      </c>
      <c r="HD3">
        <v>21851.1</v>
      </c>
      <c r="HE3">
        <v>21990</v>
      </c>
      <c r="HF3">
        <v>22112.3</v>
      </c>
      <c r="HG3">
        <v>22225.4</v>
      </c>
      <c r="HH3">
        <v>22490.7</v>
      </c>
      <c r="HI3">
        <v>22672.9</v>
      </c>
    </row>
    <row r="4" spans="1:217" x14ac:dyDescent="0.35">
      <c r="A4" s="35" t="s">
        <v>2239</v>
      </c>
      <c r="B4" s="35">
        <v>19.823</v>
      </c>
      <c r="C4" s="35">
        <v>20.109000000000002</v>
      </c>
      <c r="D4" s="35">
        <v>20.274000000000001</v>
      </c>
      <c r="E4" s="35">
        <v>20.539000000000001</v>
      </c>
      <c r="F4" s="35">
        <v>20.85</v>
      </c>
      <c r="G4" s="35">
        <v>21.13</v>
      </c>
      <c r="H4" s="35">
        <v>21.343</v>
      </c>
      <c r="I4" s="35">
        <v>21.52</v>
      </c>
      <c r="J4" s="35">
        <v>21.864999999999998</v>
      </c>
      <c r="K4" s="35">
        <v>21.998999999999999</v>
      </c>
      <c r="L4" s="35">
        <v>22.198</v>
      </c>
      <c r="M4" s="35">
        <v>22.45</v>
      </c>
      <c r="N4" s="35">
        <v>22.734999999999999</v>
      </c>
      <c r="O4" s="35">
        <v>23.111000000000001</v>
      </c>
      <c r="P4" s="35">
        <v>23.553000000000001</v>
      </c>
      <c r="Q4" s="35">
        <v>23.960999999999999</v>
      </c>
      <c r="R4" s="35">
        <v>24.446000000000002</v>
      </c>
      <c r="S4" s="35">
        <v>24.989000000000001</v>
      </c>
      <c r="T4" s="35">
        <v>25.759</v>
      </c>
      <c r="U4" s="35">
        <v>26.541</v>
      </c>
      <c r="V4" s="35">
        <v>27.140999999999998</v>
      </c>
      <c r="W4" s="35">
        <v>27.533999999999999</v>
      </c>
      <c r="X4" s="35">
        <v>28.021000000000001</v>
      </c>
      <c r="Y4" s="35">
        <v>28.489000000000001</v>
      </c>
      <c r="Z4" s="35">
        <v>28.8</v>
      </c>
      <c r="AA4" s="35">
        <v>29.088000000000001</v>
      </c>
      <c r="AB4" s="35">
        <v>29.459</v>
      </c>
      <c r="AC4" s="35">
        <v>29.96</v>
      </c>
      <c r="AD4" s="35">
        <v>30.443000000000001</v>
      </c>
      <c r="AE4" s="35">
        <v>30.925000000000001</v>
      </c>
      <c r="AF4" s="35">
        <v>31.350999999999999</v>
      </c>
      <c r="AG4" s="35">
        <v>31.875</v>
      </c>
      <c r="AH4" s="35">
        <v>32.396999999999998</v>
      </c>
      <c r="AI4" s="35">
        <v>33.042999999999999</v>
      </c>
      <c r="AJ4" s="35">
        <v>33.625999999999998</v>
      </c>
      <c r="AK4" s="35">
        <v>34.290999999999997</v>
      </c>
      <c r="AL4" s="35">
        <v>34.930999999999997</v>
      </c>
      <c r="AM4" s="35">
        <v>35.774999999999999</v>
      </c>
      <c r="AN4" s="35">
        <v>36.521999999999998</v>
      </c>
      <c r="AO4" s="35">
        <v>37.188000000000002</v>
      </c>
      <c r="AP4" s="35">
        <v>38.000999999999998</v>
      </c>
      <c r="AQ4" s="35">
        <v>38.902999999999999</v>
      </c>
      <c r="AR4" s="35">
        <v>39.770000000000003</v>
      </c>
      <c r="AS4" s="35">
        <v>40.825000000000003</v>
      </c>
      <c r="AT4" s="35">
        <v>41.906999999999996</v>
      </c>
      <c r="AU4" s="35">
        <v>42.694000000000003</v>
      </c>
      <c r="AV4" s="35">
        <v>43.524000000000001</v>
      </c>
      <c r="AW4" s="35">
        <v>44.243000000000002</v>
      </c>
      <c r="AX4" s="35">
        <v>44.877000000000002</v>
      </c>
      <c r="AY4" s="35">
        <v>45.472999999999999</v>
      </c>
      <c r="AZ4" s="35">
        <v>46.103999999999999</v>
      </c>
      <c r="BA4" s="35">
        <v>46.570999999999998</v>
      </c>
      <c r="BB4" s="35">
        <v>46.942999999999998</v>
      </c>
      <c r="BC4" s="35">
        <v>47.290999999999997</v>
      </c>
      <c r="BD4" s="35">
        <v>47.793999999999997</v>
      </c>
      <c r="BE4" s="35">
        <v>48.151000000000003</v>
      </c>
      <c r="BF4" s="35">
        <v>48.625999999999998</v>
      </c>
      <c r="BG4" s="35">
        <v>49.063000000000002</v>
      </c>
      <c r="BH4" s="35">
        <v>49.506</v>
      </c>
      <c r="BI4" s="35">
        <v>49.851999999999997</v>
      </c>
      <c r="BJ4" s="35">
        <v>50.363</v>
      </c>
      <c r="BK4" s="35">
        <v>50.66</v>
      </c>
      <c r="BL4" s="35">
        <v>50.997</v>
      </c>
      <c r="BM4" s="35">
        <v>51.262</v>
      </c>
      <c r="BN4" s="35">
        <v>51.515000000000001</v>
      </c>
      <c r="BO4" s="35">
        <v>51.695</v>
      </c>
      <c r="BP4" s="35">
        <v>51.941000000000003</v>
      </c>
      <c r="BQ4" s="35">
        <v>52.25</v>
      </c>
      <c r="BR4" s="35">
        <v>52.554000000000002</v>
      </c>
      <c r="BS4" s="35">
        <v>52.911000000000001</v>
      </c>
      <c r="BT4" s="35">
        <v>53.32</v>
      </c>
      <c r="BU4" s="35">
        <v>53.72</v>
      </c>
      <c r="BV4" s="35">
        <v>54.134999999999998</v>
      </c>
      <c r="BW4" s="35">
        <v>54.676000000000002</v>
      </c>
      <c r="BX4" s="35">
        <v>55.344999999999999</v>
      </c>
      <c r="BY4" s="35">
        <v>55.853999999999999</v>
      </c>
      <c r="BZ4" s="35">
        <v>56.392000000000003</v>
      </c>
      <c r="CA4" s="35">
        <v>57.002000000000002</v>
      </c>
      <c r="CB4" s="35">
        <v>57.424999999999997</v>
      </c>
      <c r="CC4" s="35">
        <v>57.817</v>
      </c>
      <c r="CD4" s="35">
        <v>58.447000000000003</v>
      </c>
      <c r="CE4" s="35">
        <v>59.100999999999999</v>
      </c>
      <c r="CF4" s="35">
        <v>59.612000000000002</v>
      </c>
      <c r="CG4" s="35">
        <v>60.067</v>
      </c>
      <c r="CH4" s="35">
        <v>60.651000000000003</v>
      </c>
      <c r="CI4" s="35">
        <v>61.088000000000001</v>
      </c>
      <c r="CJ4" s="35">
        <v>61.557000000000002</v>
      </c>
      <c r="CK4" s="35">
        <v>61.914999999999999</v>
      </c>
      <c r="CL4" s="35">
        <v>62.161999999999999</v>
      </c>
      <c r="CM4" s="35">
        <v>62.533000000000001</v>
      </c>
      <c r="CN4" s="35">
        <v>62.832999999999998</v>
      </c>
      <c r="CO4" s="35">
        <v>63.274999999999999</v>
      </c>
      <c r="CP4" s="35">
        <v>63.652000000000001</v>
      </c>
      <c r="CQ4" s="35">
        <v>64.027000000000001</v>
      </c>
      <c r="CR4" s="35">
        <v>64.349000000000004</v>
      </c>
      <c r="CS4" s="35">
        <v>64.727000000000004</v>
      </c>
      <c r="CT4" s="35">
        <v>65.058000000000007</v>
      </c>
      <c r="CU4" s="35">
        <v>65.369</v>
      </c>
      <c r="CV4" s="35">
        <v>65.716999999999999</v>
      </c>
      <c r="CW4" s="35">
        <v>66.082999999999998</v>
      </c>
      <c r="CX4" s="35">
        <v>66.459999999999994</v>
      </c>
      <c r="CY4" s="35">
        <v>66.784999999999997</v>
      </c>
      <c r="CZ4" s="35">
        <v>67.084000000000003</v>
      </c>
      <c r="DA4" s="35">
        <v>67.400999999999996</v>
      </c>
      <c r="DB4" s="35">
        <v>67.712000000000003</v>
      </c>
      <c r="DC4" s="35">
        <v>67.988</v>
      </c>
      <c r="DD4" s="35">
        <v>68.317999999999998</v>
      </c>
      <c r="DE4" s="35">
        <v>68.606999999999999</v>
      </c>
      <c r="DF4" s="35">
        <v>68.915000000000006</v>
      </c>
      <c r="DG4" s="35">
        <v>69.257999999999996</v>
      </c>
      <c r="DH4" s="35">
        <v>69.463999999999999</v>
      </c>
      <c r="DI4" s="35">
        <v>69.712999999999994</v>
      </c>
      <c r="DJ4" s="35">
        <v>69.783000000000001</v>
      </c>
      <c r="DK4" s="35">
        <v>69.963999999999999</v>
      </c>
      <c r="DL4" s="35">
        <v>70.234999999999999</v>
      </c>
      <c r="DM4" s="35">
        <v>70.424000000000007</v>
      </c>
      <c r="DN4" s="35">
        <v>70.614999999999995</v>
      </c>
      <c r="DO4" s="35">
        <v>70.933999999999997</v>
      </c>
      <c r="DP4" s="35">
        <v>71.206999999999994</v>
      </c>
      <c r="DQ4" s="35">
        <v>71.581000000000003</v>
      </c>
      <c r="DR4" s="35">
        <v>72.058000000000007</v>
      </c>
      <c r="DS4" s="35">
        <v>72.491</v>
      </c>
      <c r="DT4" s="35">
        <v>72.944999999999993</v>
      </c>
      <c r="DU4" s="35">
        <v>73.340999999999994</v>
      </c>
      <c r="DV4" s="35">
        <v>73.843000000000004</v>
      </c>
      <c r="DW4" s="35">
        <v>74.334999999999994</v>
      </c>
      <c r="DX4" s="35">
        <v>74.56</v>
      </c>
      <c r="DY4" s="35">
        <v>74.801000000000002</v>
      </c>
      <c r="DZ4" s="35">
        <v>74.998000000000005</v>
      </c>
      <c r="EA4" s="35">
        <v>75.295000000000002</v>
      </c>
      <c r="EB4" s="35">
        <v>75.632999999999996</v>
      </c>
      <c r="EC4" s="35">
        <v>76.072999999999993</v>
      </c>
      <c r="ED4" s="35">
        <v>76.481999999999999</v>
      </c>
      <c r="EE4" s="35">
        <v>76.745999999999995</v>
      </c>
      <c r="EF4" s="35">
        <v>77.185000000000002</v>
      </c>
      <c r="EG4" s="35">
        <v>77.632999999999996</v>
      </c>
      <c r="EH4" s="35">
        <v>78.191000000000003</v>
      </c>
      <c r="EI4" s="35">
        <v>78.825000000000003</v>
      </c>
      <c r="EJ4" s="35">
        <v>79.322999999999993</v>
      </c>
      <c r="EK4" s="35">
        <v>79.936000000000007</v>
      </c>
      <c r="EL4" s="35">
        <v>80.55</v>
      </c>
      <c r="EM4" s="35">
        <v>81.137</v>
      </c>
      <c r="EN4" s="35">
        <v>81.905000000000001</v>
      </c>
      <c r="EO4" s="35">
        <v>82.557000000000002</v>
      </c>
      <c r="EP4" s="35">
        <v>83.135000000000005</v>
      </c>
      <c r="EQ4" s="35">
        <v>83.870999999999995</v>
      </c>
      <c r="ER4" s="35">
        <v>84.486000000000004</v>
      </c>
      <c r="ES4" s="35">
        <v>84.805999999999997</v>
      </c>
      <c r="ET4" s="35">
        <v>85.655000000000001</v>
      </c>
      <c r="EU4" s="35">
        <v>86.200999999999993</v>
      </c>
      <c r="EV4" s="35">
        <v>86.567999999999998</v>
      </c>
      <c r="EW4" s="35">
        <v>86.981999999999999</v>
      </c>
      <c r="EX4" s="35">
        <v>87.358999999999995</v>
      </c>
      <c r="EY4" s="35">
        <v>87.677999999999997</v>
      </c>
      <c r="EZ4" s="35">
        <v>88.361000000000004</v>
      </c>
      <c r="FA4" s="35">
        <v>88.510999999999996</v>
      </c>
      <c r="FB4" s="35">
        <v>88.536000000000001</v>
      </c>
      <c r="FC4" s="35">
        <v>88.418000000000006</v>
      </c>
      <c r="FD4" s="35">
        <v>88.474000000000004</v>
      </c>
      <c r="FE4" s="35">
        <v>88.798000000000002</v>
      </c>
      <c r="FF4" s="35">
        <v>89.018000000000001</v>
      </c>
      <c r="FG4" s="35">
        <v>89.430999999999997</v>
      </c>
      <c r="FH4" s="35">
        <v>89.754999999999995</v>
      </c>
      <c r="FI4" s="35">
        <v>90.27</v>
      </c>
      <c r="FJ4" s="35">
        <v>90.71</v>
      </c>
      <c r="FK4" s="35">
        <v>91.363</v>
      </c>
      <c r="FL4" s="35">
        <v>91.84</v>
      </c>
      <c r="FM4" s="35">
        <v>91.950999999999993</v>
      </c>
      <c r="FN4" s="35">
        <v>92.495000000000005</v>
      </c>
      <c r="FO4" s="35">
        <v>92.881</v>
      </c>
      <c r="FP4" s="35">
        <v>93.459000000000003</v>
      </c>
      <c r="FQ4" s="35">
        <v>93.869</v>
      </c>
      <c r="FR4" s="35">
        <v>94.203999999999994</v>
      </c>
      <c r="FS4" s="35">
        <v>94.474000000000004</v>
      </c>
      <c r="FT4" s="35">
        <v>94.989000000000004</v>
      </c>
      <c r="FU4" s="35">
        <v>95.477000000000004</v>
      </c>
      <c r="FV4" s="35">
        <v>95.84</v>
      </c>
      <c r="FW4" s="35">
        <v>96.343000000000004</v>
      </c>
      <c r="FX4" s="35">
        <v>96.762</v>
      </c>
      <c r="FY4" s="35">
        <v>96.8</v>
      </c>
      <c r="FZ4" s="35">
        <v>96.742000000000004</v>
      </c>
      <c r="GA4" s="35">
        <v>97.302000000000007</v>
      </c>
      <c r="GB4" s="35">
        <v>97.536000000000001</v>
      </c>
      <c r="GC4" s="35">
        <v>97.527000000000001</v>
      </c>
      <c r="GD4" s="35">
        <v>97.468000000000004</v>
      </c>
      <c r="GE4" s="35">
        <v>98.108000000000004</v>
      </c>
      <c r="GF4" s="35">
        <v>98.372</v>
      </c>
      <c r="GG4" s="35">
        <v>98.884</v>
      </c>
      <c r="GH4" s="35">
        <v>99.388999999999996</v>
      </c>
      <c r="GI4" s="35">
        <v>99.656000000000006</v>
      </c>
      <c r="GJ4" s="35">
        <v>100.17400000000001</v>
      </c>
      <c r="GK4" s="35">
        <v>100.78</v>
      </c>
      <c r="GL4" s="35">
        <v>101.428</v>
      </c>
      <c r="GM4" s="35">
        <v>102.14</v>
      </c>
      <c r="GN4" s="35">
        <v>102.586</v>
      </c>
      <c r="GO4" s="35">
        <v>103.005</v>
      </c>
      <c r="GP4" s="35">
        <v>103.375</v>
      </c>
      <c r="GQ4" s="35">
        <v>103.878</v>
      </c>
      <c r="GR4" s="35">
        <v>104.21299999999999</v>
      </c>
      <c r="GS4" s="35">
        <v>104.566</v>
      </c>
      <c r="GT4" s="35">
        <v>105.042</v>
      </c>
      <c r="GU4" s="35">
        <v>104.661</v>
      </c>
      <c r="GV4" s="35">
        <v>105.593</v>
      </c>
      <c r="GW4" s="35">
        <v>106.33</v>
      </c>
      <c r="GX4" s="35">
        <v>107.73099999999999</v>
      </c>
      <c r="GY4" s="35">
        <v>109.33199999999999</v>
      </c>
      <c r="GZ4" s="35">
        <v>110.95699999999999</v>
      </c>
      <c r="HA4" s="35">
        <v>112.858</v>
      </c>
      <c r="HB4" s="35">
        <v>115.182</v>
      </c>
      <c r="HC4">
        <v>117.70399999999999</v>
      </c>
      <c r="HD4">
        <v>118.98</v>
      </c>
      <c r="HE4">
        <v>120.11499999999999</v>
      </c>
      <c r="HF4">
        <v>121.264</v>
      </c>
      <c r="HG4">
        <v>121.789</v>
      </c>
      <c r="HH4">
        <v>122.792</v>
      </c>
      <c r="HI4">
        <v>123.244</v>
      </c>
    </row>
    <row r="5" spans="1:217" x14ac:dyDescent="0.35">
      <c r="A5" s="35" t="s">
        <v>2240</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11277.7</v>
      </c>
      <c r="FS5" s="35">
        <v>11315.7</v>
      </c>
      <c r="FT5" s="35">
        <v>11408.4</v>
      </c>
      <c r="FU5" s="35">
        <v>11551.2</v>
      </c>
      <c r="FV5" s="35">
        <v>11646</v>
      </c>
      <c r="FW5" s="35">
        <v>11810.5</v>
      </c>
      <c r="FX5" s="35">
        <v>11959.8</v>
      </c>
      <c r="FY5" s="35">
        <v>12081.6</v>
      </c>
      <c r="FZ5" s="35">
        <v>12119.8</v>
      </c>
      <c r="GA5" s="35">
        <v>12264.1</v>
      </c>
      <c r="GB5" s="35">
        <v>12382.5</v>
      </c>
      <c r="GC5" s="35">
        <v>12423.4</v>
      </c>
      <c r="GD5" s="35">
        <v>12523.2</v>
      </c>
      <c r="GE5" s="35">
        <v>12665.1</v>
      </c>
      <c r="GF5" s="35">
        <v>12797.1</v>
      </c>
      <c r="GG5" s="35">
        <v>12922</v>
      </c>
      <c r="GH5" s="35">
        <v>13097.3</v>
      </c>
      <c r="GI5" s="35">
        <v>13188.7</v>
      </c>
      <c r="GJ5" s="35">
        <v>13325.1</v>
      </c>
      <c r="GK5" s="35">
        <v>13551.4</v>
      </c>
      <c r="GL5" s="35">
        <v>13745.1</v>
      </c>
      <c r="GM5" s="35">
        <v>13891.3</v>
      </c>
      <c r="GN5" s="35">
        <v>14002.2</v>
      </c>
      <c r="GO5" s="35">
        <v>14099.2</v>
      </c>
      <c r="GP5" s="35">
        <v>14148</v>
      </c>
      <c r="GQ5" s="35">
        <v>14336.8</v>
      </c>
      <c r="GR5" s="35">
        <v>14517.7</v>
      </c>
      <c r="GS5" s="35">
        <v>14668</v>
      </c>
      <c r="GT5" s="35">
        <v>14473.1</v>
      </c>
      <c r="GU5" s="35">
        <v>13168.9</v>
      </c>
      <c r="GV5" s="35">
        <v>14456.2</v>
      </c>
      <c r="GW5" s="35">
        <v>14726.7</v>
      </c>
      <c r="GX5" s="35">
        <v>15217.7</v>
      </c>
      <c r="GY5" s="35">
        <v>15950.9</v>
      </c>
      <c r="GZ5" s="35">
        <v>16285.1</v>
      </c>
      <c r="HA5" s="35">
        <v>16718.2</v>
      </c>
      <c r="HB5" s="35">
        <v>17030.599999999999</v>
      </c>
      <c r="HC5">
        <v>17415.099999999999</v>
      </c>
      <c r="HD5">
        <v>17684.2</v>
      </c>
      <c r="HE5">
        <v>17917</v>
      </c>
      <c r="HF5">
        <v>18269.599999999999</v>
      </c>
      <c r="HG5">
        <v>18419</v>
      </c>
      <c r="HH5">
        <v>18679.5</v>
      </c>
      <c r="HI5">
        <v>18888.099999999999</v>
      </c>
    </row>
    <row r="6" spans="1:217" x14ac:dyDescent="0.35">
      <c r="A6" s="35" t="s">
        <v>2241</v>
      </c>
      <c r="B6" s="35">
        <v>3248.9</v>
      </c>
      <c r="C6" s="35">
        <v>3263.6</v>
      </c>
      <c r="D6" s="35">
        <v>3292.2</v>
      </c>
      <c r="E6" s="35">
        <v>3283.2</v>
      </c>
      <c r="F6" s="35">
        <v>3346.3</v>
      </c>
      <c r="G6" s="35">
        <v>3377</v>
      </c>
      <c r="H6" s="35">
        <v>3403.9</v>
      </c>
      <c r="I6" s="35">
        <v>3460.4</v>
      </c>
      <c r="J6" s="35">
        <v>3506.1</v>
      </c>
      <c r="K6" s="35">
        <v>3572.8</v>
      </c>
      <c r="L6" s="35">
        <v>3627.9</v>
      </c>
      <c r="M6" s="35">
        <v>3713</v>
      </c>
      <c r="N6" s="35">
        <v>3780.8</v>
      </c>
      <c r="O6" s="35">
        <v>3779.1</v>
      </c>
      <c r="P6" s="35">
        <v>3792.4</v>
      </c>
      <c r="Q6" s="35">
        <v>3781.1</v>
      </c>
      <c r="R6" s="35">
        <v>3747.3</v>
      </c>
      <c r="S6" s="35">
        <v>3760.8</v>
      </c>
      <c r="T6" s="35">
        <v>3776.9</v>
      </c>
      <c r="U6" s="35">
        <v>3721.7</v>
      </c>
      <c r="V6" s="35">
        <v>3752.9</v>
      </c>
      <c r="W6" s="35">
        <v>3814.7</v>
      </c>
      <c r="X6" s="35">
        <v>3868.9</v>
      </c>
      <c r="Y6" s="35">
        <v>3910.5</v>
      </c>
      <c r="Z6" s="35">
        <v>3988.7</v>
      </c>
      <c r="AA6" s="35">
        <v>4025.4</v>
      </c>
      <c r="AB6" s="35">
        <v>4067.8</v>
      </c>
      <c r="AC6" s="35">
        <v>4120.5</v>
      </c>
      <c r="AD6" s="35">
        <v>4169.1000000000004</v>
      </c>
      <c r="AE6" s="35">
        <v>4191.7</v>
      </c>
      <c r="AF6" s="35">
        <v>4231.3</v>
      </c>
      <c r="AG6" s="35">
        <v>4295</v>
      </c>
      <c r="AH6" s="35">
        <v>4319.1000000000004</v>
      </c>
      <c r="AI6" s="35">
        <v>4411.3999999999996</v>
      </c>
      <c r="AJ6" s="35">
        <v>4430</v>
      </c>
      <c r="AK6" s="35">
        <v>4465.7</v>
      </c>
      <c r="AL6" s="35">
        <v>4488.8</v>
      </c>
      <c r="AM6" s="35">
        <v>4485.8999999999996</v>
      </c>
      <c r="AN6" s="35">
        <v>4529.6000000000004</v>
      </c>
      <c r="AO6" s="35">
        <v>4540.8</v>
      </c>
      <c r="AP6" s="35">
        <v>4534.3</v>
      </c>
      <c r="AQ6" s="35">
        <v>4432.2</v>
      </c>
      <c r="AR6" s="35">
        <v>4480.8</v>
      </c>
      <c r="AS6" s="35">
        <v>4541.3999999999996</v>
      </c>
      <c r="AT6" s="35">
        <v>4556.6000000000004</v>
      </c>
      <c r="AU6" s="35">
        <v>4556.8999999999996</v>
      </c>
      <c r="AV6" s="35">
        <v>4578</v>
      </c>
      <c r="AW6" s="35">
        <v>4546.7</v>
      </c>
      <c r="AX6" s="35">
        <v>4580.2</v>
      </c>
      <c r="AY6" s="35">
        <v>4594.1000000000004</v>
      </c>
      <c r="AZ6" s="35">
        <v>4624.8999999999996</v>
      </c>
      <c r="BA6" s="35">
        <v>4706</v>
      </c>
      <c r="BB6" s="35">
        <v>4752.5</v>
      </c>
      <c r="BC6" s="35">
        <v>4849.3</v>
      </c>
      <c r="BD6" s="35">
        <v>4936.2</v>
      </c>
      <c r="BE6" s="35">
        <v>5014.8999999999996</v>
      </c>
      <c r="BF6" s="35">
        <v>5056.5</v>
      </c>
      <c r="BG6" s="35">
        <v>5127.3</v>
      </c>
      <c r="BH6" s="35">
        <v>5165.3999999999996</v>
      </c>
      <c r="BI6" s="35">
        <v>5232.3</v>
      </c>
      <c r="BJ6" s="35">
        <v>5321.2</v>
      </c>
      <c r="BK6" s="35">
        <v>5370</v>
      </c>
      <c r="BL6" s="35">
        <v>5472</v>
      </c>
      <c r="BM6" s="35">
        <v>5483.9</v>
      </c>
      <c r="BN6" s="35">
        <v>5531.8</v>
      </c>
      <c r="BO6" s="35">
        <v>5592.1</v>
      </c>
      <c r="BP6" s="35">
        <v>5691</v>
      </c>
      <c r="BQ6" s="35">
        <v>5725.8</v>
      </c>
      <c r="BR6" s="35">
        <v>5731.2</v>
      </c>
      <c r="BS6" s="35">
        <v>5809.4</v>
      </c>
      <c r="BT6" s="35">
        <v>5875.6</v>
      </c>
      <c r="BU6" s="35">
        <v>5888.1</v>
      </c>
      <c r="BV6" s="35">
        <v>5992.1</v>
      </c>
      <c r="BW6" s="35">
        <v>6036.4</v>
      </c>
      <c r="BX6" s="35">
        <v>6090</v>
      </c>
      <c r="BY6" s="35">
        <v>6159.2</v>
      </c>
      <c r="BZ6" s="35">
        <v>6187.8</v>
      </c>
      <c r="CA6" s="35">
        <v>6216.7</v>
      </c>
      <c r="CB6" s="35">
        <v>6276.9</v>
      </c>
      <c r="CC6" s="35">
        <v>6304.2</v>
      </c>
      <c r="CD6" s="35">
        <v>6357.2</v>
      </c>
      <c r="CE6" s="35">
        <v>6376.6</v>
      </c>
      <c r="CF6" s="35">
        <v>6401.8</v>
      </c>
      <c r="CG6" s="35">
        <v>6353.1</v>
      </c>
      <c r="CH6" s="35">
        <v>6329.2</v>
      </c>
      <c r="CI6" s="35">
        <v>6381.7</v>
      </c>
      <c r="CJ6" s="35">
        <v>6413.5</v>
      </c>
      <c r="CK6" s="35">
        <v>6410.3</v>
      </c>
      <c r="CL6" s="35">
        <v>6530.3</v>
      </c>
      <c r="CM6" s="35">
        <v>6574.7</v>
      </c>
      <c r="CN6" s="35">
        <v>6645.1</v>
      </c>
      <c r="CO6" s="35">
        <v>6724.3</v>
      </c>
      <c r="CP6" s="35">
        <v>6750.1</v>
      </c>
      <c r="CQ6" s="35">
        <v>6811.5</v>
      </c>
      <c r="CR6" s="35">
        <v>6887.3</v>
      </c>
      <c r="CS6" s="35">
        <v>6947.8</v>
      </c>
      <c r="CT6" s="35">
        <v>7027.3</v>
      </c>
      <c r="CU6" s="35">
        <v>7081.9</v>
      </c>
      <c r="CV6" s="35">
        <v>7135.9</v>
      </c>
      <c r="CW6" s="35">
        <v>7213.1</v>
      </c>
      <c r="CX6" s="35">
        <v>7231</v>
      </c>
      <c r="CY6" s="35">
        <v>7294.4</v>
      </c>
      <c r="CZ6" s="35">
        <v>7360.5</v>
      </c>
      <c r="DA6" s="35">
        <v>7411.9</v>
      </c>
      <c r="DB6" s="35">
        <v>7480.2</v>
      </c>
      <c r="DC6" s="35">
        <v>7560.7</v>
      </c>
      <c r="DD6" s="35">
        <v>7606.5</v>
      </c>
      <c r="DE6" s="35">
        <v>7667.1</v>
      </c>
      <c r="DF6" s="35">
        <v>7747.9</v>
      </c>
      <c r="DG6" s="35">
        <v>7782.8</v>
      </c>
      <c r="DH6" s="35">
        <v>7915.4</v>
      </c>
      <c r="DI6" s="35">
        <v>8010</v>
      </c>
      <c r="DJ6" s="35">
        <v>8091</v>
      </c>
      <c r="DK6" s="35">
        <v>8233.5</v>
      </c>
      <c r="DL6" s="35">
        <v>8340.7999999999993</v>
      </c>
      <c r="DM6" s="35">
        <v>8461.2999999999993</v>
      </c>
      <c r="DN6" s="35">
        <v>8548.2000000000007</v>
      </c>
      <c r="DO6" s="35">
        <v>8679.1</v>
      </c>
      <c r="DP6" s="35">
        <v>8776.7000000000007</v>
      </c>
      <c r="DQ6" s="35">
        <v>8905.1</v>
      </c>
      <c r="DR6" s="35">
        <v>9039.7000000000007</v>
      </c>
      <c r="DS6" s="35">
        <v>9124.2000000000007</v>
      </c>
      <c r="DT6" s="35">
        <v>9211.6</v>
      </c>
      <c r="DU6" s="35">
        <v>9292.1</v>
      </c>
      <c r="DV6" s="35">
        <v>9325.7999999999993</v>
      </c>
      <c r="DW6" s="35">
        <v>9344.5</v>
      </c>
      <c r="DX6" s="35">
        <v>9377</v>
      </c>
      <c r="DY6" s="35">
        <v>9528.2999999999993</v>
      </c>
      <c r="DZ6" s="35">
        <v>9549.5</v>
      </c>
      <c r="EA6" s="35">
        <v>9597.7999999999993</v>
      </c>
      <c r="EB6" s="35">
        <v>9665</v>
      </c>
      <c r="EC6" s="35">
        <v>9718.7000000000007</v>
      </c>
      <c r="ED6" s="35">
        <v>9766.6</v>
      </c>
      <c r="EE6" s="35">
        <v>9878.4</v>
      </c>
      <c r="EF6" s="35">
        <v>10018.1</v>
      </c>
      <c r="EG6" s="35">
        <v>10087.1</v>
      </c>
      <c r="EH6" s="35">
        <v>10181.1</v>
      </c>
      <c r="EI6" s="35">
        <v>10236.700000000001</v>
      </c>
      <c r="EJ6" s="35">
        <v>10356.9</v>
      </c>
      <c r="EK6" s="35">
        <v>10474.1</v>
      </c>
      <c r="EL6" s="35">
        <v>10540.6</v>
      </c>
      <c r="EM6" s="35">
        <v>10657.4</v>
      </c>
      <c r="EN6" s="35">
        <v>10745.9</v>
      </c>
      <c r="EO6" s="35">
        <v>10765.7</v>
      </c>
      <c r="EP6" s="35">
        <v>10883.1</v>
      </c>
      <c r="EQ6" s="35">
        <v>10939.5</v>
      </c>
      <c r="ER6" s="35">
        <v>11009.7</v>
      </c>
      <c r="ES6" s="35">
        <v>11114.8</v>
      </c>
      <c r="ET6" s="35">
        <v>11183.3</v>
      </c>
      <c r="EU6" s="35">
        <v>11212.7</v>
      </c>
      <c r="EV6" s="35">
        <v>11287.5</v>
      </c>
      <c r="EW6" s="35">
        <v>11331.9</v>
      </c>
      <c r="EX6" s="35">
        <v>11316.4</v>
      </c>
      <c r="EY6" s="35">
        <v>11347.6</v>
      </c>
      <c r="EZ6" s="35">
        <v>11260.1</v>
      </c>
      <c r="FA6" s="35">
        <v>11158.8</v>
      </c>
      <c r="FB6" s="35">
        <v>11130.5</v>
      </c>
      <c r="FC6" s="35">
        <v>11075.7</v>
      </c>
      <c r="FD6" s="35">
        <v>11150.2</v>
      </c>
      <c r="FE6" s="35">
        <v>11137.9</v>
      </c>
      <c r="FF6" s="35">
        <v>11202.5</v>
      </c>
      <c r="FG6" s="35">
        <v>11303</v>
      </c>
      <c r="FH6" s="35">
        <v>11383.6</v>
      </c>
      <c r="FI6" s="35">
        <v>11453.4</v>
      </c>
      <c r="FJ6" s="35">
        <v>11497.1</v>
      </c>
      <c r="FK6" s="35">
        <v>11509</v>
      </c>
      <c r="FL6" s="35">
        <v>11544</v>
      </c>
      <c r="FM6" s="35">
        <v>11563.9</v>
      </c>
      <c r="FN6" s="35">
        <v>11647.3</v>
      </c>
      <c r="FO6" s="35">
        <v>11667.8</v>
      </c>
      <c r="FP6" s="35">
        <v>11691.4</v>
      </c>
      <c r="FQ6" s="35">
        <v>11738</v>
      </c>
      <c r="FR6" s="35">
        <v>11814.3</v>
      </c>
      <c r="FS6" s="35">
        <v>11848.1</v>
      </c>
      <c r="FT6" s="35">
        <v>11896.3</v>
      </c>
      <c r="FU6" s="35">
        <v>12001</v>
      </c>
      <c r="FV6" s="35">
        <v>12044.2</v>
      </c>
      <c r="FW6" s="35">
        <v>12159.9</v>
      </c>
      <c r="FX6" s="35">
        <v>12280.1</v>
      </c>
      <c r="FY6" s="35">
        <v>12421.6</v>
      </c>
      <c r="FZ6" s="35">
        <v>12516.9</v>
      </c>
      <c r="GA6" s="35">
        <v>12603.1</v>
      </c>
      <c r="GB6" s="35">
        <v>12691.8</v>
      </c>
      <c r="GC6" s="35">
        <v>12743.4</v>
      </c>
      <c r="GD6" s="35">
        <v>12839.6</v>
      </c>
      <c r="GE6" s="35">
        <v>12903.3</v>
      </c>
      <c r="GF6" s="35">
        <v>12993.1</v>
      </c>
      <c r="GG6" s="35">
        <v>13060.1</v>
      </c>
      <c r="GH6" s="35">
        <v>13160.5</v>
      </c>
      <c r="GI6" s="35">
        <v>13225.7</v>
      </c>
      <c r="GJ6" s="35">
        <v>13315.4</v>
      </c>
      <c r="GK6" s="35">
        <v>13460.9</v>
      </c>
      <c r="GL6" s="35">
        <v>13558.4</v>
      </c>
      <c r="GM6" s="35">
        <v>13631</v>
      </c>
      <c r="GN6" s="35">
        <v>13693.8</v>
      </c>
      <c r="GO6" s="35">
        <v>13736.6</v>
      </c>
      <c r="GP6" s="35">
        <v>13752.6</v>
      </c>
      <c r="GQ6" s="35">
        <v>13862.8</v>
      </c>
      <c r="GR6" s="35">
        <v>14003.8</v>
      </c>
      <c r="GS6" s="35">
        <v>14093.9</v>
      </c>
      <c r="GT6" s="35">
        <v>13862.3</v>
      </c>
      <c r="GU6" s="35">
        <v>12668.7</v>
      </c>
      <c r="GV6" s="35">
        <v>13793.9</v>
      </c>
      <c r="GW6" s="35">
        <v>13982.9</v>
      </c>
      <c r="GX6" s="35">
        <v>14282.6</v>
      </c>
      <c r="GY6" s="35">
        <v>14745.6</v>
      </c>
      <c r="GZ6" s="35">
        <v>14848.8</v>
      </c>
      <c r="HA6" s="35">
        <v>14995.6</v>
      </c>
      <c r="HB6" s="35">
        <v>14995.2</v>
      </c>
      <c r="HC6">
        <v>15069.2</v>
      </c>
      <c r="HD6">
        <v>15127.4</v>
      </c>
      <c r="HE6">
        <v>15171.4</v>
      </c>
      <c r="HF6">
        <v>15312.9</v>
      </c>
      <c r="HG6">
        <v>15343.6</v>
      </c>
      <c r="HH6">
        <v>15461.4</v>
      </c>
      <c r="HI6">
        <v>15569.8</v>
      </c>
    </row>
    <row r="7" spans="1:217" x14ac:dyDescent="0.35">
      <c r="A7" s="35" t="s">
        <v>2242</v>
      </c>
      <c r="B7" s="35">
        <v>19.443999999999999</v>
      </c>
      <c r="C7" s="35">
        <v>19.658999999999999</v>
      </c>
      <c r="D7" s="35">
        <v>19.850999999999999</v>
      </c>
      <c r="E7" s="35">
        <v>20.108000000000001</v>
      </c>
      <c r="F7" s="35">
        <v>20.298999999999999</v>
      </c>
      <c r="G7" s="35">
        <v>20.53</v>
      </c>
      <c r="H7" s="35">
        <v>20.731999999999999</v>
      </c>
      <c r="I7" s="35">
        <v>20.86</v>
      </c>
      <c r="J7" s="35">
        <v>21.08</v>
      </c>
      <c r="K7" s="35">
        <v>21.202000000000002</v>
      </c>
      <c r="L7" s="35">
        <v>21.388000000000002</v>
      </c>
      <c r="M7" s="35">
        <v>21.562000000000001</v>
      </c>
      <c r="N7" s="35">
        <v>21.823</v>
      </c>
      <c r="O7" s="35">
        <v>22.242000000000001</v>
      </c>
      <c r="P7" s="35">
        <v>22.646999999999998</v>
      </c>
      <c r="Q7" s="35">
        <v>23.11</v>
      </c>
      <c r="R7" s="35">
        <v>23.797999999999998</v>
      </c>
      <c r="S7" s="35">
        <v>24.472000000000001</v>
      </c>
      <c r="T7" s="35">
        <v>25.132000000000001</v>
      </c>
      <c r="U7" s="35">
        <v>25.771000000000001</v>
      </c>
      <c r="V7" s="35">
        <v>26.256</v>
      </c>
      <c r="W7" s="35">
        <v>26.577999999999999</v>
      </c>
      <c r="X7" s="35">
        <v>27.076000000000001</v>
      </c>
      <c r="Y7" s="35">
        <v>27.53</v>
      </c>
      <c r="Z7" s="35">
        <v>27.832999999999998</v>
      </c>
      <c r="AA7" s="35">
        <v>28.065999999999999</v>
      </c>
      <c r="AB7" s="35">
        <v>28.492000000000001</v>
      </c>
      <c r="AC7" s="35">
        <v>28.942</v>
      </c>
      <c r="AD7" s="35">
        <v>29.465</v>
      </c>
      <c r="AE7" s="35">
        <v>29.969000000000001</v>
      </c>
      <c r="AF7" s="35">
        <v>30.42</v>
      </c>
      <c r="AG7" s="35">
        <v>30.852</v>
      </c>
      <c r="AH7" s="35">
        <v>31.358000000000001</v>
      </c>
      <c r="AI7" s="35">
        <v>32.002000000000002</v>
      </c>
      <c r="AJ7" s="35">
        <v>32.564</v>
      </c>
      <c r="AK7" s="35">
        <v>33.179000000000002</v>
      </c>
      <c r="AL7" s="35">
        <v>33.804000000000002</v>
      </c>
      <c r="AM7" s="35">
        <v>34.728000000000002</v>
      </c>
      <c r="AN7" s="35">
        <v>35.590000000000003</v>
      </c>
      <c r="AO7" s="35">
        <v>36.451000000000001</v>
      </c>
      <c r="AP7" s="35">
        <v>37.545000000000002</v>
      </c>
      <c r="AQ7" s="35">
        <v>38.463999999999999</v>
      </c>
      <c r="AR7" s="35">
        <v>39.363999999999997</v>
      </c>
      <c r="AS7" s="35">
        <v>40.338000000000001</v>
      </c>
      <c r="AT7" s="35">
        <v>41.384</v>
      </c>
      <c r="AU7" s="35">
        <v>42.078000000000003</v>
      </c>
      <c r="AV7" s="35">
        <v>42.771999999999998</v>
      </c>
      <c r="AW7" s="35">
        <v>43.427</v>
      </c>
      <c r="AX7" s="35">
        <v>43.978999999999999</v>
      </c>
      <c r="AY7" s="35">
        <v>44.402000000000001</v>
      </c>
      <c r="AZ7" s="35">
        <v>45.103000000000002</v>
      </c>
      <c r="BA7" s="35">
        <v>45.600999999999999</v>
      </c>
      <c r="BB7" s="35">
        <v>45.978000000000002</v>
      </c>
      <c r="BC7" s="35">
        <v>46.398000000000003</v>
      </c>
      <c r="BD7" s="35">
        <v>47.008000000000003</v>
      </c>
      <c r="BE7" s="35">
        <v>47.317999999999998</v>
      </c>
      <c r="BF7" s="35">
        <v>47.83</v>
      </c>
      <c r="BG7" s="35">
        <v>48.292999999999999</v>
      </c>
      <c r="BH7" s="35">
        <v>48.665999999999997</v>
      </c>
      <c r="BI7" s="35">
        <v>48.966000000000001</v>
      </c>
      <c r="BJ7" s="35">
        <v>49.543999999999997</v>
      </c>
      <c r="BK7" s="35">
        <v>49.945</v>
      </c>
      <c r="BL7" s="35">
        <v>50.337000000000003</v>
      </c>
      <c r="BM7" s="35">
        <v>50.688000000000002</v>
      </c>
      <c r="BN7" s="35">
        <v>51.046999999999997</v>
      </c>
      <c r="BO7" s="35">
        <v>50.993000000000002</v>
      </c>
      <c r="BP7" s="35">
        <v>51.262999999999998</v>
      </c>
      <c r="BQ7" s="35">
        <v>51.573</v>
      </c>
      <c r="BR7" s="35">
        <v>52.061</v>
      </c>
      <c r="BS7" s="35">
        <v>52.564</v>
      </c>
      <c r="BT7" s="35">
        <v>53.061999999999998</v>
      </c>
      <c r="BU7" s="35">
        <v>53.52</v>
      </c>
      <c r="BV7" s="35">
        <v>53.942999999999998</v>
      </c>
      <c r="BW7" s="35">
        <v>54.539000000000001</v>
      </c>
      <c r="BX7" s="35">
        <v>55.210999999999999</v>
      </c>
      <c r="BY7" s="35">
        <v>55.768999999999998</v>
      </c>
      <c r="BZ7" s="35">
        <v>56.41</v>
      </c>
      <c r="CA7" s="35">
        <v>57.17</v>
      </c>
      <c r="CB7" s="35">
        <v>57.506999999999998</v>
      </c>
      <c r="CC7" s="35">
        <v>57.959000000000003</v>
      </c>
      <c r="CD7" s="35">
        <v>58.798999999999999</v>
      </c>
      <c r="CE7" s="35">
        <v>59.332999999999998</v>
      </c>
      <c r="CF7" s="35">
        <v>60.087000000000003</v>
      </c>
      <c r="CG7" s="35">
        <v>60.881999999999998</v>
      </c>
      <c r="CH7" s="35">
        <v>61.201999999999998</v>
      </c>
      <c r="CI7" s="35">
        <v>61.536000000000001</v>
      </c>
      <c r="CJ7" s="35">
        <v>61.954000000000001</v>
      </c>
      <c r="CK7" s="35">
        <v>62.404000000000003</v>
      </c>
      <c r="CL7" s="35">
        <v>62.795000000000002</v>
      </c>
      <c r="CM7" s="35">
        <v>63.212000000000003</v>
      </c>
      <c r="CN7" s="35">
        <v>63.615000000000002</v>
      </c>
      <c r="CO7" s="35">
        <v>64.058999999999997</v>
      </c>
      <c r="CP7" s="35">
        <v>64.441000000000003</v>
      </c>
      <c r="CQ7" s="35">
        <v>64.873999999999995</v>
      </c>
      <c r="CR7" s="35">
        <v>65.155000000000001</v>
      </c>
      <c r="CS7" s="35">
        <v>65.531000000000006</v>
      </c>
      <c r="CT7" s="35">
        <v>65.766000000000005</v>
      </c>
      <c r="CU7" s="35">
        <v>66.132999999999996</v>
      </c>
      <c r="CV7" s="35">
        <v>66.606999999999999</v>
      </c>
      <c r="CW7" s="35">
        <v>66.92</v>
      </c>
      <c r="CX7" s="35">
        <v>67.247</v>
      </c>
      <c r="CY7" s="35">
        <v>67.638999999999996</v>
      </c>
      <c r="CZ7" s="35">
        <v>67.915000000000006</v>
      </c>
      <c r="DA7" s="35">
        <v>68.213999999999999</v>
      </c>
      <c r="DB7" s="35">
        <v>68.593000000000004</v>
      </c>
      <c r="DC7" s="35">
        <v>69.052000000000007</v>
      </c>
      <c r="DD7" s="35">
        <v>69.346000000000004</v>
      </c>
      <c r="DE7" s="35">
        <v>69.819000000000003</v>
      </c>
      <c r="DF7" s="35">
        <v>70.126999999999995</v>
      </c>
      <c r="DG7" s="35">
        <v>70.302999999999997</v>
      </c>
      <c r="DH7" s="35">
        <v>70.488</v>
      </c>
      <c r="DI7" s="35">
        <v>70.709999999999994</v>
      </c>
      <c r="DJ7" s="35">
        <v>70.715000000000003</v>
      </c>
      <c r="DK7" s="35">
        <v>70.843000000000004</v>
      </c>
      <c r="DL7" s="35">
        <v>71.061999999999998</v>
      </c>
      <c r="DM7" s="35">
        <v>71.248999999999995</v>
      </c>
      <c r="DN7" s="35">
        <v>71.39</v>
      </c>
      <c r="DO7" s="35">
        <v>71.796000000000006</v>
      </c>
      <c r="DP7" s="35">
        <v>72.191000000000003</v>
      </c>
      <c r="DQ7" s="35">
        <v>72.629000000000005</v>
      </c>
      <c r="DR7" s="35">
        <v>73.218999999999994</v>
      </c>
      <c r="DS7" s="35">
        <v>73.567999999999998</v>
      </c>
      <c r="DT7" s="35">
        <v>74.042000000000002</v>
      </c>
      <c r="DU7" s="35">
        <v>74.459999999999994</v>
      </c>
      <c r="DV7" s="35">
        <v>75.012</v>
      </c>
      <c r="DW7" s="35">
        <v>75.363</v>
      </c>
      <c r="DX7" s="35">
        <v>75.400999999999996</v>
      </c>
      <c r="DY7" s="35">
        <v>75.432000000000002</v>
      </c>
      <c r="DZ7" s="35">
        <v>75.584000000000003</v>
      </c>
      <c r="EA7" s="35">
        <v>76.144999999999996</v>
      </c>
      <c r="EB7" s="35">
        <v>76.539000000000001</v>
      </c>
      <c r="EC7" s="35">
        <v>76.896000000000001</v>
      </c>
      <c r="ED7" s="35">
        <v>77.483999999999995</v>
      </c>
      <c r="EE7" s="35">
        <v>77.561999999999998</v>
      </c>
      <c r="EF7" s="35">
        <v>78.072999999999993</v>
      </c>
      <c r="EG7" s="35">
        <v>78.456999999999994</v>
      </c>
      <c r="EH7" s="35">
        <v>79.061999999999998</v>
      </c>
      <c r="EI7" s="35">
        <v>79.593999999999994</v>
      </c>
      <c r="EJ7" s="35">
        <v>79.984999999999999</v>
      </c>
      <c r="EK7" s="35">
        <v>80.668999999999997</v>
      </c>
      <c r="EL7" s="35">
        <v>81.138000000000005</v>
      </c>
      <c r="EM7" s="35">
        <v>81.650000000000006</v>
      </c>
      <c r="EN7" s="35">
        <v>82.531999999999996</v>
      </c>
      <c r="EO7" s="35">
        <v>83.188999999999993</v>
      </c>
      <c r="EP7" s="35">
        <v>83.620999999999995</v>
      </c>
      <c r="EQ7" s="35">
        <v>84.355000000000004</v>
      </c>
      <c r="ER7" s="35">
        <v>84.962000000000003</v>
      </c>
      <c r="ES7" s="35">
        <v>84.822000000000003</v>
      </c>
      <c r="ET7" s="35">
        <v>85.596999999999994</v>
      </c>
      <c r="EU7" s="35">
        <v>86.323999999999998</v>
      </c>
      <c r="EV7" s="35">
        <v>86.811999999999998</v>
      </c>
      <c r="EW7" s="35">
        <v>87.694000000000003</v>
      </c>
      <c r="EX7" s="35">
        <v>88.408000000000001</v>
      </c>
      <c r="EY7" s="35">
        <v>89.269000000000005</v>
      </c>
      <c r="EZ7" s="35">
        <v>90.221000000000004</v>
      </c>
      <c r="FA7" s="35">
        <v>88.781000000000006</v>
      </c>
      <c r="FB7" s="35">
        <v>88.180999999999997</v>
      </c>
      <c r="FC7" s="35">
        <v>88.531999999999996</v>
      </c>
      <c r="FD7" s="35">
        <v>89.141999999999996</v>
      </c>
      <c r="FE7" s="35">
        <v>89.83</v>
      </c>
      <c r="FF7" s="35">
        <v>90.177000000000007</v>
      </c>
      <c r="FG7" s="35">
        <v>90.316999999999993</v>
      </c>
      <c r="FH7" s="35">
        <v>90.49</v>
      </c>
      <c r="FI7" s="35">
        <v>91.07</v>
      </c>
      <c r="FJ7" s="35">
        <v>91.834999999999994</v>
      </c>
      <c r="FK7" s="35">
        <v>92.738</v>
      </c>
      <c r="FL7" s="35">
        <v>93.167000000000002</v>
      </c>
      <c r="FM7" s="35">
        <v>93.474999999999994</v>
      </c>
      <c r="FN7" s="35">
        <v>94.093999999999994</v>
      </c>
      <c r="FO7" s="35">
        <v>94.320999999999998</v>
      </c>
      <c r="FP7" s="35">
        <v>94.594999999999999</v>
      </c>
      <c r="FQ7" s="35">
        <v>95.126000000000005</v>
      </c>
      <c r="FR7" s="35">
        <v>95.459000000000003</v>
      </c>
      <c r="FS7" s="35">
        <v>95.507999999999996</v>
      </c>
      <c r="FT7" s="35">
        <v>95.900999999999996</v>
      </c>
      <c r="FU7" s="35">
        <v>96.254000000000005</v>
      </c>
      <c r="FV7" s="35">
        <v>96.695999999999998</v>
      </c>
      <c r="FW7" s="35">
        <v>97.129000000000005</v>
      </c>
      <c r="FX7" s="35">
        <v>97.394000000000005</v>
      </c>
      <c r="FY7" s="35">
        <v>97.265000000000001</v>
      </c>
      <c r="FZ7" s="35">
        <v>96.828999999999994</v>
      </c>
      <c r="GA7" s="35">
        <v>97.311999999999998</v>
      </c>
      <c r="GB7" s="35">
        <v>97.564999999999998</v>
      </c>
      <c r="GC7" s="35">
        <v>97.49</v>
      </c>
      <c r="GD7" s="35">
        <v>97.537999999999997</v>
      </c>
      <c r="GE7" s="35">
        <v>98.156999999999996</v>
      </c>
      <c r="GF7" s="35">
        <v>98.495999999999995</v>
      </c>
      <c r="GG7" s="35">
        <v>98.947000000000003</v>
      </c>
      <c r="GH7" s="35">
        <v>99.524000000000001</v>
      </c>
      <c r="GI7" s="35">
        <v>99.724000000000004</v>
      </c>
      <c r="GJ7" s="35">
        <v>100.07599999999999</v>
      </c>
      <c r="GK7" s="35">
        <v>100.676</v>
      </c>
      <c r="GL7" s="35">
        <v>101.38</v>
      </c>
      <c r="GM7" s="35">
        <v>101.91200000000001</v>
      </c>
      <c r="GN7" s="35">
        <v>102.254</v>
      </c>
      <c r="GO7" s="35">
        <v>102.642</v>
      </c>
      <c r="GP7" s="35">
        <v>102.877</v>
      </c>
      <c r="GQ7" s="35">
        <v>103.422</v>
      </c>
      <c r="GR7" s="35">
        <v>103.67400000000001</v>
      </c>
      <c r="GS7" s="35">
        <v>104.08</v>
      </c>
      <c r="GT7" s="35">
        <v>104.416</v>
      </c>
      <c r="GU7" s="35">
        <v>103.962</v>
      </c>
      <c r="GV7" s="35">
        <v>104.819</v>
      </c>
      <c r="GW7" s="35">
        <v>105.343</v>
      </c>
      <c r="GX7" s="35">
        <v>106.578</v>
      </c>
      <c r="GY7" s="35">
        <v>108.208</v>
      </c>
      <c r="GZ7" s="35">
        <v>109.705</v>
      </c>
      <c r="HA7" s="35">
        <v>111.514</v>
      </c>
      <c r="HB7" s="35">
        <v>113.59</v>
      </c>
      <c r="HC7">
        <v>115.577</v>
      </c>
      <c r="HD7">
        <v>116.905</v>
      </c>
      <c r="HE7">
        <v>118.098</v>
      </c>
      <c r="HF7">
        <v>119.309</v>
      </c>
      <c r="HG7">
        <v>120.044</v>
      </c>
      <c r="HH7">
        <v>120.81399999999999</v>
      </c>
      <c r="HI7">
        <v>121.312</v>
      </c>
    </row>
    <row r="8" spans="1:217" x14ac:dyDescent="0.35">
      <c r="A8" s="35" t="s">
        <v>2243</v>
      </c>
      <c r="B8" s="35">
        <v>17.722000000000001</v>
      </c>
      <c r="C8" s="35">
        <v>17.956</v>
      </c>
      <c r="D8" s="35">
        <v>18.263000000000002</v>
      </c>
      <c r="E8" s="35">
        <v>18.495000000000001</v>
      </c>
      <c r="F8" s="35">
        <v>19.081</v>
      </c>
      <c r="G8" s="35">
        <v>19.437000000000001</v>
      </c>
      <c r="H8" s="35">
        <v>19.719000000000001</v>
      </c>
      <c r="I8" s="35">
        <v>20.122</v>
      </c>
      <c r="J8" s="35">
        <v>20.952999999999999</v>
      </c>
      <c r="K8" s="35">
        <v>21.166</v>
      </c>
      <c r="L8" s="35">
        <v>21.34</v>
      </c>
      <c r="M8" s="35">
        <v>21.803999999999998</v>
      </c>
      <c r="N8" s="35">
        <v>22.155000000000001</v>
      </c>
      <c r="O8" s="35">
        <v>22.54</v>
      </c>
      <c r="P8" s="35">
        <v>23.006</v>
      </c>
      <c r="Q8" s="35">
        <v>23.498000000000001</v>
      </c>
      <c r="R8" s="35">
        <v>23.739000000000001</v>
      </c>
      <c r="S8" s="35">
        <v>24.167999999999999</v>
      </c>
      <c r="T8" s="35">
        <v>24.873999999999999</v>
      </c>
      <c r="U8" s="35">
        <v>25.7</v>
      </c>
      <c r="V8" s="35">
        <v>26.167000000000002</v>
      </c>
      <c r="W8" s="35">
        <v>26.545999999999999</v>
      </c>
      <c r="X8" s="35">
        <v>26.904</v>
      </c>
      <c r="Y8" s="35">
        <v>27.521999999999998</v>
      </c>
      <c r="Z8" s="35">
        <v>27.923999999999999</v>
      </c>
      <c r="AA8" s="35">
        <v>28.158000000000001</v>
      </c>
      <c r="AB8" s="35">
        <v>28.481000000000002</v>
      </c>
      <c r="AC8" s="35">
        <v>29.242000000000001</v>
      </c>
      <c r="AD8" s="35">
        <v>29.655999999999999</v>
      </c>
      <c r="AE8" s="35">
        <v>29.992999999999999</v>
      </c>
      <c r="AF8" s="35">
        <v>30.140999999999998</v>
      </c>
      <c r="AG8" s="35">
        <v>31.013999999999999</v>
      </c>
      <c r="AH8" s="35">
        <v>31.369</v>
      </c>
      <c r="AI8" s="35">
        <v>31.984999999999999</v>
      </c>
      <c r="AJ8" s="35">
        <v>32.520000000000003</v>
      </c>
      <c r="AK8" s="35">
        <v>33.081000000000003</v>
      </c>
      <c r="AL8" s="35">
        <v>33.691000000000003</v>
      </c>
      <c r="AM8" s="35">
        <v>34.200000000000003</v>
      </c>
      <c r="AN8" s="35">
        <v>34.997999999999998</v>
      </c>
      <c r="AO8" s="35">
        <v>35.768000000000001</v>
      </c>
      <c r="AP8" s="35">
        <v>36.475000000000001</v>
      </c>
      <c r="AQ8" s="35">
        <v>37.884999999999998</v>
      </c>
      <c r="AR8" s="35">
        <v>38.268999999999998</v>
      </c>
      <c r="AS8" s="35">
        <v>39.420999999999999</v>
      </c>
      <c r="AT8" s="35">
        <v>40.209000000000003</v>
      </c>
      <c r="AU8" s="35">
        <v>41.143999999999998</v>
      </c>
      <c r="AV8" s="35">
        <v>42.045999999999999</v>
      </c>
      <c r="AW8" s="35">
        <v>42.851999999999997</v>
      </c>
      <c r="AX8" s="35">
        <v>43.536000000000001</v>
      </c>
      <c r="AY8" s="35">
        <v>44.399000000000001</v>
      </c>
      <c r="AZ8" s="35">
        <v>44.771000000000001</v>
      </c>
      <c r="BA8" s="35">
        <v>45.3</v>
      </c>
      <c r="BB8" s="35">
        <v>45.384999999999998</v>
      </c>
      <c r="BC8" s="35">
        <v>45.734999999999999</v>
      </c>
      <c r="BD8" s="35">
        <v>46.241999999999997</v>
      </c>
      <c r="BE8" s="35">
        <v>46.543999999999997</v>
      </c>
      <c r="BF8" s="35">
        <v>47.146999999999998</v>
      </c>
      <c r="BG8" s="35">
        <v>47.616999999999997</v>
      </c>
      <c r="BH8" s="35">
        <v>48.325000000000003</v>
      </c>
      <c r="BI8" s="35">
        <v>48.92</v>
      </c>
      <c r="BJ8" s="35">
        <v>48.725000000000001</v>
      </c>
      <c r="BK8" s="35">
        <v>48.84</v>
      </c>
      <c r="BL8" s="35">
        <v>49.100999999999999</v>
      </c>
      <c r="BM8" s="35">
        <v>49.423000000000002</v>
      </c>
      <c r="BN8" s="35">
        <v>49.298000000000002</v>
      </c>
      <c r="BO8" s="35">
        <v>49.174999999999997</v>
      </c>
      <c r="BP8" s="35">
        <v>49.244999999999997</v>
      </c>
      <c r="BQ8" s="35">
        <v>49.3</v>
      </c>
      <c r="BR8" s="35">
        <v>49.216999999999999</v>
      </c>
      <c r="BS8" s="35">
        <v>49.45</v>
      </c>
      <c r="BT8" s="35">
        <v>49.808</v>
      </c>
      <c r="BU8" s="35">
        <v>49.911999999999999</v>
      </c>
      <c r="BV8" s="35">
        <v>50.593000000000004</v>
      </c>
      <c r="BW8" s="35">
        <v>51.09</v>
      </c>
      <c r="BX8" s="35">
        <v>51.381999999999998</v>
      </c>
      <c r="BY8" s="35">
        <v>51.795999999999999</v>
      </c>
      <c r="BZ8" s="35">
        <v>52.18</v>
      </c>
      <c r="CA8" s="35">
        <v>52.563000000000002</v>
      </c>
      <c r="CB8" s="35">
        <v>52.825000000000003</v>
      </c>
      <c r="CC8" s="35">
        <v>53.014000000000003</v>
      </c>
      <c r="CD8" s="35">
        <v>53.386000000000003</v>
      </c>
      <c r="CE8" s="35">
        <v>54.302999999999997</v>
      </c>
      <c r="CF8" s="35">
        <v>54.375999999999998</v>
      </c>
      <c r="CG8" s="35">
        <v>55.023000000000003</v>
      </c>
      <c r="CH8" s="35">
        <v>55.517000000000003</v>
      </c>
      <c r="CI8" s="35">
        <v>55.79</v>
      </c>
      <c r="CJ8" s="35">
        <v>56.508000000000003</v>
      </c>
      <c r="CK8" s="35">
        <v>57.079000000000001</v>
      </c>
      <c r="CL8" s="35">
        <v>57.162999999999997</v>
      </c>
      <c r="CM8" s="35">
        <v>57.371000000000002</v>
      </c>
      <c r="CN8" s="35">
        <v>57.872</v>
      </c>
      <c r="CO8" s="35">
        <v>58.234999999999999</v>
      </c>
      <c r="CP8" s="35">
        <v>58.381</v>
      </c>
      <c r="CQ8" s="35">
        <v>58.637</v>
      </c>
      <c r="CR8" s="35">
        <v>59.061999999999998</v>
      </c>
      <c r="CS8" s="35">
        <v>59.591000000000001</v>
      </c>
      <c r="CT8" s="35">
        <v>59.865000000000002</v>
      </c>
      <c r="CU8" s="35">
        <v>60.366999999999997</v>
      </c>
      <c r="CV8" s="35">
        <v>60.713000000000001</v>
      </c>
      <c r="CW8" s="35">
        <v>61.212000000000003</v>
      </c>
      <c r="CX8" s="35">
        <v>61.728000000000002</v>
      </c>
      <c r="CY8" s="35">
        <v>62.139000000000003</v>
      </c>
      <c r="CZ8" s="35">
        <v>62.460999999999999</v>
      </c>
      <c r="DA8" s="35">
        <v>63.323</v>
      </c>
      <c r="DB8" s="35">
        <v>63.472000000000001</v>
      </c>
      <c r="DC8" s="35">
        <v>63.131999999999998</v>
      </c>
      <c r="DD8" s="35">
        <v>63.499000000000002</v>
      </c>
      <c r="DE8" s="35">
        <v>63.716000000000001</v>
      </c>
      <c r="DF8" s="35">
        <v>63.933999999999997</v>
      </c>
      <c r="DG8" s="35">
        <v>64.353999999999999</v>
      </c>
      <c r="DH8" s="35">
        <v>64.503</v>
      </c>
      <c r="DI8" s="35">
        <v>64.953999999999994</v>
      </c>
      <c r="DJ8" s="35">
        <v>64.682000000000002</v>
      </c>
      <c r="DK8" s="35">
        <v>65.099000000000004</v>
      </c>
      <c r="DL8" s="35">
        <v>65.524000000000001</v>
      </c>
      <c r="DM8" s="35">
        <v>65.734999999999999</v>
      </c>
      <c r="DN8" s="35">
        <v>65.947000000000003</v>
      </c>
      <c r="DO8" s="35">
        <v>66.503</v>
      </c>
      <c r="DP8" s="35">
        <v>67.105999999999995</v>
      </c>
      <c r="DQ8" s="35">
        <v>67.930999999999997</v>
      </c>
      <c r="DR8" s="35">
        <v>68.593000000000004</v>
      </c>
      <c r="DS8" s="35">
        <v>68.855999999999995</v>
      </c>
      <c r="DT8" s="35">
        <v>69.349000000000004</v>
      </c>
      <c r="DU8" s="35">
        <v>69.662000000000006</v>
      </c>
      <c r="DV8" s="35">
        <v>69.781999999999996</v>
      </c>
      <c r="DW8" s="35">
        <v>70.147999999999996</v>
      </c>
      <c r="DX8" s="35">
        <v>70.596999999999994</v>
      </c>
      <c r="DY8" s="35">
        <v>71.055000000000007</v>
      </c>
      <c r="DZ8" s="35">
        <v>71.515000000000001</v>
      </c>
      <c r="EA8" s="35">
        <v>72.191000000000003</v>
      </c>
      <c r="EB8" s="35">
        <v>72.811000000000007</v>
      </c>
      <c r="EC8" s="35">
        <v>74.161000000000001</v>
      </c>
      <c r="ED8" s="35">
        <v>74.965000000000003</v>
      </c>
      <c r="EE8" s="35">
        <v>75.498999999999995</v>
      </c>
      <c r="EF8" s="35">
        <v>76.182000000000002</v>
      </c>
      <c r="EG8" s="35">
        <v>76.751999999999995</v>
      </c>
      <c r="EH8" s="35">
        <v>77.405000000000001</v>
      </c>
      <c r="EI8" s="35">
        <v>78.076999999999998</v>
      </c>
      <c r="EJ8" s="35">
        <v>78.792000000000002</v>
      </c>
      <c r="EK8" s="35">
        <v>79.558999999999997</v>
      </c>
      <c r="EL8" s="35">
        <v>80.605999999999995</v>
      </c>
      <c r="EM8" s="35">
        <v>81.332999999999998</v>
      </c>
      <c r="EN8" s="35">
        <v>82.182000000000002</v>
      </c>
      <c r="EO8" s="35">
        <v>82.772000000000006</v>
      </c>
      <c r="EP8" s="35">
        <v>83.468999999999994</v>
      </c>
      <c r="EQ8" s="35">
        <v>84.051000000000002</v>
      </c>
      <c r="ER8" s="35">
        <v>84.673000000000002</v>
      </c>
      <c r="ES8" s="35">
        <v>85.114000000000004</v>
      </c>
      <c r="ET8" s="35">
        <v>85.841999999999999</v>
      </c>
      <c r="EU8" s="35">
        <v>86.528000000000006</v>
      </c>
      <c r="EV8" s="35">
        <v>87.123999999999995</v>
      </c>
      <c r="EW8" s="35">
        <v>87.822000000000003</v>
      </c>
      <c r="EX8" s="35">
        <v>88.563000000000002</v>
      </c>
      <c r="EY8" s="35">
        <v>89.47</v>
      </c>
      <c r="EZ8" s="35">
        <v>90.141000000000005</v>
      </c>
      <c r="FA8" s="35">
        <v>89.712000000000003</v>
      </c>
      <c r="FB8" s="35">
        <v>88.959000000000003</v>
      </c>
      <c r="FC8" s="35">
        <v>88.974999999999994</v>
      </c>
      <c r="FD8" s="35">
        <v>89.247</v>
      </c>
      <c r="FE8" s="35">
        <v>89.933000000000007</v>
      </c>
      <c r="FF8" s="35">
        <v>90.506</v>
      </c>
      <c r="FG8" s="35">
        <v>91.2</v>
      </c>
      <c r="FH8" s="35">
        <v>91.561999999999998</v>
      </c>
      <c r="FI8" s="35">
        <v>92.307000000000002</v>
      </c>
      <c r="FJ8" s="35">
        <v>93.135999999999996</v>
      </c>
      <c r="FK8" s="35">
        <v>93.978999999999999</v>
      </c>
      <c r="FL8" s="35">
        <v>94.305999999999997</v>
      </c>
      <c r="FM8" s="35">
        <v>94.18</v>
      </c>
      <c r="FN8" s="35">
        <v>94.506</v>
      </c>
      <c r="FO8" s="35">
        <v>94.715000000000003</v>
      </c>
      <c r="FP8" s="35">
        <v>94.897000000000006</v>
      </c>
      <c r="FQ8" s="35">
        <v>95.013000000000005</v>
      </c>
      <c r="FR8" s="35">
        <v>94.947000000000003</v>
      </c>
      <c r="FS8" s="35">
        <v>95.102000000000004</v>
      </c>
      <c r="FT8" s="35">
        <v>95.436000000000007</v>
      </c>
      <c r="FU8" s="35">
        <v>96.903999999999996</v>
      </c>
      <c r="FV8" s="35">
        <v>96.649000000000001</v>
      </c>
      <c r="FW8" s="35">
        <v>97.057000000000002</v>
      </c>
      <c r="FX8" s="35">
        <v>97.513000000000005</v>
      </c>
      <c r="FY8" s="35">
        <v>97.641999999999996</v>
      </c>
      <c r="FZ8" s="35">
        <v>97.451999999999998</v>
      </c>
      <c r="GA8" s="35">
        <v>97.641000000000005</v>
      </c>
      <c r="GB8" s="35">
        <v>97.73</v>
      </c>
      <c r="GC8" s="35">
        <v>97.611000000000004</v>
      </c>
      <c r="GD8" s="35">
        <v>97.503</v>
      </c>
      <c r="GE8" s="35">
        <v>98.022000000000006</v>
      </c>
      <c r="GF8" s="35">
        <v>98.403999999999996</v>
      </c>
      <c r="GG8" s="35">
        <v>98.891000000000005</v>
      </c>
      <c r="GH8" s="35">
        <v>99.36</v>
      </c>
      <c r="GI8" s="35">
        <v>99.682000000000002</v>
      </c>
      <c r="GJ8" s="35">
        <v>100.12</v>
      </c>
      <c r="GK8" s="35">
        <v>100.83799999999999</v>
      </c>
      <c r="GL8" s="35">
        <v>101.798</v>
      </c>
      <c r="GM8" s="35">
        <v>102.497</v>
      </c>
      <c r="GN8" s="35">
        <v>103.027</v>
      </c>
      <c r="GO8" s="35">
        <v>103.77800000000001</v>
      </c>
      <c r="GP8" s="35">
        <v>104.85599999999999</v>
      </c>
      <c r="GQ8" s="35">
        <v>104.229</v>
      </c>
      <c r="GR8" s="35">
        <v>104.39700000000001</v>
      </c>
      <c r="GS8" s="35">
        <v>104.759</v>
      </c>
      <c r="GT8" s="35">
        <v>105.08799999999999</v>
      </c>
      <c r="GU8" s="35">
        <v>105.113</v>
      </c>
      <c r="GV8" s="35">
        <v>105.71299999999999</v>
      </c>
      <c r="GW8" s="35">
        <v>106.48099999999999</v>
      </c>
      <c r="GX8" s="35">
        <v>107.378</v>
      </c>
      <c r="GY8" s="35">
        <v>108.42400000000001</v>
      </c>
      <c r="GZ8" s="35">
        <v>109.523</v>
      </c>
      <c r="HA8" s="35">
        <v>110.771</v>
      </c>
      <c r="HB8" s="35">
        <v>112.724</v>
      </c>
      <c r="HC8">
        <v>114.607</v>
      </c>
      <c r="HD8">
        <v>115.96599999999999</v>
      </c>
      <c r="HE8">
        <v>117.13500000000001</v>
      </c>
      <c r="HF8">
        <v>118.327</v>
      </c>
      <c r="HG8">
        <v>118.93300000000001</v>
      </c>
      <c r="HH8">
        <v>120.09699999999999</v>
      </c>
      <c r="HI8">
        <v>121.211</v>
      </c>
    </row>
    <row r="9" spans="1:217" x14ac:dyDescent="0.35">
      <c r="A9" s="35" t="s">
        <v>2244</v>
      </c>
      <c r="B9" s="35">
        <v>12.676</v>
      </c>
      <c r="C9" s="35">
        <v>12.944000000000001</v>
      </c>
      <c r="D9" s="35">
        <v>13.178000000000001</v>
      </c>
      <c r="E9" s="35">
        <v>13.428000000000001</v>
      </c>
      <c r="F9" s="35">
        <v>13.733000000000001</v>
      </c>
      <c r="G9" s="35">
        <v>13.981</v>
      </c>
      <c r="H9" s="35">
        <v>14.178000000000001</v>
      </c>
      <c r="I9" s="35">
        <v>14.333</v>
      </c>
      <c r="J9" s="35">
        <v>14.654</v>
      </c>
      <c r="K9" s="35">
        <v>14.827</v>
      </c>
      <c r="L9" s="35">
        <v>15.052</v>
      </c>
      <c r="M9" s="35">
        <v>15.259</v>
      </c>
      <c r="N9" s="35">
        <v>15.558999999999999</v>
      </c>
      <c r="O9" s="35">
        <v>15.836</v>
      </c>
      <c r="P9" s="35">
        <v>16.048999999999999</v>
      </c>
      <c r="Q9" s="35">
        <v>16.353000000000002</v>
      </c>
      <c r="R9" s="35">
        <v>16.827999999999999</v>
      </c>
      <c r="S9" s="35">
        <v>17.413</v>
      </c>
      <c r="T9" s="35">
        <v>18.047999999999998</v>
      </c>
      <c r="U9" s="35">
        <v>18.579000000000001</v>
      </c>
      <c r="V9" s="35">
        <v>18.952999999999999</v>
      </c>
      <c r="W9" s="35">
        <v>19.329000000000001</v>
      </c>
      <c r="X9" s="35">
        <v>19.576000000000001</v>
      </c>
      <c r="Y9" s="35">
        <v>19.826000000000001</v>
      </c>
      <c r="Z9" s="35">
        <v>20.05</v>
      </c>
      <c r="AA9" s="35">
        <v>20.292999999999999</v>
      </c>
      <c r="AB9" s="35">
        <v>20.443999999999999</v>
      </c>
      <c r="AC9" s="35">
        <v>20.689</v>
      </c>
      <c r="AD9" s="35">
        <v>21.079000000000001</v>
      </c>
      <c r="AE9" s="35">
        <v>21.456</v>
      </c>
      <c r="AF9" s="35">
        <v>21.821000000000002</v>
      </c>
      <c r="AG9" s="35">
        <v>22.189</v>
      </c>
      <c r="AH9" s="35">
        <v>22.503</v>
      </c>
      <c r="AI9" s="35">
        <v>22.879000000000001</v>
      </c>
      <c r="AJ9" s="35">
        <v>23.227</v>
      </c>
      <c r="AK9" s="35">
        <v>23.56</v>
      </c>
      <c r="AL9" s="35">
        <v>24.120999999999999</v>
      </c>
      <c r="AM9" s="35">
        <v>24.672999999999998</v>
      </c>
      <c r="AN9" s="35">
        <v>25.509</v>
      </c>
      <c r="AO9" s="35">
        <v>26.007000000000001</v>
      </c>
      <c r="AP9" s="35">
        <v>26.684000000000001</v>
      </c>
      <c r="AQ9" s="35">
        <v>27.417000000000002</v>
      </c>
      <c r="AR9" s="35">
        <v>28.207999999999998</v>
      </c>
      <c r="AS9" s="35">
        <v>28.975999999999999</v>
      </c>
      <c r="AT9" s="35">
        <v>29.917000000000002</v>
      </c>
      <c r="AU9" s="35">
        <v>30.562000000000001</v>
      </c>
      <c r="AV9" s="35">
        <v>30.977</v>
      </c>
      <c r="AW9" s="35">
        <v>31.466000000000001</v>
      </c>
      <c r="AX9" s="35">
        <v>31.997</v>
      </c>
      <c r="AY9" s="35">
        <v>32.511000000000003</v>
      </c>
      <c r="AZ9" s="35">
        <v>33.021000000000001</v>
      </c>
      <c r="BA9" s="35">
        <v>33.441000000000003</v>
      </c>
      <c r="BB9" s="35">
        <v>33.680999999999997</v>
      </c>
      <c r="BC9" s="35">
        <v>34.051000000000002</v>
      </c>
      <c r="BD9" s="35">
        <v>34.381</v>
      </c>
      <c r="BE9" s="35">
        <v>34.642000000000003</v>
      </c>
      <c r="BF9" s="35">
        <v>35.145000000000003</v>
      </c>
      <c r="BG9" s="35">
        <v>35.478999999999999</v>
      </c>
      <c r="BH9" s="35">
        <v>35.81</v>
      </c>
      <c r="BI9" s="35">
        <v>36.165999999999997</v>
      </c>
      <c r="BJ9" s="35">
        <v>36.593000000000004</v>
      </c>
      <c r="BK9" s="35">
        <v>36.953000000000003</v>
      </c>
      <c r="BL9" s="35">
        <v>37.259</v>
      </c>
      <c r="BM9" s="35">
        <v>37.603999999999999</v>
      </c>
      <c r="BN9" s="35">
        <v>37.76</v>
      </c>
      <c r="BO9" s="35">
        <v>37.927</v>
      </c>
      <c r="BP9" s="35">
        <v>38.255000000000003</v>
      </c>
      <c r="BQ9" s="35">
        <v>38.741</v>
      </c>
      <c r="BR9" s="35">
        <v>39.295000000000002</v>
      </c>
      <c r="BS9" s="35">
        <v>39.776000000000003</v>
      </c>
      <c r="BT9" s="35">
        <v>40.252000000000002</v>
      </c>
      <c r="BU9" s="35">
        <v>40.491</v>
      </c>
      <c r="BV9" s="35">
        <v>40.698999999999998</v>
      </c>
      <c r="BW9" s="35">
        <v>41.095999999999997</v>
      </c>
      <c r="BX9" s="35">
        <v>41.442999999999998</v>
      </c>
      <c r="BY9" s="35">
        <v>41.917999999999999</v>
      </c>
      <c r="BZ9" s="35">
        <v>42.469000000000001</v>
      </c>
      <c r="CA9" s="35">
        <v>43.045999999999999</v>
      </c>
      <c r="CB9" s="35">
        <v>43.45</v>
      </c>
      <c r="CC9" s="35">
        <v>44.011000000000003</v>
      </c>
      <c r="CD9" s="35">
        <v>44.634</v>
      </c>
      <c r="CE9" s="35">
        <v>45.094000000000001</v>
      </c>
      <c r="CF9" s="35">
        <v>45.707000000000001</v>
      </c>
      <c r="CG9" s="35">
        <v>46.427</v>
      </c>
      <c r="CH9" s="35">
        <v>46.622</v>
      </c>
      <c r="CI9" s="35">
        <v>46.904000000000003</v>
      </c>
      <c r="CJ9" s="35">
        <v>47.29</v>
      </c>
      <c r="CK9" s="35">
        <v>47.703000000000003</v>
      </c>
      <c r="CL9" s="35">
        <v>48.042999999999999</v>
      </c>
      <c r="CM9" s="35">
        <v>48.616999999999997</v>
      </c>
      <c r="CN9" s="35">
        <v>48.975000000000001</v>
      </c>
      <c r="CO9" s="35">
        <v>49.31</v>
      </c>
      <c r="CP9" s="35">
        <v>49.597000000000001</v>
      </c>
      <c r="CQ9" s="35">
        <v>49.889000000000003</v>
      </c>
      <c r="CR9" s="35">
        <v>50.030999999999999</v>
      </c>
      <c r="CS9" s="35">
        <v>50.283000000000001</v>
      </c>
      <c r="CT9" s="35">
        <v>50.694000000000003</v>
      </c>
      <c r="CU9" s="35">
        <v>50.975000000000001</v>
      </c>
      <c r="CV9" s="35">
        <v>51.420999999999999</v>
      </c>
      <c r="CW9" s="35">
        <v>51.856999999999999</v>
      </c>
      <c r="CX9" s="35">
        <v>52.146000000000001</v>
      </c>
      <c r="CY9" s="35">
        <v>52.542000000000002</v>
      </c>
      <c r="CZ9" s="35">
        <v>52.758000000000003</v>
      </c>
      <c r="DA9" s="35">
        <v>52.96</v>
      </c>
      <c r="DB9" s="35">
        <v>53.488999999999997</v>
      </c>
      <c r="DC9" s="35">
        <v>53.561</v>
      </c>
      <c r="DD9" s="35">
        <v>53.899000000000001</v>
      </c>
      <c r="DE9" s="35">
        <v>54.286000000000001</v>
      </c>
      <c r="DF9" s="35">
        <v>54.646000000000001</v>
      </c>
      <c r="DG9" s="35">
        <v>54.823</v>
      </c>
      <c r="DH9" s="35">
        <v>55.061</v>
      </c>
      <c r="DI9" s="35">
        <v>55.493000000000002</v>
      </c>
      <c r="DJ9" s="35">
        <v>55.567</v>
      </c>
      <c r="DK9" s="35">
        <v>55.813000000000002</v>
      </c>
      <c r="DL9" s="35">
        <v>56.231000000000002</v>
      </c>
      <c r="DM9" s="35">
        <v>56.701000000000001</v>
      </c>
      <c r="DN9" s="35">
        <v>57.134999999999998</v>
      </c>
      <c r="DO9" s="35">
        <v>57.908999999999999</v>
      </c>
      <c r="DP9" s="35">
        <v>58.603999999999999</v>
      </c>
      <c r="DQ9" s="35">
        <v>59.277000000000001</v>
      </c>
      <c r="DR9" s="35">
        <v>60.033999999999999</v>
      </c>
      <c r="DS9" s="35">
        <v>60.671999999999997</v>
      </c>
      <c r="DT9" s="35">
        <v>61.323999999999998</v>
      </c>
      <c r="DU9" s="35">
        <v>62.09</v>
      </c>
      <c r="DV9" s="35">
        <v>62.832000000000001</v>
      </c>
      <c r="DW9" s="35">
        <v>63.076999999999998</v>
      </c>
      <c r="DX9" s="35">
        <v>63.241</v>
      </c>
      <c r="DY9" s="35">
        <v>63.363</v>
      </c>
      <c r="DZ9" s="35">
        <v>63.735999999999997</v>
      </c>
      <c r="EA9" s="35">
        <v>64.311000000000007</v>
      </c>
      <c r="EB9" s="35">
        <v>64.778000000000006</v>
      </c>
      <c r="EC9" s="35">
        <v>65.325000000000003</v>
      </c>
      <c r="ED9" s="35">
        <v>66.256</v>
      </c>
      <c r="EE9" s="35">
        <v>66.307000000000002</v>
      </c>
      <c r="EF9" s="35">
        <v>66.747</v>
      </c>
      <c r="EG9" s="35">
        <v>67.272999999999996</v>
      </c>
      <c r="EH9" s="35">
        <v>68.131</v>
      </c>
      <c r="EI9" s="35">
        <v>69.108000000000004</v>
      </c>
      <c r="EJ9" s="35">
        <v>70.224000000000004</v>
      </c>
      <c r="EK9" s="35">
        <v>71.438999999999993</v>
      </c>
      <c r="EL9" s="35">
        <v>72.085999999999999</v>
      </c>
      <c r="EM9" s="35">
        <v>73.010000000000005</v>
      </c>
      <c r="EN9" s="35">
        <v>74.180000000000007</v>
      </c>
      <c r="EO9" s="35">
        <v>75.391000000000005</v>
      </c>
      <c r="EP9" s="35">
        <v>75.930000000000007</v>
      </c>
      <c r="EQ9" s="35">
        <v>77.102999999999994</v>
      </c>
      <c r="ER9" s="35">
        <v>77.885999999999996</v>
      </c>
      <c r="ES9" s="35">
        <v>78.707999999999998</v>
      </c>
      <c r="ET9" s="35">
        <v>80.213999999999999</v>
      </c>
      <c r="EU9" s="35">
        <v>81.082999999999998</v>
      </c>
      <c r="EV9" s="35">
        <v>81.971000000000004</v>
      </c>
      <c r="EW9" s="35">
        <v>83.146000000000001</v>
      </c>
      <c r="EX9" s="35">
        <v>84.486000000000004</v>
      </c>
      <c r="EY9" s="35">
        <v>85.668999999999997</v>
      </c>
      <c r="EZ9" s="35">
        <v>86.826999999999998</v>
      </c>
      <c r="FA9" s="35">
        <v>85.784000000000006</v>
      </c>
      <c r="FB9" s="35">
        <v>84.68</v>
      </c>
      <c r="FC9" s="35">
        <v>84.875</v>
      </c>
      <c r="FD9" s="35">
        <v>85.316999999999993</v>
      </c>
      <c r="FE9" s="35">
        <v>85.932000000000002</v>
      </c>
      <c r="FF9" s="35">
        <v>86.789000000000001</v>
      </c>
      <c r="FG9" s="35">
        <v>87.373000000000005</v>
      </c>
      <c r="FH9" s="35">
        <v>87.834000000000003</v>
      </c>
      <c r="FI9" s="35">
        <v>88.572999999999993</v>
      </c>
      <c r="FJ9" s="35">
        <v>89.474000000000004</v>
      </c>
      <c r="FK9" s="35">
        <v>90.561999999999998</v>
      </c>
      <c r="FL9" s="35">
        <v>91.025000000000006</v>
      </c>
      <c r="FM9" s="35">
        <v>90.912999999999997</v>
      </c>
      <c r="FN9" s="35">
        <v>92.015000000000001</v>
      </c>
      <c r="FO9" s="35">
        <v>92.024000000000001</v>
      </c>
      <c r="FP9" s="35">
        <v>92.572000000000003</v>
      </c>
      <c r="FQ9" s="35">
        <v>93.706000000000003</v>
      </c>
      <c r="FR9" s="35">
        <v>94.775000000000006</v>
      </c>
      <c r="FS9" s="35">
        <v>95.259</v>
      </c>
      <c r="FT9" s="35">
        <v>96.013000000000005</v>
      </c>
      <c r="FU9" s="35">
        <v>96.567999999999998</v>
      </c>
      <c r="FV9" s="35">
        <v>97.34</v>
      </c>
      <c r="FW9" s="35">
        <v>97.641999999999996</v>
      </c>
      <c r="FX9" s="35">
        <v>98.161000000000001</v>
      </c>
      <c r="FY9" s="35">
        <v>98.075000000000003</v>
      </c>
      <c r="FZ9" s="35">
        <v>97.174000000000007</v>
      </c>
      <c r="GA9" s="35">
        <v>97.783000000000001</v>
      </c>
      <c r="GB9" s="35">
        <v>97.844999999999999</v>
      </c>
      <c r="GC9" s="35">
        <v>97.466999999999999</v>
      </c>
      <c r="GD9" s="35">
        <v>96.685000000000002</v>
      </c>
      <c r="GE9" s="35">
        <v>97.415999999999997</v>
      </c>
      <c r="GF9" s="35">
        <v>97.721999999999994</v>
      </c>
      <c r="GG9" s="35">
        <v>98.197999999999993</v>
      </c>
      <c r="GH9" s="35">
        <v>99.103999999999999</v>
      </c>
      <c r="GI9" s="35">
        <v>99.283000000000001</v>
      </c>
      <c r="GJ9" s="35">
        <v>100.164</v>
      </c>
      <c r="GK9" s="35">
        <v>101.44799999999999</v>
      </c>
      <c r="GL9" s="35">
        <v>102.759</v>
      </c>
      <c r="GM9" s="35">
        <v>103.807</v>
      </c>
      <c r="GN9" s="35">
        <v>104.739</v>
      </c>
      <c r="GO9" s="35">
        <v>105.197</v>
      </c>
      <c r="GP9" s="35">
        <v>104.74299999999999</v>
      </c>
      <c r="GQ9" s="35">
        <v>105.46</v>
      </c>
      <c r="GR9" s="35">
        <v>105.85599999999999</v>
      </c>
      <c r="GS9" s="35">
        <v>106.498</v>
      </c>
      <c r="GT9" s="35">
        <v>107.871</v>
      </c>
      <c r="GU9" s="35">
        <v>107.643</v>
      </c>
      <c r="GV9" s="35">
        <v>108.94</v>
      </c>
      <c r="GW9" s="35">
        <v>110.30200000000001</v>
      </c>
      <c r="GX9" s="35">
        <v>112.765</v>
      </c>
      <c r="GY9" s="35">
        <v>114.846</v>
      </c>
      <c r="GZ9" s="35">
        <v>116.664</v>
      </c>
      <c r="HA9" s="35">
        <v>118.892</v>
      </c>
      <c r="HB9" s="35">
        <v>121.509</v>
      </c>
      <c r="HC9">
        <v>125.49</v>
      </c>
      <c r="HD9">
        <v>126.015</v>
      </c>
      <c r="HE9">
        <v>126.86799999999999</v>
      </c>
      <c r="HF9">
        <v>126.866</v>
      </c>
      <c r="HG9">
        <v>125.947</v>
      </c>
      <c r="HH9">
        <v>127.717</v>
      </c>
      <c r="HI9">
        <v>127.99</v>
      </c>
    </row>
    <row r="10" spans="1:217" x14ac:dyDescent="0.35">
      <c r="A10" s="35" t="s">
        <v>2245</v>
      </c>
      <c r="B10" s="35">
        <v>12.117000000000001</v>
      </c>
      <c r="C10" s="35">
        <v>12.358000000000001</v>
      </c>
      <c r="D10" s="35">
        <v>12.576000000000001</v>
      </c>
      <c r="E10" s="35">
        <v>12.788</v>
      </c>
      <c r="F10" s="35">
        <v>13.102</v>
      </c>
      <c r="G10" s="35">
        <v>13.348000000000001</v>
      </c>
      <c r="H10" s="35">
        <v>13.548999999999999</v>
      </c>
      <c r="I10" s="35">
        <v>13.672000000000001</v>
      </c>
      <c r="J10" s="35">
        <v>14.016999999999999</v>
      </c>
      <c r="K10" s="35">
        <v>14.201000000000001</v>
      </c>
      <c r="L10" s="35">
        <v>14.422000000000001</v>
      </c>
      <c r="M10" s="35">
        <v>14.601000000000001</v>
      </c>
      <c r="N10" s="35">
        <v>14.888999999999999</v>
      </c>
      <c r="O10" s="35">
        <v>15.141</v>
      </c>
      <c r="P10" s="35">
        <v>15.316000000000001</v>
      </c>
      <c r="Q10" s="35">
        <v>15.573</v>
      </c>
      <c r="R10" s="35">
        <v>15.951000000000001</v>
      </c>
      <c r="S10" s="35">
        <v>16.38</v>
      </c>
      <c r="T10" s="35">
        <v>16.850999999999999</v>
      </c>
      <c r="U10" s="35">
        <v>17.292000000000002</v>
      </c>
      <c r="V10" s="35">
        <v>17.637</v>
      </c>
      <c r="W10" s="35">
        <v>18.062000000000001</v>
      </c>
      <c r="X10" s="35">
        <v>18.34</v>
      </c>
      <c r="Y10" s="35">
        <v>18.606999999999999</v>
      </c>
      <c r="Z10" s="35">
        <v>18.849</v>
      </c>
      <c r="AA10" s="35">
        <v>19.094999999999999</v>
      </c>
      <c r="AB10" s="35">
        <v>19.262</v>
      </c>
      <c r="AC10" s="35">
        <v>19.516999999999999</v>
      </c>
      <c r="AD10" s="35">
        <v>19.913</v>
      </c>
      <c r="AE10" s="35">
        <v>20.309000000000001</v>
      </c>
      <c r="AF10" s="35">
        <v>20.672000000000001</v>
      </c>
      <c r="AG10" s="35">
        <v>21.050999999999998</v>
      </c>
      <c r="AH10" s="35">
        <v>21.356999999999999</v>
      </c>
      <c r="AI10" s="35">
        <v>21.7</v>
      </c>
      <c r="AJ10" s="35">
        <v>22.01</v>
      </c>
      <c r="AK10" s="35">
        <v>22.305</v>
      </c>
      <c r="AL10" s="35">
        <v>22.853000000000002</v>
      </c>
      <c r="AM10" s="35">
        <v>23.352</v>
      </c>
      <c r="AN10" s="35">
        <v>24.172999999999998</v>
      </c>
      <c r="AO10" s="35">
        <v>24.588000000000001</v>
      </c>
      <c r="AP10" s="35">
        <v>25.22</v>
      </c>
      <c r="AQ10" s="35">
        <v>25.905000000000001</v>
      </c>
      <c r="AR10" s="35">
        <v>26.625</v>
      </c>
      <c r="AS10" s="35">
        <v>27.332999999999998</v>
      </c>
      <c r="AT10" s="35">
        <v>28.25</v>
      </c>
      <c r="AU10" s="35">
        <v>28.84</v>
      </c>
      <c r="AV10" s="35">
        <v>29.184999999999999</v>
      </c>
      <c r="AW10" s="35">
        <v>29.632999999999999</v>
      </c>
      <c r="AX10" s="35">
        <v>30.152000000000001</v>
      </c>
      <c r="AY10" s="35">
        <v>30.632999999999999</v>
      </c>
      <c r="AZ10" s="35">
        <v>31.141999999999999</v>
      </c>
      <c r="BA10" s="35">
        <v>31.609000000000002</v>
      </c>
      <c r="BB10" s="35">
        <v>31.881</v>
      </c>
      <c r="BC10" s="35">
        <v>32.316000000000003</v>
      </c>
      <c r="BD10" s="35">
        <v>32.694000000000003</v>
      </c>
      <c r="BE10" s="35">
        <v>33.000999999999998</v>
      </c>
      <c r="BF10" s="35">
        <v>33.579000000000001</v>
      </c>
      <c r="BG10" s="35">
        <v>33.945</v>
      </c>
      <c r="BH10" s="35">
        <v>34.31</v>
      </c>
      <c r="BI10" s="35">
        <v>34.715000000000003</v>
      </c>
      <c r="BJ10" s="35">
        <v>35.173999999999999</v>
      </c>
      <c r="BK10" s="35">
        <v>35.576000000000001</v>
      </c>
      <c r="BL10" s="35">
        <v>35.905999999999999</v>
      </c>
      <c r="BM10" s="35">
        <v>36.268000000000001</v>
      </c>
      <c r="BN10" s="35">
        <v>36.4</v>
      </c>
      <c r="BO10" s="35">
        <v>36.51</v>
      </c>
      <c r="BP10" s="35">
        <v>36.822000000000003</v>
      </c>
      <c r="BQ10" s="35">
        <v>37.307000000000002</v>
      </c>
      <c r="BR10" s="35">
        <v>37.911999999999999</v>
      </c>
      <c r="BS10" s="35">
        <v>38.409999999999997</v>
      </c>
      <c r="BT10" s="35">
        <v>38.898000000000003</v>
      </c>
      <c r="BU10" s="35">
        <v>39.136000000000003</v>
      </c>
      <c r="BV10" s="35">
        <v>39.308999999999997</v>
      </c>
      <c r="BW10" s="35">
        <v>39.732999999999997</v>
      </c>
      <c r="BX10" s="35">
        <v>40.087000000000003</v>
      </c>
      <c r="BY10" s="35">
        <v>40.606000000000002</v>
      </c>
      <c r="BZ10" s="35">
        <v>41.222000000000001</v>
      </c>
      <c r="CA10" s="35">
        <v>41.835999999999999</v>
      </c>
      <c r="CB10" s="35">
        <v>42.247999999999998</v>
      </c>
      <c r="CC10" s="35">
        <v>42.869</v>
      </c>
      <c r="CD10" s="35">
        <v>43.548000000000002</v>
      </c>
      <c r="CE10" s="35">
        <v>44.012999999999998</v>
      </c>
      <c r="CF10" s="35">
        <v>44.652000000000001</v>
      </c>
      <c r="CG10" s="35">
        <v>45.497999999999998</v>
      </c>
      <c r="CH10" s="35">
        <v>45.713999999999999</v>
      </c>
      <c r="CI10" s="35">
        <v>46.000999999999998</v>
      </c>
      <c r="CJ10" s="35">
        <v>46.44</v>
      </c>
      <c r="CK10" s="35">
        <v>46.969000000000001</v>
      </c>
      <c r="CL10" s="35">
        <v>47.411000000000001</v>
      </c>
      <c r="CM10" s="35">
        <v>48.055999999999997</v>
      </c>
      <c r="CN10" s="35">
        <v>48.466999999999999</v>
      </c>
      <c r="CO10" s="35">
        <v>48.822000000000003</v>
      </c>
      <c r="CP10" s="35">
        <v>49.088999999999999</v>
      </c>
      <c r="CQ10" s="35">
        <v>49.378999999999998</v>
      </c>
      <c r="CR10" s="35">
        <v>49.54</v>
      </c>
      <c r="CS10" s="35">
        <v>49.792999999999999</v>
      </c>
      <c r="CT10" s="35">
        <v>50.21</v>
      </c>
      <c r="CU10" s="35">
        <v>50.502000000000002</v>
      </c>
      <c r="CV10" s="35">
        <v>50.942999999999998</v>
      </c>
      <c r="CW10" s="35">
        <v>51.378</v>
      </c>
      <c r="CX10" s="35">
        <v>51.613999999999997</v>
      </c>
      <c r="CY10" s="35">
        <v>52.011000000000003</v>
      </c>
      <c r="CZ10" s="35">
        <v>52.207999999999998</v>
      </c>
      <c r="DA10" s="35">
        <v>52.384999999999998</v>
      </c>
      <c r="DB10" s="35">
        <v>52.962000000000003</v>
      </c>
      <c r="DC10" s="35">
        <v>53.036999999999999</v>
      </c>
      <c r="DD10" s="35">
        <v>53.387999999999998</v>
      </c>
      <c r="DE10" s="35">
        <v>53.820999999999998</v>
      </c>
      <c r="DF10" s="35">
        <v>54.19</v>
      </c>
      <c r="DG10" s="35">
        <v>54.32</v>
      </c>
      <c r="DH10" s="35">
        <v>54.579000000000001</v>
      </c>
      <c r="DI10" s="35">
        <v>55.024999999999999</v>
      </c>
      <c r="DJ10" s="35">
        <v>55.112000000000002</v>
      </c>
      <c r="DK10" s="35">
        <v>55.405000000000001</v>
      </c>
      <c r="DL10" s="35">
        <v>55.837000000000003</v>
      </c>
      <c r="DM10" s="35">
        <v>56.34</v>
      </c>
      <c r="DN10" s="35">
        <v>56.820999999999998</v>
      </c>
      <c r="DO10" s="35">
        <v>57.673000000000002</v>
      </c>
      <c r="DP10" s="35">
        <v>58.472000000000001</v>
      </c>
      <c r="DQ10" s="35">
        <v>59.185000000000002</v>
      </c>
      <c r="DR10" s="35">
        <v>60.011000000000003</v>
      </c>
      <c r="DS10" s="35">
        <v>60.637999999999998</v>
      </c>
      <c r="DT10" s="35">
        <v>61.35</v>
      </c>
      <c r="DU10" s="35">
        <v>62.213999999999999</v>
      </c>
      <c r="DV10" s="35">
        <v>63.045000000000002</v>
      </c>
      <c r="DW10" s="35">
        <v>63.311</v>
      </c>
      <c r="DX10" s="35">
        <v>63.468000000000004</v>
      </c>
      <c r="DY10" s="35">
        <v>63.537999999999997</v>
      </c>
      <c r="DZ10" s="35">
        <v>63.935000000000002</v>
      </c>
      <c r="EA10" s="35">
        <v>64.566999999999993</v>
      </c>
      <c r="EB10" s="35">
        <v>65.099999999999994</v>
      </c>
      <c r="EC10" s="35">
        <v>65.754999999999995</v>
      </c>
      <c r="ED10" s="35">
        <v>66.789000000000001</v>
      </c>
      <c r="EE10" s="35">
        <v>66.835999999999999</v>
      </c>
      <c r="EF10" s="35">
        <v>67.364999999999995</v>
      </c>
      <c r="EG10" s="35">
        <v>67.98</v>
      </c>
      <c r="EH10" s="35">
        <v>68.947000000000003</v>
      </c>
      <c r="EI10" s="35">
        <v>69.87</v>
      </c>
      <c r="EJ10" s="35">
        <v>70.819000000000003</v>
      </c>
      <c r="EK10" s="35">
        <v>71.933000000000007</v>
      </c>
      <c r="EL10" s="35">
        <v>72.594999999999999</v>
      </c>
      <c r="EM10" s="35">
        <v>73.424000000000007</v>
      </c>
      <c r="EN10" s="35">
        <v>74.492000000000004</v>
      </c>
      <c r="EO10" s="35">
        <v>75.751000000000005</v>
      </c>
      <c r="EP10" s="35">
        <v>76.31</v>
      </c>
      <c r="EQ10" s="35">
        <v>77.367000000000004</v>
      </c>
      <c r="ER10" s="35">
        <v>78.082999999999998</v>
      </c>
      <c r="ES10" s="35">
        <v>78.665999999999997</v>
      </c>
      <c r="ET10" s="35">
        <v>80.055000000000007</v>
      </c>
      <c r="EU10" s="35">
        <v>80.929000000000002</v>
      </c>
      <c r="EV10" s="35">
        <v>81.84</v>
      </c>
      <c r="EW10" s="35">
        <v>83.063999999999993</v>
      </c>
      <c r="EX10" s="35">
        <v>84.537000000000006</v>
      </c>
      <c r="EY10" s="35">
        <v>85.850999999999999</v>
      </c>
      <c r="EZ10" s="35">
        <v>87.024000000000001</v>
      </c>
      <c r="FA10" s="35">
        <v>85.35</v>
      </c>
      <c r="FB10" s="35">
        <v>83.858999999999995</v>
      </c>
      <c r="FC10" s="35">
        <v>84.284000000000006</v>
      </c>
      <c r="FD10" s="35">
        <v>85.016000000000005</v>
      </c>
      <c r="FE10" s="35">
        <v>85.792000000000002</v>
      </c>
      <c r="FF10" s="35">
        <v>86.787999999999997</v>
      </c>
      <c r="FG10" s="35">
        <v>87.418999999999997</v>
      </c>
      <c r="FH10" s="35">
        <v>87.921999999999997</v>
      </c>
      <c r="FI10" s="35">
        <v>88.741</v>
      </c>
      <c r="FJ10" s="35">
        <v>89.727000000000004</v>
      </c>
      <c r="FK10" s="35">
        <v>90.858999999999995</v>
      </c>
      <c r="FL10" s="35">
        <v>91.197999999999993</v>
      </c>
      <c r="FM10" s="35">
        <v>90.867000000000004</v>
      </c>
      <c r="FN10" s="35">
        <v>92.066999999999993</v>
      </c>
      <c r="FO10" s="35">
        <v>91.918999999999997</v>
      </c>
      <c r="FP10" s="35">
        <v>92.477000000000004</v>
      </c>
      <c r="FQ10" s="35">
        <v>93.82</v>
      </c>
      <c r="FR10" s="35">
        <v>95.039000000000001</v>
      </c>
      <c r="FS10" s="35">
        <v>95.528000000000006</v>
      </c>
      <c r="FT10" s="35">
        <v>96.335999999999999</v>
      </c>
      <c r="FU10" s="35">
        <v>96.86</v>
      </c>
      <c r="FV10" s="35">
        <v>97.683000000000007</v>
      </c>
      <c r="FW10" s="35">
        <v>97.96</v>
      </c>
      <c r="FX10" s="35">
        <v>98.494</v>
      </c>
      <c r="FY10" s="35">
        <v>98.355000000000004</v>
      </c>
      <c r="FZ10" s="35">
        <v>97.266999999999996</v>
      </c>
      <c r="GA10" s="35">
        <v>97.921000000000006</v>
      </c>
      <c r="GB10" s="35">
        <v>97.936999999999998</v>
      </c>
      <c r="GC10" s="35">
        <v>97.49</v>
      </c>
      <c r="GD10" s="35">
        <v>96.588999999999999</v>
      </c>
      <c r="GE10" s="35">
        <v>97.31</v>
      </c>
      <c r="GF10" s="35">
        <v>97.668999999999997</v>
      </c>
      <c r="GG10" s="35">
        <v>98.147000000000006</v>
      </c>
      <c r="GH10" s="35">
        <v>99.114999999999995</v>
      </c>
      <c r="GI10" s="35">
        <v>99.218000000000004</v>
      </c>
      <c r="GJ10" s="35">
        <v>100.108</v>
      </c>
      <c r="GK10" s="35">
        <v>101.559</v>
      </c>
      <c r="GL10" s="35">
        <v>102.955</v>
      </c>
      <c r="GM10" s="35">
        <v>103.943</v>
      </c>
      <c r="GN10" s="35">
        <v>104.932</v>
      </c>
      <c r="GO10" s="35">
        <v>105.254</v>
      </c>
      <c r="GP10" s="35">
        <v>104.602</v>
      </c>
      <c r="GQ10" s="35">
        <v>105.227</v>
      </c>
      <c r="GR10" s="35">
        <v>105.613</v>
      </c>
      <c r="GS10" s="35">
        <v>106.369</v>
      </c>
      <c r="GT10" s="35">
        <v>107.994</v>
      </c>
      <c r="GU10" s="35">
        <v>107.79300000000001</v>
      </c>
      <c r="GV10" s="35">
        <v>109.14</v>
      </c>
      <c r="GW10" s="35">
        <v>110.675</v>
      </c>
      <c r="GX10" s="35">
        <v>113.297</v>
      </c>
      <c r="GY10" s="35">
        <v>115.264</v>
      </c>
      <c r="GZ10" s="35">
        <v>116.973</v>
      </c>
      <c r="HA10" s="35">
        <v>119.054</v>
      </c>
      <c r="HB10" s="35">
        <v>121.578</v>
      </c>
      <c r="HC10">
        <v>125.643</v>
      </c>
      <c r="HD10">
        <v>125.80500000000001</v>
      </c>
      <c r="HE10">
        <v>126.575</v>
      </c>
      <c r="HF10">
        <v>126.235</v>
      </c>
      <c r="HG10">
        <v>125.096</v>
      </c>
      <c r="HH10">
        <v>127.176</v>
      </c>
      <c r="HI10">
        <v>127.441</v>
      </c>
    </row>
    <row r="11" spans="1:217" x14ac:dyDescent="0.35">
      <c r="A11" s="35" t="s">
        <v>2246</v>
      </c>
      <c r="B11" s="35">
        <v>15.584</v>
      </c>
      <c r="C11" s="35">
        <v>15.976000000000001</v>
      </c>
      <c r="D11" s="35">
        <v>16.285</v>
      </c>
      <c r="E11" s="35">
        <v>16.699000000000002</v>
      </c>
      <c r="F11" s="35">
        <v>16.98</v>
      </c>
      <c r="G11" s="35">
        <v>17.251000000000001</v>
      </c>
      <c r="H11" s="35">
        <v>17.439</v>
      </c>
      <c r="I11" s="35">
        <v>17.741</v>
      </c>
      <c r="J11" s="35">
        <v>17.968</v>
      </c>
      <c r="K11" s="35">
        <v>18.094000000000001</v>
      </c>
      <c r="L11" s="35">
        <v>18.344999999999999</v>
      </c>
      <c r="M11" s="35">
        <v>18.687999999999999</v>
      </c>
      <c r="N11" s="35">
        <v>19.047999999999998</v>
      </c>
      <c r="O11" s="35">
        <v>19.449000000000002</v>
      </c>
      <c r="P11" s="35">
        <v>19.844999999999999</v>
      </c>
      <c r="Q11" s="35">
        <v>20.378</v>
      </c>
      <c r="R11" s="35">
        <v>21.323</v>
      </c>
      <c r="S11" s="35">
        <v>22.663</v>
      </c>
      <c r="T11" s="35">
        <v>24.111000000000001</v>
      </c>
      <c r="U11" s="35">
        <v>25.113</v>
      </c>
      <c r="V11" s="35">
        <v>25.648</v>
      </c>
      <c r="W11" s="35">
        <v>25.774000000000001</v>
      </c>
      <c r="X11" s="35">
        <v>25.856000000000002</v>
      </c>
      <c r="Y11" s="35">
        <v>26.013000000000002</v>
      </c>
      <c r="Z11" s="35">
        <v>26.140999999999998</v>
      </c>
      <c r="AA11" s="35">
        <v>26.364999999999998</v>
      </c>
      <c r="AB11" s="35">
        <v>26.422999999999998</v>
      </c>
      <c r="AC11" s="35">
        <v>26.602</v>
      </c>
      <c r="AD11" s="35">
        <v>26.946000000000002</v>
      </c>
      <c r="AE11" s="35">
        <v>27.212</v>
      </c>
      <c r="AF11" s="35">
        <v>27.577999999999999</v>
      </c>
      <c r="AG11" s="35">
        <v>27.873000000000001</v>
      </c>
      <c r="AH11" s="35">
        <v>28.219000000000001</v>
      </c>
      <c r="AI11" s="35">
        <v>28.773</v>
      </c>
      <c r="AJ11" s="35">
        <v>29.324000000000002</v>
      </c>
      <c r="AK11" s="35">
        <v>29.847999999999999</v>
      </c>
      <c r="AL11" s="35">
        <v>30.463000000000001</v>
      </c>
      <c r="AM11" s="35">
        <v>31.29</v>
      </c>
      <c r="AN11" s="35">
        <v>32.204000000000001</v>
      </c>
      <c r="AO11" s="35">
        <v>33.118000000000002</v>
      </c>
      <c r="AP11" s="35">
        <v>34.021999999999998</v>
      </c>
      <c r="AQ11" s="35">
        <v>34.999000000000002</v>
      </c>
      <c r="AR11" s="35">
        <v>36.149000000000001</v>
      </c>
      <c r="AS11" s="35">
        <v>37.219000000000001</v>
      </c>
      <c r="AT11" s="35">
        <v>38.273000000000003</v>
      </c>
      <c r="AU11" s="35">
        <v>39.188000000000002</v>
      </c>
      <c r="AV11" s="35">
        <v>39.991</v>
      </c>
      <c r="AW11" s="35">
        <v>40.703000000000003</v>
      </c>
      <c r="AX11" s="35">
        <v>41.274000000000001</v>
      </c>
      <c r="AY11" s="35">
        <v>41.965000000000003</v>
      </c>
      <c r="AZ11" s="35">
        <v>42.46</v>
      </c>
      <c r="BA11" s="35">
        <v>42.567999999999998</v>
      </c>
      <c r="BB11" s="35">
        <v>42.606999999999999</v>
      </c>
      <c r="BC11" s="35">
        <v>42.55</v>
      </c>
      <c r="BD11" s="35">
        <v>42.573999999999998</v>
      </c>
      <c r="BE11" s="35">
        <v>42.561999999999998</v>
      </c>
      <c r="BF11" s="35">
        <v>42.607999999999997</v>
      </c>
      <c r="BG11" s="35">
        <v>42.759</v>
      </c>
      <c r="BH11" s="35">
        <v>42.896999999999998</v>
      </c>
      <c r="BI11" s="35">
        <v>42.984000000000002</v>
      </c>
      <c r="BJ11" s="35">
        <v>43.222999999999999</v>
      </c>
      <c r="BK11" s="35">
        <v>43.356999999999999</v>
      </c>
      <c r="BL11" s="35">
        <v>43.533999999999999</v>
      </c>
      <c r="BM11" s="35">
        <v>43.793999999999997</v>
      </c>
      <c r="BN11" s="35">
        <v>44.066000000000003</v>
      </c>
      <c r="BO11" s="35">
        <v>44.52</v>
      </c>
      <c r="BP11" s="35">
        <v>44.924999999999997</v>
      </c>
      <c r="BQ11" s="35">
        <v>45.411000000000001</v>
      </c>
      <c r="BR11" s="35">
        <v>45.701999999999998</v>
      </c>
      <c r="BS11" s="35">
        <v>46.087000000000003</v>
      </c>
      <c r="BT11" s="35">
        <v>46.497</v>
      </c>
      <c r="BU11" s="35">
        <v>46.743000000000002</v>
      </c>
      <c r="BV11" s="35">
        <v>47.119</v>
      </c>
      <c r="BW11" s="35">
        <v>47.378999999999998</v>
      </c>
      <c r="BX11" s="35">
        <v>47.685000000000002</v>
      </c>
      <c r="BY11" s="35">
        <v>47.936</v>
      </c>
      <c r="BZ11" s="35">
        <v>48.167999999999999</v>
      </c>
      <c r="CA11" s="35">
        <v>48.558999999999997</v>
      </c>
      <c r="CB11" s="35">
        <v>48.918999999999997</v>
      </c>
      <c r="CC11" s="35">
        <v>49.19</v>
      </c>
      <c r="CD11" s="35">
        <v>49.543999999999997</v>
      </c>
      <c r="CE11" s="35">
        <v>49.981000000000002</v>
      </c>
      <c r="CF11" s="35">
        <v>50.466000000000001</v>
      </c>
      <c r="CG11" s="35">
        <v>50.600999999999999</v>
      </c>
      <c r="CH11" s="35">
        <v>50.7</v>
      </c>
      <c r="CI11" s="35">
        <v>50.960999999999999</v>
      </c>
      <c r="CJ11" s="35">
        <v>51.097000000000001</v>
      </c>
      <c r="CK11" s="35">
        <v>50.969000000000001</v>
      </c>
      <c r="CL11" s="35">
        <v>50.835999999999999</v>
      </c>
      <c r="CM11" s="35">
        <v>51.076000000000001</v>
      </c>
      <c r="CN11" s="35">
        <v>51.180999999999997</v>
      </c>
      <c r="CO11" s="35">
        <v>51.414000000000001</v>
      </c>
      <c r="CP11" s="35">
        <v>51.795999999999999</v>
      </c>
      <c r="CQ11" s="35">
        <v>52.097999999999999</v>
      </c>
      <c r="CR11" s="35">
        <v>52.151000000000003</v>
      </c>
      <c r="CS11" s="35">
        <v>52.395000000000003</v>
      </c>
      <c r="CT11" s="35">
        <v>52.777000000000001</v>
      </c>
      <c r="CU11" s="35">
        <v>53.006</v>
      </c>
      <c r="CV11" s="35">
        <v>53.47</v>
      </c>
      <c r="CW11" s="35">
        <v>53.914999999999999</v>
      </c>
      <c r="CX11" s="35">
        <v>54.453000000000003</v>
      </c>
      <c r="CY11" s="35">
        <v>54.843000000000004</v>
      </c>
      <c r="CZ11" s="35">
        <v>55.145000000000003</v>
      </c>
      <c r="DA11" s="35">
        <v>55.463000000000001</v>
      </c>
      <c r="DB11" s="35">
        <v>55.761000000000003</v>
      </c>
      <c r="DC11" s="35">
        <v>55.822000000000003</v>
      </c>
      <c r="DD11" s="35">
        <v>56.1</v>
      </c>
      <c r="DE11" s="35">
        <v>56.280999999999999</v>
      </c>
      <c r="DF11" s="35">
        <v>56.598999999999997</v>
      </c>
      <c r="DG11" s="35">
        <v>56.984999999999999</v>
      </c>
      <c r="DH11" s="35">
        <v>57.13</v>
      </c>
      <c r="DI11" s="35">
        <v>57.497</v>
      </c>
      <c r="DJ11" s="35">
        <v>57.517000000000003</v>
      </c>
      <c r="DK11" s="35">
        <v>57.552</v>
      </c>
      <c r="DL11" s="35">
        <v>57.908000000000001</v>
      </c>
      <c r="DM11" s="35">
        <v>58.234000000000002</v>
      </c>
      <c r="DN11" s="35">
        <v>58.468000000000004</v>
      </c>
      <c r="DO11" s="35">
        <v>58.901000000000003</v>
      </c>
      <c r="DP11" s="35">
        <v>59.15</v>
      </c>
      <c r="DQ11" s="35">
        <v>59.654000000000003</v>
      </c>
      <c r="DR11" s="35">
        <v>60.125999999999998</v>
      </c>
      <c r="DS11" s="35">
        <v>60.811</v>
      </c>
      <c r="DT11" s="35">
        <v>61.209000000000003</v>
      </c>
      <c r="DU11" s="35">
        <v>61.569000000000003</v>
      </c>
      <c r="DV11" s="35">
        <v>61.948999999999998</v>
      </c>
      <c r="DW11" s="35">
        <v>62.107999999999997</v>
      </c>
      <c r="DX11" s="35">
        <v>62.302999999999997</v>
      </c>
      <c r="DY11" s="35">
        <v>62.637999999999998</v>
      </c>
      <c r="DZ11" s="35">
        <v>62.912999999999997</v>
      </c>
      <c r="EA11" s="35">
        <v>63.255000000000003</v>
      </c>
      <c r="EB11" s="35">
        <v>63.448999999999998</v>
      </c>
      <c r="EC11" s="35">
        <v>63.558999999999997</v>
      </c>
      <c r="ED11" s="35">
        <v>64.085999999999999</v>
      </c>
      <c r="EE11" s="35">
        <v>64.153000000000006</v>
      </c>
      <c r="EF11" s="35">
        <v>64.233999999999995</v>
      </c>
      <c r="EG11" s="35">
        <v>64.412000000000006</v>
      </c>
      <c r="EH11" s="35">
        <v>64.831000000000003</v>
      </c>
      <c r="EI11" s="35">
        <v>66.022000000000006</v>
      </c>
      <c r="EJ11" s="35">
        <v>67.8</v>
      </c>
      <c r="EK11" s="35">
        <v>69.427999999999997</v>
      </c>
      <c r="EL11" s="35">
        <v>70.015000000000001</v>
      </c>
      <c r="EM11" s="35">
        <v>71.331999999999994</v>
      </c>
      <c r="EN11" s="35">
        <v>72.921000000000006</v>
      </c>
      <c r="EO11" s="35">
        <v>73.938000000000002</v>
      </c>
      <c r="EP11" s="35">
        <v>74.397000000000006</v>
      </c>
      <c r="EQ11" s="35">
        <v>76.037000000000006</v>
      </c>
      <c r="ER11" s="35">
        <v>77.094999999999999</v>
      </c>
      <c r="ES11" s="35">
        <v>78.903000000000006</v>
      </c>
      <c r="ET11" s="35">
        <v>80.894000000000005</v>
      </c>
      <c r="EU11" s="35">
        <v>81.739999999999995</v>
      </c>
      <c r="EV11" s="35">
        <v>82.527000000000001</v>
      </c>
      <c r="EW11" s="35">
        <v>83.498000000000005</v>
      </c>
      <c r="EX11" s="35">
        <v>84.29</v>
      </c>
      <c r="EY11" s="35">
        <v>84.938000000000002</v>
      </c>
      <c r="EZ11" s="35">
        <v>86.036000000000001</v>
      </c>
      <c r="FA11" s="35">
        <v>87.611999999999995</v>
      </c>
      <c r="FB11" s="35">
        <v>88.159000000000006</v>
      </c>
      <c r="FC11" s="35">
        <v>87.385000000000005</v>
      </c>
      <c r="FD11" s="35">
        <v>86.596999999999994</v>
      </c>
      <c r="FE11" s="35">
        <v>86.53</v>
      </c>
      <c r="FF11" s="35">
        <v>86.775000000000006</v>
      </c>
      <c r="FG11" s="35">
        <v>87.153000000000006</v>
      </c>
      <c r="FH11" s="35">
        <v>87.427000000000007</v>
      </c>
      <c r="FI11" s="35">
        <v>87.82</v>
      </c>
      <c r="FJ11" s="35">
        <v>88.35</v>
      </c>
      <c r="FK11" s="35">
        <v>89.242999999999995</v>
      </c>
      <c r="FL11" s="35">
        <v>90.251999999999995</v>
      </c>
      <c r="FM11" s="35">
        <v>91.1</v>
      </c>
      <c r="FN11" s="35">
        <v>91.778000000000006</v>
      </c>
      <c r="FO11" s="35">
        <v>92.497</v>
      </c>
      <c r="FP11" s="35">
        <v>93.001999999999995</v>
      </c>
      <c r="FQ11" s="35">
        <v>93.183000000000007</v>
      </c>
      <c r="FR11" s="35">
        <v>93.552000000000007</v>
      </c>
      <c r="FS11" s="35">
        <v>94.016000000000005</v>
      </c>
      <c r="FT11" s="35">
        <v>94.519000000000005</v>
      </c>
      <c r="FU11" s="35">
        <v>95.221999999999994</v>
      </c>
      <c r="FV11" s="35">
        <v>95.751000000000005</v>
      </c>
      <c r="FW11" s="35">
        <v>96.174999999999997</v>
      </c>
      <c r="FX11" s="35">
        <v>96.62</v>
      </c>
      <c r="FY11" s="35">
        <v>96.778999999999996</v>
      </c>
      <c r="FZ11" s="35">
        <v>96.742000000000004</v>
      </c>
      <c r="GA11" s="35">
        <v>97.147999999999996</v>
      </c>
      <c r="GB11" s="35">
        <v>97.418000000000006</v>
      </c>
      <c r="GC11" s="35">
        <v>97.352999999999994</v>
      </c>
      <c r="GD11" s="35">
        <v>97.113</v>
      </c>
      <c r="GE11" s="35">
        <v>97.894000000000005</v>
      </c>
      <c r="GF11" s="35">
        <v>97.953000000000003</v>
      </c>
      <c r="GG11" s="35">
        <v>98.42</v>
      </c>
      <c r="GH11" s="35">
        <v>99.05</v>
      </c>
      <c r="GI11" s="35">
        <v>99.57</v>
      </c>
      <c r="GJ11" s="35">
        <v>100.41200000000001</v>
      </c>
      <c r="GK11" s="35">
        <v>100.968</v>
      </c>
      <c r="GL11" s="35">
        <v>101.911</v>
      </c>
      <c r="GM11" s="35">
        <v>103.214</v>
      </c>
      <c r="GN11" s="35">
        <v>103.89700000000001</v>
      </c>
      <c r="GO11" s="35">
        <v>104.94499999999999</v>
      </c>
      <c r="GP11" s="35">
        <v>105.355</v>
      </c>
      <c r="GQ11" s="35">
        <v>106.47199999999999</v>
      </c>
      <c r="GR11" s="35">
        <v>106.917</v>
      </c>
      <c r="GS11" s="35">
        <v>107.06100000000001</v>
      </c>
      <c r="GT11" s="35">
        <v>107.322</v>
      </c>
      <c r="GU11" s="35">
        <v>106.98099999999999</v>
      </c>
      <c r="GV11" s="35">
        <v>108.051</v>
      </c>
      <c r="GW11" s="35">
        <v>108.63</v>
      </c>
      <c r="GX11" s="35">
        <v>110.369</v>
      </c>
      <c r="GY11" s="35">
        <v>112.94199999999999</v>
      </c>
      <c r="GZ11" s="35">
        <v>115.264</v>
      </c>
      <c r="HA11" s="35">
        <v>118.19799999999999</v>
      </c>
      <c r="HB11" s="35">
        <v>121.27</v>
      </c>
      <c r="HC11">
        <v>124.827</v>
      </c>
      <c r="HD11">
        <v>127.185</v>
      </c>
      <c r="HE11">
        <v>128.44900000000001</v>
      </c>
      <c r="HF11">
        <v>130.08600000000001</v>
      </c>
      <c r="HG11">
        <v>130.202</v>
      </c>
      <c r="HH11">
        <v>130.56700000000001</v>
      </c>
      <c r="HI11">
        <v>130.876</v>
      </c>
    </row>
    <row r="12" spans="1:217" x14ac:dyDescent="0.35">
      <c r="A12" s="35" t="s">
        <v>2247</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714.4</v>
      </c>
      <c r="GM12" s="35">
        <v>725.7</v>
      </c>
      <c r="GN12" s="35">
        <v>739.2</v>
      </c>
      <c r="GO12" s="35">
        <v>755</v>
      </c>
      <c r="GP12" s="35">
        <v>771.9</v>
      </c>
      <c r="GQ12" s="35">
        <v>785.3</v>
      </c>
      <c r="GR12" s="35">
        <v>793.9</v>
      </c>
      <c r="GS12" s="35">
        <v>797.9</v>
      </c>
      <c r="GT12" s="35">
        <v>798.4</v>
      </c>
      <c r="GU12" s="35">
        <v>811.1</v>
      </c>
      <c r="GV12" s="35">
        <v>823.1</v>
      </c>
      <c r="GW12" s="35">
        <v>834.5</v>
      </c>
      <c r="GX12" s="35">
        <v>849.4</v>
      </c>
      <c r="GY12" s="35">
        <v>865.6</v>
      </c>
      <c r="GZ12" s="35">
        <v>882.6</v>
      </c>
      <c r="HA12" s="35">
        <v>900.3</v>
      </c>
      <c r="HB12" s="35">
        <v>918.2</v>
      </c>
      <c r="HC12">
        <v>924.7</v>
      </c>
      <c r="HD12">
        <v>927.2</v>
      </c>
      <c r="HE12">
        <v>934.2</v>
      </c>
      <c r="HF12">
        <v>938.1</v>
      </c>
      <c r="HG12">
        <v>941.9</v>
      </c>
      <c r="HH12">
        <v>946.3</v>
      </c>
      <c r="HI12">
        <v>951.3</v>
      </c>
    </row>
    <row r="13" spans="1:217" x14ac:dyDescent="0.35">
      <c r="A13" s="35" t="s">
        <v>2248</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620.6</v>
      </c>
      <c r="GT13" s="35">
        <v>606.4</v>
      </c>
      <c r="GU13" s="35">
        <v>654.6</v>
      </c>
      <c r="GV13" s="35">
        <v>690.8</v>
      </c>
      <c r="GW13" s="35">
        <v>678.6</v>
      </c>
      <c r="GX13" s="35">
        <v>705</v>
      </c>
      <c r="GY13" s="35">
        <v>745.7</v>
      </c>
      <c r="GZ13" s="35">
        <v>749.2</v>
      </c>
      <c r="HA13" s="35">
        <v>746.1</v>
      </c>
      <c r="HB13" s="35">
        <v>791.4</v>
      </c>
      <c r="HC13">
        <v>818.7</v>
      </c>
      <c r="HD13">
        <v>819</v>
      </c>
      <c r="HE13">
        <v>828.4</v>
      </c>
      <c r="HF13">
        <v>871.5</v>
      </c>
      <c r="HG13">
        <v>911.4</v>
      </c>
      <c r="HH13">
        <v>880.6</v>
      </c>
      <c r="HI13">
        <v>863.3</v>
      </c>
    </row>
    <row r="14" spans="1:217" x14ac:dyDescent="0.35">
      <c r="A14" s="35" t="s">
        <v>2249</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30.5</v>
      </c>
      <c r="GM14" s="35">
        <v>27.5</v>
      </c>
      <c r="GN14" s="35">
        <v>25.3</v>
      </c>
      <c r="GO14" s="35">
        <v>27.1</v>
      </c>
      <c r="GP14" s="35">
        <v>30.5</v>
      </c>
      <c r="GQ14" s="35">
        <v>27.7</v>
      </c>
      <c r="GR14" s="35">
        <v>25</v>
      </c>
      <c r="GS14" s="35">
        <v>26.7</v>
      </c>
      <c r="GT14" s="35">
        <v>40.9</v>
      </c>
      <c r="GU14" s="35">
        <v>951.4</v>
      </c>
      <c r="GV14" s="35">
        <v>802.3</v>
      </c>
      <c r="GW14" s="35">
        <v>323.5</v>
      </c>
      <c r="GX14" s="35">
        <v>583.5</v>
      </c>
      <c r="GY14" s="35">
        <v>451.8</v>
      </c>
      <c r="GZ14" s="35">
        <v>226.8</v>
      </c>
      <c r="HA14" s="35">
        <v>33.9</v>
      </c>
      <c r="HB14" s="35">
        <v>26.2</v>
      </c>
      <c r="HC14">
        <v>21.4</v>
      </c>
      <c r="HD14">
        <v>19.600000000000001</v>
      </c>
      <c r="HE14">
        <v>22.1</v>
      </c>
      <c r="HF14">
        <v>22</v>
      </c>
      <c r="HG14">
        <v>22.3</v>
      </c>
      <c r="HH14">
        <v>21</v>
      </c>
      <c r="HI14">
        <v>22.7</v>
      </c>
    </row>
    <row r="15" spans="1:217" x14ac:dyDescent="0.35">
      <c r="A15" s="35" t="s">
        <v>2250</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2892.2</v>
      </c>
      <c r="GM15" s="35">
        <v>2917.2</v>
      </c>
      <c r="GN15" s="35">
        <v>2937.9</v>
      </c>
      <c r="GO15" s="35">
        <v>2956.5</v>
      </c>
      <c r="GP15" s="35">
        <v>3047.8</v>
      </c>
      <c r="GQ15" s="35">
        <v>3082.2</v>
      </c>
      <c r="GR15" s="35">
        <v>3105.1</v>
      </c>
      <c r="GS15" s="35">
        <v>3119</v>
      </c>
      <c r="GT15" s="35">
        <v>3174.3</v>
      </c>
      <c r="GU15" s="35">
        <v>5464.2</v>
      </c>
      <c r="GV15" s="35">
        <v>4358.2</v>
      </c>
      <c r="GW15" s="35">
        <v>3734.2</v>
      </c>
      <c r="GX15" s="35">
        <v>5993.5</v>
      </c>
      <c r="GY15" s="35">
        <v>4311.8</v>
      </c>
      <c r="GZ15" s="35">
        <v>4050.6</v>
      </c>
      <c r="HA15" s="35">
        <v>3860.6</v>
      </c>
      <c r="HB15" s="35">
        <v>3863.6</v>
      </c>
      <c r="HC15">
        <v>3890.5</v>
      </c>
      <c r="HD15">
        <v>3882.9</v>
      </c>
      <c r="HE15">
        <v>3974.9</v>
      </c>
      <c r="HF15">
        <v>4001.5</v>
      </c>
      <c r="HG15">
        <v>4017.3</v>
      </c>
      <c r="HH15">
        <v>3987.8</v>
      </c>
      <c r="HI15">
        <v>3967.3</v>
      </c>
    </row>
    <row r="16" spans="1:217" x14ac:dyDescent="0.35">
      <c r="A16" s="35" t="s">
        <v>2251</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86.7</v>
      </c>
      <c r="FS16" s="35">
        <v>86.5</v>
      </c>
      <c r="FT16" s="35">
        <v>86.9</v>
      </c>
      <c r="FU16" s="35">
        <v>87.9</v>
      </c>
      <c r="FV16" s="35">
        <v>89.7</v>
      </c>
      <c r="FW16" s="35">
        <v>91.2</v>
      </c>
      <c r="FX16" s="35">
        <v>92.7</v>
      </c>
      <c r="FY16" s="35">
        <v>94.2</v>
      </c>
      <c r="FZ16" s="35">
        <v>97.5</v>
      </c>
      <c r="GA16" s="35">
        <v>98.6</v>
      </c>
      <c r="GB16" s="35">
        <v>99.4</v>
      </c>
      <c r="GC16" s="35">
        <v>99.9</v>
      </c>
      <c r="GD16" s="35">
        <v>101.3</v>
      </c>
      <c r="GE16" s="35">
        <v>101.5</v>
      </c>
      <c r="GF16" s="35">
        <v>101.8</v>
      </c>
      <c r="GG16" s="35">
        <v>102.1</v>
      </c>
      <c r="GH16" s="35">
        <v>103.2</v>
      </c>
      <c r="GI16" s="35">
        <v>103.9</v>
      </c>
      <c r="GJ16" s="35">
        <v>104.9</v>
      </c>
      <c r="GK16" s="35">
        <v>106.3</v>
      </c>
      <c r="GL16" s="35">
        <v>109.1</v>
      </c>
      <c r="GM16" s="35">
        <v>110.6</v>
      </c>
      <c r="GN16" s="35">
        <v>112</v>
      </c>
      <c r="GO16" s="35">
        <v>113.3</v>
      </c>
      <c r="GP16" s="35">
        <v>114.2</v>
      </c>
      <c r="GQ16" s="35">
        <v>114.9</v>
      </c>
      <c r="GR16" s="35">
        <v>114.9</v>
      </c>
      <c r="GS16" s="35">
        <v>114.4</v>
      </c>
      <c r="GT16" s="35">
        <v>107</v>
      </c>
      <c r="GU16" s="35">
        <v>107.2</v>
      </c>
      <c r="GV16" s="35">
        <v>108.7</v>
      </c>
      <c r="GW16" s="35">
        <v>111.6</v>
      </c>
      <c r="GX16" s="35">
        <v>115.6</v>
      </c>
      <c r="GY16" s="35">
        <v>119.1</v>
      </c>
      <c r="GZ16" s="35">
        <v>121.9</v>
      </c>
      <c r="HA16" s="35">
        <v>124.2</v>
      </c>
      <c r="HB16" s="35">
        <v>125.9</v>
      </c>
      <c r="HC16">
        <v>127.3</v>
      </c>
      <c r="HD16">
        <v>128.4</v>
      </c>
      <c r="HE16">
        <v>129.19999999999999</v>
      </c>
      <c r="HF16">
        <v>129.69999999999999</v>
      </c>
      <c r="HG16">
        <v>130.4</v>
      </c>
      <c r="HH16">
        <v>131.19999999999999</v>
      </c>
      <c r="HI16">
        <v>132.1</v>
      </c>
    </row>
    <row r="17" spans="1:217" x14ac:dyDescent="0.35">
      <c r="A17" s="35" t="s">
        <v>2252</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1650.8</v>
      </c>
      <c r="FS17" s="35">
        <v>1683.9</v>
      </c>
      <c r="FT17" s="35">
        <v>1676.3</v>
      </c>
      <c r="FU17" s="35">
        <v>1699.1</v>
      </c>
      <c r="FV17" s="35">
        <v>1745.8</v>
      </c>
      <c r="FW17" s="35">
        <v>1759.5</v>
      </c>
      <c r="FX17" s="35">
        <v>1799.8</v>
      </c>
      <c r="FY17" s="35">
        <v>1837.7</v>
      </c>
      <c r="FZ17" s="35">
        <v>1905.6</v>
      </c>
      <c r="GA17" s="35">
        <v>1943.9</v>
      </c>
      <c r="GB17" s="35">
        <v>1948.3</v>
      </c>
      <c r="GC17" s="35">
        <v>1965.8</v>
      </c>
      <c r="GD17" s="35">
        <v>1925.3</v>
      </c>
      <c r="GE17" s="35">
        <v>1944</v>
      </c>
      <c r="GF17" s="35">
        <v>1972.5</v>
      </c>
      <c r="GG17" s="35">
        <v>1993.2</v>
      </c>
      <c r="GH17" s="35">
        <v>2004.2</v>
      </c>
      <c r="GI17" s="35">
        <v>2012.3</v>
      </c>
      <c r="GJ17" s="35">
        <v>2055.1</v>
      </c>
      <c r="GK17" s="35">
        <v>2123.6999999999998</v>
      </c>
      <c r="GL17" s="35">
        <v>2071.6</v>
      </c>
      <c r="GM17" s="35">
        <v>2058.1</v>
      </c>
      <c r="GN17" s="35">
        <v>2085.3000000000002</v>
      </c>
      <c r="GO17" s="35">
        <v>2081.6</v>
      </c>
      <c r="GP17" s="35">
        <v>2156.6999999999998</v>
      </c>
      <c r="GQ17" s="35">
        <v>2222.1999999999998</v>
      </c>
      <c r="GR17" s="35">
        <v>2197.9</v>
      </c>
      <c r="GS17" s="35">
        <v>2220.4</v>
      </c>
      <c r="GT17" s="35">
        <v>2255.9</v>
      </c>
      <c r="GU17" s="35">
        <v>2111.9</v>
      </c>
      <c r="GV17" s="35">
        <v>2263.3000000000002</v>
      </c>
      <c r="GW17" s="35">
        <v>2394.6999999999998</v>
      </c>
      <c r="GX17" s="35">
        <v>2577.6</v>
      </c>
      <c r="GY17" s="35">
        <v>2703.9</v>
      </c>
      <c r="GZ17" s="35">
        <v>2789.9</v>
      </c>
      <c r="HA17" s="35">
        <v>2901.6</v>
      </c>
      <c r="HB17" s="35">
        <v>3162.8</v>
      </c>
      <c r="HC17">
        <v>3157.8</v>
      </c>
      <c r="HD17">
        <v>3137</v>
      </c>
      <c r="HE17">
        <v>3095.7</v>
      </c>
      <c r="HF17">
        <v>2763.7</v>
      </c>
      <c r="HG17">
        <v>2703.8</v>
      </c>
      <c r="HH17">
        <v>2756.5</v>
      </c>
      <c r="HI17">
        <v>2769.6</v>
      </c>
    </row>
    <row r="18" spans="1:217" x14ac:dyDescent="0.35">
      <c r="A18" s="35" t="s">
        <v>2253</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1175.4000000000001</v>
      </c>
      <c r="FS18" s="35">
        <v>1179.4000000000001</v>
      </c>
      <c r="FT18" s="35">
        <v>1190.2</v>
      </c>
      <c r="FU18" s="35">
        <v>1198.3</v>
      </c>
      <c r="FV18" s="35">
        <v>1215.9000000000001</v>
      </c>
      <c r="FW18" s="35">
        <v>1234.8</v>
      </c>
      <c r="FX18" s="35">
        <v>1245.5999999999999</v>
      </c>
      <c r="FY18" s="35">
        <v>1254.4000000000001</v>
      </c>
      <c r="FZ18" s="35">
        <v>1259.0999999999999</v>
      </c>
      <c r="GA18" s="35">
        <v>1270.9000000000001</v>
      </c>
      <c r="GB18" s="35">
        <v>1275.8</v>
      </c>
      <c r="GC18" s="35">
        <v>1288</v>
      </c>
      <c r="GD18" s="35">
        <v>1292.5</v>
      </c>
      <c r="GE18" s="35">
        <v>1297.5</v>
      </c>
      <c r="GF18" s="35">
        <v>1320.1</v>
      </c>
      <c r="GG18" s="35">
        <v>1326.4</v>
      </c>
      <c r="GH18" s="35">
        <v>1336.9</v>
      </c>
      <c r="GI18" s="35">
        <v>1353.5</v>
      </c>
      <c r="GJ18" s="35">
        <v>1372</v>
      </c>
      <c r="GK18" s="35">
        <v>1393.5</v>
      </c>
      <c r="GL18" s="35">
        <v>1423.3</v>
      </c>
      <c r="GM18" s="35">
        <v>1440.9</v>
      </c>
      <c r="GN18" s="35">
        <v>1463.6</v>
      </c>
      <c r="GO18" s="35">
        <v>1500.6</v>
      </c>
      <c r="GP18" s="35">
        <v>1507.5</v>
      </c>
      <c r="GQ18" s="35">
        <v>1519.2</v>
      </c>
      <c r="GR18" s="35">
        <v>1552</v>
      </c>
      <c r="GS18" s="35">
        <v>1553.8</v>
      </c>
      <c r="GT18" s="35">
        <v>1562.6</v>
      </c>
      <c r="GU18" s="35">
        <v>1420.9</v>
      </c>
      <c r="GV18" s="35">
        <v>1535.8</v>
      </c>
      <c r="GW18" s="35">
        <v>1562.7</v>
      </c>
      <c r="GX18" s="35">
        <v>1581.7</v>
      </c>
      <c r="GY18" s="35">
        <v>1675.1</v>
      </c>
      <c r="GZ18" s="35">
        <v>1685.4</v>
      </c>
      <c r="HA18" s="35">
        <v>1745.5</v>
      </c>
      <c r="HB18" s="35">
        <v>1784</v>
      </c>
      <c r="HC18">
        <v>1812.3</v>
      </c>
      <c r="HD18">
        <v>1824</v>
      </c>
      <c r="HE18">
        <v>1820.6</v>
      </c>
      <c r="HF18">
        <v>1831.1</v>
      </c>
      <c r="HG18">
        <v>1821.6</v>
      </c>
      <c r="HH18">
        <v>1830.7</v>
      </c>
      <c r="HI18">
        <v>1839.3</v>
      </c>
    </row>
    <row r="19" spans="1:217" x14ac:dyDescent="0.35">
      <c r="A19" s="35" t="s">
        <v>2254</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350.6</v>
      </c>
      <c r="FS19" s="35">
        <v>347.2</v>
      </c>
      <c r="FT19" s="35">
        <v>353.9</v>
      </c>
      <c r="FU19" s="35">
        <v>356.6</v>
      </c>
      <c r="FV19" s="35">
        <v>392.6</v>
      </c>
      <c r="FW19" s="35">
        <v>414.3</v>
      </c>
      <c r="FX19" s="35">
        <v>386.7</v>
      </c>
      <c r="FY19" s="35">
        <v>390.4</v>
      </c>
      <c r="FZ19" s="35">
        <v>402.7</v>
      </c>
      <c r="GA19" s="35">
        <v>408.3</v>
      </c>
      <c r="GB19" s="35">
        <v>380.2</v>
      </c>
      <c r="GC19" s="35">
        <v>349.3</v>
      </c>
      <c r="GD19" s="35">
        <v>364.1</v>
      </c>
      <c r="GE19" s="35">
        <v>367.1</v>
      </c>
      <c r="GF19" s="35">
        <v>375.5</v>
      </c>
      <c r="GG19" s="35">
        <v>353.4</v>
      </c>
      <c r="GH19" s="35">
        <v>266.89999999999998</v>
      </c>
      <c r="GI19" s="35">
        <v>279.60000000000002</v>
      </c>
      <c r="GJ19" s="35">
        <v>295.7</v>
      </c>
      <c r="GK19" s="35">
        <v>296.89999999999998</v>
      </c>
      <c r="GL19" s="35">
        <v>270.39999999999998</v>
      </c>
      <c r="GM19" s="35">
        <v>289.5</v>
      </c>
      <c r="GN19" s="35">
        <v>287.10000000000002</v>
      </c>
      <c r="GO19" s="35">
        <v>293.3</v>
      </c>
      <c r="GP19" s="35">
        <v>273.3</v>
      </c>
      <c r="GQ19" s="35">
        <v>285.10000000000002</v>
      </c>
      <c r="GR19" s="35">
        <v>272.5</v>
      </c>
      <c r="GS19" s="35">
        <v>304.8</v>
      </c>
      <c r="GT19" s="35">
        <v>255.4</v>
      </c>
      <c r="GU19" s="35">
        <v>263.5</v>
      </c>
      <c r="GV19" s="35">
        <v>326.39999999999998</v>
      </c>
      <c r="GW19" s="35">
        <v>333.2</v>
      </c>
      <c r="GX19" s="35">
        <v>338.9</v>
      </c>
      <c r="GY19" s="35">
        <v>378.9</v>
      </c>
      <c r="GZ19" s="35">
        <v>391.5</v>
      </c>
      <c r="HA19" s="35">
        <v>454</v>
      </c>
      <c r="HB19">
        <v>513.9</v>
      </c>
      <c r="HC19">
        <v>532.29999999999995</v>
      </c>
      <c r="HD19">
        <v>529.79999999999995</v>
      </c>
      <c r="HE19">
        <v>534.1</v>
      </c>
      <c r="HF19">
        <v>561.1</v>
      </c>
      <c r="HG19">
        <v>554.1</v>
      </c>
      <c r="HH19">
        <v>566.70000000000005</v>
      </c>
    </row>
    <row r="20" spans="1:217" x14ac:dyDescent="0.35">
      <c r="A20" s="35" t="s">
        <v>2255</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3130.4</v>
      </c>
      <c r="FP20" s="35">
        <v>3139.1</v>
      </c>
      <c r="FQ20" s="35">
        <v>3132.3</v>
      </c>
      <c r="FR20" s="35">
        <v>3123.5</v>
      </c>
      <c r="FS20" s="35">
        <v>3131.1</v>
      </c>
      <c r="FT20" s="35">
        <v>3135.2</v>
      </c>
      <c r="FU20" s="35">
        <v>3140.5</v>
      </c>
      <c r="FV20" s="35">
        <v>3139.1</v>
      </c>
      <c r="FW20" s="35">
        <v>3154.4</v>
      </c>
      <c r="FX20" s="35">
        <v>3191.7</v>
      </c>
      <c r="FY20" s="35">
        <v>3189.3</v>
      </c>
      <c r="FZ20" s="35">
        <v>3187.9</v>
      </c>
      <c r="GA20" s="35">
        <v>3234.1</v>
      </c>
      <c r="GB20" s="35">
        <v>3253.6</v>
      </c>
      <c r="GC20" s="35">
        <v>3258.1</v>
      </c>
      <c r="GD20" s="35">
        <v>3270.1</v>
      </c>
      <c r="GE20" s="35">
        <v>3289.6</v>
      </c>
      <c r="GF20" s="35">
        <v>3315.2</v>
      </c>
      <c r="GG20" s="35">
        <v>3337.2</v>
      </c>
      <c r="GH20" s="35">
        <v>3353.1</v>
      </c>
      <c r="GI20" s="35">
        <v>3370.4</v>
      </c>
      <c r="GJ20" s="35">
        <v>3398.9</v>
      </c>
      <c r="GK20" s="35">
        <v>3466.1</v>
      </c>
      <c r="GL20" s="35">
        <v>3513.9</v>
      </c>
      <c r="GM20" s="35">
        <v>3570.7</v>
      </c>
      <c r="GN20" s="35">
        <v>3626.1</v>
      </c>
      <c r="GO20" s="35">
        <v>3650.8</v>
      </c>
      <c r="GP20" s="35">
        <v>3704.5</v>
      </c>
      <c r="GQ20" s="35">
        <v>3768.2</v>
      </c>
      <c r="GR20" s="35">
        <v>3821.5</v>
      </c>
      <c r="GS20" s="35">
        <v>3865.3</v>
      </c>
      <c r="GT20" s="35">
        <v>3943.7</v>
      </c>
      <c r="GU20" s="35">
        <v>4021.1</v>
      </c>
      <c r="GV20" s="35">
        <v>3996</v>
      </c>
      <c r="GW20" s="35">
        <v>4018.3</v>
      </c>
      <c r="GX20" s="35">
        <v>4143.8999999999996</v>
      </c>
      <c r="GY20" s="35">
        <v>4160.2</v>
      </c>
      <c r="GZ20" s="35">
        <v>4201.5</v>
      </c>
      <c r="HA20" s="35">
        <v>4266.6000000000004</v>
      </c>
      <c r="HB20" s="35">
        <v>4321.3999999999996</v>
      </c>
      <c r="HC20">
        <v>4415.7</v>
      </c>
      <c r="HD20">
        <v>4477.8999999999996</v>
      </c>
      <c r="HE20">
        <v>4572.3999999999996</v>
      </c>
      <c r="HF20">
        <v>4643.8999999999996</v>
      </c>
      <c r="HG20">
        <v>4669.8</v>
      </c>
      <c r="HH20">
        <v>4794.8</v>
      </c>
      <c r="HI20">
        <v>4856.8</v>
      </c>
    </row>
    <row r="21" spans="1:217" x14ac:dyDescent="0.35">
      <c r="A21" s="35" t="s">
        <v>2256</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1359</v>
      </c>
      <c r="GN21" s="35">
        <v>1375.7</v>
      </c>
      <c r="GO21" s="35">
        <v>1384.3</v>
      </c>
      <c r="GP21" s="35">
        <v>1416.8</v>
      </c>
      <c r="GQ21" s="35">
        <v>1424.1</v>
      </c>
      <c r="GR21" s="35">
        <v>1430.6</v>
      </c>
      <c r="GS21" s="35">
        <v>1448.4</v>
      </c>
      <c r="GT21" s="35">
        <v>1473.5</v>
      </c>
      <c r="GU21" s="35">
        <v>1402.7</v>
      </c>
      <c r="GV21" s="35">
        <v>1452.4</v>
      </c>
      <c r="GW21" s="35">
        <v>1489.7</v>
      </c>
      <c r="GX21" s="35">
        <v>1505.9</v>
      </c>
      <c r="GY21" s="35">
        <v>1541.8</v>
      </c>
      <c r="GZ21" s="35">
        <v>1579.4</v>
      </c>
      <c r="HA21" s="35">
        <v>1626.3</v>
      </c>
      <c r="HB21" s="35">
        <v>1668.8</v>
      </c>
      <c r="HC21">
        <v>1690.4</v>
      </c>
      <c r="HD21">
        <v>1731.9</v>
      </c>
      <c r="HE21">
        <v>1738.6</v>
      </c>
      <c r="HF21">
        <v>1779.9</v>
      </c>
      <c r="HG21">
        <v>1800.1</v>
      </c>
      <c r="HH21">
        <v>1820.3</v>
      </c>
      <c r="HI21">
        <v>1838.5</v>
      </c>
    </row>
    <row r="22" spans="1:217" x14ac:dyDescent="0.35">
      <c r="A22" s="35" t="s">
        <v>2257</v>
      </c>
      <c r="B22" s="35">
        <v>19.443000000000001</v>
      </c>
      <c r="C22" s="35">
        <v>19.658999999999999</v>
      </c>
      <c r="D22" s="35">
        <v>19.850000000000001</v>
      </c>
      <c r="E22" s="35">
        <v>20.106999999999999</v>
      </c>
      <c r="F22" s="35">
        <v>20.297000000000001</v>
      </c>
      <c r="G22" s="35">
        <v>20.527999999999999</v>
      </c>
      <c r="H22" s="35">
        <v>20.728999999999999</v>
      </c>
      <c r="I22" s="35">
        <v>20.856999999999999</v>
      </c>
      <c r="J22" s="35">
        <v>21.076000000000001</v>
      </c>
      <c r="K22" s="35">
        <v>21.198</v>
      </c>
      <c r="L22" s="35">
        <v>21.384</v>
      </c>
      <c r="M22" s="35">
        <v>21.559000000000001</v>
      </c>
      <c r="N22" s="35">
        <v>21.821000000000002</v>
      </c>
      <c r="O22" s="35">
        <v>22.241</v>
      </c>
      <c r="P22" s="35">
        <v>22.646999999999998</v>
      </c>
      <c r="Q22" s="35">
        <v>23.111999999999998</v>
      </c>
      <c r="R22" s="35">
        <v>23.8</v>
      </c>
      <c r="S22" s="35">
        <v>24.474</v>
      </c>
      <c r="T22" s="35">
        <v>25.134</v>
      </c>
      <c r="U22" s="35">
        <v>25.77</v>
      </c>
      <c r="V22" s="35">
        <v>26.251000000000001</v>
      </c>
      <c r="W22" s="35">
        <v>26.571000000000002</v>
      </c>
      <c r="X22" s="35">
        <v>27.067</v>
      </c>
      <c r="Y22" s="35">
        <v>27.521000000000001</v>
      </c>
      <c r="Z22" s="35">
        <v>27.826000000000001</v>
      </c>
      <c r="AA22" s="35">
        <v>28.06</v>
      </c>
      <c r="AB22" s="35">
        <v>28.488</v>
      </c>
      <c r="AC22" s="35">
        <v>28.937999999999999</v>
      </c>
      <c r="AD22" s="35">
        <v>29.46</v>
      </c>
      <c r="AE22" s="35">
        <v>29.963000000000001</v>
      </c>
      <c r="AF22" s="35">
        <v>30.414000000000001</v>
      </c>
      <c r="AG22" s="35">
        <v>30.846</v>
      </c>
      <c r="AH22" s="35">
        <v>31.35</v>
      </c>
      <c r="AI22" s="35">
        <v>31.994</v>
      </c>
      <c r="AJ22" s="35">
        <v>32.555999999999997</v>
      </c>
      <c r="AK22" s="35">
        <v>33.171999999999997</v>
      </c>
      <c r="AL22" s="35">
        <v>33.798000000000002</v>
      </c>
      <c r="AM22" s="35">
        <v>34.722999999999999</v>
      </c>
      <c r="AN22" s="35">
        <v>35.585000000000001</v>
      </c>
      <c r="AO22" s="35">
        <v>36.448</v>
      </c>
      <c r="AP22" s="35">
        <v>37.542000000000002</v>
      </c>
      <c r="AQ22" s="35">
        <v>38.462000000000003</v>
      </c>
      <c r="AR22" s="35">
        <v>39.362000000000002</v>
      </c>
      <c r="AS22" s="35">
        <v>40.337000000000003</v>
      </c>
      <c r="AT22" s="35">
        <v>41.384999999999998</v>
      </c>
      <c r="AU22" s="35">
        <v>42.079000000000001</v>
      </c>
      <c r="AV22" s="35">
        <v>42.771999999999998</v>
      </c>
      <c r="AW22" s="35">
        <v>43.426000000000002</v>
      </c>
      <c r="AX22" s="35">
        <v>43.975000000000001</v>
      </c>
      <c r="AY22" s="35">
        <v>44.396999999999998</v>
      </c>
      <c r="AZ22" s="35">
        <v>45.095999999999997</v>
      </c>
      <c r="BA22" s="35">
        <v>45.591999999999999</v>
      </c>
      <c r="BB22" s="35">
        <v>45.966999999999999</v>
      </c>
      <c r="BC22" s="35">
        <v>46.387</v>
      </c>
      <c r="BD22" s="35">
        <v>46.997</v>
      </c>
      <c r="BE22" s="35">
        <v>47.308999999999997</v>
      </c>
      <c r="BF22" s="35">
        <v>47.823</v>
      </c>
      <c r="BG22" s="35">
        <v>48.287999999999997</v>
      </c>
      <c r="BH22" s="35">
        <v>48.661000000000001</v>
      </c>
      <c r="BI22" s="35">
        <v>48.962000000000003</v>
      </c>
      <c r="BJ22" s="35">
        <v>49.537999999999997</v>
      </c>
      <c r="BK22" s="35">
        <v>49.94</v>
      </c>
      <c r="BL22" s="35">
        <v>50.332000000000001</v>
      </c>
      <c r="BM22" s="35">
        <v>50.683</v>
      </c>
      <c r="BN22" s="35">
        <v>51.043999999999997</v>
      </c>
      <c r="BO22" s="35">
        <v>50.991</v>
      </c>
      <c r="BP22" s="35">
        <v>51.26</v>
      </c>
      <c r="BQ22" s="35">
        <v>51.57</v>
      </c>
      <c r="BR22" s="35">
        <v>52.057000000000002</v>
      </c>
      <c r="BS22" s="35">
        <v>52.558999999999997</v>
      </c>
      <c r="BT22" s="35">
        <v>53.055999999999997</v>
      </c>
      <c r="BU22" s="35">
        <v>53.514000000000003</v>
      </c>
      <c r="BV22" s="35">
        <v>53.936</v>
      </c>
      <c r="BW22" s="35">
        <v>54.531999999999996</v>
      </c>
      <c r="BX22" s="35">
        <v>55.204000000000001</v>
      </c>
      <c r="BY22" s="35">
        <v>55.762</v>
      </c>
      <c r="BZ22" s="35">
        <v>56.404000000000003</v>
      </c>
      <c r="CA22" s="35">
        <v>57.164999999999999</v>
      </c>
      <c r="CB22" s="35">
        <v>57.503</v>
      </c>
      <c r="CC22" s="35">
        <v>57.957000000000001</v>
      </c>
      <c r="CD22" s="35">
        <v>58.798999999999999</v>
      </c>
      <c r="CE22" s="35">
        <v>59.332999999999998</v>
      </c>
      <c r="CF22" s="35">
        <v>60.087000000000003</v>
      </c>
      <c r="CG22" s="35">
        <v>60.881999999999998</v>
      </c>
      <c r="CH22" s="35">
        <v>61.201000000000001</v>
      </c>
      <c r="CI22" s="35">
        <v>61.533999999999999</v>
      </c>
      <c r="CJ22" s="35">
        <v>61.951000000000001</v>
      </c>
      <c r="CK22" s="35">
        <v>62.4</v>
      </c>
      <c r="CL22" s="35">
        <v>62.79</v>
      </c>
      <c r="CM22" s="35">
        <v>63.207000000000001</v>
      </c>
      <c r="CN22" s="35">
        <v>63.61</v>
      </c>
      <c r="CO22" s="35">
        <v>64.054000000000002</v>
      </c>
      <c r="CP22" s="35">
        <v>64.436000000000007</v>
      </c>
      <c r="CQ22" s="35">
        <v>64.869</v>
      </c>
      <c r="CR22" s="35">
        <v>65.150999999999996</v>
      </c>
      <c r="CS22" s="35">
        <v>65.527000000000001</v>
      </c>
      <c r="CT22" s="35">
        <v>65.760999999999996</v>
      </c>
      <c r="CU22" s="35">
        <v>66.128</v>
      </c>
      <c r="CV22" s="35">
        <v>66.602999999999994</v>
      </c>
      <c r="CW22" s="35">
        <v>66.915999999999997</v>
      </c>
      <c r="CX22" s="35">
        <v>67.244</v>
      </c>
      <c r="CY22" s="35">
        <v>67.635000000000005</v>
      </c>
      <c r="CZ22" s="35">
        <v>67.912000000000006</v>
      </c>
      <c r="DA22" s="35">
        <v>68.209999999999994</v>
      </c>
      <c r="DB22" s="35">
        <v>68.588999999999999</v>
      </c>
      <c r="DC22" s="35">
        <v>69.048000000000002</v>
      </c>
      <c r="DD22" s="35">
        <v>69.341999999999999</v>
      </c>
      <c r="DE22" s="35">
        <v>69.814999999999998</v>
      </c>
      <c r="DF22" s="35">
        <v>70.123999999999995</v>
      </c>
      <c r="DG22" s="35">
        <v>70.3</v>
      </c>
      <c r="DH22" s="35">
        <v>70.484999999999999</v>
      </c>
      <c r="DI22" s="35">
        <v>70.706999999999994</v>
      </c>
      <c r="DJ22" s="35">
        <v>70.712999999999994</v>
      </c>
      <c r="DK22" s="35">
        <v>70.84</v>
      </c>
      <c r="DL22" s="35">
        <v>71.058000000000007</v>
      </c>
      <c r="DM22" s="35">
        <v>71.245000000000005</v>
      </c>
      <c r="DN22" s="35">
        <v>71.384</v>
      </c>
      <c r="DO22" s="35">
        <v>71.789000000000001</v>
      </c>
      <c r="DP22" s="35">
        <v>72.183000000000007</v>
      </c>
      <c r="DQ22" s="35">
        <v>72.622</v>
      </c>
      <c r="DR22" s="35">
        <v>73.212000000000003</v>
      </c>
      <c r="DS22" s="35">
        <v>73.561999999999998</v>
      </c>
      <c r="DT22" s="35">
        <v>74.037000000000006</v>
      </c>
      <c r="DU22" s="35">
        <v>74.456999999999994</v>
      </c>
      <c r="DV22" s="35">
        <v>75.010999999999996</v>
      </c>
      <c r="DW22" s="35">
        <v>75.363</v>
      </c>
      <c r="DX22" s="35">
        <v>75.400999999999996</v>
      </c>
      <c r="DY22" s="35">
        <v>75.430999999999997</v>
      </c>
      <c r="DZ22" s="35">
        <v>75.581999999999994</v>
      </c>
      <c r="EA22" s="35">
        <v>76.141999999999996</v>
      </c>
      <c r="EB22" s="35">
        <v>76.534999999999997</v>
      </c>
      <c r="EC22" s="35">
        <v>76.891999999999996</v>
      </c>
      <c r="ED22" s="35">
        <v>77.48</v>
      </c>
      <c r="EE22" s="35">
        <v>77.557000000000002</v>
      </c>
      <c r="EF22" s="35">
        <v>78.067999999999998</v>
      </c>
      <c r="EG22" s="35">
        <v>78.450999999999993</v>
      </c>
      <c r="EH22" s="35">
        <v>79.055999999999997</v>
      </c>
      <c r="EI22" s="35">
        <v>79.587000000000003</v>
      </c>
      <c r="EJ22" s="35">
        <v>79.978999999999999</v>
      </c>
      <c r="EK22" s="35">
        <v>80.662000000000006</v>
      </c>
      <c r="EL22" s="35">
        <v>81.131</v>
      </c>
      <c r="EM22" s="35">
        <v>81.644000000000005</v>
      </c>
      <c r="EN22" s="35">
        <v>82.525999999999996</v>
      </c>
      <c r="EO22" s="35">
        <v>83.183999999999997</v>
      </c>
      <c r="EP22" s="35">
        <v>83.617000000000004</v>
      </c>
      <c r="EQ22" s="35">
        <v>84.352000000000004</v>
      </c>
      <c r="ER22" s="35">
        <v>84.959000000000003</v>
      </c>
      <c r="ES22" s="35">
        <v>84.817999999999998</v>
      </c>
      <c r="ET22" s="35">
        <v>85.593000000000004</v>
      </c>
      <c r="EU22" s="35">
        <v>86.319000000000003</v>
      </c>
      <c r="EV22" s="35">
        <v>86.808000000000007</v>
      </c>
      <c r="EW22" s="35">
        <v>87.691000000000003</v>
      </c>
      <c r="EX22" s="35">
        <v>88.406999999999996</v>
      </c>
      <c r="EY22" s="35">
        <v>89.269000000000005</v>
      </c>
      <c r="EZ22" s="35">
        <v>90.221999999999994</v>
      </c>
      <c r="FA22" s="35">
        <v>88.781000000000006</v>
      </c>
      <c r="FB22" s="35">
        <v>88.180999999999997</v>
      </c>
      <c r="FC22" s="35">
        <v>88.531000000000006</v>
      </c>
      <c r="FD22" s="35">
        <v>89.141000000000005</v>
      </c>
      <c r="FE22" s="35">
        <v>89.828000000000003</v>
      </c>
      <c r="FF22" s="35">
        <v>90.174999999999997</v>
      </c>
      <c r="FG22" s="35">
        <v>90.313999999999993</v>
      </c>
      <c r="FH22" s="35">
        <v>90.488</v>
      </c>
      <c r="FI22" s="35">
        <v>91.067999999999998</v>
      </c>
      <c r="FJ22" s="35">
        <v>91.832999999999998</v>
      </c>
      <c r="FK22" s="35">
        <v>92.736999999999995</v>
      </c>
      <c r="FL22" s="35">
        <v>93.165999999999997</v>
      </c>
      <c r="FM22" s="35">
        <v>93.474000000000004</v>
      </c>
      <c r="FN22" s="35">
        <v>94.093000000000004</v>
      </c>
      <c r="FO22" s="35">
        <v>94.32</v>
      </c>
      <c r="FP22" s="35">
        <v>94.593999999999994</v>
      </c>
      <c r="FQ22" s="35">
        <v>95.123999999999995</v>
      </c>
      <c r="FR22" s="35">
        <v>95.457999999999998</v>
      </c>
      <c r="FS22" s="35">
        <v>95.506</v>
      </c>
      <c r="FT22" s="35">
        <v>95.899000000000001</v>
      </c>
      <c r="FU22" s="35">
        <v>96.251999999999995</v>
      </c>
      <c r="FV22" s="35">
        <v>96.694000000000003</v>
      </c>
      <c r="FW22" s="35">
        <v>97.126000000000005</v>
      </c>
      <c r="FX22" s="35">
        <v>97.391999999999996</v>
      </c>
      <c r="FY22" s="35">
        <v>97.263000000000005</v>
      </c>
      <c r="FZ22" s="35">
        <v>96.826999999999998</v>
      </c>
      <c r="GA22" s="35">
        <v>97.311000000000007</v>
      </c>
      <c r="GB22" s="35">
        <v>97.563000000000002</v>
      </c>
      <c r="GC22" s="35">
        <v>97.488</v>
      </c>
      <c r="GD22" s="35">
        <v>97.534999999999997</v>
      </c>
      <c r="GE22" s="35">
        <v>98.153999999999996</v>
      </c>
      <c r="GF22" s="35">
        <v>98.492000000000004</v>
      </c>
      <c r="GG22" s="35">
        <v>98.942999999999998</v>
      </c>
      <c r="GH22" s="35">
        <v>99.52</v>
      </c>
      <c r="GI22" s="35">
        <v>99.72</v>
      </c>
      <c r="GJ22" s="35">
        <v>100.07299999999999</v>
      </c>
      <c r="GK22" s="35">
        <v>100.672</v>
      </c>
      <c r="GL22" s="35">
        <v>101.377</v>
      </c>
      <c r="GM22" s="35">
        <v>101.91</v>
      </c>
      <c r="GN22" s="35">
        <v>102.252</v>
      </c>
      <c r="GO22" s="35">
        <v>102.64</v>
      </c>
      <c r="GP22" s="35">
        <v>102.875</v>
      </c>
      <c r="GQ22" s="35">
        <v>103.419</v>
      </c>
      <c r="GR22" s="35">
        <v>103.67</v>
      </c>
      <c r="GS22" s="35">
        <v>104.07299999999999</v>
      </c>
      <c r="GT22" s="35">
        <v>104.40600000000001</v>
      </c>
      <c r="GU22" s="35">
        <v>103.949</v>
      </c>
      <c r="GV22" s="35">
        <v>104.801</v>
      </c>
      <c r="GW22" s="35">
        <v>105.319</v>
      </c>
      <c r="GX22" s="35">
        <v>106.547</v>
      </c>
      <c r="GY22" s="35">
        <v>108.17400000000001</v>
      </c>
      <c r="GZ22" s="35">
        <v>109.673</v>
      </c>
      <c r="HA22" s="35">
        <v>111.48699999999999</v>
      </c>
      <c r="HB22" s="35">
        <v>113.574</v>
      </c>
      <c r="HC22">
        <v>115.568</v>
      </c>
      <c r="HD22">
        <v>116.902</v>
      </c>
      <c r="HE22">
        <v>118.098</v>
      </c>
      <c r="HF22">
        <v>119.309</v>
      </c>
      <c r="HG22">
        <v>120.044</v>
      </c>
      <c r="HH22">
        <v>120.81399999999999</v>
      </c>
      <c r="HI22">
        <v>121.312</v>
      </c>
    </row>
    <row r="23" spans="1:217" x14ac:dyDescent="0.35">
      <c r="A23" s="35" t="s">
        <v>2258</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v>
      </c>
      <c r="FH23" s="35">
        <v>1304.3</v>
      </c>
      <c r="FI23" s="35">
        <v>1312.9</v>
      </c>
      <c r="FJ23" s="35">
        <v>1306</v>
      </c>
      <c r="FK23" s="35">
        <v>1312.7</v>
      </c>
      <c r="FL23" s="35">
        <v>1288.7</v>
      </c>
      <c r="FM23" s="35">
        <v>1291.7</v>
      </c>
      <c r="FN23" s="35">
        <v>1296.0999999999999</v>
      </c>
      <c r="FO23" s="35">
        <v>1288.5999999999999</v>
      </c>
      <c r="FP23" s="35">
        <v>1293.8</v>
      </c>
      <c r="FQ23" s="35">
        <v>1269.5999999999999</v>
      </c>
      <c r="FR23" s="35">
        <v>1240.0999999999999</v>
      </c>
      <c r="FS23" s="35">
        <v>1232.5999999999999</v>
      </c>
      <c r="FT23" s="35">
        <v>1219.5999999999999</v>
      </c>
      <c r="FU23" s="35">
        <v>1217.3</v>
      </c>
      <c r="FV23" s="35">
        <v>1212.9000000000001</v>
      </c>
      <c r="FW23" s="35">
        <v>1211</v>
      </c>
      <c r="FX23" s="35">
        <v>1230.5999999999999</v>
      </c>
      <c r="FY23" s="35">
        <v>1213.7</v>
      </c>
      <c r="FZ23" s="35">
        <v>1216.2</v>
      </c>
      <c r="GA23" s="35">
        <v>1222.4000000000001</v>
      </c>
      <c r="GB23" s="35">
        <v>1222.4000000000001</v>
      </c>
      <c r="GC23" s="35">
        <v>1230.0999999999999</v>
      </c>
      <c r="GD23" s="35">
        <v>1229.5999999999999</v>
      </c>
      <c r="GE23" s="35">
        <v>1230</v>
      </c>
      <c r="GF23" s="35">
        <v>1241.3</v>
      </c>
      <c r="GG23" s="35">
        <v>1248.5</v>
      </c>
      <c r="GH23" s="35">
        <v>1249.0999999999999</v>
      </c>
      <c r="GI23" s="35">
        <v>1259.9000000000001</v>
      </c>
      <c r="GJ23" s="35">
        <v>1264.5999999999999</v>
      </c>
      <c r="GK23" s="35">
        <v>1290.7</v>
      </c>
      <c r="GL23" s="35">
        <v>1316.2</v>
      </c>
      <c r="GM23" s="35">
        <v>1334.7</v>
      </c>
      <c r="GN23" s="35">
        <v>1358.9</v>
      </c>
      <c r="GO23" s="35">
        <v>1375.4</v>
      </c>
      <c r="GP23" s="35">
        <v>1401.1</v>
      </c>
      <c r="GQ23" s="35">
        <v>1412.1</v>
      </c>
      <c r="GR23" s="35">
        <v>1433.6</v>
      </c>
      <c r="GS23" s="35">
        <v>1442</v>
      </c>
      <c r="GT23" s="35">
        <v>1464.7</v>
      </c>
      <c r="GU23" s="35">
        <v>1569.8</v>
      </c>
      <c r="GV23" s="35">
        <v>1527.7</v>
      </c>
      <c r="GW23" s="35">
        <v>1531.4</v>
      </c>
      <c r="GX23" s="35">
        <v>1609.9</v>
      </c>
      <c r="GY23" s="35">
        <v>1588.5</v>
      </c>
      <c r="GZ23" s="35">
        <v>1576.4</v>
      </c>
      <c r="HA23" s="35">
        <v>1602.5</v>
      </c>
      <c r="HB23" s="35">
        <v>1601.7</v>
      </c>
      <c r="HC23">
        <v>1612.3</v>
      </c>
      <c r="HD23">
        <v>1636.3</v>
      </c>
      <c r="HE23">
        <v>1691.8</v>
      </c>
      <c r="HF23">
        <v>1730.6</v>
      </c>
      <c r="HG23">
        <v>1744.3</v>
      </c>
      <c r="HH23">
        <v>1791.9</v>
      </c>
      <c r="HI23">
        <v>1819.8</v>
      </c>
    </row>
    <row r="24" spans="1:217" x14ac:dyDescent="0.35">
      <c r="A24" s="35" t="s">
        <v>2259</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1883.4</v>
      </c>
      <c r="FS24" s="35">
        <v>1898.6</v>
      </c>
      <c r="FT24" s="35">
        <v>1915.6</v>
      </c>
      <c r="FU24" s="35">
        <v>1923.3</v>
      </c>
      <c r="FV24" s="35">
        <v>1926.1</v>
      </c>
      <c r="FW24" s="35">
        <v>1943.4</v>
      </c>
      <c r="FX24" s="35">
        <v>1961.1</v>
      </c>
      <c r="FY24" s="35">
        <v>1975.5</v>
      </c>
      <c r="FZ24" s="35">
        <v>1971.7</v>
      </c>
      <c r="GA24" s="35">
        <v>2011.7</v>
      </c>
      <c r="GB24" s="35">
        <v>2031.2</v>
      </c>
      <c r="GC24" s="35">
        <v>2028.1</v>
      </c>
      <c r="GD24" s="35">
        <v>2040.5</v>
      </c>
      <c r="GE24" s="35">
        <v>2059.6</v>
      </c>
      <c r="GF24" s="35">
        <v>2073.9</v>
      </c>
      <c r="GG24" s="35">
        <v>2088.8000000000002</v>
      </c>
      <c r="GH24" s="35">
        <v>2104</v>
      </c>
      <c r="GI24" s="35">
        <v>2110.6</v>
      </c>
      <c r="GJ24" s="35">
        <v>2134.3000000000002</v>
      </c>
      <c r="GK24" s="35">
        <v>2175.4</v>
      </c>
      <c r="GL24" s="35">
        <v>2197.6999999999998</v>
      </c>
      <c r="GM24" s="35">
        <v>2236</v>
      </c>
      <c r="GN24" s="35">
        <v>2267.1999999999998</v>
      </c>
      <c r="GO24" s="35">
        <v>2275.5</v>
      </c>
      <c r="GP24" s="35">
        <v>2303.5</v>
      </c>
      <c r="GQ24" s="35">
        <v>2356.1</v>
      </c>
      <c r="GR24" s="35">
        <v>2387.9</v>
      </c>
      <c r="GS24" s="35">
        <v>2423.4</v>
      </c>
      <c r="GT24" s="35">
        <v>2478.9</v>
      </c>
      <c r="GU24" s="35">
        <v>2451.3000000000002</v>
      </c>
      <c r="GV24" s="35">
        <v>2468.3000000000002</v>
      </c>
      <c r="GW24" s="35">
        <v>2486.9</v>
      </c>
      <c r="GX24" s="35">
        <v>2533.9</v>
      </c>
      <c r="GY24" s="35">
        <v>2571.6999999999998</v>
      </c>
      <c r="GZ24" s="35">
        <v>2625.1</v>
      </c>
      <c r="HA24" s="35">
        <v>2664.2</v>
      </c>
      <c r="HB24" s="35">
        <v>2719.7</v>
      </c>
      <c r="HC24">
        <v>2803.4</v>
      </c>
      <c r="HD24">
        <v>2841.5</v>
      </c>
      <c r="HE24">
        <v>2880.6</v>
      </c>
      <c r="HF24">
        <v>2913.2</v>
      </c>
      <c r="HG24">
        <v>2925.5</v>
      </c>
      <c r="HH24">
        <v>3002.9</v>
      </c>
      <c r="HI24">
        <v>3036.9</v>
      </c>
    </row>
    <row r="25" spans="1:217" x14ac:dyDescent="0.35">
      <c r="A25" s="35" t="s">
        <v>2260</v>
      </c>
      <c r="B25" s="35">
        <v>753.5</v>
      </c>
      <c r="C25" s="35">
        <v>733.7</v>
      </c>
      <c r="D25" s="35">
        <v>724.6</v>
      </c>
      <c r="E25" s="35">
        <v>721.9</v>
      </c>
      <c r="F25" s="35">
        <v>698.7</v>
      </c>
      <c r="G25" s="35">
        <v>690.5</v>
      </c>
      <c r="H25" s="35">
        <v>687.5</v>
      </c>
      <c r="I25" s="35">
        <v>669.4</v>
      </c>
      <c r="J25" s="35">
        <v>674.9</v>
      </c>
      <c r="K25" s="35">
        <v>681.4</v>
      </c>
      <c r="L25" s="35">
        <v>650.20000000000005</v>
      </c>
      <c r="M25" s="35">
        <v>651.9</v>
      </c>
      <c r="N25" s="35">
        <v>660.3</v>
      </c>
      <c r="O25" s="35">
        <v>649.70000000000005</v>
      </c>
      <c r="P25" s="35">
        <v>626.70000000000005</v>
      </c>
      <c r="Q25" s="35">
        <v>628.1</v>
      </c>
      <c r="R25" s="35">
        <v>643.20000000000005</v>
      </c>
      <c r="S25" s="35">
        <v>641</v>
      </c>
      <c r="T25" s="35">
        <v>645.1</v>
      </c>
      <c r="U25" s="35">
        <v>651.5</v>
      </c>
      <c r="V25" s="35">
        <v>644.70000000000005</v>
      </c>
      <c r="W25" s="35">
        <v>638.29999999999995</v>
      </c>
      <c r="X25" s="35">
        <v>654.70000000000005</v>
      </c>
      <c r="Y25" s="35">
        <v>656.9</v>
      </c>
      <c r="Z25" s="35">
        <v>650.4</v>
      </c>
      <c r="AA25" s="35">
        <v>648.20000000000005</v>
      </c>
      <c r="AB25" s="35">
        <v>649.1</v>
      </c>
      <c r="AC25" s="35">
        <v>650.5</v>
      </c>
      <c r="AD25" s="35">
        <v>655</v>
      </c>
      <c r="AE25" s="35">
        <v>663.3</v>
      </c>
      <c r="AF25" s="35">
        <v>669.9</v>
      </c>
      <c r="AG25" s="35">
        <v>665.3</v>
      </c>
      <c r="AH25" s="35">
        <v>665.8</v>
      </c>
      <c r="AI25" s="35">
        <v>678.7</v>
      </c>
      <c r="AJ25" s="35">
        <v>683.1</v>
      </c>
      <c r="AK25" s="35">
        <v>688.9</v>
      </c>
      <c r="AL25" s="35">
        <v>687.8</v>
      </c>
      <c r="AM25" s="35">
        <v>694.8</v>
      </c>
      <c r="AN25" s="35">
        <v>696.4</v>
      </c>
      <c r="AO25" s="35">
        <v>697.2</v>
      </c>
      <c r="AP25" s="35">
        <v>715.8</v>
      </c>
      <c r="AQ25" s="35">
        <v>729.9</v>
      </c>
      <c r="AR25" s="35">
        <v>721.5</v>
      </c>
      <c r="AS25" s="35">
        <v>725.2</v>
      </c>
      <c r="AT25" s="35">
        <v>739.4</v>
      </c>
      <c r="AU25" s="35">
        <v>758.4</v>
      </c>
      <c r="AV25" s="35">
        <v>755.3</v>
      </c>
      <c r="AW25" s="35">
        <v>768.8</v>
      </c>
      <c r="AX25" s="35">
        <v>769.3</v>
      </c>
      <c r="AY25" s="35">
        <v>772.5</v>
      </c>
      <c r="AZ25" s="35">
        <v>785.2</v>
      </c>
      <c r="BA25" s="35">
        <v>803.7</v>
      </c>
      <c r="BB25" s="35">
        <v>816.4</v>
      </c>
      <c r="BC25" s="35">
        <v>831.6</v>
      </c>
      <c r="BD25" s="35">
        <v>853.1</v>
      </c>
      <c r="BE25" s="35">
        <v>825.5</v>
      </c>
      <c r="BF25" s="35">
        <v>832.5</v>
      </c>
      <c r="BG25" s="35">
        <v>857.7</v>
      </c>
      <c r="BH25" s="35">
        <v>857</v>
      </c>
      <c r="BI25" s="35">
        <v>884.4</v>
      </c>
      <c r="BJ25" s="35">
        <v>892.5</v>
      </c>
      <c r="BK25" s="35">
        <v>916</v>
      </c>
      <c r="BL25" s="35">
        <v>943.3</v>
      </c>
      <c r="BM25" s="35">
        <v>943.8</v>
      </c>
      <c r="BN25" s="35">
        <v>941.2</v>
      </c>
      <c r="BO25" s="35">
        <v>971.7</v>
      </c>
      <c r="BP25" s="35">
        <v>1005.3</v>
      </c>
      <c r="BQ25" s="35">
        <v>993.6</v>
      </c>
      <c r="BR25" s="35">
        <v>1000</v>
      </c>
      <c r="BS25" s="35">
        <v>1013.6</v>
      </c>
      <c r="BT25" s="35">
        <v>1012.2</v>
      </c>
      <c r="BU25" s="35">
        <v>1029.3</v>
      </c>
      <c r="BV25" s="35">
        <v>999.8</v>
      </c>
      <c r="BW25" s="35">
        <v>992.3</v>
      </c>
      <c r="BX25" s="35">
        <v>987.6</v>
      </c>
      <c r="BY25" s="35">
        <v>1014.9</v>
      </c>
      <c r="BZ25" s="35">
        <v>996.4</v>
      </c>
      <c r="CA25" s="35">
        <v>1016.6</v>
      </c>
      <c r="CB25" s="35">
        <v>1025</v>
      </c>
      <c r="CC25" s="35">
        <v>1020.2</v>
      </c>
      <c r="CD25" s="35">
        <v>1037.2</v>
      </c>
      <c r="CE25" s="35">
        <v>1038.5999999999999</v>
      </c>
      <c r="CF25" s="35">
        <v>1034</v>
      </c>
      <c r="CG25" s="35">
        <v>1035.3</v>
      </c>
      <c r="CH25" s="35">
        <v>1047.0999999999999</v>
      </c>
      <c r="CI25" s="35">
        <v>1051.4000000000001</v>
      </c>
      <c r="CJ25" s="35">
        <v>1037.5</v>
      </c>
      <c r="CK25" s="35">
        <v>1011.5</v>
      </c>
      <c r="CL25" s="35">
        <v>1015.3</v>
      </c>
      <c r="CM25" s="35">
        <v>1012.6</v>
      </c>
      <c r="CN25" s="35">
        <v>1026.9000000000001</v>
      </c>
      <c r="CO25" s="35">
        <v>1027.5999999999999</v>
      </c>
      <c r="CP25" s="35">
        <v>994</v>
      </c>
      <c r="CQ25" s="35">
        <v>983.6</v>
      </c>
      <c r="CR25" s="35">
        <v>979.9</v>
      </c>
      <c r="CS25" s="35">
        <v>981.5</v>
      </c>
      <c r="CT25" s="35">
        <v>947.3</v>
      </c>
      <c r="CU25" s="35">
        <v>943.2</v>
      </c>
      <c r="CV25" s="35">
        <v>966.1</v>
      </c>
      <c r="CW25" s="35">
        <v>940.6</v>
      </c>
      <c r="CX25" s="35">
        <v>938</v>
      </c>
      <c r="CY25" s="35">
        <v>934.9</v>
      </c>
      <c r="CZ25" s="35">
        <v>927.4</v>
      </c>
      <c r="DA25" s="35">
        <v>895.8</v>
      </c>
      <c r="DB25" s="35">
        <v>913.5</v>
      </c>
      <c r="DC25" s="35">
        <v>922.1</v>
      </c>
      <c r="DD25" s="35">
        <v>909.9</v>
      </c>
      <c r="DE25" s="35">
        <v>905.5</v>
      </c>
      <c r="DF25" s="35">
        <v>892.7</v>
      </c>
      <c r="DG25" s="35">
        <v>912.5</v>
      </c>
      <c r="DH25" s="35">
        <v>908.6</v>
      </c>
      <c r="DI25" s="35">
        <v>907.2</v>
      </c>
      <c r="DJ25" s="35">
        <v>884.6</v>
      </c>
      <c r="DK25" s="35">
        <v>901.9</v>
      </c>
      <c r="DL25" s="35">
        <v>898.4</v>
      </c>
      <c r="DM25" s="35">
        <v>904</v>
      </c>
      <c r="DN25" s="35">
        <v>902.6</v>
      </c>
      <c r="DO25" s="35">
        <v>901.3</v>
      </c>
      <c r="DP25" s="35">
        <v>915.4</v>
      </c>
      <c r="DQ25" s="35">
        <v>934</v>
      </c>
      <c r="DR25" s="35">
        <v>903</v>
      </c>
      <c r="DS25" s="35">
        <v>931.2</v>
      </c>
      <c r="DT25" s="35">
        <v>913.6</v>
      </c>
      <c r="DU25" s="35">
        <v>916.1</v>
      </c>
      <c r="DV25" s="35">
        <v>936.2</v>
      </c>
      <c r="DW25" s="35">
        <v>949.8</v>
      </c>
      <c r="DX25" s="35">
        <v>955.5</v>
      </c>
      <c r="DY25" s="35">
        <v>966.9</v>
      </c>
      <c r="DZ25" s="35">
        <v>998.7</v>
      </c>
      <c r="EA25" s="35">
        <v>1018.1</v>
      </c>
      <c r="EB25" s="35">
        <v>1028.0999999999999</v>
      </c>
      <c r="EC25" s="35">
        <v>1045.5999999999999</v>
      </c>
      <c r="ED25" s="35">
        <v>1057.7</v>
      </c>
      <c r="EE25" s="35">
        <v>1094.2</v>
      </c>
      <c r="EF25" s="35">
        <v>1094</v>
      </c>
      <c r="EG25" s="35">
        <v>1114.3</v>
      </c>
      <c r="EH25" s="35">
        <v>1126.4000000000001</v>
      </c>
      <c r="EI25" s="35">
        <v>1133</v>
      </c>
      <c r="EJ25" s="35">
        <v>1145.5</v>
      </c>
      <c r="EK25" s="35">
        <v>1143.4000000000001</v>
      </c>
      <c r="EL25" s="35">
        <v>1156.0999999999999</v>
      </c>
      <c r="EM25" s="35">
        <v>1154.9000000000001</v>
      </c>
      <c r="EN25" s="35">
        <v>1163.8</v>
      </c>
      <c r="EO25" s="35">
        <v>1164.3</v>
      </c>
      <c r="EP25" s="35">
        <v>1194.5</v>
      </c>
      <c r="EQ25" s="35">
        <v>1186.4000000000001</v>
      </c>
      <c r="ER25" s="35">
        <v>1175.5999999999999</v>
      </c>
      <c r="ES25" s="35">
        <v>1192.7</v>
      </c>
      <c r="ET25" s="35">
        <v>1185.5</v>
      </c>
      <c r="EU25" s="35">
        <v>1205</v>
      </c>
      <c r="EV25" s="35">
        <v>1215.5</v>
      </c>
      <c r="EW25" s="35">
        <v>1235.8</v>
      </c>
      <c r="EX25" s="35">
        <v>1254.5999999999999</v>
      </c>
      <c r="EY25" s="35">
        <v>1281.4000000000001</v>
      </c>
      <c r="EZ25" s="35">
        <v>1298</v>
      </c>
      <c r="FA25" s="35">
        <v>1314.9</v>
      </c>
      <c r="FB25" s="35">
        <v>1332.3</v>
      </c>
      <c r="FC25" s="35">
        <v>1363.9</v>
      </c>
      <c r="FD25" s="35">
        <v>1376.4</v>
      </c>
      <c r="FE25" s="35">
        <v>1396.9</v>
      </c>
      <c r="FF25" s="35">
        <v>1412.5</v>
      </c>
      <c r="FG25" s="35">
        <v>1431</v>
      </c>
      <c r="FH25" s="35">
        <v>1424.5</v>
      </c>
      <c r="FI25" s="35">
        <v>1422.3</v>
      </c>
      <c r="FJ25" s="35">
        <v>1402.2</v>
      </c>
      <c r="FK25" s="35">
        <v>1396.8</v>
      </c>
      <c r="FL25" s="35">
        <v>1366.4</v>
      </c>
      <c r="FM25" s="35">
        <v>1371.5</v>
      </c>
      <c r="FN25" s="35">
        <v>1371.4</v>
      </c>
      <c r="FO25" s="35">
        <v>1360.5</v>
      </c>
      <c r="FP25" s="35">
        <v>1363.3</v>
      </c>
      <c r="FQ25" s="35">
        <v>1336.2</v>
      </c>
      <c r="FR25" s="35">
        <v>1306</v>
      </c>
      <c r="FS25" s="35">
        <v>1295.9000000000001</v>
      </c>
      <c r="FT25" s="35">
        <v>1277.8</v>
      </c>
      <c r="FU25" s="35">
        <v>1256</v>
      </c>
      <c r="FV25" s="35">
        <v>1254.9000000000001</v>
      </c>
      <c r="FW25" s="35">
        <v>1247.7</v>
      </c>
      <c r="FX25" s="35">
        <v>1262.0999999999999</v>
      </c>
      <c r="FY25" s="35">
        <v>1243.0999999999999</v>
      </c>
      <c r="FZ25" s="35">
        <v>1248</v>
      </c>
      <c r="GA25" s="35">
        <v>1251.9000000000001</v>
      </c>
      <c r="GB25" s="35">
        <v>1250.8</v>
      </c>
      <c r="GC25" s="35">
        <v>1260.2</v>
      </c>
      <c r="GD25" s="35">
        <v>1261.0999999999999</v>
      </c>
      <c r="GE25" s="35">
        <v>1254.8</v>
      </c>
      <c r="GF25" s="35">
        <v>1261.4000000000001</v>
      </c>
      <c r="GG25" s="35">
        <v>1262.5</v>
      </c>
      <c r="GH25" s="35">
        <v>1257.2</v>
      </c>
      <c r="GI25" s="35">
        <v>1263.9000000000001</v>
      </c>
      <c r="GJ25" s="35">
        <v>1263.0999999999999</v>
      </c>
      <c r="GK25" s="35">
        <v>1280</v>
      </c>
      <c r="GL25" s="35">
        <v>1293</v>
      </c>
      <c r="GM25" s="35">
        <v>1302.3</v>
      </c>
      <c r="GN25" s="35">
        <v>1319.1</v>
      </c>
      <c r="GO25" s="35">
        <v>1325.3</v>
      </c>
      <c r="GP25" s="35">
        <v>1336.2</v>
      </c>
      <c r="GQ25" s="35">
        <v>1354.7</v>
      </c>
      <c r="GR25" s="35">
        <v>1373.2</v>
      </c>
      <c r="GS25" s="35">
        <v>1376.4</v>
      </c>
      <c r="GT25" s="35">
        <v>1393.8</v>
      </c>
      <c r="GU25" s="35">
        <v>1493.5</v>
      </c>
      <c r="GV25" s="35">
        <v>1445.2</v>
      </c>
      <c r="GW25" s="35">
        <v>1438.1</v>
      </c>
      <c r="GX25" s="35">
        <v>1499.1</v>
      </c>
      <c r="GY25" s="35">
        <v>1464.8</v>
      </c>
      <c r="GZ25" s="35">
        <v>1439.1</v>
      </c>
      <c r="HA25" s="35">
        <v>1446.5</v>
      </c>
      <c r="HB25" s="35">
        <v>1420.9</v>
      </c>
      <c r="HC25">
        <v>1406.9</v>
      </c>
      <c r="HD25">
        <v>1411.2</v>
      </c>
      <c r="HE25">
        <v>1444.5</v>
      </c>
      <c r="HF25">
        <v>1462.8</v>
      </c>
      <c r="HG25">
        <v>1466.9</v>
      </c>
      <c r="HH25">
        <v>1492.3</v>
      </c>
      <c r="HI25">
        <v>1501.6</v>
      </c>
    </row>
    <row r="26" spans="1:217" x14ac:dyDescent="0.35">
      <c r="A26" s="35" t="s">
        <v>2261</v>
      </c>
      <c r="B26" s="35">
        <v>902.2</v>
      </c>
      <c r="C26" s="35">
        <v>907.1</v>
      </c>
      <c r="D26" s="35">
        <v>927.8</v>
      </c>
      <c r="E26" s="35">
        <v>932.5</v>
      </c>
      <c r="F26" s="35">
        <v>936.4</v>
      </c>
      <c r="G26" s="35">
        <v>943.3</v>
      </c>
      <c r="H26" s="35">
        <v>946.5</v>
      </c>
      <c r="I26" s="35">
        <v>958.4</v>
      </c>
      <c r="J26" s="35">
        <v>961</v>
      </c>
      <c r="K26" s="35">
        <v>959.4</v>
      </c>
      <c r="L26" s="35">
        <v>967.1</v>
      </c>
      <c r="M26" s="35">
        <v>980.4</v>
      </c>
      <c r="N26" s="35">
        <v>984.9</v>
      </c>
      <c r="O26" s="35">
        <v>986.5</v>
      </c>
      <c r="P26" s="35">
        <v>996.8</v>
      </c>
      <c r="Q26" s="35">
        <v>1008.9</v>
      </c>
      <c r="R26" s="35">
        <v>1021.7</v>
      </c>
      <c r="S26" s="35">
        <v>1034.3</v>
      </c>
      <c r="T26" s="35">
        <v>1032.4000000000001</v>
      </c>
      <c r="U26" s="35">
        <v>1032.8</v>
      </c>
      <c r="V26" s="35">
        <v>1063.3</v>
      </c>
      <c r="W26" s="35">
        <v>1055.7</v>
      </c>
      <c r="X26" s="35">
        <v>1069.2</v>
      </c>
      <c r="Y26" s="35">
        <v>1083.5</v>
      </c>
      <c r="Z26" s="35">
        <v>1095.7</v>
      </c>
      <c r="AA26" s="35">
        <v>1076.5</v>
      </c>
      <c r="AB26" s="35">
        <v>1069.3</v>
      </c>
      <c r="AC26" s="35">
        <v>1066.0999999999999</v>
      </c>
      <c r="AD26" s="35">
        <v>1076.7</v>
      </c>
      <c r="AE26" s="35">
        <v>1083.3</v>
      </c>
      <c r="AF26" s="35">
        <v>1082.2</v>
      </c>
      <c r="AG26" s="35">
        <v>1083.8</v>
      </c>
      <c r="AH26" s="35">
        <v>1083.5999999999999</v>
      </c>
      <c r="AI26" s="35">
        <v>1116.2</v>
      </c>
      <c r="AJ26" s="35">
        <v>1129</v>
      </c>
      <c r="AK26" s="35">
        <v>1139.7</v>
      </c>
      <c r="AL26" s="35">
        <v>1120.4000000000001</v>
      </c>
      <c r="AM26" s="35">
        <v>1130.9000000000001</v>
      </c>
      <c r="AN26" s="35">
        <v>1134.8</v>
      </c>
      <c r="AO26" s="35">
        <v>1147.5</v>
      </c>
      <c r="AP26" s="35">
        <v>1152.9000000000001</v>
      </c>
      <c r="AQ26" s="35">
        <v>1137.5999999999999</v>
      </c>
      <c r="AR26" s="35">
        <v>1120</v>
      </c>
      <c r="AS26" s="35">
        <v>1114.5</v>
      </c>
      <c r="AT26" s="35">
        <v>1123.2</v>
      </c>
      <c r="AU26" s="35">
        <v>1101.8</v>
      </c>
      <c r="AV26" s="35">
        <v>1098.5999999999999</v>
      </c>
      <c r="AW26" s="35">
        <v>1107.2</v>
      </c>
      <c r="AX26" s="35">
        <v>1104.0999999999999</v>
      </c>
      <c r="AY26" s="35">
        <v>1107.9000000000001</v>
      </c>
      <c r="AZ26" s="35">
        <v>1108</v>
      </c>
      <c r="BA26" s="35">
        <v>1116.4000000000001</v>
      </c>
      <c r="BB26" s="35">
        <v>1120.4000000000001</v>
      </c>
      <c r="BC26" s="35">
        <v>1118.2</v>
      </c>
      <c r="BD26" s="35">
        <v>1127.9000000000001</v>
      </c>
      <c r="BE26" s="35">
        <v>1128.5999999999999</v>
      </c>
      <c r="BF26" s="35">
        <v>1142.9000000000001</v>
      </c>
      <c r="BG26" s="35">
        <v>1158.0999999999999</v>
      </c>
      <c r="BH26" s="35">
        <v>1177.9000000000001</v>
      </c>
      <c r="BI26" s="35">
        <v>1189.9000000000001</v>
      </c>
      <c r="BJ26" s="35">
        <v>1204.9000000000001</v>
      </c>
      <c r="BK26" s="35">
        <v>1226.7</v>
      </c>
      <c r="BL26" s="35">
        <v>1246.2</v>
      </c>
      <c r="BM26" s="35">
        <v>1255.7</v>
      </c>
      <c r="BN26" s="35">
        <v>1278.8</v>
      </c>
      <c r="BO26" s="35">
        <v>1291.3</v>
      </c>
      <c r="BP26" s="35">
        <v>1303.3</v>
      </c>
      <c r="BQ26" s="35">
        <v>1307.7</v>
      </c>
      <c r="BR26" s="35">
        <v>1314.6</v>
      </c>
      <c r="BS26" s="35">
        <v>1317.5</v>
      </c>
      <c r="BT26" s="35">
        <v>1322</v>
      </c>
      <c r="BU26" s="35">
        <v>1339.5</v>
      </c>
      <c r="BV26" s="35">
        <v>1354.2</v>
      </c>
      <c r="BW26" s="35">
        <v>1371.3</v>
      </c>
      <c r="BX26" s="35">
        <v>1377.5</v>
      </c>
      <c r="BY26" s="35">
        <v>1394.1</v>
      </c>
      <c r="BZ26" s="35">
        <v>1405.3</v>
      </c>
      <c r="CA26" s="35">
        <v>1420.8</v>
      </c>
      <c r="CB26" s="35">
        <v>1434.5</v>
      </c>
      <c r="CC26" s="35">
        <v>1453.7</v>
      </c>
      <c r="CD26" s="35">
        <v>1476.1</v>
      </c>
      <c r="CE26" s="35">
        <v>1478.9</v>
      </c>
      <c r="CF26" s="35">
        <v>1488.7</v>
      </c>
      <c r="CG26" s="35">
        <v>1505.3</v>
      </c>
      <c r="CH26" s="35">
        <v>1507.6</v>
      </c>
      <c r="CI26" s="35">
        <v>1513.7</v>
      </c>
      <c r="CJ26" s="35">
        <v>1522.5</v>
      </c>
      <c r="CK26" s="35">
        <v>1533.2</v>
      </c>
      <c r="CL26" s="35">
        <v>1553</v>
      </c>
      <c r="CM26" s="35">
        <v>1550.7</v>
      </c>
      <c r="CN26" s="35">
        <v>1551.4</v>
      </c>
      <c r="CO26" s="35">
        <v>1550.2</v>
      </c>
      <c r="CP26" s="35">
        <v>1555.6</v>
      </c>
      <c r="CQ26" s="35">
        <v>1568.2</v>
      </c>
      <c r="CR26" s="35">
        <v>1576.4</v>
      </c>
      <c r="CS26" s="35">
        <v>1584.1</v>
      </c>
      <c r="CT26" s="35">
        <v>1590.7</v>
      </c>
      <c r="CU26" s="35">
        <v>1608.8</v>
      </c>
      <c r="CV26" s="35">
        <v>1627.8</v>
      </c>
      <c r="CW26" s="35">
        <v>1633.7</v>
      </c>
      <c r="CX26" s="35">
        <v>1646.5</v>
      </c>
      <c r="CY26" s="35">
        <v>1659.4</v>
      </c>
      <c r="CZ26" s="35">
        <v>1661.1</v>
      </c>
      <c r="DA26" s="35">
        <v>1669.7</v>
      </c>
      <c r="DB26" s="35">
        <v>1666.8</v>
      </c>
      <c r="DC26" s="35">
        <v>1690.8</v>
      </c>
      <c r="DD26" s="35">
        <v>1705.1</v>
      </c>
      <c r="DE26" s="35">
        <v>1729.5</v>
      </c>
      <c r="DF26" s="35">
        <v>1729.9</v>
      </c>
      <c r="DG26" s="35">
        <v>1742.7</v>
      </c>
      <c r="DH26" s="35">
        <v>1760.3</v>
      </c>
      <c r="DI26" s="35">
        <v>1776.1</v>
      </c>
      <c r="DJ26" s="35">
        <v>1792.3</v>
      </c>
      <c r="DK26" s="35">
        <v>1821.7</v>
      </c>
      <c r="DL26" s="35">
        <v>1847.3</v>
      </c>
      <c r="DM26" s="35">
        <v>1857.8</v>
      </c>
      <c r="DN26" s="35">
        <v>1880</v>
      </c>
      <c r="DO26" s="35">
        <v>1892.1</v>
      </c>
      <c r="DP26" s="35">
        <v>1911.1</v>
      </c>
      <c r="DQ26" s="35">
        <v>1935.9</v>
      </c>
      <c r="DR26" s="35">
        <v>1949.9</v>
      </c>
      <c r="DS26" s="35">
        <v>1947.2</v>
      </c>
      <c r="DT26" s="35">
        <v>1954.5</v>
      </c>
      <c r="DU26" s="35">
        <v>1969.9</v>
      </c>
      <c r="DV26" s="35">
        <v>1994.2</v>
      </c>
      <c r="DW26" s="35">
        <v>2031.7</v>
      </c>
      <c r="DX26" s="35">
        <v>2022.5</v>
      </c>
      <c r="DY26" s="35">
        <v>2061</v>
      </c>
      <c r="DZ26" s="35">
        <v>2080.5</v>
      </c>
      <c r="EA26" s="35">
        <v>2083.1999999999998</v>
      </c>
      <c r="EB26" s="35">
        <v>2088.6</v>
      </c>
      <c r="EC26" s="35">
        <v>2092.6999999999998</v>
      </c>
      <c r="ED26" s="35">
        <v>2081.8000000000002</v>
      </c>
      <c r="EE26" s="35">
        <v>2070.4</v>
      </c>
      <c r="EF26" s="35">
        <v>2078.3000000000002</v>
      </c>
      <c r="EG26" s="35">
        <v>2075.1999999999998</v>
      </c>
      <c r="EH26" s="35">
        <v>2076.5</v>
      </c>
      <c r="EI26" s="35">
        <v>2078</v>
      </c>
      <c r="EJ26" s="35">
        <v>2070.3000000000002</v>
      </c>
      <c r="EK26" s="35">
        <v>2070.6</v>
      </c>
      <c r="EL26" s="35">
        <v>2072.9</v>
      </c>
      <c r="EM26" s="35">
        <v>2072.3000000000002</v>
      </c>
      <c r="EN26" s="35">
        <v>2073.5</v>
      </c>
      <c r="EO26" s="35">
        <v>2075.6</v>
      </c>
      <c r="EP26" s="35">
        <v>2084.9</v>
      </c>
      <c r="EQ26" s="35">
        <v>2092.6999999999998</v>
      </c>
      <c r="ER26" s="35">
        <v>2099.1999999999998</v>
      </c>
      <c r="ES26" s="35">
        <v>2108.4</v>
      </c>
      <c r="ET26" s="35">
        <v>2120.6</v>
      </c>
      <c r="EU26" s="35">
        <v>2130.6</v>
      </c>
      <c r="EV26" s="35">
        <v>2134.9</v>
      </c>
      <c r="EW26" s="35">
        <v>2140.6</v>
      </c>
      <c r="EX26" s="35">
        <v>2128.8000000000002</v>
      </c>
      <c r="EY26" s="35">
        <v>2130.3000000000002</v>
      </c>
      <c r="EZ26" s="35">
        <v>2140.8000000000002</v>
      </c>
      <c r="FA26" s="35">
        <v>2147.4</v>
      </c>
      <c r="FB26" s="35">
        <v>2169.1</v>
      </c>
      <c r="FC26" s="35">
        <v>2187.9</v>
      </c>
      <c r="FD26" s="35">
        <v>2184.6</v>
      </c>
      <c r="FE26" s="35">
        <v>2169.8000000000002</v>
      </c>
      <c r="FF26" s="35">
        <v>2137.8000000000002</v>
      </c>
      <c r="FG26" s="35">
        <v>2129.5</v>
      </c>
      <c r="FH26" s="35">
        <v>2110.6</v>
      </c>
      <c r="FI26" s="35">
        <v>2090.1999999999998</v>
      </c>
      <c r="FJ26" s="35">
        <v>2067.3000000000002</v>
      </c>
      <c r="FK26" s="35">
        <v>2048.8000000000002</v>
      </c>
      <c r="FL26" s="35">
        <v>2030.4</v>
      </c>
      <c r="FM26" s="35">
        <v>2022.8</v>
      </c>
      <c r="FN26" s="35">
        <v>2008.2</v>
      </c>
      <c r="FO26" s="35">
        <v>2001.4</v>
      </c>
      <c r="FP26" s="35">
        <v>1993.4</v>
      </c>
      <c r="FQ26" s="35">
        <v>1987.8</v>
      </c>
      <c r="FR26" s="35">
        <v>1987.2</v>
      </c>
      <c r="FS26" s="35">
        <v>1993.1</v>
      </c>
      <c r="FT26" s="35">
        <v>1995.1</v>
      </c>
      <c r="FU26" s="35">
        <v>1991.6</v>
      </c>
      <c r="FV26" s="35">
        <v>1978.8</v>
      </c>
      <c r="FW26" s="35">
        <v>1990.3</v>
      </c>
      <c r="FX26" s="35">
        <v>1997.9</v>
      </c>
      <c r="FY26" s="35">
        <v>2014.4</v>
      </c>
      <c r="FZ26" s="35">
        <v>2029.1</v>
      </c>
      <c r="GA26" s="35">
        <v>2057.3000000000002</v>
      </c>
      <c r="GB26" s="35">
        <v>2075.9</v>
      </c>
      <c r="GC26" s="35">
        <v>2080.8000000000002</v>
      </c>
      <c r="GD26" s="35">
        <v>2110.5</v>
      </c>
      <c r="GE26" s="35">
        <v>2114.1999999999998</v>
      </c>
      <c r="GF26" s="35">
        <v>2122.3000000000002</v>
      </c>
      <c r="GG26" s="35">
        <v>2127.1999999999998</v>
      </c>
      <c r="GH26" s="35">
        <v>2123.1</v>
      </c>
      <c r="GI26" s="35">
        <v>2125.9</v>
      </c>
      <c r="GJ26" s="35">
        <v>2130.9</v>
      </c>
      <c r="GK26" s="35">
        <v>2144.5</v>
      </c>
      <c r="GL26" s="35">
        <v>2138.6999999999998</v>
      </c>
      <c r="GM26" s="35">
        <v>2154</v>
      </c>
      <c r="GN26" s="35">
        <v>2164.6999999999998</v>
      </c>
      <c r="GO26" s="35">
        <v>2163.1999999999998</v>
      </c>
      <c r="GP26" s="35">
        <v>2199.3000000000002</v>
      </c>
      <c r="GQ26" s="35">
        <v>2234.3000000000002</v>
      </c>
      <c r="GR26" s="35">
        <v>2256</v>
      </c>
      <c r="GS26" s="35">
        <v>2275.6</v>
      </c>
      <c r="GT26" s="35">
        <v>2298</v>
      </c>
      <c r="GU26" s="35">
        <v>2277.1</v>
      </c>
      <c r="GV26" s="35">
        <v>2265.5</v>
      </c>
      <c r="GW26" s="35">
        <v>2254.5</v>
      </c>
      <c r="GX26" s="35">
        <v>2247</v>
      </c>
      <c r="GY26" s="35">
        <v>2239.1999999999998</v>
      </c>
      <c r="GZ26" s="35">
        <v>2250.1</v>
      </c>
      <c r="HA26" s="35">
        <v>2240.9</v>
      </c>
      <c r="HB26" s="35">
        <v>2238.4</v>
      </c>
      <c r="HC26">
        <v>2234.1</v>
      </c>
      <c r="HD26">
        <v>2255.1</v>
      </c>
      <c r="HE26">
        <v>2270.8000000000002</v>
      </c>
      <c r="HF26">
        <v>2296.5</v>
      </c>
      <c r="HG26">
        <v>2323</v>
      </c>
      <c r="HH26">
        <v>2351.4</v>
      </c>
      <c r="HI26">
        <v>2373</v>
      </c>
    </row>
    <row r="27" spans="1:217" x14ac:dyDescent="0.35">
      <c r="A27" s="35" t="s">
        <v>2262</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1597.3</v>
      </c>
      <c r="GM27" s="35">
        <v>1607.2</v>
      </c>
      <c r="GN27" s="35">
        <v>1624.8</v>
      </c>
      <c r="GO27" s="35">
        <v>1627.8</v>
      </c>
      <c r="GP27" s="35">
        <v>1683.6</v>
      </c>
      <c r="GQ27" s="35">
        <v>1689.1</v>
      </c>
      <c r="GR27" s="35">
        <v>1700.3</v>
      </c>
      <c r="GS27" s="35">
        <v>1732.4</v>
      </c>
      <c r="GT27" s="35">
        <v>1767.8</v>
      </c>
      <c r="GU27" s="35">
        <v>1631.4</v>
      </c>
      <c r="GV27" s="35">
        <v>1747.9</v>
      </c>
      <c r="GW27" s="35">
        <v>1866.9</v>
      </c>
      <c r="GX27" s="35">
        <v>2013.4</v>
      </c>
      <c r="GY27" s="35">
        <v>2118.4</v>
      </c>
      <c r="GZ27" s="35">
        <v>2200</v>
      </c>
      <c r="HA27" s="35">
        <v>2265.3000000000002</v>
      </c>
      <c r="HB27" s="35">
        <v>2506.9</v>
      </c>
      <c r="HC27">
        <v>2502.6</v>
      </c>
      <c r="HD27">
        <v>2521.9</v>
      </c>
      <c r="HE27">
        <v>2490.1</v>
      </c>
      <c r="HF27">
        <v>2181</v>
      </c>
      <c r="HG27">
        <v>2175.1</v>
      </c>
      <c r="HH27">
        <v>2179.8000000000002</v>
      </c>
      <c r="HI27">
        <v>2194.5</v>
      </c>
    </row>
    <row r="28" spans="1:217" x14ac:dyDescent="0.35">
      <c r="A28" s="35" t="s">
        <v>2263</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136.69999999999999</v>
      </c>
      <c r="FW28" s="35">
        <v>135.5</v>
      </c>
      <c r="FX28" s="35">
        <v>137.4</v>
      </c>
      <c r="FY28" s="35">
        <v>137.19999999999999</v>
      </c>
      <c r="FZ28" s="35">
        <v>141.19999999999999</v>
      </c>
      <c r="GA28" s="35">
        <v>145.1</v>
      </c>
      <c r="GB28" s="35">
        <v>137.80000000000001</v>
      </c>
      <c r="GC28" s="35">
        <v>143.30000000000001</v>
      </c>
      <c r="GD28" s="35">
        <v>139.5</v>
      </c>
      <c r="GE28" s="35">
        <v>136.6</v>
      </c>
      <c r="GF28" s="35">
        <v>136.6</v>
      </c>
      <c r="GG28" s="35">
        <v>136.4</v>
      </c>
      <c r="GH28" s="35">
        <v>127.6</v>
      </c>
      <c r="GI28" s="35">
        <v>131.69999999999999</v>
      </c>
      <c r="GJ28" s="35">
        <v>131.80000000000001</v>
      </c>
      <c r="GK28" s="35">
        <v>134.69999999999999</v>
      </c>
      <c r="GL28" s="35">
        <v>150.1</v>
      </c>
      <c r="GM28" s="35">
        <v>155.69999999999999</v>
      </c>
      <c r="GN28" s="35">
        <v>163.4</v>
      </c>
      <c r="GO28" s="35">
        <v>184.6</v>
      </c>
      <c r="GP28" s="35">
        <v>173.8</v>
      </c>
      <c r="GQ28" s="35">
        <v>170.4</v>
      </c>
      <c r="GR28" s="35">
        <v>177.8</v>
      </c>
      <c r="GS28" s="35">
        <v>177.7</v>
      </c>
      <c r="GT28" s="35">
        <v>183.2</v>
      </c>
      <c r="GU28" s="35">
        <v>130.4</v>
      </c>
      <c r="GV28" s="35">
        <v>150.1</v>
      </c>
      <c r="GW28" s="35">
        <v>157.80000000000001</v>
      </c>
      <c r="GX28" s="35">
        <v>160.9</v>
      </c>
      <c r="GY28" s="35">
        <v>180.5</v>
      </c>
      <c r="GZ28" s="35">
        <v>182.1</v>
      </c>
      <c r="HA28" s="35">
        <v>191</v>
      </c>
      <c r="HB28" s="35">
        <v>200.9</v>
      </c>
      <c r="HC28">
        <v>202.8</v>
      </c>
      <c r="HD28">
        <v>192.2</v>
      </c>
      <c r="HE28">
        <v>180.9</v>
      </c>
      <c r="HF28">
        <v>177</v>
      </c>
      <c r="HG28">
        <v>175.4</v>
      </c>
      <c r="HH28">
        <v>171.6</v>
      </c>
      <c r="HI28">
        <v>171.5</v>
      </c>
    </row>
    <row r="29" spans="1:217" x14ac:dyDescent="0.35">
      <c r="A29" s="35" t="s">
        <v>2264</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298</v>
      </c>
      <c r="FS29" s="35">
        <v>292.89999999999998</v>
      </c>
      <c r="FT29" s="35">
        <v>300.60000000000002</v>
      </c>
      <c r="FU29" s="35">
        <v>302.2</v>
      </c>
      <c r="FV29" s="35">
        <v>337.4</v>
      </c>
      <c r="FW29" s="35">
        <v>359</v>
      </c>
      <c r="FX29" s="35">
        <v>329.6</v>
      </c>
      <c r="FY29" s="35">
        <v>332.6</v>
      </c>
      <c r="FZ29" s="35">
        <v>345.4</v>
      </c>
      <c r="GA29" s="35">
        <v>350.7</v>
      </c>
      <c r="GB29" s="35">
        <v>324.7</v>
      </c>
      <c r="GC29" s="35">
        <v>295.60000000000002</v>
      </c>
      <c r="GD29" s="35">
        <v>310.8</v>
      </c>
      <c r="GE29" s="35">
        <v>314.7</v>
      </c>
      <c r="GF29" s="35">
        <v>322.60000000000002</v>
      </c>
      <c r="GG29" s="35">
        <v>299.2</v>
      </c>
      <c r="GH29" s="35">
        <v>211.8</v>
      </c>
      <c r="GI29" s="35">
        <v>225.7</v>
      </c>
      <c r="GJ29" s="35">
        <v>241.5</v>
      </c>
      <c r="GK29" s="35">
        <v>242.4</v>
      </c>
      <c r="GL29" s="35">
        <v>215.5</v>
      </c>
      <c r="GM29" s="35">
        <v>229.1</v>
      </c>
      <c r="GN29" s="35">
        <v>225.5</v>
      </c>
      <c r="GO29" s="35">
        <v>229.7</v>
      </c>
      <c r="GP29" s="35">
        <v>200.1</v>
      </c>
      <c r="GQ29" s="35">
        <v>210.4</v>
      </c>
      <c r="GR29" s="35">
        <v>198.2</v>
      </c>
      <c r="GS29" s="35">
        <v>233.1</v>
      </c>
      <c r="GT29" s="35">
        <v>189.6</v>
      </c>
      <c r="GU29" s="35">
        <v>199.8</v>
      </c>
      <c r="GV29" s="35">
        <v>246.8</v>
      </c>
      <c r="GW29" s="35">
        <v>250.9</v>
      </c>
      <c r="GX29" s="35">
        <v>252.3</v>
      </c>
      <c r="GY29" s="35">
        <v>283.60000000000002</v>
      </c>
      <c r="GZ29" s="35">
        <v>279.8</v>
      </c>
      <c r="HA29" s="35">
        <v>303.89999999999998</v>
      </c>
      <c r="HB29">
        <v>329.8</v>
      </c>
      <c r="HC29">
        <v>388.8</v>
      </c>
      <c r="HD29">
        <v>383.6</v>
      </c>
      <c r="HE29">
        <v>373.6</v>
      </c>
      <c r="HF29">
        <v>388.6</v>
      </c>
      <c r="HG29">
        <v>403.3</v>
      </c>
      <c r="HH29">
        <v>418</v>
      </c>
    </row>
    <row r="30" spans="1:217" x14ac:dyDescent="0.35">
      <c r="A30" s="35" t="s">
        <v>2265</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1338.7</v>
      </c>
      <c r="GN30" s="35">
        <v>1355.2</v>
      </c>
      <c r="GO30" s="35">
        <v>1363.7</v>
      </c>
      <c r="GP30" s="35">
        <v>1395.9</v>
      </c>
      <c r="GQ30" s="35">
        <v>1403.3</v>
      </c>
      <c r="GR30" s="35">
        <v>1410</v>
      </c>
      <c r="GS30" s="35">
        <v>1427.9</v>
      </c>
      <c r="GT30" s="35">
        <v>1453.3</v>
      </c>
      <c r="GU30" s="35">
        <v>1383.5</v>
      </c>
      <c r="GV30" s="35">
        <v>1432.5</v>
      </c>
      <c r="GW30" s="35">
        <v>1469</v>
      </c>
      <c r="GX30" s="35">
        <v>1484.6</v>
      </c>
      <c r="GY30" s="35">
        <v>1519.7</v>
      </c>
      <c r="GZ30" s="35">
        <v>1556.8</v>
      </c>
      <c r="HA30" s="35">
        <v>1603.4</v>
      </c>
      <c r="HB30" s="35">
        <v>1645.9</v>
      </c>
      <c r="HC30">
        <v>1667.8</v>
      </c>
      <c r="HD30">
        <v>1709.6</v>
      </c>
      <c r="HE30">
        <v>1716.7</v>
      </c>
      <c r="HF30">
        <v>1758.5</v>
      </c>
      <c r="HG30">
        <v>1778.7</v>
      </c>
      <c r="HH30">
        <v>1798.4</v>
      </c>
      <c r="HI30">
        <v>1815.7</v>
      </c>
    </row>
    <row r="31" spans="1:217" x14ac:dyDescent="0.35">
      <c r="A31" s="35" t="s">
        <v>2266</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2171.5</v>
      </c>
      <c r="GM31" s="35">
        <v>2184.4</v>
      </c>
      <c r="GN31" s="35">
        <v>2200.6</v>
      </c>
      <c r="GO31" s="35">
        <v>2223</v>
      </c>
      <c r="GP31" s="35">
        <v>2303.6</v>
      </c>
      <c r="GQ31" s="35">
        <v>2320.1</v>
      </c>
      <c r="GR31" s="35">
        <v>2332.9</v>
      </c>
      <c r="GS31" s="35">
        <v>2346.6</v>
      </c>
      <c r="GT31" s="35">
        <v>2412.6</v>
      </c>
      <c r="GU31" s="35">
        <v>4652.1000000000004</v>
      </c>
      <c r="GV31" s="35">
        <v>3508</v>
      </c>
      <c r="GW31" s="35">
        <v>2895.4</v>
      </c>
      <c r="GX31" s="35">
        <v>5127.3999999999996</v>
      </c>
      <c r="GY31" s="35">
        <v>3403.8</v>
      </c>
      <c r="GZ31" s="35">
        <v>3135</v>
      </c>
      <c r="HA31" s="35">
        <v>2947.7</v>
      </c>
      <c r="HB31" s="35">
        <v>2903.2</v>
      </c>
      <c r="HC31">
        <v>2895.2</v>
      </c>
      <c r="HD31">
        <v>2867.4</v>
      </c>
      <c r="HE31">
        <v>2896.7</v>
      </c>
      <c r="HF31">
        <v>2945.8</v>
      </c>
      <c r="HG31">
        <v>2929.7</v>
      </c>
      <c r="HH31">
        <v>2930.1</v>
      </c>
      <c r="HI31">
        <v>2927.1</v>
      </c>
    </row>
    <row r="32" spans="1:217" x14ac:dyDescent="0.35">
      <c r="A32" s="35" t="s">
        <v>2267</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582</v>
      </c>
      <c r="GM32" s="35">
        <v>576.70000000000005</v>
      </c>
      <c r="GN32" s="35">
        <v>581.4</v>
      </c>
      <c r="GO32" s="35">
        <v>590.1</v>
      </c>
      <c r="GP32" s="35">
        <v>593.1</v>
      </c>
      <c r="GQ32" s="35">
        <v>610.70000000000005</v>
      </c>
      <c r="GR32" s="35">
        <v>610.4</v>
      </c>
      <c r="GS32" s="35">
        <v>621.79999999999995</v>
      </c>
      <c r="GT32" s="35">
        <v>638.20000000000005</v>
      </c>
      <c r="GU32" s="35">
        <v>1388.6</v>
      </c>
      <c r="GV32" s="35">
        <v>737</v>
      </c>
      <c r="GW32" s="35">
        <v>751.3</v>
      </c>
      <c r="GX32" s="35">
        <v>781.8</v>
      </c>
      <c r="GY32" s="35">
        <v>1645.9</v>
      </c>
      <c r="GZ32" s="35">
        <v>1084.4000000000001</v>
      </c>
      <c r="HA32" s="35">
        <v>929</v>
      </c>
      <c r="HB32" s="35">
        <v>937.5</v>
      </c>
      <c r="HC32">
        <v>961.8</v>
      </c>
      <c r="HD32">
        <v>950.2</v>
      </c>
      <c r="HE32">
        <v>946.2</v>
      </c>
      <c r="HF32">
        <v>974.6</v>
      </c>
      <c r="HG32">
        <v>974.1</v>
      </c>
      <c r="HH32">
        <v>918.5</v>
      </c>
      <c r="HI32">
        <v>911</v>
      </c>
    </row>
    <row r="33" spans="1:217" x14ac:dyDescent="0.35">
      <c r="A33" s="35" t="s">
        <v>2268</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377.3</v>
      </c>
      <c r="FS33" s="35">
        <v>387.5</v>
      </c>
      <c r="FT33" s="35">
        <v>368</v>
      </c>
      <c r="FU33" s="35">
        <v>365.9</v>
      </c>
      <c r="FV33" s="35">
        <v>376.7</v>
      </c>
      <c r="FW33" s="35">
        <v>370.5</v>
      </c>
      <c r="FX33" s="35">
        <v>386.5</v>
      </c>
      <c r="FY33" s="35">
        <v>394.1</v>
      </c>
      <c r="FZ33" s="35">
        <v>396.4</v>
      </c>
      <c r="GA33" s="35">
        <v>416.2</v>
      </c>
      <c r="GB33" s="35">
        <v>407.4</v>
      </c>
      <c r="GC33" s="35">
        <v>413.2</v>
      </c>
      <c r="GD33" s="35">
        <v>398.5</v>
      </c>
      <c r="GE33" s="35">
        <v>407.3</v>
      </c>
      <c r="GF33" s="35">
        <v>418.7</v>
      </c>
      <c r="GG33" s="35">
        <v>418.7</v>
      </c>
      <c r="GH33" s="35">
        <v>424.3</v>
      </c>
      <c r="GI33" s="35">
        <v>412.2</v>
      </c>
      <c r="GJ33" s="35">
        <v>431.9</v>
      </c>
      <c r="GK33" s="35">
        <v>474.6</v>
      </c>
      <c r="GL33" s="35">
        <v>474.3</v>
      </c>
      <c r="GM33" s="35">
        <v>450.9</v>
      </c>
      <c r="GN33" s="35">
        <v>460.4</v>
      </c>
      <c r="GO33" s="35">
        <v>453.8</v>
      </c>
      <c r="GP33" s="35">
        <v>473.1</v>
      </c>
      <c r="GQ33" s="35">
        <v>533.1</v>
      </c>
      <c r="GR33" s="35">
        <v>497.6</v>
      </c>
      <c r="GS33" s="35">
        <v>488</v>
      </c>
      <c r="GT33" s="35">
        <v>488.2</v>
      </c>
      <c r="GU33" s="35">
        <v>480.5</v>
      </c>
      <c r="GV33" s="35">
        <v>515.5</v>
      </c>
      <c r="GW33" s="35">
        <v>527.9</v>
      </c>
      <c r="GX33" s="35">
        <v>564.20000000000005</v>
      </c>
      <c r="GY33" s="35">
        <v>585.6</v>
      </c>
      <c r="GZ33" s="35">
        <v>589.79999999999995</v>
      </c>
      <c r="HA33" s="35">
        <v>636.29999999999995</v>
      </c>
      <c r="HB33" s="35">
        <v>655.9</v>
      </c>
      <c r="HC33">
        <v>655.1</v>
      </c>
      <c r="HD33">
        <v>615.20000000000005</v>
      </c>
      <c r="HE33">
        <v>605.6</v>
      </c>
      <c r="HF33">
        <v>582.70000000000005</v>
      </c>
      <c r="HG33">
        <v>528.79999999999995</v>
      </c>
      <c r="HH33">
        <v>576.6</v>
      </c>
      <c r="HI33">
        <v>575.1</v>
      </c>
    </row>
    <row r="34" spans="1:217" x14ac:dyDescent="0.35">
      <c r="A34" s="35" t="s">
        <v>2269</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1053.0999999999999</v>
      </c>
      <c r="FS34" s="35">
        <v>1054.9000000000001</v>
      </c>
      <c r="FT34" s="35">
        <v>1063.8</v>
      </c>
      <c r="FU34" s="35">
        <v>1069.5</v>
      </c>
      <c r="FV34" s="35">
        <v>1079.3</v>
      </c>
      <c r="FW34" s="35">
        <v>1099.4000000000001</v>
      </c>
      <c r="FX34" s="35">
        <v>1108.2</v>
      </c>
      <c r="FY34" s="35">
        <v>1117.2</v>
      </c>
      <c r="FZ34" s="35">
        <v>1117.9000000000001</v>
      </c>
      <c r="GA34" s="35">
        <v>1125.8</v>
      </c>
      <c r="GB34" s="35">
        <v>1138</v>
      </c>
      <c r="GC34" s="35">
        <v>1144.7</v>
      </c>
      <c r="GD34" s="35">
        <v>1153</v>
      </c>
      <c r="GE34" s="35">
        <v>1160.9000000000001</v>
      </c>
      <c r="GF34" s="35">
        <v>1183.5999999999999</v>
      </c>
      <c r="GG34" s="35">
        <v>1190</v>
      </c>
      <c r="GH34" s="35">
        <v>1209.4000000000001</v>
      </c>
      <c r="GI34" s="35">
        <v>1221.8</v>
      </c>
      <c r="GJ34" s="35">
        <v>1240.2</v>
      </c>
      <c r="GK34" s="35">
        <v>1258.8</v>
      </c>
      <c r="GL34" s="35">
        <v>1273.2</v>
      </c>
      <c r="GM34" s="35">
        <v>1285.3</v>
      </c>
      <c r="GN34" s="35">
        <v>1300.2</v>
      </c>
      <c r="GO34" s="35">
        <v>1315.9</v>
      </c>
      <c r="GP34" s="35">
        <v>1333.7</v>
      </c>
      <c r="GQ34" s="35">
        <v>1348.8</v>
      </c>
      <c r="GR34" s="35">
        <v>1374.2</v>
      </c>
      <c r="GS34" s="35">
        <v>1376.1</v>
      </c>
      <c r="GT34" s="35">
        <v>1379.4</v>
      </c>
      <c r="GU34" s="35">
        <v>1290.5</v>
      </c>
      <c r="GV34" s="35">
        <v>1385.7</v>
      </c>
      <c r="GW34" s="35">
        <v>1405</v>
      </c>
      <c r="GX34" s="35">
        <v>1420.8</v>
      </c>
      <c r="GY34" s="35">
        <v>1494.6</v>
      </c>
      <c r="GZ34" s="35">
        <v>1503.3</v>
      </c>
      <c r="HA34" s="35">
        <v>1554.5</v>
      </c>
      <c r="HB34" s="35">
        <v>1583.1</v>
      </c>
      <c r="HC34">
        <v>1609.6</v>
      </c>
      <c r="HD34">
        <v>1631.8</v>
      </c>
      <c r="HE34">
        <v>1639.6</v>
      </c>
      <c r="HF34">
        <v>1654.1</v>
      </c>
      <c r="HG34">
        <v>1646.2</v>
      </c>
      <c r="HH34">
        <v>1659.2</v>
      </c>
      <c r="HI34">
        <v>1667.7</v>
      </c>
    </row>
    <row r="35" spans="1:217" x14ac:dyDescent="0.35">
      <c r="A35" s="35" t="s">
        <v>2270</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52.6</v>
      </c>
      <c r="FS35" s="35">
        <v>54.3</v>
      </c>
      <c r="FT35" s="35">
        <v>53.3</v>
      </c>
      <c r="FU35" s="35">
        <v>54.4</v>
      </c>
      <c r="FV35" s="35">
        <v>55.2</v>
      </c>
      <c r="FW35" s="35">
        <v>55.3</v>
      </c>
      <c r="FX35" s="35">
        <v>57.1</v>
      </c>
      <c r="FY35" s="35">
        <v>57.8</v>
      </c>
      <c r="FZ35" s="35">
        <v>57.3</v>
      </c>
      <c r="GA35" s="35">
        <v>57.6</v>
      </c>
      <c r="GB35" s="35">
        <v>55.6</v>
      </c>
      <c r="GC35" s="35">
        <v>53.7</v>
      </c>
      <c r="GD35" s="35">
        <v>53.3</v>
      </c>
      <c r="GE35" s="35">
        <v>52.4</v>
      </c>
      <c r="GF35" s="35">
        <v>52.9</v>
      </c>
      <c r="GG35" s="35">
        <v>54.2</v>
      </c>
      <c r="GH35" s="35">
        <v>55.1</v>
      </c>
      <c r="GI35" s="35">
        <v>53.8</v>
      </c>
      <c r="GJ35" s="35">
        <v>54.2</v>
      </c>
      <c r="GK35" s="35">
        <v>54.5</v>
      </c>
      <c r="GL35" s="35">
        <v>54.9</v>
      </c>
      <c r="GM35" s="35">
        <v>60.4</v>
      </c>
      <c r="GN35" s="35">
        <v>61.6</v>
      </c>
      <c r="GO35" s="35">
        <v>63.6</v>
      </c>
      <c r="GP35" s="35">
        <v>73.3</v>
      </c>
      <c r="GQ35" s="35">
        <v>74.7</v>
      </c>
      <c r="GR35" s="35">
        <v>74.2</v>
      </c>
      <c r="GS35" s="35">
        <v>71.7</v>
      </c>
      <c r="GT35" s="35">
        <v>65.8</v>
      </c>
      <c r="GU35" s="35">
        <v>63.7</v>
      </c>
      <c r="GV35" s="35">
        <v>79.599999999999994</v>
      </c>
      <c r="GW35" s="35">
        <v>82.3</v>
      </c>
      <c r="GX35" s="35">
        <v>86.5</v>
      </c>
      <c r="GY35" s="35">
        <v>95.3</v>
      </c>
      <c r="GZ35" s="35">
        <v>111.7</v>
      </c>
      <c r="HA35" s="35">
        <v>150.1</v>
      </c>
      <c r="HB35">
        <v>184.2</v>
      </c>
      <c r="HC35">
        <v>143.5</v>
      </c>
      <c r="HD35">
        <v>146.19999999999999</v>
      </c>
      <c r="HE35">
        <v>160.5</v>
      </c>
      <c r="HF35">
        <v>172.5</v>
      </c>
      <c r="HG35">
        <v>150.69999999999999</v>
      </c>
      <c r="HH35">
        <v>148.69999999999999</v>
      </c>
    </row>
    <row r="36" spans="1:217" x14ac:dyDescent="0.35">
      <c r="A36" s="35" t="s">
        <v>2271</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20.6</v>
      </c>
      <c r="GS36" s="35">
        <v>20.399999999999999</v>
      </c>
      <c r="GT36" s="35">
        <v>20.3</v>
      </c>
      <c r="GU36" s="35">
        <v>19.3</v>
      </c>
      <c r="GV36" s="35">
        <v>19.899999999999999</v>
      </c>
      <c r="GW36" s="35">
        <v>20.7</v>
      </c>
      <c r="GX36" s="35">
        <v>21.3</v>
      </c>
      <c r="GY36" s="35">
        <v>22</v>
      </c>
      <c r="GZ36" s="35">
        <v>22.6</v>
      </c>
      <c r="HA36" s="35">
        <v>22.9</v>
      </c>
      <c r="HB36" s="35">
        <v>22.9</v>
      </c>
      <c r="HC36">
        <v>22.6</v>
      </c>
      <c r="HD36">
        <v>22.4</v>
      </c>
      <c r="HE36">
        <v>22</v>
      </c>
      <c r="HF36">
        <v>21.5</v>
      </c>
      <c r="HG36">
        <v>21.4</v>
      </c>
      <c r="HH36">
        <v>21.9</v>
      </c>
      <c r="HI36">
        <v>22.8</v>
      </c>
    </row>
    <row r="37" spans="1:217" x14ac:dyDescent="0.35">
      <c r="A37" s="35" t="s">
        <v>2272</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720.7</v>
      </c>
      <c r="GM37" s="35">
        <v>732.9</v>
      </c>
      <c r="GN37" s="35">
        <v>737.3</v>
      </c>
      <c r="GO37" s="35">
        <v>733.6</v>
      </c>
      <c r="GP37" s="35">
        <v>744.2</v>
      </c>
      <c r="GQ37" s="35">
        <v>762.1</v>
      </c>
      <c r="GR37" s="35">
        <v>772.2</v>
      </c>
      <c r="GS37" s="35">
        <v>772.4</v>
      </c>
      <c r="GT37" s="35">
        <v>761.7</v>
      </c>
      <c r="GU37" s="35">
        <v>812.1</v>
      </c>
      <c r="GV37" s="35">
        <v>850.2</v>
      </c>
      <c r="GW37" s="35">
        <v>838.8</v>
      </c>
      <c r="GX37" s="35">
        <v>866.1</v>
      </c>
      <c r="GY37" s="35">
        <v>908</v>
      </c>
      <c r="GZ37" s="35">
        <v>915.6</v>
      </c>
      <c r="HA37" s="35">
        <v>912.9</v>
      </c>
      <c r="HB37" s="35">
        <v>960.5</v>
      </c>
      <c r="HC37">
        <v>995.3</v>
      </c>
      <c r="HD37">
        <v>1015.5</v>
      </c>
      <c r="HE37">
        <v>1078.2</v>
      </c>
      <c r="HF37">
        <v>1055.7</v>
      </c>
      <c r="HG37">
        <v>1087.5</v>
      </c>
      <c r="HH37">
        <v>1057.5999999999999</v>
      </c>
      <c r="HI37">
        <v>1040.2</v>
      </c>
    </row>
    <row r="38" spans="1:217" x14ac:dyDescent="0.35">
      <c r="A38" s="35" t="s">
        <v>2273</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2483.9</v>
      </c>
      <c r="FS38" s="35">
        <v>2506.1999999999998</v>
      </c>
      <c r="FT38" s="35">
        <v>2526.9</v>
      </c>
      <c r="FU38" s="35">
        <v>2529.9</v>
      </c>
      <c r="FV38" s="35">
        <v>2540.3000000000002</v>
      </c>
      <c r="FW38" s="35">
        <v>2577.6</v>
      </c>
      <c r="FX38" s="35">
        <v>2619.9</v>
      </c>
      <c r="FY38" s="35">
        <v>2643.5</v>
      </c>
      <c r="FZ38" s="35">
        <v>2650.2</v>
      </c>
      <c r="GA38" s="35">
        <v>2706.1</v>
      </c>
      <c r="GB38" s="35">
        <v>2730.1</v>
      </c>
      <c r="GC38" s="35">
        <v>2731.2</v>
      </c>
      <c r="GD38" s="35">
        <v>2755.7</v>
      </c>
      <c r="GE38" s="35">
        <v>2784.2</v>
      </c>
      <c r="GF38" s="35">
        <v>2809.5</v>
      </c>
      <c r="GG38" s="35">
        <v>2835</v>
      </c>
      <c r="GH38" s="35">
        <v>2849.2</v>
      </c>
      <c r="GI38" s="35">
        <v>2851.8</v>
      </c>
      <c r="GJ38" s="35">
        <v>2892.4</v>
      </c>
      <c r="GK38" s="35">
        <v>2918.9</v>
      </c>
      <c r="GL38" s="35">
        <v>2940.4</v>
      </c>
      <c r="GM38" s="35">
        <v>2985</v>
      </c>
      <c r="GN38" s="35">
        <v>3020.2</v>
      </c>
      <c r="GO38" s="35">
        <v>3027</v>
      </c>
      <c r="GP38" s="35">
        <v>3072.9</v>
      </c>
      <c r="GQ38" s="35">
        <v>3145</v>
      </c>
      <c r="GR38" s="35">
        <v>3186</v>
      </c>
      <c r="GS38" s="35">
        <v>3217.4</v>
      </c>
      <c r="GT38" s="35">
        <v>3253.3</v>
      </c>
      <c r="GU38" s="35">
        <v>3270.2</v>
      </c>
      <c r="GV38" s="35">
        <v>3318.1</v>
      </c>
      <c r="GW38" s="35">
        <v>3320.8</v>
      </c>
      <c r="GX38" s="35">
        <v>3391.6</v>
      </c>
      <c r="GY38" s="35">
        <v>3465</v>
      </c>
      <c r="GZ38" s="35">
        <v>3501.8</v>
      </c>
      <c r="HA38" s="35">
        <v>3516.4</v>
      </c>
      <c r="HB38" s="35">
        <v>3592.5</v>
      </c>
      <c r="HC38">
        <v>3691.8</v>
      </c>
      <c r="HD38">
        <v>3753.6</v>
      </c>
      <c r="HE38">
        <v>3851.6</v>
      </c>
      <c r="HF38">
        <v>3877.6</v>
      </c>
      <c r="HG38">
        <v>3934.2</v>
      </c>
      <c r="HH38">
        <v>3985.3</v>
      </c>
      <c r="HI38">
        <v>3997.4</v>
      </c>
    </row>
    <row r="39" spans="1:217" x14ac:dyDescent="0.35">
      <c r="A39" s="35" t="s">
        <v>2274</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411.488</v>
      </c>
      <c r="GM39" s="35">
        <v>404.339</v>
      </c>
      <c r="GN39" s="35">
        <v>411.95499999999998</v>
      </c>
      <c r="GO39" s="35">
        <v>412.702</v>
      </c>
      <c r="GP39" s="35">
        <v>428.54199999999997</v>
      </c>
      <c r="GQ39" s="35">
        <v>435.80200000000002</v>
      </c>
      <c r="GR39" s="35">
        <v>438.41199999999998</v>
      </c>
      <c r="GS39" s="35">
        <v>438.09800000000001</v>
      </c>
      <c r="GT39" s="35">
        <v>448.28899999999999</v>
      </c>
      <c r="GU39" s="35">
        <v>580.39099999999996</v>
      </c>
      <c r="GV39" s="35">
        <v>533.846</v>
      </c>
      <c r="GW39" s="35">
        <v>544.28700000000003</v>
      </c>
      <c r="GX39" s="35">
        <v>541.42399999999998</v>
      </c>
      <c r="GY39" s="35">
        <v>556.03399999999999</v>
      </c>
      <c r="GZ39" s="35">
        <v>581.58000000000004</v>
      </c>
      <c r="HA39" s="35">
        <v>611.87599999999998</v>
      </c>
      <c r="HB39" s="35">
        <v>640.38</v>
      </c>
      <c r="HC39">
        <v>637.29200000000003</v>
      </c>
      <c r="HD39">
        <v>641.39700000000005</v>
      </c>
      <c r="HE39">
        <v>640.96799999999996</v>
      </c>
      <c r="HF39">
        <v>663.50199999999995</v>
      </c>
      <c r="HG39">
        <v>669.447</v>
      </c>
      <c r="HH39">
        <v>622.95699999999999</v>
      </c>
      <c r="HI39">
        <v>647.4</v>
      </c>
    </row>
    <row r="40" spans="1:217" x14ac:dyDescent="0.35">
      <c r="A40" s="35" t="s">
        <v>2275</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389.90100000000001</v>
      </c>
      <c r="GM40" s="35">
        <v>385.517</v>
      </c>
      <c r="GN40" s="35">
        <v>390.85199999999998</v>
      </c>
      <c r="GO40" s="35">
        <v>391.92099999999999</v>
      </c>
      <c r="GP40" s="35">
        <v>406.23</v>
      </c>
      <c r="GQ40" s="35">
        <v>414.87200000000001</v>
      </c>
      <c r="GR40" s="35">
        <v>418.36200000000002</v>
      </c>
      <c r="GS40" s="35">
        <v>414.971</v>
      </c>
      <c r="GT40" s="35">
        <v>424.089</v>
      </c>
      <c r="GU40" s="35">
        <v>505.45</v>
      </c>
      <c r="GV40" s="35">
        <v>483.86599999999999</v>
      </c>
      <c r="GW40" s="35">
        <v>506.75599999999997</v>
      </c>
      <c r="GX40" s="35">
        <v>501.459</v>
      </c>
      <c r="GY40" s="35">
        <v>526.38599999999997</v>
      </c>
      <c r="GZ40" s="35">
        <v>541.66800000000001</v>
      </c>
      <c r="HA40" s="35">
        <v>563.64300000000003</v>
      </c>
      <c r="HB40" s="35">
        <v>594.56200000000001</v>
      </c>
      <c r="HC40">
        <v>595.59299999999996</v>
      </c>
      <c r="HD40">
        <v>607.94899999999996</v>
      </c>
      <c r="HE40">
        <v>607.13699999999994</v>
      </c>
      <c r="HF40">
        <v>630.96299999999997</v>
      </c>
      <c r="HG40">
        <v>639.71100000000001</v>
      </c>
      <c r="HH40">
        <v>590.947</v>
      </c>
      <c r="HI40">
        <v>616.99699999999996</v>
      </c>
    </row>
    <row r="41" spans="1:217" x14ac:dyDescent="0.35">
      <c r="A41" s="35" t="s">
        <v>2276</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65.069000000000003</v>
      </c>
      <c r="GM41" s="35">
        <v>65.826999999999998</v>
      </c>
      <c r="GN41" s="35">
        <v>70.346000000000004</v>
      </c>
      <c r="GO41" s="35">
        <v>66.262</v>
      </c>
      <c r="GP41" s="35">
        <v>67.274000000000001</v>
      </c>
      <c r="GQ41" s="35">
        <v>67.611000000000004</v>
      </c>
      <c r="GR41" s="35">
        <v>71.308000000000007</v>
      </c>
      <c r="GS41" s="35">
        <v>72.156000000000006</v>
      </c>
      <c r="GT41" s="35">
        <v>75.245999999999995</v>
      </c>
      <c r="GU41" s="35">
        <v>75.986000000000004</v>
      </c>
      <c r="GV41" s="35">
        <v>79.650999999999996</v>
      </c>
      <c r="GW41" s="35">
        <v>75.400999999999996</v>
      </c>
      <c r="GX41" s="35">
        <v>73.034999999999997</v>
      </c>
      <c r="GY41" s="35">
        <v>75.13</v>
      </c>
      <c r="GZ41" s="35">
        <v>70.191999999999993</v>
      </c>
      <c r="HA41" s="35">
        <v>72.266999999999996</v>
      </c>
      <c r="HB41" s="35">
        <v>74.974000000000004</v>
      </c>
      <c r="HC41">
        <v>428.19</v>
      </c>
      <c r="HD41">
        <v>145.27699999999999</v>
      </c>
      <c r="HE41">
        <v>81.352000000000004</v>
      </c>
      <c r="HF41">
        <v>80.510999999999996</v>
      </c>
      <c r="HG41">
        <v>86.768000000000001</v>
      </c>
      <c r="HH41">
        <v>90.495000000000005</v>
      </c>
      <c r="HI41">
        <v>88.590999999999994</v>
      </c>
    </row>
    <row r="42" spans="1:217" x14ac:dyDescent="0.35">
      <c r="A42" s="35" t="s">
        <v>2277</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975.8</v>
      </c>
      <c r="GV42" s="35">
        <v>1108.4000000000001</v>
      </c>
      <c r="GW42" s="35">
        <v>460.7</v>
      </c>
      <c r="GX42" s="35">
        <v>385.5</v>
      </c>
      <c r="GY42" s="35">
        <v>692.7</v>
      </c>
      <c r="GZ42" s="35">
        <v>547.1</v>
      </c>
      <c r="HA42" s="35">
        <v>293.2</v>
      </c>
      <c r="HB42" s="35">
        <v>151.4</v>
      </c>
      <c r="HC42">
        <v>129.5</v>
      </c>
      <c r="HD42">
        <v>117.7</v>
      </c>
      <c r="HE42">
        <v>108.6</v>
      </c>
      <c r="HF42">
        <v>100.7</v>
      </c>
      <c r="HG42">
        <v>99.2</v>
      </c>
      <c r="HH42">
        <v>102.4</v>
      </c>
      <c r="HI42">
        <v>99.7</v>
      </c>
    </row>
    <row r="43" spans="1:217" x14ac:dyDescent="0.35">
      <c r="A43" s="35" t="s">
        <v>2278</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c r="HH43">
        <v>0.7</v>
      </c>
      <c r="HI43">
        <v>0.7</v>
      </c>
    </row>
    <row r="44" spans="1:217" x14ac:dyDescent="0.35">
      <c r="A44" s="35" t="s">
        <v>2279</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976.4</v>
      </c>
      <c r="GV44" s="35">
        <v>1109</v>
      </c>
      <c r="GW44" s="35">
        <v>461.4</v>
      </c>
      <c r="GX44" s="35">
        <v>388</v>
      </c>
      <c r="GY44" s="35">
        <v>701.3</v>
      </c>
      <c r="GZ44" s="35">
        <v>547.79999999999995</v>
      </c>
      <c r="HA44" s="35">
        <v>293.89999999999998</v>
      </c>
      <c r="HB44" s="35">
        <v>152</v>
      </c>
      <c r="HC44">
        <v>130.1</v>
      </c>
      <c r="HD44">
        <v>118.4</v>
      </c>
      <c r="HE44">
        <v>109.2</v>
      </c>
      <c r="HF44">
        <v>101.4</v>
      </c>
      <c r="HG44">
        <v>99.9</v>
      </c>
      <c r="HH44">
        <v>103.1</v>
      </c>
      <c r="HI44">
        <v>100.4</v>
      </c>
    </row>
    <row r="45" spans="1:217" x14ac:dyDescent="0.35">
      <c r="A45" s="35" t="s">
        <v>2280</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7" x14ac:dyDescent="0.35">
      <c r="A46" s="35" t="s">
        <v>2281</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7" x14ac:dyDescent="0.35">
      <c r="A47" s="35" t="s">
        <v>2282</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7" x14ac:dyDescent="0.35">
      <c r="A48" s="35" t="s">
        <v>2283</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2284</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2285</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2286</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2287</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2288</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2289</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2290</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2291</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2292</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2293</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2294</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2295</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2296</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2297</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2298</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2299</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7" x14ac:dyDescent="0.35">
      <c r="A65" s="35" t="s">
        <v>2300</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78.900000000000006</v>
      </c>
      <c r="GM65" s="35">
        <v>86.1</v>
      </c>
      <c r="GN65" s="35">
        <v>85.3</v>
      </c>
      <c r="GO65" s="35">
        <v>82.9</v>
      </c>
      <c r="GP65" s="35">
        <v>85.7</v>
      </c>
      <c r="GQ65" s="35">
        <v>78.7</v>
      </c>
      <c r="GR65" s="35">
        <v>82.7</v>
      </c>
      <c r="GS65" s="35">
        <v>133.6</v>
      </c>
      <c r="GT65" s="35">
        <v>95.1</v>
      </c>
      <c r="GU65" s="35">
        <v>92.9</v>
      </c>
      <c r="GV65" s="35">
        <v>93.1</v>
      </c>
      <c r="GW65" s="35">
        <v>88.8</v>
      </c>
      <c r="GX65" s="35">
        <v>318.60000000000002</v>
      </c>
      <c r="GY65" s="35">
        <v>87.2</v>
      </c>
      <c r="GZ65" s="35">
        <v>99.2</v>
      </c>
      <c r="HA65" s="35">
        <v>89.1</v>
      </c>
      <c r="HB65" s="35">
        <v>92.2</v>
      </c>
      <c r="HC65">
        <v>450.3</v>
      </c>
      <c r="HD65">
        <v>212.5</v>
      </c>
      <c r="HE65">
        <v>111.6</v>
      </c>
      <c r="HF65">
        <v>115.5</v>
      </c>
      <c r="HG65">
        <v>133.30000000000001</v>
      </c>
      <c r="HH65">
        <v>561.29999999999995</v>
      </c>
      <c r="HI65">
        <v>164.8</v>
      </c>
    </row>
    <row r="66" spans="1:217" x14ac:dyDescent="0.35">
      <c r="A66" s="35" t="s">
        <v>2301</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59.752000000000002</v>
      </c>
      <c r="GM66" s="35">
        <v>58.478999999999999</v>
      </c>
      <c r="GN66" s="35">
        <v>57.514000000000003</v>
      </c>
      <c r="GO66" s="35">
        <v>57.017000000000003</v>
      </c>
      <c r="GP66" s="35">
        <v>55.847999999999999</v>
      </c>
      <c r="GQ66" s="35">
        <v>54.531999999999996</v>
      </c>
      <c r="GR66" s="35">
        <v>54.451999999999998</v>
      </c>
      <c r="GS66" s="35">
        <v>54.012999999999998</v>
      </c>
      <c r="GT66" s="35">
        <v>61.353000000000002</v>
      </c>
      <c r="GU66" s="35">
        <v>106.1</v>
      </c>
      <c r="GV66" s="35">
        <v>110.04900000000001</v>
      </c>
      <c r="GW66" s="35">
        <v>117.309</v>
      </c>
      <c r="GX66" s="35">
        <v>142.78899999999999</v>
      </c>
      <c r="GY66" s="35">
        <v>157.602</v>
      </c>
      <c r="GZ66" s="35">
        <v>149.11600000000001</v>
      </c>
      <c r="HA66" s="35">
        <v>146.631</v>
      </c>
      <c r="HB66" s="35">
        <v>134.809</v>
      </c>
      <c r="HC66">
        <v>123.735</v>
      </c>
      <c r="HD66">
        <v>116.06100000000001</v>
      </c>
      <c r="HE66">
        <v>136.14500000000001</v>
      </c>
      <c r="HF66">
        <v>130.17699999999999</v>
      </c>
      <c r="HG66">
        <v>103.13</v>
      </c>
      <c r="HH66">
        <v>103.06100000000001</v>
      </c>
      <c r="HI66">
        <v>85.728999999999999</v>
      </c>
    </row>
    <row r="67" spans="1:217" x14ac:dyDescent="0.35">
      <c r="A67" s="35" t="s">
        <v>2302</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c r="HG67">
        <v>303.351</v>
      </c>
      <c r="HH67">
        <v>306.03266666666701</v>
      </c>
      <c r="HI67">
        <v>308.12866666666702</v>
      </c>
    </row>
    <row r="68" spans="1:217" x14ac:dyDescent="0.35">
      <c r="A68" s="35" t="s">
        <v>2303</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c r="HG68">
        <v>297.546333333333</v>
      </c>
      <c r="HH68">
        <v>300.36200000000002</v>
      </c>
      <c r="HI68">
        <v>302.38066666666703</v>
      </c>
    </row>
    <row r="69" spans="1:217" x14ac:dyDescent="0.35">
      <c r="A69" s="35" t="s">
        <v>2304</v>
      </c>
      <c r="B69" s="35">
        <v>4944.6000000000004</v>
      </c>
      <c r="C69" s="35">
        <v>4984.7</v>
      </c>
      <c r="D69" s="35">
        <v>5023.8999999999996</v>
      </c>
      <c r="E69" s="35">
        <v>5063</v>
      </c>
      <c r="F69" s="35">
        <v>5103.7</v>
      </c>
      <c r="G69" s="35">
        <v>5147.1000000000004</v>
      </c>
      <c r="H69" s="35">
        <v>5191.8999999999996</v>
      </c>
      <c r="I69" s="35">
        <v>5236.8</v>
      </c>
      <c r="J69" s="35">
        <v>5280.7</v>
      </c>
      <c r="K69" s="35">
        <v>5322.4</v>
      </c>
      <c r="L69" s="35">
        <v>5362.8</v>
      </c>
      <c r="M69" s="35">
        <v>5403.3</v>
      </c>
      <c r="N69" s="35">
        <v>5445.1</v>
      </c>
      <c r="O69" s="35">
        <v>5490.2</v>
      </c>
      <c r="P69" s="35">
        <v>5536.8</v>
      </c>
      <c r="Q69" s="35">
        <v>5585</v>
      </c>
      <c r="R69" s="35">
        <v>5634</v>
      </c>
      <c r="S69" s="35">
        <v>5683</v>
      </c>
      <c r="T69" s="35">
        <v>5731.3</v>
      </c>
      <c r="U69" s="35">
        <v>5779</v>
      </c>
      <c r="V69" s="35">
        <v>5825.8</v>
      </c>
      <c r="W69" s="35">
        <v>5872</v>
      </c>
      <c r="X69" s="35">
        <v>5918</v>
      </c>
      <c r="Y69" s="35">
        <v>5964.1</v>
      </c>
      <c r="Z69" s="35">
        <v>6009.6</v>
      </c>
      <c r="AA69" s="35">
        <v>6055.3</v>
      </c>
      <c r="AB69" s="35">
        <v>6101.9</v>
      </c>
      <c r="AC69" s="35">
        <v>6149.1</v>
      </c>
      <c r="AD69" s="35">
        <v>6198.2</v>
      </c>
      <c r="AE69" s="35">
        <v>6248.8</v>
      </c>
      <c r="AF69" s="35">
        <v>6300.5</v>
      </c>
      <c r="AG69" s="35">
        <v>6353.7</v>
      </c>
      <c r="AH69" s="35">
        <v>6408.2</v>
      </c>
      <c r="AI69" s="35">
        <v>6463.6</v>
      </c>
      <c r="AJ69" s="35">
        <v>6520.3</v>
      </c>
      <c r="AK69" s="35">
        <v>6578.3</v>
      </c>
      <c r="AL69" s="35">
        <v>6638.3</v>
      </c>
      <c r="AM69" s="35">
        <v>6696.7</v>
      </c>
      <c r="AN69" s="35">
        <v>6752.3</v>
      </c>
      <c r="AO69" s="35">
        <v>6804.1</v>
      </c>
      <c r="AP69" s="35">
        <v>6851.1</v>
      </c>
      <c r="AQ69" s="35">
        <v>6892.4</v>
      </c>
      <c r="AR69" s="35">
        <v>6928.2</v>
      </c>
      <c r="AS69" s="35">
        <v>6965.7</v>
      </c>
      <c r="AT69" s="35">
        <v>7007.3</v>
      </c>
      <c r="AU69" s="35">
        <v>7052.2</v>
      </c>
      <c r="AV69" s="35">
        <v>7099.9</v>
      </c>
      <c r="AW69" s="35">
        <v>7150.2</v>
      </c>
      <c r="AX69" s="35">
        <v>7202.1</v>
      </c>
      <c r="AY69" s="35">
        <v>7255.2</v>
      </c>
      <c r="AZ69" s="35">
        <v>7309.4</v>
      </c>
      <c r="BA69" s="35">
        <v>7365.2</v>
      </c>
      <c r="BB69" s="35">
        <v>7421.7</v>
      </c>
      <c r="BC69" s="35">
        <v>7480.5</v>
      </c>
      <c r="BD69" s="35">
        <v>7541.5</v>
      </c>
      <c r="BE69" s="35">
        <v>7604.8</v>
      </c>
      <c r="BF69" s="35">
        <v>7689.9</v>
      </c>
      <c r="BG69" s="35">
        <v>7755</v>
      </c>
      <c r="BH69" s="35">
        <v>7820.9</v>
      </c>
      <c r="BI69" s="35">
        <v>7888</v>
      </c>
      <c r="BJ69" s="35">
        <v>7956.5</v>
      </c>
      <c r="BK69" s="35">
        <v>8026.8</v>
      </c>
      <c r="BL69" s="35">
        <v>8098.3</v>
      </c>
      <c r="BM69" s="35">
        <v>8169.8</v>
      </c>
      <c r="BN69" s="35">
        <v>8240.7000000000007</v>
      </c>
      <c r="BO69" s="35">
        <v>8310.5</v>
      </c>
      <c r="BP69" s="35">
        <v>8379.6</v>
      </c>
      <c r="BQ69" s="35">
        <v>8448.2999999999993</v>
      </c>
      <c r="BR69" s="35">
        <v>8516.5</v>
      </c>
      <c r="BS69" s="35">
        <v>8584.5</v>
      </c>
      <c r="BT69" s="35">
        <v>8652</v>
      </c>
      <c r="BU69" s="35">
        <v>8719.4</v>
      </c>
      <c r="BV69" s="35">
        <v>8785.5</v>
      </c>
      <c r="BW69" s="35">
        <v>8850.9</v>
      </c>
      <c r="BX69" s="35">
        <v>8916.2000000000007</v>
      </c>
      <c r="BY69" s="35">
        <v>8983.1</v>
      </c>
      <c r="BZ69" s="35">
        <v>9052.6</v>
      </c>
      <c r="CA69" s="35">
        <v>9125.7000000000007</v>
      </c>
      <c r="CB69" s="35">
        <v>9200.5</v>
      </c>
      <c r="CC69" s="35">
        <v>9275</v>
      </c>
      <c r="CD69" s="35">
        <v>9346.2999999999993</v>
      </c>
      <c r="CE69" s="35">
        <v>9412.9</v>
      </c>
      <c r="CF69" s="35">
        <v>9474.7000000000007</v>
      </c>
      <c r="CG69" s="35">
        <v>9533.2999999999993</v>
      </c>
      <c r="CH69" s="35">
        <v>9590.4</v>
      </c>
      <c r="CI69" s="35">
        <v>9647.2999999999993</v>
      </c>
      <c r="CJ69" s="35">
        <v>9704.4</v>
      </c>
      <c r="CK69" s="35">
        <v>9762.4</v>
      </c>
      <c r="CL69" s="35">
        <v>9821.2999999999993</v>
      </c>
      <c r="CM69" s="35">
        <v>9881.2999999999993</v>
      </c>
      <c r="CN69" s="35">
        <v>9943.1</v>
      </c>
      <c r="CO69" s="35">
        <v>10005.799999999999</v>
      </c>
      <c r="CP69" s="35">
        <v>10069.4</v>
      </c>
      <c r="CQ69" s="35">
        <v>10134.200000000001</v>
      </c>
      <c r="CR69" s="35">
        <v>10199.799999999999</v>
      </c>
      <c r="CS69" s="35">
        <v>10265.799999999999</v>
      </c>
      <c r="CT69" s="35">
        <v>10331.9</v>
      </c>
      <c r="CU69" s="35">
        <v>10398</v>
      </c>
      <c r="CV69" s="35">
        <v>10464.799999999999</v>
      </c>
      <c r="CW69" s="35">
        <v>10531.7</v>
      </c>
      <c r="CX69" s="35">
        <v>10598.6</v>
      </c>
      <c r="CY69" s="35">
        <v>10665.9</v>
      </c>
      <c r="CZ69" s="35">
        <v>10734</v>
      </c>
      <c r="DA69" s="35">
        <v>10805</v>
      </c>
      <c r="DB69" s="35">
        <v>10879.3</v>
      </c>
      <c r="DC69" s="35">
        <v>10961.2</v>
      </c>
      <c r="DD69" s="35">
        <v>11050.5</v>
      </c>
      <c r="DE69" s="35">
        <v>11145.7</v>
      </c>
      <c r="DF69" s="35">
        <v>11244.9</v>
      </c>
      <c r="DG69" s="35">
        <v>11346.4</v>
      </c>
      <c r="DH69" s="35">
        <v>11450.6</v>
      </c>
      <c r="DI69" s="35">
        <v>11556.8</v>
      </c>
      <c r="DJ69" s="35">
        <v>11665</v>
      </c>
      <c r="DK69" s="35">
        <v>11776.7</v>
      </c>
      <c r="DL69" s="35">
        <v>11892.8</v>
      </c>
      <c r="DM69" s="35">
        <v>12015.9</v>
      </c>
      <c r="DN69" s="35">
        <v>12149.4</v>
      </c>
      <c r="DO69" s="35">
        <v>12293.9</v>
      </c>
      <c r="DP69" s="35">
        <v>12445.5</v>
      </c>
      <c r="DQ69" s="35">
        <v>12599.3</v>
      </c>
      <c r="DR69" s="35">
        <v>12748.6</v>
      </c>
      <c r="DS69" s="35">
        <v>12885.2</v>
      </c>
      <c r="DT69" s="35">
        <v>13008.4</v>
      </c>
      <c r="DU69" s="35">
        <v>13121.1</v>
      </c>
      <c r="DV69" s="35">
        <v>13226.2</v>
      </c>
      <c r="DW69" s="35">
        <v>13326.9</v>
      </c>
      <c r="DX69" s="35">
        <v>13424.4</v>
      </c>
      <c r="DY69" s="35">
        <v>13519.9</v>
      </c>
      <c r="DZ69" s="35">
        <v>13614.6</v>
      </c>
      <c r="EA69" s="35">
        <v>13710.5</v>
      </c>
      <c r="EB69" s="35">
        <v>13806.6</v>
      </c>
      <c r="EC69" s="35">
        <v>13900.7</v>
      </c>
      <c r="ED69" s="35">
        <v>13990.9</v>
      </c>
      <c r="EE69" s="35">
        <v>14076.2</v>
      </c>
      <c r="EF69" s="35">
        <v>14157.5</v>
      </c>
      <c r="EG69" s="35">
        <v>14238.5</v>
      </c>
      <c r="EH69" s="35">
        <v>14322.5</v>
      </c>
      <c r="EI69" s="35">
        <v>14410.9</v>
      </c>
      <c r="EJ69" s="35">
        <v>14503.8</v>
      </c>
      <c r="EK69" s="35">
        <v>14598.8</v>
      </c>
      <c r="EL69" s="35">
        <v>14691.6</v>
      </c>
      <c r="EM69" s="35">
        <v>14780.6</v>
      </c>
      <c r="EN69" s="35">
        <v>14867.5</v>
      </c>
      <c r="EO69" s="35">
        <v>14953.1</v>
      </c>
      <c r="EP69" s="35">
        <v>15038.8</v>
      </c>
      <c r="EQ69" s="35">
        <v>15125.7</v>
      </c>
      <c r="ER69" s="35">
        <v>15210.7</v>
      </c>
      <c r="ES69" s="35">
        <v>15291.5</v>
      </c>
      <c r="ET69" s="35">
        <v>15370.1</v>
      </c>
      <c r="EU69" s="35">
        <v>15445.3</v>
      </c>
      <c r="EV69" s="35">
        <v>15518.3</v>
      </c>
      <c r="EW69" s="35">
        <v>15589.9</v>
      </c>
      <c r="EX69" s="35">
        <v>15661.4</v>
      </c>
      <c r="EY69" s="35">
        <v>15732.3</v>
      </c>
      <c r="EZ69" s="35">
        <v>15802</v>
      </c>
      <c r="FA69" s="35">
        <v>15869</v>
      </c>
      <c r="FB69" s="35">
        <v>15931.7</v>
      </c>
      <c r="FC69" s="35">
        <v>15990.7</v>
      </c>
      <c r="FD69" s="35">
        <v>16045.8</v>
      </c>
      <c r="FE69" s="35">
        <v>16097.7</v>
      </c>
      <c r="FF69" s="35">
        <v>16147.4</v>
      </c>
      <c r="FG69" s="35">
        <v>16195.8</v>
      </c>
      <c r="FH69" s="35">
        <v>16246.5</v>
      </c>
      <c r="FI69" s="35">
        <v>16302.5</v>
      </c>
      <c r="FJ69" s="35">
        <v>16367.1</v>
      </c>
      <c r="FK69" s="35">
        <v>16442.8</v>
      </c>
      <c r="FL69" s="35">
        <v>16526</v>
      </c>
      <c r="FM69" s="35">
        <v>16611.8</v>
      </c>
      <c r="FN69" s="35">
        <v>16695.7</v>
      </c>
      <c r="FO69" s="35">
        <v>16774.5</v>
      </c>
      <c r="FP69" s="35">
        <v>16848.900000000001</v>
      </c>
      <c r="FQ69" s="35">
        <v>16920.599999999999</v>
      </c>
      <c r="FR69" s="35">
        <v>16992.099999999999</v>
      </c>
      <c r="FS69" s="35">
        <v>17064.8</v>
      </c>
      <c r="FT69" s="35">
        <v>17138.900000000001</v>
      </c>
      <c r="FU69" s="35">
        <v>17215.3</v>
      </c>
      <c r="FV69" s="35">
        <v>17294</v>
      </c>
      <c r="FW69" s="35">
        <v>17375.099999999999</v>
      </c>
      <c r="FX69" s="35">
        <v>17459.3</v>
      </c>
      <c r="FY69" s="35">
        <v>17545.400000000001</v>
      </c>
      <c r="FZ69" s="35">
        <v>17632.900000000001</v>
      </c>
      <c r="GA69" s="35">
        <v>17721.3</v>
      </c>
      <c r="GB69" s="35">
        <v>17808.3</v>
      </c>
      <c r="GC69" s="35">
        <v>17891.900000000001</v>
      </c>
      <c r="GD69" s="35">
        <v>17970.5</v>
      </c>
      <c r="GE69" s="35">
        <v>18043.2</v>
      </c>
      <c r="GF69" s="35">
        <v>18112.599999999999</v>
      </c>
      <c r="GG69" s="35">
        <v>18182.7</v>
      </c>
      <c r="GH69" s="35">
        <v>18258</v>
      </c>
      <c r="GI69" s="35">
        <v>18341.099999999999</v>
      </c>
      <c r="GJ69" s="35">
        <v>18431.7</v>
      </c>
      <c r="GK69" s="35">
        <v>18525.5</v>
      </c>
      <c r="GL69" s="35">
        <v>18619.2</v>
      </c>
      <c r="GM69" s="35">
        <v>18709.599999999999</v>
      </c>
      <c r="GN69" s="35">
        <v>18798</v>
      </c>
      <c r="GO69" s="35">
        <v>18884.599999999999</v>
      </c>
      <c r="GP69" s="35">
        <v>18971.8</v>
      </c>
      <c r="GQ69" s="35">
        <v>19061.8</v>
      </c>
      <c r="GR69" s="35">
        <v>19154.5</v>
      </c>
      <c r="GS69" s="35">
        <v>19247.2</v>
      </c>
      <c r="GT69" s="35">
        <v>19336.5</v>
      </c>
      <c r="GU69" s="35">
        <v>19419.3</v>
      </c>
      <c r="GV69" s="35">
        <v>19490.400000000001</v>
      </c>
      <c r="GW69" s="35">
        <v>19573.099999999999</v>
      </c>
      <c r="GX69" s="35">
        <v>19661.599999999999</v>
      </c>
      <c r="GY69" s="35">
        <v>19757</v>
      </c>
      <c r="GZ69" s="35">
        <v>19856.900000000001</v>
      </c>
      <c r="HA69" s="35">
        <v>19958</v>
      </c>
      <c r="HB69" s="35">
        <v>20057.900000000001</v>
      </c>
      <c r="HC69">
        <v>20153.8</v>
      </c>
      <c r="HD69">
        <v>20245.7</v>
      </c>
      <c r="HE69">
        <v>20334.2</v>
      </c>
      <c r="HF69">
        <v>20420.7</v>
      </c>
      <c r="HG69">
        <v>20511.900000000001</v>
      </c>
      <c r="HH69">
        <v>20603.7</v>
      </c>
      <c r="HI69">
        <v>20693.400000000001</v>
      </c>
    </row>
    <row r="70" spans="1:217" x14ac:dyDescent="0.35">
      <c r="A70" s="35" t="s">
        <v>2305</v>
      </c>
      <c r="B70" s="35">
        <v>1052.2</v>
      </c>
      <c r="C70" s="35">
        <v>1075.5999999999999</v>
      </c>
      <c r="D70" s="35">
        <v>1092.9000000000001</v>
      </c>
      <c r="E70" s="35">
        <v>1116</v>
      </c>
      <c r="F70" s="35">
        <v>1142.0999999999999</v>
      </c>
      <c r="G70" s="35">
        <v>1166.9000000000001</v>
      </c>
      <c r="H70" s="35">
        <v>1189</v>
      </c>
      <c r="I70" s="35">
        <v>1209.3</v>
      </c>
      <c r="J70" s="35">
        <v>1237.9000000000001</v>
      </c>
      <c r="K70" s="35">
        <v>1255.5</v>
      </c>
      <c r="L70" s="35">
        <v>1277.2</v>
      </c>
      <c r="M70" s="35">
        <v>1303.2</v>
      </c>
      <c r="N70" s="35">
        <v>1328.4</v>
      </c>
      <c r="O70" s="35">
        <v>1360</v>
      </c>
      <c r="P70" s="35">
        <v>1398.2</v>
      </c>
      <c r="Q70" s="35">
        <v>1438.5</v>
      </c>
      <c r="R70" s="35">
        <v>1478.5</v>
      </c>
      <c r="S70" s="35">
        <v>1526.6</v>
      </c>
      <c r="T70" s="35">
        <v>1584.7</v>
      </c>
      <c r="U70" s="35">
        <v>1644.9</v>
      </c>
      <c r="V70" s="35">
        <v>1695.9</v>
      </c>
      <c r="W70" s="35">
        <v>1734.8</v>
      </c>
      <c r="X70" s="35">
        <v>1779.2</v>
      </c>
      <c r="Y70" s="35">
        <v>1823</v>
      </c>
      <c r="Z70" s="35">
        <v>1856.4</v>
      </c>
      <c r="AA70" s="35">
        <v>1889.4</v>
      </c>
      <c r="AB70" s="35">
        <v>1928.6</v>
      </c>
      <c r="AC70" s="35">
        <v>1978.3</v>
      </c>
      <c r="AD70" s="35">
        <v>2026.1</v>
      </c>
      <c r="AE70" s="35">
        <v>2071.5</v>
      </c>
      <c r="AF70" s="35">
        <v>2114.1</v>
      </c>
      <c r="AG70" s="35">
        <v>2178</v>
      </c>
      <c r="AH70" s="35">
        <v>2228.6999999999998</v>
      </c>
      <c r="AI70" s="35">
        <v>2290.8000000000002</v>
      </c>
      <c r="AJ70" s="35">
        <v>2350.1999999999998</v>
      </c>
      <c r="AK70" s="35">
        <v>2419.6</v>
      </c>
      <c r="AL70" s="35">
        <v>2486.1999999999998</v>
      </c>
      <c r="AM70" s="35">
        <v>2569.4</v>
      </c>
      <c r="AN70" s="35">
        <v>2647.5</v>
      </c>
      <c r="AO70" s="35">
        <v>2717.3</v>
      </c>
      <c r="AP70" s="35">
        <v>2793.5</v>
      </c>
      <c r="AQ70" s="35">
        <v>2877.3</v>
      </c>
      <c r="AR70" s="35">
        <v>2956.8</v>
      </c>
      <c r="AS70" s="35">
        <v>3050.3</v>
      </c>
      <c r="AT70" s="35">
        <v>3149.3</v>
      </c>
      <c r="AU70" s="35">
        <v>3232.3</v>
      </c>
      <c r="AV70" s="35">
        <v>3315.4</v>
      </c>
      <c r="AW70" s="35">
        <v>3396.5</v>
      </c>
      <c r="AX70" s="35">
        <v>3468.3</v>
      </c>
      <c r="AY70" s="35">
        <v>3539.3</v>
      </c>
      <c r="AZ70" s="35">
        <v>3616.3</v>
      </c>
      <c r="BA70" s="35">
        <v>3681.7</v>
      </c>
      <c r="BB70" s="35">
        <v>3737.8</v>
      </c>
      <c r="BC70" s="35">
        <v>3795.4</v>
      </c>
      <c r="BD70" s="35">
        <v>3867.1</v>
      </c>
      <c r="BE70" s="35">
        <v>3929.1</v>
      </c>
      <c r="BF70" s="35">
        <v>4013.4</v>
      </c>
      <c r="BG70" s="35">
        <v>4082</v>
      </c>
      <c r="BH70" s="35">
        <v>4153.3</v>
      </c>
      <c r="BI70" s="35">
        <v>4220.3</v>
      </c>
      <c r="BJ70" s="35">
        <v>4298.8999999999996</v>
      </c>
      <c r="BK70" s="35">
        <v>4364.8</v>
      </c>
      <c r="BL70" s="35">
        <v>4430.3</v>
      </c>
      <c r="BM70" s="35">
        <v>4494.3999999999996</v>
      </c>
      <c r="BN70" s="35">
        <v>4555.8999999999996</v>
      </c>
      <c r="BO70" s="35">
        <v>4611.8999999999996</v>
      </c>
      <c r="BP70" s="35">
        <v>4669.3999999999996</v>
      </c>
      <c r="BQ70" s="35">
        <v>4733.2</v>
      </c>
      <c r="BR70" s="35">
        <v>4801.8</v>
      </c>
      <c r="BS70" s="35">
        <v>4873.7</v>
      </c>
      <c r="BT70" s="35">
        <v>4949.2</v>
      </c>
      <c r="BU70" s="35">
        <v>5027.3999999999996</v>
      </c>
      <c r="BV70" s="35">
        <v>5105.3</v>
      </c>
      <c r="BW70" s="35">
        <v>5193.3</v>
      </c>
      <c r="BX70" s="35">
        <v>5294.1</v>
      </c>
      <c r="BY70" s="35">
        <v>5380</v>
      </c>
      <c r="BZ70" s="35">
        <v>5478.2</v>
      </c>
      <c r="CA70" s="35">
        <v>5581.2</v>
      </c>
      <c r="CB70" s="35">
        <v>5668.1</v>
      </c>
      <c r="CC70" s="35">
        <v>5754.6</v>
      </c>
      <c r="CD70" s="35">
        <v>5861.4</v>
      </c>
      <c r="CE70" s="35">
        <v>5969.3</v>
      </c>
      <c r="CF70" s="35">
        <v>6060</v>
      </c>
      <c r="CG70" s="35">
        <v>6142.9</v>
      </c>
      <c r="CH70" s="35">
        <v>6240.3</v>
      </c>
      <c r="CI70" s="35">
        <v>6323.3</v>
      </c>
      <c r="CJ70" s="35">
        <v>6410.4</v>
      </c>
      <c r="CK70" s="35">
        <v>6486.9</v>
      </c>
      <c r="CL70" s="35">
        <v>6550.4</v>
      </c>
      <c r="CM70" s="35">
        <v>6630.1</v>
      </c>
      <c r="CN70" s="35">
        <v>6704.1</v>
      </c>
      <c r="CO70" s="35">
        <v>6792.8</v>
      </c>
      <c r="CP70" s="35">
        <v>6874.4</v>
      </c>
      <c r="CQ70" s="35">
        <v>6959.7</v>
      </c>
      <c r="CR70" s="35">
        <v>7046.4</v>
      </c>
      <c r="CS70" s="35">
        <v>7130.6</v>
      </c>
      <c r="CT70" s="35">
        <v>7211</v>
      </c>
      <c r="CU70" s="35">
        <v>7292.2</v>
      </c>
      <c r="CV70" s="35">
        <v>7381.1</v>
      </c>
      <c r="CW70" s="35">
        <v>7468.6</v>
      </c>
      <c r="CX70" s="35">
        <v>7556.7</v>
      </c>
      <c r="CY70" s="35">
        <v>7641.3</v>
      </c>
      <c r="CZ70" s="35">
        <v>7728</v>
      </c>
      <c r="DA70" s="35">
        <v>7816.6</v>
      </c>
      <c r="DB70" s="35">
        <v>7908.2</v>
      </c>
      <c r="DC70" s="35">
        <v>8000.7</v>
      </c>
      <c r="DD70" s="35">
        <v>8092.3</v>
      </c>
      <c r="DE70" s="35">
        <v>8205.7000000000007</v>
      </c>
      <c r="DF70" s="35">
        <v>8328.1</v>
      </c>
      <c r="DG70" s="35">
        <v>8420.2000000000007</v>
      </c>
      <c r="DH70" s="35">
        <v>8534.4</v>
      </c>
      <c r="DI70" s="35">
        <v>8641.7999999999993</v>
      </c>
      <c r="DJ70" s="35">
        <v>8735.5</v>
      </c>
      <c r="DK70" s="35">
        <v>8840</v>
      </c>
      <c r="DL70" s="35">
        <v>8965.5</v>
      </c>
      <c r="DM70" s="35">
        <v>9083.2999999999993</v>
      </c>
      <c r="DN70" s="35">
        <v>9213.5</v>
      </c>
      <c r="DO70" s="35">
        <v>9358.2999999999993</v>
      </c>
      <c r="DP70" s="35">
        <v>9507.4</v>
      </c>
      <c r="DQ70" s="35">
        <v>9678.2000000000007</v>
      </c>
      <c r="DR70" s="35">
        <v>9857.7999999999993</v>
      </c>
      <c r="DS70" s="35">
        <v>10025.6</v>
      </c>
      <c r="DT70" s="35">
        <v>10180.9</v>
      </c>
      <c r="DU70" s="35">
        <v>10324.6</v>
      </c>
      <c r="DV70" s="35">
        <v>10475.700000000001</v>
      </c>
      <c r="DW70" s="35">
        <v>10619.3</v>
      </c>
      <c r="DX70" s="35">
        <v>10739</v>
      </c>
      <c r="DY70" s="35">
        <v>10849.1</v>
      </c>
      <c r="DZ70" s="35">
        <v>10960.4</v>
      </c>
      <c r="EA70" s="35">
        <v>11075.8</v>
      </c>
      <c r="EB70" s="35">
        <v>11207.2</v>
      </c>
      <c r="EC70" s="35">
        <v>11348.2</v>
      </c>
      <c r="ED70" s="35">
        <v>11478.9</v>
      </c>
      <c r="EE70" s="35">
        <v>11588.7</v>
      </c>
      <c r="EF70" s="35">
        <v>11721.8</v>
      </c>
      <c r="EG70" s="35">
        <v>11861.4</v>
      </c>
      <c r="EH70" s="35">
        <v>12015.9</v>
      </c>
      <c r="EI70" s="35">
        <v>12187.1</v>
      </c>
      <c r="EJ70" s="35">
        <v>12344.5</v>
      </c>
      <c r="EK70" s="35">
        <v>12521.4</v>
      </c>
      <c r="EL70" s="35">
        <v>12701.4</v>
      </c>
      <c r="EM70" s="35">
        <v>12871.2</v>
      </c>
      <c r="EN70" s="35">
        <v>13064.5</v>
      </c>
      <c r="EO70" s="35">
        <v>13246.2</v>
      </c>
      <c r="EP70" s="35">
        <v>13416</v>
      </c>
      <c r="EQ70" s="35">
        <v>13613.2</v>
      </c>
      <c r="ER70" s="35">
        <v>13785.2</v>
      </c>
      <c r="ES70" s="35">
        <v>13910.3</v>
      </c>
      <c r="ET70" s="35">
        <v>14115.7</v>
      </c>
      <c r="EU70" s="35">
        <v>14279.6</v>
      </c>
      <c r="EV70" s="35">
        <v>14421.6</v>
      </c>
      <c r="EW70" s="35">
        <v>14549.7</v>
      </c>
      <c r="EX70" s="35">
        <v>14667.7</v>
      </c>
      <c r="EY70" s="35">
        <v>14808.8</v>
      </c>
      <c r="EZ70" s="35">
        <v>14986.6</v>
      </c>
      <c r="FA70" s="35">
        <v>15085.8</v>
      </c>
      <c r="FB70" s="35">
        <v>15138</v>
      </c>
      <c r="FC70" s="35">
        <v>15167.4</v>
      </c>
      <c r="FD70" s="35">
        <v>15236.2</v>
      </c>
      <c r="FE70" s="35">
        <v>15335.7</v>
      </c>
      <c r="FF70" s="35">
        <v>15425</v>
      </c>
      <c r="FG70" s="35">
        <v>15546.7</v>
      </c>
      <c r="FH70" s="35">
        <v>15642.5</v>
      </c>
      <c r="FI70" s="35">
        <v>15788.4</v>
      </c>
      <c r="FJ70" s="35">
        <v>15932.8</v>
      </c>
      <c r="FK70" s="35">
        <v>16112.1</v>
      </c>
      <c r="FL70" s="35">
        <v>16293.8</v>
      </c>
      <c r="FM70" s="35">
        <v>16398.2</v>
      </c>
      <c r="FN70" s="35">
        <v>16581</v>
      </c>
      <c r="FO70" s="35">
        <v>16726.400000000001</v>
      </c>
      <c r="FP70" s="35">
        <v>16887.5</v>
      </c>
      <c r="FQ70" s="35">
        <v>17045.599999999999</v>
      </c>
      <c r="FR70" s="35">
        <v>17186</v>
      </c>
      <c r="FS70" s="35">
        <v>17308.599999999999</v>
      </c>
      <c r="FT70" s="35">
        <v>17465.7</v>
      </c>
      <c r="FU70" s="35">
        <v>17648.2</v>
      </c>
      <c r="FV70" s="35">
        <v>17803</v>
      </c>
      <c r="FW70" s="35">
        <v>17987.599999999999</v>
      </c>
      <c r="FX70" s="35">
        <v>18153.599999999999</v>
      </c>
      <c r="FY70" s="35">
        <v>18273.5</v>
      </c>
      <c r="FZ70" s="35">
        <v>18358.099999999999</v>
      </c>
      <c r="GA70" s="35">
        <v>18550</v>
      </c>
      <c r="GB70" s="35">
        <v>18696.7</v>
      </c>
      <c r="GC70" s="35">
        <v>18782.7</v>
      </c>
      <c r="GD70" s="35">
        <v>18850.2</v>
      </c>
      <c r="GE70" s="35">
        <v>19060.2</v>
      </c>
      <c r="GF70" s="35">
        <v>19186.599999999999</v>
      </c>
      <c r="GG70" s="35">
        <v>19362.099999999999</v>
      </c>
      <c r="GH70" s="35">
        <v>19543.099999999999</v>
      </c>
      <c r="GI70" s="35">
        <v>19693.099999999999</v>
      </c>
      <c r="GJ70" s="35">
        <v>19889.599999999999</v>
      </c>
      <c r="GK70" s="35">
        <v>20128.7</v>
      </c>
      <c r="GL70" s="35">
        <v>20354.599999999999</v>
      </c>
      <c r="GM70" s="35">
        <v>20628.900000000001</v>
      </c>
      <c r="GN70" s="35">
        <v>20796</v>
      </c>
      <c r="GO70" s="35">
        <v>20987</v>
      </c>
      <c r="GP70" s="35">
        <v>21165.3</v>
      </c>
      <c r="GQ70" s="35">
        <v>21384.1</v>
      </c>
      <c r="GR70" s="35">
        <v>21558.400000000001</v>
      </c>
      <c r="GS70" s="35">
        <v>21742.1</v>
      </c>
      <c r="GT70" s="35">
        <v>21931.1</v>
      </c>
      <c r="GU70" s="35">
        <v>21942.400000000001</v>
      </c>
      <c r="GV70" s="35">
        <v>22213.4</v>
      </c>
      <c r="GW70" s="35">
        <v>22448.799999999999</v>
      </c>
      <c r="GX70" s="35">
        <v>22831.1</v>
      </c>
      <c r="GY70" s="35">
        <v>23297.8</v>
      </c>
      <c r="GZ70" s="35">
        <v>23771.1</v>
      </c>
      <c r="HA70" s="35">
        <v>24290.400000000001</v>
      </c>
      <c r="HB70" s="35">
        <v>24906.6</v>
      </c>
      <c r="HC70">
        <v>25576.6</v>
      </c>
      <c r="HD70">
        <v>25968.9</v>
      </c>
      <c r="HE70">
        <v>26334.5</v>
      </c>
      <c r="HF70">
        <v>26714.3</v>
      </c>
      <c r="HG70">
        <v>26978.799999999999</v>
      </c>
      <c r="HH70">
        <v>27273</v>
      </c>
      <c r="HI70">
        <v>27581.5</v>
      </c>
    </row>
    <row r="71" spans="1:217" x14ac:dyDescent="0.35">
      <c r="A71" s="35" t="s">
        <v>2306</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c r="HH71">
        <v>-1</v>
      </c>
      <c r="HI71">
        <v>-1</v>
      </c>
    </row>
    <row r="72" spans="1:217" x14ac:dyDescent="0.35">
      <c r="A72" s="35" t="s">
        <v>2307</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5175.3333333333303</v>
      </c>
      <c r="HG72">
        <v>5216.3333333333303</v>
      </c>
      <c r="HH72">
        <v>5264</v>
      </c>
      <c r="HI72">
        <v>5319.3333333333303</v>
      </c>
    </row>
    <row r="73" spans="1:217" x14ac:dyDescent="0.35">
      <c r="A73" s="35" t="s">
        <v>2308</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14435.666666666701</v>
      </c>
      <c r="HG73">
        <v>14492.333333333299</v>
      </c>
      <c r="HH73">
        <v>14587.333333333299</v>
      </c>
      <c r="HI73">
        <v>14677</v>
      </c>
    </row>
    <row r="74" spans="1:217" x14ac:dyDescent="0.35">
      <c r="A74" s="35" t="s">
        <v>2309</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c r="HG74">
        <v>389196.33333333302</v>
      </c>
      <c r="HH74">
        <v>410267.66666666698</v>
      </c>
    </row>
    <row r="75" spans="1:217" x14ac:dyDescent="0.35">
      <c r="A75" s="35" t="s">
        <v>2310</v>
      </c>
      <c r="B75" s="35">
        <v>1.44276850123595E-2</v>
      </c>
      <c r="C75" s="35">
        <v>1.44276850123595E-2</v>
      </c>
      <c r="D75" s="35">
        <v>8.2052812173654104E-3</v>
      </c>
      <c r="E75" s="35">
        <v>1.30709282825294E-2</v>
      </c>
      <c r="F75" s="35">
        <v>1.5141925118068E-2</v>
      </c>
      <c r="G75" s="35">
        <v>1.3429256594724E-2</v>
      </c>
      <c r="H75" s="35">
        <v>1.00804543303361E-2</v>
      </c>
      <c r="I75" s="35">
        <v>8.2931171812772302E-3</v>
      </c>
      <c r="J75" s="35">
        <v>1.60315985130111E-2</v>
      </c>
      <c r="K75" s="35">
        <v>6.1285158929795802E-3</v>
      </c>
      <c r="L75" s="35">
        <v>9.0458657211691697E-3</v>
      </c>
      <c r="M75" s="35">
        <v>1.13523740877557E-2</v>
      </c>
      <c r="N75" s="35">
        <v>1.2694877505567999E-2</v>
      </c>
      <c r="O75" s="35">
        <v>1.6538376951836398E-2</v>
      </c>
      <c r="P75" s="35">
        <v>1.9125091947557401E-2</v>
      </c>
      <c r="Q75" s="35">
        <v>1.7322634059355298E-2</v>
      </c>
      <c r="R75" s="35">
        <v>2.02412253244857E-2</v>
      </c>
      <c r="S75" s="35">
        <v>2.2212222858545301E-2</v>
      </c>
      <c r="T75" s="35">
        <v>3.08135579655049E-2</v>
      </c>
      <c r="U75" s="35">
        <v>3.0358321363406899E-2</v>
      </c>
      <c r="V75" s="35">
        <v>2.2606533288120199E-2</v>
      </c>
      <c r="W75" s="35">
        <v>1.44799381010281E-2</v>
      </c>
      <c r="X75" s="35">
        <v>1.7687223069659402E-2</v>
      </c>
      <c r="Y75" s="35">
        <v>1.6701759394739599E-2</v>
      </c>
      <c r="Z75" s="35">
        <v>1.09164940854365E-2</v>
      </c>
      <c r="AA75" s="35">
        <v>0.01</v>
      </c>
      <c r="AB75" s="35">
        <v>1.27544004400439E-2</v>
      </c>
      <c r="AC75" s="35">
        <v>1.7006687260260101E-2</v>
      </c>
      <c r="AD75" s="35">
        <v>1.6121495327102699E-2</v>
      </c>
      <c r="AE75" s="35">
        <v>1.5832867982787501E-2</v>
      </c>
      <c r="AF75" s="35">
        <v>1.3775262732417E-2</v>
      </c>
      <c r="AG75" s="35">
        <v>1.6713980415297799E-2</v>
      </c>
      <c r="AH75" s="35">
        <v>1.6376470588235201E-2</v>
      </c>
      <c r="AI75" s="35">
        <v>1.9940117912152298E-2</v>
      </c>
      <c r="AJ75" s="35">
        <v>1.7643676421632299E-2</v>
      </c>
      <c r="AK75" s="35">
        <v>1.97763635282222E-2</v>
      </c>
      <c r="AL75" s="35">
        <v>1.8663789332477899E-2</v>
      </c>
      <c r="AM75" s="35">
        <v>2.4161919212161199E-2</v>
      </c>
      <c r="AN75" s="35">
        <v>2.08805031446542E-2</v>
      </c>
      <c r="AO75" s="35">
        <v>1.8235584031542702E-2</v>
      </c>
      <c r="AP75" s="35">
        <v>2.1861890932558699E-2</v>
      </c>
      <c r="AQ75" s="35">
        <v>2.3736217467961399E-2</v>
      </c>
      <c r="AR75" s="35">
        <v>2.22861990077887E-2</v>
      </c>
      <c r="AS75" s="35">
        <v>2.65275333165702E-2</v>
      </c>
      <c r="AT75" s="35">
        <v>2.6503368034292499E-2</v>
      </c>
      <c r="AU75" s="35">
        <v>1.8779678812609099E-2</v>
      </c>
      <c r="AV75" s="35">
        <v>1.94406708202557E-2</v>
      </c>
      <c r="AW75" s="35">
        <v>1.6519621358330999E-2</v>
      </c>
      <c r="AX75" s="35">
        <v>1.4329950500644201E-2</v>
      </c>
      <c r="AY75" s="35">
        <v>1.3280745147848501E-2</v>
      </c>
      <c r="AZ75" s="35">
        <v>1.38763661953247E-2</v>
      </c>
      <c r="BA75" s="35">
        <v>1.01292729481173E-2</v>
      </c>
      <c r="BB75" s="35">
        <v>7.9878035687444005E-3</v>
      </c>
      <c r="BC75" s="35">
        <v>7.4132458513516096E-3</v>
      </c>
      <c r="BD75" s="35">
        <v>1.0636273286671801E-2</v>
      </c>
      <c r="BE75" s="35">
        <v>7.4695568481399901E-3</v>
      </c>
      <c r="BF75" s="35">
        <v>9.8648003156733798E-3</v>
      </c>
      <c r="BG75" s="35">
        <v>8.9869617077285007E-3</v>
      </c>
      <c r="BH75" s="35">
        <v>9.0292073456574896E-3</v>
      </c>
      <c r="BI75" s="35">
        <v>6.9890518321011896E-3</v>
      </c>
      <c r="BJ75" s="35">
        <v>1.02503410093879E-2</v>
      </c>
      <c r="BK75" s="35">
        <v>5.8971864265431303E-3</v>
      </c>
      <c r="BL75" s="35">
        <v>6.6521910777734804E-3</v>
      </c>
      <c r="BM75" s="35">
        <v>5.1963841010256298E-3</v>
      </c>
      <c r="BN75" s="35">
        <v>4.9354297530335199E-3</v>
      </c>
      <c r="BO75" s="35">
        <v>3.4941279239055802E-3</v>
      </c>
      <c r="BP75" s="35">
        <v>4.7586807234742999E-3</v>
      </c>
      <c r="BQ75" s="35">
        <v>5.9490575845671002E-3</v>
      </c>
      <c r="BR75" s="35">
        <v>5.8181818181819401E-3</v>
      </c>
      <c r="BS75" s="35">
        <v>6.7930129010160796E-3</v>
      </c>
      <c r="BT75" s="35">
        <v>7.7299616336867797E-3</v>
      </c>
      <c r="BU75" s="35">
        <v>7.5018754688671602E-3</v>
      </c>
      <c r="BV75" s="35">
        <v>7.7252419955324801E-3</v>
      </c>
      <c r="BW75" s="35">
        <v>9.9935346818140793E-3</v>
      </c>
      <c r="BX75" s="35">
        <v>1.22357158533908E-2</v>
      </c>
      <c r="BY75" s="35">
        <v>9.1968560845605597E-3</v>
      </c>
      <c r="BZ75" s="35">
        <v>9.6322555233287997E-3</v>
      </c>
      <c r="CA75" s="35">
        <v>1.0817137182579199E-2</v>
      </c>
      <c r="CB75" s="35">
        <v>7.4207922529032598E-3</v>
      </c>
      <c r="CC75" s="35">
        <v>6.8262951676099099E-3</v>
      </c>
      <c r="CD75" s="35">
        <v>1.0896449141256001E-2</v>
      </c>
      <c r="CE75" s="35">
        <v>1.11896247882697E-2</v>
      </c>
      <c r="CF75" s="35">
        <v>8.6462158000710793E-3</v>
      </c>
      <c r="CG75" s="35">
        <v>7.6326914044151399E-3</v>
      </c>
      <c r="CH75" s="35">
        <v>9.7224765678325404E-3</v>
      </c>
      <c r="CI75" s="35">
        <v>7.2051573758058502E-3</v>
      </c>
      <c r="CJ75" s="35">
        <v>7.6774489261393101E-3</v>
      </c>
      <c r="CK75" s="35">
        <v>5.8157480059131102E-3</v>
      </c>
      <c r="CL75" s="35">
        <v>3.9893402245012597E-3</v>
      </c>
      <c r="CM75" s="35">
        <v>5.9682764389821204E-3</v>
      </c>
      <c r="CN75" s="35">
        <v>4.7974669374570801E-3</v>
      </c>
      <c r="CO75" s="35">
        <v>7.0345200770296499E-3</v>
      </c>
      <c r="CP75" s="35">
        <v>5.9581193204267802E-3</v>
      </c>
      <c r="CQ75" s="35">
        <v>5.8914095393702796E-3</v>
      </c>
      <c r="CR75" s="35">
        <v>5.0291283364831702E-3</v>
      </c>
      <c r="CS75" s="35">
        <v>5.8742171595518302E-3</v>
      </c>
      <c r="CT75" s="35">
        <v>5.1137855917933201E-3</v>
      </c>
      <c r="CU75" s="35">
        <v>4.7803498416796302E-3</v>
      </c>
      <c r="CV75" s="35">
        <v>5.3236243479324302E-3</v>
      </c>
      <c r="CW75" s="35">
        <v>5.5693351796339803E-3</v>
      </c>
      <c r="CX75" s="35">
        <v>5.7049468093155501E-3</v>
      </c>
      <c r="CY75" s="35">
        <v>4.8901594944328296E-3</v>
      </c>
      <c r="CZ75" s="35">
        <v>4.4770532305158399E-3</v>
      </c>
      <c r="DA75" s="35">
        <v>4.7254188778247403E-3</v>
      </c>
      <c r="DB75" s="35">
        <v>4.6141748638746103E-3</v>
      </c>
      <c r="DC75" s="35">
        <v>4.0760869565217303E-3</v>
      </c>
      <c r="DD75" s="35">
        <v>4.8537977290110702E-3</v>
      </c>
      <c r="DE75" s="35">
        <v>4.2302175122221897E-3</v>
      </c>
      <c r="DF75" s="35">
        <v>4.4893378226713602E-3</v>
      </c>
      <c r="DG75" s="35">
        <v>4.9771457592684403E-3</v>
      </c>
      <c r="DH75" s="35">
        <v>2.9743856305408699E-3</v>
      </c>
      <c r="DI75" s="35">
        <v>3.5845905792928302E-3</v>
      </c>
      <c r="DJ75" s="35">
        <v>1.00411687920476E-3</v>
      </c>
      <c r="DK75" s="35">
        <v>2.5937549259849001E-3</v>
      </c>
      <c r="DL75" s="35">
        <v>3.8734206163169001E-3</v>
      </c>
      <c r="DM75" s="35">
        <v>2.6909660425715699E-3</v>
      </c>
      <c r="DN75" s="35">
        <v>2.7121435874131201E-3</v>
      </c>
      <c r="DO75" s="35">
        <v>4.5174537987679999E-3</v>
      </c>
      <c r="DP75" s="35">
        <v>3.8486480390220699E-3</v>
      </c>
      <c r="DQ75" s="35">
        <v>5.2522926116815903E-3</v>
      </c>
      <c r="DR75" s="35">
        <v>6.6637794945587601E-3</v>
      </c>
      <c r="DS75" s="35">
        <v>6.0090482666739203E-3</v>
      </c>
      <c r="DT75" s="35">
        <v>6.2628464223144498E-3</v>
      </c>
      <c r="DU75" s="35">
        <v>5.4287476866132804E-3</v>
      </c>
      <c r="DV75" s="35">
        <v>6.8447389591088604E-3</v>
      </c>
      <c r="DW75" s="35">
        <v>6.6627845564235502E-3</v>
      </c>
      <c r="DX75" s="35">
        <v>3.0268379632745201E-3</v>
      </c>
      <c r="DY75" s="35">
        <v>3.2322961373389999E-3</v>
      </c>
      <c r="DZ75" s="35">
        <v>2.6336546302856401E-3</v>
      </c>
      <c r="EA75" s="35">
        <v>3.96010560281601E-3</v>
      </c>
      <c r="EB75" s="35">
        <v>4.4890098944152497E-3</v>
      </c>
      <c r="EC75" s="35">
        <v>5.8175664061983498E-3</v>
      </c>
      <c r="ED75" s="35">
        <v>5.3764147595074504E-3</v>
      </c>
      <c r="EE75" s="35">
        <v>3.4517925786459202E-3</v>
      </c>
      <c r="EF75" s="35">
        <v>5.7201678263363301E-3</v>
      </c>
      <c r="EG75" s="35">
        <v>5.8042365744639399E-3</v>
      </c>
      <c r="EH75" s="35">
        <v>7.1876650393518596E-3</v>
      </c>
      <c r="EI75" s="35">
        <v>8.1083500658643004E-3</v>
      </c>
      <c r="EJ75" s="35">
        <v>6.3177925784965198E-3</v>
      </c>
      <c r="EK75" s="35">
        <v>7.72789733116519E-3</v>
      </c>
      <c r="EL75" s="35">
        <v>7.6811449159326396E-3</v>
      </c>
      <c r="EM75" s="35">
        <v>7.2873991309745402E-3</v>
      </c>
      <c r="EN75" s="35">
        <v>9.46547197949155E-3</v>
      </c>
      <c r="EO75" s="35">
        <v>7.9604419754593092E-3</v>
      </c>
      <c r="EP75" s="35">
        <v>7.00122339716813E-3</v>
      </c>
      <c r="EQ75" s="35">
        <v>8.85307030733129E-3</v>
      </c>
      <c r="ER75" s="35">
        <v>7.3326894874272703E-3</v>
      </c>
      <c r="ES75" s="35">
        <v>3.7876097815021702E-3</v>
      </c>
      <c r="ET75" s="35">
        <v>1.0011084121406499E-2</v>
      </c>
      <c r="EU75" s="35">
        <v>6.3744089662014503E-3</v>
      </c>
      <c r="EV75" s="35">
        <v>4.2574912123989296E-3</v>
      </c>
      <c r="EW75" s="35">
        <v>4.7823676185194701E-3</v>
      </c>
      <c r="EX75" s="35">
        <v>4.3342300705893101E-3</v>
      </c>
      <c r="EY75" s="35">
        <v>3.6515985759910702E-3</v>
      </c>
      <c r="EZ75" s="35">
        <v>7.78986746960486E-3</v>
      </c>
      <c r="FA75" s="35">
        <v>1.69758151220556E-3</v>
      </c>
      <c r="FB75" s="35">
        <v>2.8245076883104398E-4</v>
      </c>
      <c r="FC75" s="35">
        <v>-1.3327911809885001E-3</v>
      </c>
      <c r="FD75" s="35">
        <v>6.3335519916751803E-4</v>
      </c>
      <c r="FE75" s="35">
        <v>3.6620928182291598E-3</v>
      </c>
      <c r="FF75" s="35">
        <v>2.4775332777764399E-3</v>
      </c>
      <c r="FG75" s="35">
        <v>4.6395111101125196E-3</v>
      </c>
      <c r="FH75" s="35">
        <v>3.6229048092943899E-3</v>
      </c>
      <c r="FI75" s="35">
        <v>5.7378419029581202E-3</v>
      </c>
      <c r="FJ75" s="35">
        <v>4.8742660906169197E-3</v>
      </c>
      <c r="FK75" s="35">
        <v>7.1987652959983901E-3</v>
      </c>
      <c r="FL75" s="35">
        <v>5.22093188708772E-3</v>
      </c>
      <c r="FM75" s="35">
        <v>1.20862369337971E-3</v>
      </c>
      <c r="FN75" s="35">
        <v>5.9161944948942198E-3</v>
      </c>
      <c r="FO75" s="35">
        <v>4.1731985512729599E-3</v>
      </c>
      <c r="FP75" s="35">
        <v>6.2230165480561296E-3</v>
      </c>
      <c r="FQ75" s="35">
        <v>4.3869504274600696E-3</v>
      </c>
      <c r="FR75" s="35">
        <v>3.5688033323033599E-3</v>
      </c>
      <c r="FS75" s="35">
        <v>2.8661203345932101E-3</v>
      </c>
      <c r="FT75" s="35">
        <v>5.4512352604949603E-3</v>
      </c>
      <c r="FU75" s="35">
        <v>5.1374369663854703E-3</v>
      </c>
      <c r="FV75" s="35">
        <v>3.8019627763754599E-3</v>
      </c>
      <c r="FW75" s="35">
        <v>5.2483305509181096E-3</v>
      </c>
      <c r="FX75" s="35">
        <v>4.34904455954244E-3</v>
      </c>
      <c r="FY75" s="35">
        <v>3.92716148901462E-4</v>
      </c>
      <c r="FZ75" s="35">
        <v>-5.9917355371896797E-4</v>
      </c>
      <c r="GA75" s="35">
        <v>5.7885923383846896E-3</v>
      </c>
      <c r="GB75" s="35">
        <v>2.4048837639514299E-3</v>
      </c>
      <c r="GC75" s="35">
        <v>-9.22736220472231E-5</v>
      </c>
      <c r="GD75" s="35">
        <v>-6.04960677555888E-4</v>
      </c>
      <c r="GE75" s="35">
        <v>6.5662576435343602E-3</v>
      </c>
      <c r="GF75" s="35">
        <v>2.6909120561013902E-3</v>
      </c>
      <c r="GG75" s="35">
        <v>5.2047330541211698E-3</v>
      </c>
      <c r="GH75" s="35">
        <v>5.1069940536385703E-3</v>
      </c>
      <c r="GI75" s="35">
        <v>2.6864139894757799E-3</v>
      </c>
      <c r="GJ75" s="35">
        <v>5.19788070964111E-3</v>
      </c>
      <c r="GK75" s="35">
        <v>6.0494739153871303E-3</v>
      </c>
      <c r="GL75" s="35">
        <v>6.4298471919030896E-3</v>
      </c>
      <c r="GM75" s="35">
        <v>7.0197578577908502E-3</v>
      </c>
      <c r="GN75" s="35">
        <v>4.3665557078520498E-3</v>
      </c>
      <c r="GO75" s="35">
        <v>4.0843779853001498E-3</v>
      </c>
      <c r="GP75" s="35">
        <v>3.5920586379303301E-3</v>
      </c>
      <c r="GQ75" s="35">
        <v>4.8657799274485197E-3</v>
      </c>
      <c r="GR75" s="35">
        <v>3.2249369452625998E-3</v>
      </c>
      <c r="GS75" s="35">
        <v>3.3872933319261098E-3</v>
      </c>
      <c r="GT75" s="35">
        <v>4.5521488820456897E-3</v>
      </c>
      <c r="GU75" s="35">
        <v>-3.6271205803393202E-3</v>
      </c>
      <c r="GV75" s="35">
        <v>8.9049407133508004E-3</v>
      </c>
      <c r="GW75" s="35">
        <v>6.9796293314896597E-3</v>
      </c>
      <c r="GX75" s="35">
        <v>1.3175961628891101E-2</v>
      </c>
      <c r="GY75" s="35">
        <v>1.4861089194382299E-2</v>
      </c>
      <c r="GZ75" s="35">
        <v>1.48629861339773E-2</v>
      </c>
      <c r="HA75" s="35">
        <v>1.7132763142478701E-2</v>
      </c>
      <c r="HB75" s="35">
        <v>2.05922486664658E-2</v>
      </c>
      <c r="HC75">
        <v>2.1895782327099499E-2</v>
      </c>
      <c r="HD75">
        <v>1.08407530755115E-2</v>
      </c>
      <c r="HE75">
        <v>9.5394183896453395E-3</v>
      </c>
      <c r="HF75">
        <v>9.5658327436207707E-3</v>
      </c>
      <c r="HG75">
        <v>4.3293970180762198E-3</v>
      </c>
      <c r="HH75">
        <v>8.2355549351746903E-3</v>
      </c>
      <c r="HI75">
        <v>3.68102156492278E-3</v>
      </c>
    </row>
    <row r="76" spans="1:217" x14ac:dyDescent="0.35">
      <c r="A76" s="35" t="s">
        <v>2311</v>
      </c>
      <c r="B76" s="35">
        <v>1.1057395597613699E-2</v>
      </c>
      <c r="C76" s="35">
        <v>1.1057395597613699E-2</v>
      </c>
      <c r="D76" s="35">
        <v>9.7665191515337001E-3</v>
      </c>
      <c r="E76" s="35">
        <v>1.29464510604E-2</v>
      </c>
      <c r="F76" s="35">
        <v>9.4987069822955999E-3</v>
      </c>
      <c r="G76" s="35">
        <v>1.1379870929602499E-2</v>
      </c>
      <c r="H76" s="35">
        <v>9.8392596200680398E-3</v>
      </c>
      <c r="I76" s="35">
        <v>6.1740304842754501E-3</v>
      </c>
      <c r="J76" s="35">
        <v>1.05465004793863E-2</v>
      </c>
      <c r="K76" s="35">
        <v>5.78747628083498E-3</v>
      </c>
      <c r="L76" s="35">
        <v>8.7727572870483998E-3</v>
      </c>
      <c r="M76" s="35">
        <v>8.1354030297362493E-3</v>
      </c>
      <c r="N76" s="35">
        <v>1.2104628513125E-2</v>
      </c>
      <c r="O76" s="35">
        <v>1.9199926682857499E-2</v>
      </c>
      <c r="P76" s="35">
        <v>1.8208794173185699E-2</v>
      </c>
      <c r="Q76" s="35">
        <v>2.04442089459973E-2</v>
      </c>
      <c r="R76" s="35">
        <v>2.977066205106E-2</v>
      </c>
      <c r="S76" s="35">
        <v>2.83217077065301E-2</v>
      </c>
      <c r="T76" s="35">
        <v>2.69695979078131E-2</v>
      </c>
      <c r="U76" s="35">
        <v>2.5425752029285299E-2</v>
      </c>
      <c r="V76" s="35">
        <v>1.88196034302122E-2</v>
      </c>
      <c r="W76" s="35">
        <v>1.22638634978671E-2</v>
      </c>
      <c r="X76" s="35">
        <v>1.8737301527579402E-2</v>
      </c>
      <c r="Y76" s="35">
        <v>1.6767617077854999E-2</v>
      </c>
      <c r="Z76" s="35">
        <v>1.1006175081729E-2</v>
      </c>
      <c r="AA76" s="35">
        <v>8.3713577408113197E-3</v>
      </c>
      <c r="AB76" s="35">
        <v>1.51785078030358E-2</v>
      </c>
      <c r="AC76" s="35">
        <v>1.57939070616313E-2</v>
      </c>
      <c r="AD76" s="35">
        <v>1.8070624006633999E-2</v>
      </c>
      <c r="AE76" s="35">
        <v>1.71050398778212E-2</v>
      </c>
      <c r="AF76" s="35">
        <v>1.50488838466416E-2</v>
      </c>
      <c r="AG76" s="35">
        <v>1.42011834319526E-2</v>
      </c>
      <c r="AH76" s="35">
        <v>1.64008816284196E-2</v>
      </c>
      <c r="AI76" s="35">
        <v>2.0537024044901001E-2</v>
      </c>
      <c r="AJ76" s="35">
        <v>1.75614024123492E-2</v>
      </c>
      <c r="AK76" s="35">
        <v>1.8885886254759801E-2</v>
      </c>
      <c r="AL76" s="35">
        <v>1.8837216311522201E-2</v>
      </c>
      <c r="AM76" s="35">
        <v>2.7334043308484102E-2</v>
      </c>
      <c r="AN76" s="35">
        <v>2.4821469707440699E-2</v>
      </c>
      <c r="AO76" s="35">
        <v>2.41921888170833E-2</v>
      </c>
      <c r="AP76" s="35">
        <v>3.00128940221118E-2</v>
      </c>
      <c r="AQ76" s="35">
        <v>2.44772939139699E-2</v>
      </c>
      <c r="AR76" s="35">
        <v>2.3398502495840301E-2</v>
      </c>
      <c r="AS76" s="35">
        <v>2.4743420384107501E-2</v>
      </c>
      <c r="AT76" s="35">
        <v>2.5930884029947001E-2</v>
      </c>
      <c r="AU76" s="35">
        <v>1.6769766093176298E-2</v>
      </c>
      <c r="AV76" s="35">
        <v>1.6493179333618501E-2</v>
      </c>
      <c r="AW76" s="35">
        <v>1.5313756663237799E-2</v>
      </c>
      <c r="AX76" s="35">
        <v>1.27109862527921E-2</v>
      </c>
      <c r="AY76" s="35">
        <v>9.6182268810114397E-3</v>
      </c>
      <c r="AZ76" s="35">
        <v>1.5787577136165101E-2</v>
      </c>
      <c r="BA76" s="35">
        <v>1.10413941422964E-2</v>
      </c>
      <c r="BB76" s="35">
        <v>8.2673625578386593E-3</v>
      </c>
      <c r="BC76" s="35">
        <v>9.1348036017226998E-3</v>
      </c>
      <c r="BD76" s="35">
        <v>1.31471184102763E-2</v>
      </c>
      <c r="BE76" s="35">
        <v>6.5946221919672698E-3</v>
      </c>
      <c r="BF76" s="35">
        <v>1.0820406610592101E-2</v>
      </c>
      <c r="BG76" s="35">
        <v>9.6801170813296498E-3</v>
      </c>
      <c r="BH76" s="35">
        <v>7.7236866626633196E-3</v>
      </c>
      <c r="BI76" s="35">
        <v>6.1644680064112398E-3</v>
      </c>
      <c r="BJ76" s="35">
        <v>1.18041089735734E-2</v>
      </c>
      <c r="BK76" s="35">
        <v>8.0938155982561693E-3</v>
      </c>
      <c r="BL76" s="35">
        <v>7.8486334968466097E-3</v>
      </c>
      <c r="BM76" s="35">
        <v>6.9730019667442198E-3</v>
      </c>
      <c r="BN76" s="35">
        <v>7.08254419191912E-3</v>
      </c>
      <c r="BO76" s="35">
        <v>-1.0578486492839299E-3</v>
      </c>
      <c r="BP76" s="35">
        <v>5.2948443904063903E-3</v>
      </c>
      <c r="BQ76" s="35">
        <v>6.0472465520942098E-3</v>
      </c>
      <c r="BR76" s="35">
        <v>9.4623155527115994E-3</v>
      </c>
      <c r="BS76" s="35">
        <v>9.6617429553793599E-3</v>
      </c>
      <c r="BT76" s="35">
        <v>9.4741648276386297E-3</v>
      </c>
      <c r="BU76" s="35">
        <v>8.6314123101278693E-3</v>
      </c>
      <c r="BV76" s="35">
        <v>7.9035874439461508E-3</v>
      </c>
      <c r="BW76" s="35">
        <v>1.10486995532322E-2</v>
      </c>
      <c r="BX76" s="35">
        <v>1.2321458039201301E-2</v>
      </c>
      <c r="BY76" s="35">
        <v>1.0106681639528299E-2</v>
      </c>
      <c r="BZ76" s="35">
        <v>1.14938406641683E-2</v>
      </c>
      <c r="CA76" s="35">
        <v>1.34727885126751E-2</v>
      </c>
      <c r="CB76" s="35">
        <v>5.8947000174915899E-3</v>
      </c>
      <c r="CC76" s="35">
        <v>7.85991270627928E-3</v>
      </c>
      <c r="CD76" s="35">
        <v>1.4493003675011501E-2</v>
      </c>
      <c r="CE76" s="35">
        <v>9.0817871052228903E-3</v>
      </c>
      <c r="CF76" s="35">
        <v>1.27079365614415E-2</v>
      </c>
      <c r="CG76" s="35">
        <v>1.3230815317789101E-2</v>
      </c>
      <c r="CH76" s="35">
        <v>5.2560691173089103E-3</v>
      </c>
      <c r="CI76" s="35">
        <v>5.4573379954903096E-3</v>
      </c>
      <c r="CJ76" s="35">
        <v>6.7927717108684496E-3</v>
      </c>
      <c r="CK76" s="35">
        <v>7.2634535300384303E-3</v>
      </c>
      <c r="CL76" s="35">
        <v>6.2656239984615301E-3</v>
      </c>
      <c r="CM76" s="35">
        <v>6.64065610319287E-3</v>
      </c>
      <c r="CN76" s="35">
        <v>6.3753717648546999E-3</v>
      </c>
      <c r="CO76" s="35">
        <v>6.9794859702898603E-3</v>
      </c>
      <c r="CP76" s="35">
        <v>5.9632526264849998E-3</v>
      </c>
      <c r="CQ76" s="35">
        <v>6.7193246535590702E-3</v>
      </c>
      <c r="CR76" s="35">
        <v>4.3314733175079398E-3</v>
      </c>
      <c r="CS76" s="35">
        <v>5.7708541171055403E-3</v>
      </c>
      <c r="CT76" s="35">
        <v>3.58608902656754E-3</v>
      </c>
      <c r="CU76" s="35">
        <v>5.5803910835383599E-3</v>
      </c>
      <c r="CV76" s="35">
        <v>7.16737483555874E-3</v>
      </c>
      <c r="CW76" s="35">
        <v>4.69920578918126E-3</v>
      </c>
      <c r="CX76" s="35">
        <v>4.8864315600716203E-3</v>
      </c>
      <c r="CY76" s="35">
        <v>5.8292563237021299E-3</v>
      </c>
      <c r="CZ76" s="35">
        <v>4.0804861100844896E-3</v>
      </c>
      <c r="DA76" s="35">
        <v>4.40256202606193E-3</v>
      </c>
      <c r="DB76" s="35">
        <v>5.5560442137978496E-3</v>
      </c>
      <c r="DC76" s="35">
        <v>6.6916449200355999E-3</v>
      </c>
      <c r="DD76" s="35">
        <v>4.25766089323987E-3</v>
      </c>
      <c r="DE76" s="35">
        <v>6.82086926426906E-3</v>
      </c>
      <c r="DF76" s="35">
        <v>4.4114066371616599E-3</v>
      </c>
      <c r="DG76" s="35">
        <v>2.50973234274965E-3</v>
      </c>
      <c r="DH76" s="35">
        <v>2.63146665149439E-3</v>
      </c>
      <c r="DI76" s="35">
        <v>3.1494722505958101E-3</v>
      </c>
      <c r="DJ76" s="35">
        <v>7.0711356243924301E-5</v>
      </c>
      <c r="DK76" s="35">
        <v>1.8100827264371201E-3</v>
      </c>
      <c r="DL76" s="35">
        <v>3.0913428285079801E-3</v>
      </c>
      <c r="DM76" s="35">
        <v>2.6315048830598499E-3</v>
      </c>
      <c r="DN76" s="35">
        <v>1.9789751435108599E-3</v>
      </c>
      <c r="DO76" s="35">
        <v>5.6870710183500898E-3</v>
      </c>
      <c r="DP76" s="35">
        <v>5.5016992590115601E-3</v>
      </c>
      <c r="DQ76" s="35">
        <v>6.0672382984028302E-3</v>
      </c>
      <c r="DR76" s="35">
        <v>8.1234768480908902E-3</v>
      </c>
      <c r="DS76" s="35">
        <v>4.7665223507560297E-3</v>
      </c>
      <c r="DT76" s="35">
        <v>6.44301870378428E-3</v>
      </c>
      <c r="DU76" s="35">
        <v>5.6454444774587404E-3</v>
      </c>
      <c r="DV76" s="35">
        <v>7.4133763094279496E-3</v>
      </c>
      <c r="DW76" s="35">
        <v>4.67925131978886E-3</v>
      </c>
      <c r="DX76" s="35">
        <v>5.04226211801573E-4</v>
      </c>
      <c r="DY76" s="35">
        <v>4.11135130833795E-4</v>
      </c>
      <c r="DZ76" s="35">
        <v>2.0150599215187398E-3</v>
      </c>
      <c r="EA76" s="35">
        <v>7.4222057578321498E-3</v>
      </c>
      <c r="EB76" s="35">
        <v>5.17433843325232E-3</v>
      </c>
      <c r="EC76" s="35">
        <v>4.6642887939480904E-3</v>
      </c>
      <c r="ED76" s="35">
        <v>7.6466916354556201E-3</v>
      </c>
      <c r="EE76" s="35">
        <v>1.00665943936806E-3</v>
      </c>
      <c r="EF76" s="35">
        <v>6.5882777648849098E-3</v>
      </c>
      <c r="EG76" s="35">
        <v>4.9184737361187602E-3</v>
      </c>
      <c r="EH76" s="35">
        <v>7.7112303554813799E-3</v>
      </c>
      <c r="EI76" s="35">
        <v>6.7288963092255703E-3</v>
      </c>
      <c r="EJ76" s="35">
        <v>4.9124305852199504E-3</v>
      </c>
      <c r="EK76" s="35">
        <v>8.5516034256423196E-3</v>
      </c>
      <c r="EL76" s="35">
        <v>5.8138814166532899E-3</v>
      </c>
      <c r="EM76" s="35">
        <v>6.3102368803766903E-3</v>
      </c>
      <c r="EN76" s="35">
        <v>1.0802204531536999E-2</v>
      </c>
      <c r="EO76" s="35">
        <v>7.9605486356806292E-3</v>
      </c>
      <c r="EP76" s="35">
        <v>5.1929942660688998E-3</v>
      </c>
      <c r="EQ76" s="35">
        <v>8.7776993817343402E-3</v>
      </c>
      <c r="ER76" s="35">
        <v>7.1957797403829904E-3</v>
      </c>
      <c r="ES76" s="35">
        <v>-1.64779548504035E-3</v>
      </c>
      <c r="ET76" s="35">
        <v>9.1367805522151197E-3</v>
      </c>
      <c r="EU76" s="35">
        <v>8.4932883161794592E-3</v>
      </c>
      <c r="EV76" s="35">
        <v>5.6531208007042401E-3</v>
      </c>
      <c r="EW76" s="35">
        <v>1.0159885730083499E-2</v>
      </c>
      <c r="EX76" s="35">
        <v>8.1419481378428599E-3</v>
      </c>
      <c r="EY76" s="35">
        <v>9.7389376527010595E-3</v>
      </c>
      <c r="EZ76" s="35">
        <v>1.06643963750013E-2</v>
      </c>
      <c r="FA76" s="35">
        <v>-1.5960807350838501E-2</v>
      </c>
      <c r="FB76" s="35">
        <v>-6.7582027686105004E-3</v>
      </c>
      <c r="FC76" s="35">
        <v>3.9804493031378998E-3</v>
      </c>
      <c r="FD76" s="35">
        <v>6.89016400849418E-3</v>
      </c>
      <c r="FE76" s="35">
        <v>7.7180229297075797E-3</v>
      </c>
      <c r="FF76" s="35">
        <v>3.8628520538797101E-3</v>
      </c>
      <c r="FG76" s="35">
        <v>1.5525023010301E-3</v>
      </c>
      <c r="FH76" s="35">
        <v>1.91547549187865E-3</v>
      </c>
      <c r="FI76" s="35">
        <v>6.4095480163552897E-3</v>
      </c>
      <c r="FJ76" s="35">
        <v>8.4001317667727893E-3</v>
      </c>
      <c r="FK76" s="35">
        <v>9.8328523983230998E-3</v>
      </c>
      <c r="FL76" s="35">
        <v>4.6259354309992097E-3</v>
      </c>
      <c r="FM76" s="35">
        <v>3.30589157104977E-3</v>
      </c>
      <c r="FN76" s="35">
        <v>6.6220914683070599E-3</v>
      </c>
      <c r="FO76" s="35">
        <v>2.4124811358854398E-3</v>
      </c>
      <c r="FP76" s="35">
        <v>2.90497344175744E-3</v>
      </c>
      <c r="FQ76" s="35">
        <v>5.61340451398062E-3</v>
      </c>
      <c r="FR76" s="35">
        <v>3.5006202300107399E-3</v>
      </c>
      <c r="FS76" s="35">
        <v>5.1330937889559902E-4</v>
      </c>
      <c r="FT76" s="35">
        <v>4.1148385475562304E-3</v>
      </c>
      <c r="FU76" s="35">
        <v>3.6808792400497801E-3</v>
      </c>
      <c r="FV76" s="35">
        <v>4.5920169551394397E-3</v>
      </c>
      <c r="FW76" s="35">
        <v>4.4779515181601103E-3</v>
      </c>
      <c r="FX76" s="35">
        <v>2.72833036477271E-3</v>
      </c>
      <c r="FY76" s="35">
        <v>-1.3245169106926901E-3</v>
      </c>
      <c r="FZ76" s="35">
        <v>-4.4825990849740602E-3</v>
      </c>
      <c r="GA76" s="35">
        <v>4.9881750302078797E-3</v>
      </c>
      <c r="GB76" s="35">
        <v>2.5998849062809398E-3</v>
      </c>
      <c r="GC76" s="35">
        <v>-7.6871829037050698E-4</v>
      </c>
      <c r="GD76" s="35">
        <v>4.92358190583575E-4</v>
      </c>
      <c r="GE76" s="35">
        <v>6.3462445405892999E-3</v>
      </c>
      <c r="GF76" s="35">
        <v>3.4536507839482101E-3</v>
      </c>
      <c r="GG76" s="35">
        <v>4.57886614684866E-3</v>
      </c>
      <c r="GH76" s="35">
        <v>5.8314046914005298E-3</v>
      </c>
      <c r="GI76" s="35">
        <v>2.0095655319321E-3</v>
      </c>
      <c r="GJ76" s="35">
        <v>3.5297420881632599E-3</v>
      </c>
      <c r="GK76" s="35">
        <v>5.9954434629683204E-3</v>
      </c>
      <c r="GL76" s="35">
        <v>6.9927291509395096E-3</v>
      </c>
      <c r="GM76" s="35">
        <v>5.2475833497731498E-3</v>
      </c>
      <c r="GN76" s="35">
        <v>3.3558364078814002E-3</v>
      </c>
      <c r="GO76" s="35">
        <v>3.7944725878693601E-3</v>
      </c>
      <c r="GP76" s="35">
        <v>2.28951111630726E-3</v>
      </c>
      <c r="GQ76" s="35">
        <v>5.2975883822428101E-3</v>
      </c>
      <c r="GR76" s="35">
        <v>2.4366189012010602E-3</v>
      </c>
      <c r="GS76" s="35">
        <v>3.9161216891407903E-3</v>
      </c>
      <c r="GT76" s="35">
        <v>3.2282859338970101E-3</v>
      </c>
      <c r="GU76" s="35">
        <v>-4.3479926448053404E-3</v>
      </c>
      <c r="GV76" s="35">
        <v>8.2433966256900693E-3</v>
      </c>
      <c r="GW76" s="35">
        <v>4.9990936757649002E-3</v>
      </c>
      <c r="GX76" s="35">
        <v>1.17236076436023E-2</v>
      </c>
      <c r="GY76" s="35">
        <v>1.52939631068325E-2</v>
      </c>
      <c r="GZ76" s="35">
        <v>1.3834466952535899E-2</v>
      </c>
      <c r="HA76" s="35">
        <v>1.6489676860671699E-2</v>
      </c>
      <c r="HB76" s="35">
        <v>1.8616496583388601E-2</v>
      </c>
      <c r="HC76">
        <v>1.7492737036710799E-2</v>
      </c>
      <c r="HD76">
        <v>1.14901753809149E-2</v>
      </c>
      <c r="HE76">
        <v>1.0204867199863099E-2</v>
      </c>
      <c r="HF76">
        <v>1.02541956680045E-2</v>
      </c>
      <c r="HG76">
        <v>6.1604740631469E-3</v>
      </c>
      <c r="HH76">
        <v>6.4143147512578701E-3</v>
      </c>
      <c r="HI76">
        <v>4.1220388365588202E-3</v>
      </c>
    </row>
    <row r="77" spans="1:217" x14ac:dyDescent="0.35">
      <c r="A77" s="35" t="s">
        <v>2312</v>
      </c>
      <c r="B77" s="35">
        <v>1.32039273219726E-2</v>
      </c>
      <c r="C77" s="35">
        <v>1.32039273219726E-2</v>
      </c>
      <c r="D77" s="35">
        <v>1.7097349075517999E-2</v>
      </c>
      <c r="E77" s="35">
        <v>1.27032798554454E-2</v>
      </c>
      <c r="F77" s="35">
        <v>3.1684238983509E-2</v>
      </c>
      <c r="G77" s="35">
        <v>1.8657303076358801E-2</v>
      </c>
      <c r="H77" s="35">
        <v>1.4508411791943201E-2</v>
      </c>
      <c r="I77" s="35">
        <v>2.0437141842892598E-2</v>
      </c>
      <c r="J77" s="35">
        <v>4.12980817016202E-2</v>
      </c>
      <c r="K77" s="35">
        <v>1.01656087433781E-2</v>
      </c>
      <c r="L77" s="35">
        <v>8.2207313616176093E-3</v>
      </c>
      <c r="M77" s="35">
        <v>2.17432052483599E-2</v>
      </c>
      <c r="N77" s="35">
        <v>1.6097963676389802E-2</v>
      </c>
      <c r="O77" s="35">
        <v>1.7377567140600202E-2</v>
      </c>
      <c r="P77" s="35">
        <v>2.06743566992014E-2</v>
      </c>
      <c r="Q77" s="35">
        <v>2.1385725462922799E-2</v>
      </c>
      <c r="R77" s="35">
        <v>1.02561920163418E-2</v>
      </c>
      <c r="S77" s="35">
        <v>1.8071527865537701E-2</v>
      </c>
      <c r="T77" s="35">
        <v>2.9212181396888401E-2</v>
      </c>
      <c r="U77" s="35">
        <v>3.3207365120205799E-2</v>
      </c>
      <c r="V77" s="35">
        <v>1.81712062256809E-2</v>
      </c>
      <c r="W77" s="35">
        <v>1.4483891924943501E-2</v>
      </c>
      <c r="X77" s="35">
        <v>1.34860242597754E-2</v>
      </c>
      <c r="Y77" s="35">
        <v>2.2970561998215899E-2</v>
      </c>
      <c r="Z77" s="35">
        <v>1.4606496620885199E-2</v>
      </c>
      <c r="AA77" s="35">
        <v>8.3798882681565007E-3</v>
      </c>
      <c r="AB77" s="35">
        <v>1.14709851551957E-2</v>
      </c>
      <c r="AC77" s="35">
        <v>2.6719567430918901E-2</v>
      </c>
      <c r="AD77" s="35">
        <v>1.4157718350317899E-2</v>
      </c>
      <c r="AE77" s="35">
        <v>1.1363636363636499E-2</v>
      </c>
      <c r="AF77" s="35">
        <v>4.9344847130996499E-3</v>
      </c>
      <c r="AG77" s="35">
        <v>2.8963869811884101E-2</v>
      </c>
      <c r="AH77" s="35">
        <v>1.1446443541626401E-2</v>
      </c>
      <c r="AI77" s="35">
        <v>1.9637221460677701E-2</v>
      </c>
      <c r="AJ77" s="35">
        <v>1.6726590589338799E-2</v>
      </c>
      <c r="AK77" s="35">
        <v>1.7250922509225001E-2</v>
      </c>
      <c r="AL77" s="35">
        <v>1.8439587678728001E-2</v>
      </c>
      <c r="AM77" s="35">
        <v>1.51078923154553E-2</v>
      </c>
      <c r="AN77" s="35">
        <v>2.3333333333333199E-2</v>
      </c>
      <c r="AO77" s="35">
        <v>2.2001257214698099E-2</v>
      </c>
      <c r="AP77" s="35">
        <v>1.97662715276226E-2</v>
      </c>
      <c r="AQ77" s="35">
        <v>3.8656614119259698E-2</v>
      </c>
      <c r="AR77" s="35">
        <v>1.0135937706216199E-2</v>
      </c>
      <c r="AS77" s="35">
        <v>3.01026940865976E-2</v>
      </c>
      <c r="AT77" s="35">
        <v>1.9989345780168099E-2</v>
      </c>
      <c r="AU77" s="35">
        <v>2.3253500460095802E-2</v>
      </c>
      <c r="AV77" s="35">
        <v>2.19230021388295E-2</v>
      </c>
      <c r="AW77" s="35">
        <v>1.91694810445702E-2</v>
      </c>
      <c r="AX77" s="35">
        <v>1.5961915429851599E-2</v>
      </c>
      <c r="AY77" s="35">
        <v>1.9822675486953299E-2</v>
      </c>
      <c r="AZ77" s="35">
        <v>8.3785670848441907E-3</v>
      </c>
      <c r="BA77" s="35">
        <v>1.18156842599002E-2</v>
      </c>
      <c r="BB77" s="35">
        <v>1.8763796909493399E-3</v>
      </c>
      <c r="BC77" s="35">
        <v>7.7117990525503704E-3</v>
      </c>
      <c r="BD77" s="35">
        <v>1.10856018366676E-2</v>
      </c>
      <c r="BE77" s="35">
        <v>6.5308593918949097E-3</v>
      </c>
      <c r="BF77" s="35">
        <v>1.29554829838432E-2</v>
      </c>
      <c r="BG77" s="35">
        <v>9.9688209217978496E-3</v>
      </c>
      <c r="BH77" s="35">
        <v>1.48686393514923E-2</v>
      </c>
      <c r="BI77" s="35">
        <v>1.23124676668391E-2</v>
      </c>
      <c r="BJ77" s="35">
        <v>-3.9860997547015399E-3</v>
      </c>
      <c r="BK77" s="35">
        <v>2.3601847101077898E-3</v>
      </c>
      <c r="BL77" s="35">
        <v>5.3439803439803103E-3</v>
      </c>
      <c r="BM77" s="35">
        <v>6.5579112441702704E-3</v>
      </c>
      <c r="BN77" s="35">
        <v>-2.52918681585501E-3</v>
      </c>
      <c r="BO77" s="35">
        <v>-2.4950302243499402E-3</v>
      </c>
      <c r="BP77" s="35">
        <v>1.42348754448407E-3</v>
      </c>
      <c r="BQ77" s="35">
        <v>1.1168646563102199E-3</v>
      </c>
      <c r="BR77" s="35">
        <v>-1.68356997971597E-3</v>
      </c>
      <c r="BS77" s="35">
        <v>4.73413657882449E-3</v>
      </c>
      <c r="BT77" s="35">
        <v>7.2396359959554504E-3</v>
      </c>
      <c r="BU77" s="35">
        <v>2.08801798907809E-3</v>
      </c>
      <c r="BV77" s="35">
        <v>1.3644013463696101E-2</v>
      </c>
      <c r="BW77" s="35">
        <v>9.8234933686478492E-3</v>
      </c>
      <c r="BX77" s="35">
        <v>5.7154041886864296E-3</v>
      </c>
      <c r="BY77" s="35">
        <v>8.0572963294538395E-3</v>
      </c>
      <c r="BZ77" s="35">
        <v>7.4136998996061597E-3</v>
      </c>
      <c r="CA77" s="35">
        <v>7.3399770026829599E-3</v>
      </c>
      <c r="CB77" s="35">
        <v>4.9844947967201403E-3</v>
      </c>
      <c r="CC77" s="35">
        <v>3.57785139611932E-3</v>
      </c>
      <c r="CD77" s="35">
        <v>7.0170143735617304E-3</v>
      </c>
      <c r="CE77" s="35">
        <v>1.7176787921926898E-2</v>
      </c>
      <c r="CF77" s="35">
        <v>1.34430878588665E-3</v>
      </c>
      <c r="CG77" s="35">
        <v>1.18986317493013E-2</v>
      </c>
      <c r="CH77" s="35">
        <v>8.9780637188086009E-3</v>
      </c>
      <c r="CI77" s="35">
        <v>4.9174126844029296E-3</v>
      </c>
      <c r="CJ77" s="35">
        <v>1.28696899085858E-2</v>
      </c>
      <c r="CK77" s="35">
        <v>1.01047639272316E-2</v>
      </c>
      <c r="CL77" s="35">
        <v>1.4716445627989099E-3</v>
      </c>
      <c r="CM77" s="35">
        <v>3.6387173521335E-3</v>
      </c>
      <c r="CN77" s="35">
        <v>8.7326349549423608E-3</v>
      </c>
      <c r="CO77" s="35">
        <v>6.2724633674315902E-3</v>
      </c>
      <c r="CP77" s="35">
        <v>2.5070833691078799E-3</v>
      </c>
      <c r="CQ77" s="35">
        <v>4.3849882667306196E-3</v>
      </c>
      <c r="CR77" s="35">
        <v>7.2479833552192598E-3</v>
      </c>
      <c r="CS77" s="35">
        <v>8.9566895804409404E-3</v>
      </c>
      <c r="CT77" s="35">
        <v>4.59800976657543E-3</v>
      </c>
      <c r="CU77" s="35">
        <v>8.3855341184331193E-3</v>
      </c>
      <c r="CV77" s="35">
        <v>5.7316083290539499E-3</v>
      </c>
      <c r="CW77" s="35">
        <v>8.21899757877231E-3</v>
      </c>
      <c r="CX77" s="35">
        <v>8.4297196628111398E-3</v>
      </c>
      <c r="CY77" s="35">
        <v>6.6582426127528302E-3</v>
      </c>
      <c r="CZ77" s="35">
        <v>5.1819308324883E-3</v>
      </c>
      <c r="DA77" s="35">
        <v>1.38006115816269E-2</v>
      </c>
      <c r="DB77" s="35">
        <v>2.3530154920012899E-3</v>
      </c>
      <c r="DC77" s="35">
        <v>-5.3566927148979097E-3</v>
      </c>
      <c r="DD77" s="35">
        <v>5.8132167522018099E-3</v>
      </c>
      <c r="DE77" s="35">
        <v>3.4173766516008E-3</v>
      </c>
      <c r="DF77" s="35">
        <v>3.4214326071944101E-3</v>
      </c>
      <c r="DG77" s="35">
        <v>6.5692745643945996E-3</v>
      </c>
      <c r="DH77" s="35">
        <v>2.3153183951269999E-3</v>
      </c>
      <c r="DI77" s="35">
        <v>6.9919228563011197E-3</v>
      </c>
      <c r="DJ77" s="35">
        <v>-4.18757890199206E-3</v>
      </c>
      <c r="DK77" s="35">
        <v>6.4469249559382397E-3</v>
      </c>
      <c r="DL77" s="35">
        <v>6.5285181031966601E-3</v>
      </c>
      <c r="DM77" s="35">
        <v>3.2201941273426499E-3</v>
      </c>
      <c r="DN77" s="35">
        <v>3.2250703582565902E-3</v>
      </c>
      <c r="DO77" s="35">
        <v>8.4310127829922994E-3</v>
      </c>
      <c r="DP77" s="35">
        <v>9.0672601236032602E-3</v>
      </c>
      <c r="DQ77" s="35">
        <v>1.22939826543083E-2</v>
      </c>
      <c r="DR77" s="35">
        <v>9.7451826117678202E-3</v>
      </c>
      <c r="DS77" s="35">
        <v>3.8342104879505201E-3</v>
      </c>
      <c r="DT77" s="35">
        <v>7.1598698733590397E-3</v>
      </c>
      <c r="DU77" s="35">
        <v>4.5134032213876001E-3</v>
      </c>
      <c r="DV77" s="35">
        <v>1.7226034279807E-3</v>
      </c>
      <c r="DW77" s="35">
        <v>5.24490556303925E-3</v>
      </c>
      <c r="DX77" s="35">
        <v>6.4007526943035097E-3</v>
      </c>
      <c r="DY77" s="35">
        <v>6.4875277986318203E-3</v>
      </c>
      <c r="DZ77" s="35">
        <v>6.4738582787979802E-3</v>
      </c>
      <c r="EA77" s="35">
        <v>9.4525623994965394E-3</v>
      </c>
      <c r="EB77" s="35">
        <v>8.5883281849539195E-3</v>
      </c>
      <c r="EC77" s="35">
        <v>1.8541154495886399E-2</v>
      </c>
      <c r="ED77" s="35">
        <v>1.0841277760547999E-2</v>
      </c>
      <c r="EE77" s="35">
        <v>7.1233242179682401E-3</v>
      </c>
      <c r="EF77" s="35">
        <v>9.0464774367873292E-3</v>
      </c>
      <c r="EG77" s="35">
        <v>7.4820823816648101E-3</v>
      </c>
      <c r="EH77" s="35">
        <v>8.5079216176777699E-3</v>
      </c>
      <c r="EI77" s="35">
        <v>8.68160971513454E-3</v>
      </c>
      <c r="EJ77" s="35">
        <v>9.1576264456882904E-3</v>
      </c>
      <c r="EK77" s="35">
        <v>9.7344908112497706E-3</v>
      </c>
      <c r="EL77" s="35">
        <v>1.3160044746666001E-2</v>
      </c>
      <c r="EM77" s="35">
        <v>9.0191797136689508E-3</v>
      </c>
      <c r="EN77" s="35">
        <v>1.04385673711778E-2</v>
      </c>
      <c r="EO77" s="35">
        <v>7.1791876566644798E-3</v>
      </c>
      <c r="EP77" s="35">
        <v>8.4207219832792592E-3</v>
      </c>
      <c r="EQ77" s="35">
        <v>6.9726485281962304E-3</v>
      </c>
      <c r="ER77" s="35">
        <v>7.4002688843677299E-3</v>
      </c>
      <c r="ES77" s="35">
        <v>5.2082718221866404E-3</v>
      </c>
      <c r="ET77" s="35">
        <v>8.55323448551348E-3</v>
      </c>
      <c r="EU77" s="35">
        <v>7.9914261084319503E-3</v>
      </c>
      <c r="EV77" s="35">
        <v>6.88794378698221E-3</v>
      </c>
      <c r="EW77" s="35">
        <v>8.0115697167255605E-3</v>
      </c>
      <c r="EX77" s="35">
        <v>8.4375213500034203E-3</v>
      </c>
      <c r="EY77" s="35">
        <v>1.0241297155697099E-2</v>
      </c>
      <c r="EZ77" s="35">
        <v>7.49972057672976E-3</v>
      </c>
      <c r="FA77" s="35">
        <v>-4.75921057010686E-3</v>
      </c>
      <c r="FB77" s="35">
        <v>-8.3935259497057695E-3</v>
      </c>
      <c r="FC77" s="35">
        <v>1.79858136894362E-4</v>
      </c>
      <c r="FD77" s="35">
        <v>3.0570384939590002E-3</v>
      </c>
      <c r="FE77" s="35">
        <v>7.6865328806572401E-3</v>
      </c>
      <c r="FF77" s="35">
        <v>6.3714098273157703E-3</v>
      </c>
      <c r="FG77" s="35">
        <v>7.6679999116080503E-3</v>
      </c>
      <c r="FH77" s="35">
        <v>3.96929824561387E-3</v>
      </c>
      <c r="FI77" s="35">
        <v>8.1365632030756495E-3</v>
      </c>
      <c r="FJ77" s="35">
        <v>8.9809006900885002E-3</v>
      </c>
      <c r="FK77" s="35">
        <v>9.0512798488233698E-3</v>
      </c>
      <c r="FL77" s="35">
        <v>3.47950073952696E-3</v>
      </c>
      <c r="FM77" s="35">
        <v>-1.3360761775496101E-3</v>
      </c>
      <c r="FN77" s="35">
        <v>3.4614567848798598E-3</v>
      </c>
      <c r="FO77" s="35">
        <v>2.2114997989546299E-3</v>
      </c>
      <c r="FP77" s="35">
        <v>1.9215541360924099E-3</v>
      </c>
      <c r="FQ77" s="35">
        <v>1.2223779466158399E-3</v>
      </c>
      <c r="FR77" s="35">
        <v>-6.94641785860872E-4</v>
      </c>
      <c r="FS77" s="35">
        <v>1.6324897047825799E-3</v>
      </c>
      <c r="FT77" s="35">
        <v>3.5120186746862001E-3</v>
      </c>
      <c r="FU77" s="35">
        <v>1.5382036128924101E-2</v>
      </c>
      <c r="FV77" s="35">
        <v>-2.63147032114253E-3</v>
      </c>
      <c r="FW77" s="35">
        <v>4.2214611635920099E-3</v>
      </c>
      <c r="FX77" s="35">
        <v>4.69827008871082E-3</v>
      </c>
      <c r="FY77" s="35">
        <v>1.32290053633866E-3</v>
      </c>
      <c r="FZ77" s="35">
        <v>-1.9458839433850201E-3</v>
      </c>
      <c r="GA77" s="35">
        <v>1.9394163280384001E-3</v>
      </c>
      <c r="GB77" s="35">
        <v>9.1150234020553899E-4</v>
      </c>
      <c r="GC77" s="35">
        <v>-1.2176404379412599E-3</v>
      </c>
      <c r="GD77" s="35">
        <v>-1.10643267664512E-3</v>
      </c>
      <c r="GE77" s="35">
        <v>5.32291314113409E-3</v>
      </c>
      <c r="GF77" s="35">
        <v>3.8970843280079501E-3</v>
      </c>
      <c r="GG77" s="35">
        <v>4.9489858135849402E-3</v>
      </c>
      <c r="GH77" s="35">
        <v>4.7425953827950904E-3</v>
      </c>
      <c r="GI77" s="35">
        <v>3.2407407407408799E-3</v>
      </c>
      <c r="GJ77" s="35">
        <v>4.3939728336108699E-3</v>
      </c>
      <c r="GK77" s="35">
        <v>7.1713943268076896E-3</v>
      </c>
      <c r="GL77" s="35">
        <v>9.5202205517761502E-3</v>
      </c>
      <c r="GM77" s="35">
        <v>6.8665396176741398E-3</v>
      </c>
      <c r="GN77" s="35">
        <v>5.1708830502357203E-3</v>
      </c>
      <c r="GO77" s="35">
        <v>7.2893513350869004E-3</v>
      </c>
      <c r="GP77" s="35">
        <v>1.03875580566208E-2</v>
      </c>
      <c r="GQ77" s="35">
        <v>-5.9796292057678899E-3</v>
      </c>
      <c r="GR77" s="35">
        <v>1.6118354776502E-3</v>
      </c>
      <c r="GS77" s="35">
        <v>3.4675325919326602E-3</v>
      </c>
      <c r="GT77" s="35">
        <v>3.1405416241085901E-3</v>
      </c>
      <c r="GU77" s="35">
        <v>2.3789585870903599E-4</v>
      </c>
      <c r="GV77" s="35">
        <v>5.7081426655123399E-3</v>
      </c>
      <c r="GW77" s="35">
        <v>7.2649532224040598E-3</v>
      </c>
      <c r="GX77" s="35">
        <v>8.4240380913027692E-3</v>
      </c>
      <c r="GY77" s="35">
        <v>9.7412877870699504E-3</v>
      </c>
      <c r="GZ77" s="35">
        <v>1.0136132221648201E-2</v>
      </c>
      <c r="HA77" s="35">
        <v>1.13948668316244E-2</v>
      </c>
      <c r="HB77" s="35">
        <v>1.7630968394254799E-2</v>
      </c>
      <c r="HC77">
        <v>1.6704517227919401E-2</v>
      </c>
      <c r="HD77">
        <v>1.1857914438036E-2</v>
      </c>
      <c r="HE77">
        <v>1.0080540848179701E-2</v>
      </c>
      <c r="HF77">
        <v>1.01762923122892E-2</v>
      </c>
      <c r="HG77">
        <v>5.1214008637083799E-3</v>
      </c>
      <c r="HH77">
        <v>9.7870229456919998E-3</v>
      </c>
      <c r="HI77">
        <v>9.2758353664121902E-3</v>
      </c>
    </row>
    <row r="78" spans="1:217" x14ac:dyDescent="0.35">
      <c r="A78" s="35" t="s">
        <v>2313</v>
      </c>
      <c r="B78" s="35">
        <v>2.11423161880719E-2</v>
      </c>
      <c r="C78" s="35">
        <v>2.11423161880719E-2</v>
      </c>
      <c r="D78" s="35">
        <v>1.8077873918417801E-2</v>
      </c>
      <c r="E78" s="35">
        <v>1.89710122932161E-2</v>
      </c>
      <c r="F78" s="35">
        <v>2.27137324992552E-2</v>
      </c>
      <c r="G78" s="35">
        <v>1.8058690744920902E-2</v>
      </c>
      <c r="H78" s="35">
        <v>1.4090551462699399E-2</v>
      </c>
      <c r="I78" s="35">
        <v>1.0932430526167301E-2</v>
      </c>
      <c r="J78" s="35">
        <v>2.2395869671387701E-2</v>
      </c>
      <c r="K78" s="35">
        <v>1.18056503343797E-2</v>
      </c>
      <c r="L78" s="35">
        <v>1.51750185472448E-2</v>
      </c>
      <c r="M78" s="35">
        <v>1.3752325272389E-2</v>
      </c>
      <c r="N78" s="35">
        <v>1.9660528212857901E-2</v>
      </c>
      <c r="O78" s="35">
        <v>1.78032007198408E-2</v>
      </c>
      <c r="P78" s="35">
        <v>1.34503662541046E-2</v>
      </c>
      <c r="Q78" s="35">
        <v>1.8941990155149999E-2</v>
      </c>
      <c r="R78" s="35">
        <v>2.90466581055462E-2</v>
      </c>
      <c r="S78" s="35">
        <v>3.4763489422391401E-2</v>
      </c>
      <c r="T78" s="35">
        <v>3.6467007408258E-2</v>
      </c>
      <c r="U78" s="35">
        <v>2.9421542553191599E-2</v>
      </c>
      <c r="V78" s="35">
        <v>2.01302545885138E-2</v>
      </c>
      <c r="W78" s="35">
        <v>1.9838547987126101E-2</v>
      </c>
      <c r="X78" s="35">
        <v>1.2778726266232001E-2</v>
      </c>
      <c r="Y78" s="35">
        <v>1.2770739681242401E-2</v>
      </c>
      <c r="Z78" s="35">
        <v>1.12982951679612E-2</v>
      </c>
      <c r="AA78" s="35">
        <v>1.21197007481295E-2</v>
      </c>
      <c r="AB78" s="35">
        <v>7.4409895037696999E-3</v>
      </c>
      <c r="AC78" s="35">
        <v>1.19839561729604E-2</v>
      </c>
      <c r="AD78" s="35">
        <v>1.8850596935569699E-2</v>
      </c>
      <c r="AE78" s="35">
        <v>1.7885098913610599E-2</v>
      </c>
      <c r="AF78" s="35">
        <v>1.70115585384043E-2</v>
      </c>
      <c r="AG78" s="35">
        <v>1.6864488336923101E-2</v>
      </c>
      <c r="AH78" s="35">
        <v>1.41511559781875E-2</v>
      </c>
      <c r="AI78" s="35">
        <v>1.6708883260009699E-2</v>
      </c>
      <c r="AJ78" s="35">
        <v>1.5210455002403899E-2</v>
      </c>
      <c r="AK78" s="35">
        <v>1.43367632496663E-2</v>
      </c>
      <c r="AL78" s="35">
        <v>2.3811544991511099E-2</v>
      </c>
      <c r="AM78" s="35">
        <v>2.2884623357240601E-2</v>
      </c>
      <c r="AN78" s="35">
        <v>3.3883192153366201E-2</v>
      </c>
      <c r="AO78" s="35">
        <v>1.9522521463013E-2</v>
      </c>
      <c r="AP78" s="35">
        <v>2.6031453070327198E-2</v>
      </c>
      <c r="AQ78" s="35">
        <v>2.7469644730924801E-2</v>
      </c>
      <c r="AR78" s="35">
        <v>2.8850713061239201E-2</v>
      </c>
      <c r="AS78" s="35">
        <v>2.72263187748156E-2</v>
      </c>
      <c r="AT78" s="35">
        <v>3.2475151849806802E-2</v>
      </c>
      <c r="AU78" s="35">
        <v>2.1559648360463899E-2</v>
      </c>
      <c r="AV78" s="35">
        <v>1.3578954256920199E-2</v>
      </c>
      <c r="AW78" s="35">
        <v>1.57859056719503E-2</v>
      </c>
      <c r="AX78" s="35">
        <v>1.6875357528761199E-2</v>
      </c>
      <c r="AY78" s="35">
        <v>1.6064006000562601E-2</v>
      </c>
      <c r="AZ78" s="35">
        <v>1.5686998246747099E-2</v>
      </c>
      <c r="BA78" s="35">
        <v>1.27191787044609E-2</v>
      </c>
      <c r="BB78" s="35">
        <v>7.1768188750334101E-3</v>
      </c>
      <c r="BC78" s="35">
        <v>1.0985422048039E-2</v>
      </c>
      <c r="BD78" s="35">
        <v>9.6913453349387595E-3</v>
      </c>
      <c r="BE78" s="35">
        <v>7.5914022279748297E-3</v>
      </c>
      <c r="BF78" s="35">
        <v>1.4519946885283699E-2</v>
      </c>
      <c r="BG78" s="35">
        <v>9.5034855598235008E-3</v>
      </c>
      <c r="BH78" s="35">
        <v>9.3294624989430606E-3</v>
      </c>
      <c r="BI78" s="35">
        <v>9.9413571628035307E-3</v>
      </c>
      <c r="BJ78" s="35">
        <v>1.18066692473595E-2</v>
      </c>
      <c r="BK78" s="35">
        <v>9.8379471483616109E-3</v>
      </c>
      <c r="BL78" s="35">
        <v>8.2807891104916802E-3</v>
      </c>
      <c r="BM78" s="35">
        <v>9.25950776993467E-3</v>
      </c>
      <c r="BN78" s="35">
        <v>4.1484948409742399E-3</v>
      </c>
      <c r="BO78" s="35">
        <v>4.4226694915254798E-3</v>
      </c>
      <c r="BP78" s="35">
        <v>8.6481925804835508E-3</v>
      </c>
      <c r="BQ78" s="35">
        <v>1.27042216703699E-2</v>
      </c>
      <c r="BR78" s="35">
        <v>1.4300095506053E-2</v>
      </c>
      <c r="BS78" s="35">
        <v>1.22407430970861E-2</v>
      </c>
      <c r="BT78" s="35">
        <v>1.19670152855993E-2</v>
      </c>
      <c r="BU78" s="35">
        <v>5.9375931630725196E-3</v>
      </c>
      <c r="BV78" s="35">
        <v>5.1369440122495096E-3</v>
      </c>
      <c r="BW78" s="35">
        <v>9.7545394235729593E-3</v>
      </c>
      <c r="BX78" s="35">
        <v>8.4436441502822E-3</v>
      </c>
      <c r="BY78" s="35">
        <v>1.1461525468716E-2</v>
      </c>
      <c r="BZ78" s="35">
        <v>1.3144711102629001E-2</v>
      </c>
      <c r="CA78" s="35">
        <v>1.3586380654124101E-2</v>
      </c>
      <c r="CB78" s="35">
        <v>9.3853087394881705E-3</v>
      </c>
      <c r="CC78" s="35">
        <v>1.2911392405063201E-2</v>
      </c>
      <c r="CD78" s="35">
        <v>1.41555520210856E-2</v>
      </c>
      <c r="CE78" s="35">
        <v>1.0306044719272401E-2</v>
      </c>
      <c r="CF78" s="35">
        <v>1.3593826229653499E-2</v>
      </c>
      <c r="CG78" s="35">
        <v>1.5752510556369798E-2</v>
      </c>
      <c r="CH78" s="35">
        <v>4.2001421586577202E-3</v>
      </c>
      <c r="CI78" s="35">
        <v>6.0486465617091102E-3</v>
      </c>
      <c r="CJ78" s="35">
        <v>8.2295753027459301E-3</v>
      </c>
      <c r="CK78" s="35">
        <v>8.7333474307464999E-3</v>
      </c>
      <c r="CL78" s="35">
        <v>7.1274343332703403E-3</v>
      </c>
      <c r="CM78" s="35">
        <v>1.19476302479029E-2</v>
      </c>
      <c r="CN78" s="35">
        <v>7.3636793714133598E-3</v>
      </c>
      <c r="CO78" s="35">
        <v>6.8402246043899302E-3</v>
      </c>
      <c r="CP78" s="35">
        <v>5.8203204218210099E-3</v>
      </c>
      <c r="CQ78" s="35">
        <v>5.8874528701333704E-3</v>
      </c>
      <c r="CR78" s="35">
        <v>2.84631882779762E-3</v>
      </c>
      <c r="CS78" s="35">
        <v>5.0368771361755096E-3</v>
      </c>
      <c r="CT78" s="35">
        <v>8.1737366505578706E-3</v>
      </c>
      <c r="CU78" s="35">
        <v>5.5430622953407402E-3</v>
      </c>
      <c r="CV78" s="35">
        <v>8.7493869543893207E-3</v>
      </c>
      <c r="CW78" s="35">
        <v>8.4790260788394408E-3</v>
      </c>
      <c r="CX78" s="35">
        <v>5.5730181074880002E-3</v>
      </c>
      <c r="CY78" s="35">
        <v>7.5940628236106401E-3</v>
      </c>
      <c r="CZ78" s="35">
        <v>4.1109969167523203E-3</v>
      </c>
      <c r="DA78" s="35">
        <v>3.8288032146782699E-3</v>
      </c>
      <c r="DB78" s="35">
        <v>9.9886706948639804E-3</v>
      </c>
      <c r="DC78" s="35">
        <v>1.346071154817E-3</v>
      </c>
      <c r="DD78" s="35">
        <v>6.3105617893617297E-3</v>
      </c>
      <c r="DE78" s="35">
        <v>7.1800961056791603E-3</v>
      </c>
      <c r="DF78" s="35">
        <v>6.6315440445050599E-3</v>
      </c>
      <c r="DG78" s="35">
        <v>3.2390293891593198E-3</v>
      </c>
      <c r="DH78" s="35">
        <v>4.3412436386187601E-3</v>
      </c>
      <c r="DI78" s="35">
        <v>7.8458437006230196E-3</v>
      </c>
      <c r="DJ78" s="35">
        <v>1.3335015227144999E-3</v>
      </c>
      <c r="DK78" s="35">
        <v>4.4270880198680196E-3</v>
      </c>
      <c r="DL78" s="35">
        <v>7.4892946087827799E-3</v>
      </c>
      <c r="DM78" s="35">
        <v>8.3583788301826393E-3</v>
      </c>
      <c r="DN78" s="35">
        <v>7.6541859931922298E-3</v>
      </c>
      <c r="DO78" s="35">
        <v>1.35468626936204E-2</v>
      </c>
      <c r="DP78" s="35">
        <v>1.20015886995113E-2</v>
      </c>
      <c r="DQ78" s="35">
        <v>1.1483857757149701E-2</v>
      </c>
      <c r="DR78" s="35">
        <v>1.2770551816050101E-2</v>
      </c>
      <c r="DS78" s="35">
        <v>1.0627311190325501E-2</v>
      </c>
      <c r="DT78" s="35">
        <v>1.07463080168777E-2</v>
      </c>
      <c r="DU78" s="35">
        <v>1.2491031243885099E-2</v>
      </c>
      <c r="DV78" s="35">
        <v>1.1950394588500401E-2</v>
      </c>
      <c r="DW78" s="35">
        <v>3.8992869875222901E-3</v>
      </c>
      <c r="DX78" s="35">
        <v>2.5999968292722601E-3</v>
      </c>
      <c r="DY78" s="35">
        <v>1.92912825540392E-3</v>
      </c>
      <c r="DZ78" s="35">
        <v>5.8867162224009997E-3</v>
      </c>
      <c r="EA78" s="35">
        <v>9.0215890548515105E-3</v>
      </c>
      <c r="EB78" s="35">
        <v>7.2615882197446498E-3</v>
      </c>
      <c r="EC78" s="35">
        <v>8.4442248911666996E-3</v>
      </c>
      <c r="ED78" s="35">
        <v>1.4251817833907301E-2</v>
      </c>
      <c r="EE78" s="35">
        <v>7.6974160830722805E-4</v>
      </c>
      <c r="EF78" s="35">
        <v>6.6358001417647899E-3</v>
      </c>
      <c r="EG78" s="35">
        <v>7.8805039926887997E-3</v>
      </c>
      <c r="EH78" s="35">
        <v>1.27540023486392E-2</v>
      </c>
      <c r="EI78" s="35">
        <v>1.4340021429305501E-2</v>
      </c>
      <c r="EJ78" s="35">
        <v>1.61486369161312E-2</v>
      </c>
      <c r="EK78" s="35">
        <v>1.7301777170197999E-2</v>
      </c>
      <c r="EL78" s="35">
        <v>9.05667772505225E-3</v>
      </c>
      <c r="EM78" s="35">
        <v>1.2818022917071299E-2</v>
      </c>
      <c r="EN78" s="35">
        <v>1.6025202027119701E-2</v>
      </c>
      <c r="EO78" s="35">
        <v>1.6325155028309401E-2</v>
      </c>
      <c r="EP78" s="35">
        <v>7.1493944900584703E-3</v>
      </c>
      <c r="EQ78" s="35">
        <v>1.54484393520347E-2</v>
      </c>
      <c r="ER78" s="35">
        <v>1.0155246877553399E-2</v>
      </c>
      <c r="ES78" s="35">
        <v>1.0553886449426101E-2</v>
      </c>
      <c r="ET78" s="35">
        <v>1.9134014331452901E-2</v>
      </c>
      <c r="EU78" s="35">
        <v>1.0833520333108901E-2</v>
      </c>
      <c r="EV78" s="35">
        <v>1.0951740808800899E-2</v>
      </c>
      <c r="EW78" s="35">
        <v>1.4334337753595799E-2</v>
      </c>
      <c r="EX78" s="35">
        <v>1.61162292834292E-2</v>
      </c>
      <c r="EY78" s="35">
        <v>1.4002319910991099E-2</v>
      </c>
      <c r="EZ78" s="35">
        <v>1.3517141556455701E-2</v>
      </c>
      <c r="FA78" s="35">
        <v>-1.2012392458567001E-2</v>
      </c>
      <c r="FB78" s="35">
        <v>-1.28695327800056E-2</v>
      </c>
      <c r="FC78" s="35">
        <v>2.3027869626830498E-3</v>
      </c>
      <c r="FD78" s="35">
        <v>5.2076583210602899E-3</v>
      </c>
      <c r="FE78" s="35">
        <v>7.2084109849150898E-3</v>
      </c>
      <c r="FF78" s="35">
        <v>9.97300190848582E-3</v>
      </c>
      <c r="FG78" s="35">
        <v>6.7289633478897501E-3</v>
      </c>
      <c r="FH78" s="35">
        <v>5.2762294988153401E-3</v>
      </c>
      <c r="FI78" s="35">
        <v>8.4135983787598807E-3</v>
      </c>
      <c r="FJ78" s="35">
        <v>1.0172400167094E-2</v>
      </c>
      <c r="FK78" s="35">
        <v>1.21599570825044E-2</v>
      </c>
      <c r="FL78" s="35">
        <v>5.1125195998322796E-3</v>
      </c>
      <c r="FM78" s="35">
        <v>-1.23043120021982E-3</v>
      </c>
      <c r="FN78" s="35">
        <v>1.2121478776412601E-2</v>
      </c>
      <c r="FO78" s="35">
        <v>9.7810139651155495E-5</v>
      </c>
      <c r="FP78" s="35">
        <v>5.9549682691471002E-3</v>
      </c>
      <c r="FQ78" s="35">
        <v>1.22499243831828E-2</v>
      </c>
      <c r="FR78" s="35">
        <v>1.140802083111E-2</v>
      </c>
      <c r="FS78" s="35">
        <v>5.1068319704563603E-3</v>
      </c>
      <c r="FT78" s="35">
        <v>7.9152625998593108E-3</v>
      </c>
      <c r="FU78" s="35">
        <v>5.7804672283960903E-3</v>
      </c>
      <c r="FV78" s="35">
        <v>7.9943666639052894E-3</v>
      </c>
      <c r="FW78" s="35">
        <v>3.10252722416271E-3</v>
      </c>
      <c r="FX78" s="35">
        <v>5.3153356137727297E-3</v>
      </c>
      <c r="FY78" s="35">
        <v>-8.7611169405366095E-4</v>
      </c>
      <c r="FZ78" s="35">
        <v>-9.1868468009176397E-3</v>
      </c>
      <c r="GA78" s="35">
        <v>6.2671084858087998E-3</v>
      </c>
      <c r="GB78" s="35">
        <v>6.3405704468055802E-4</v>
      </c>
      <c r="GC78" s="35">
        <v>-3.86325310439983E-3</v>
      </c>
      <c r="GD78" s="35">
        <v>-8.0232283747319107E-3</v>
      </c>
      <c r="GE78" s="35">
        <v>7.5606350519727998E-3</v>
      </c>
      <c r="GF78" s="35">
        <v>3.14116777531415E-3</v>
      </c>
      <c r="GG78" s="35">
        <v>4.8709604797281302E-3</v>
      </c>
      <c r="GH78" s="35">
        <v>9.2262571539136803E-3</v>
      </c>
      <c r="GI78" s="35">
        <v>1.8061834032936401E-3</v>
      </c>
      <c r="GJ78" s="35">
        <v>8.8736238832427504E-3</v>
      </c>
      <c r="GK78" s="35">
        <v>1.28189768779201E-2</v>
      </c>
      <c r="GL78" s="35">
        <v>1.29228767447362E-2</v>
      </c>
      <c r="GM78" s="35">
        <v>1.01986200722077E-2</v>
      </c>
      <c r="GN78" s="35">
        <v>8.9781999287139608E-3</v>
      </c>
      <c r="GO78" s="35">
        <v>4.3727742292747297E-3</v>
      </c>
      <c r="GP78" s="35">
        <v>-4.3157124252593002E-3</v>
      </c>
      <c r="GQ78" s="35">
        <v>6.8453261793150998E-3</v>
      </c>
      <c r="GR78" s="35">
        <v>3.7549781907833001E-3</v>
      </c>
      <c r="GS78" s="35">
        <v>6.06484280532049E-3</v>
      </c>
      <c r="GT78" s="35">
        <v>1.2892260887528401E-2</v>
      </c>
      <c r="GU78" s="35">
        <v>-2.1136357315682001E-3</v>
      </c>
      <c r="GV78" s="35">
        <v>1.2049088189663999E-2</v>
      </c>
      <c r="GW78" s="35">
        <v>1.2502294841197E-2</v>
      </c>
      <c r="GX78" s="35">
        <v>2.2329604177621299E-2</v>
      </c>
      <c r="GY78" s="35">
        <v>1.84543076309138E-2</v>
      </c>
      <c r="GZ78" s="35">
        <v>1.5829893944934802E-2</v>
      </c>
      <c r="HA78" s="35">
        <v>1.9097579373242898E-2</v>
      </c>
      <c r="HB78" s="35">
        <v>2.2011573528917E-2</v>
      </c>
      <c r="HC78">
        <v>3.27630052094907E-2</v>
      </c>
      <c r="HD78">
        <v>4.1836002868755901E-3</v>
      </c>
      <c r="HE78">
        <v>6.7690354322897904E-3</v>
      </c>
      <c r="HF78">
        <v>-1.5764416558927699E-5</v>
      </c>
      <c r="HG78">
        <v>-7.2438636041176601E-3</v>
      </c>
      <c r="HH78">
        <v>1.4053530453285799E-2</v>
      </c>
      <c r="HI78">
        <v>2.1375384639477101E-3</v>
      </c>
    </row>
    <row r="79" spans="1:217" x14ac:dyDescent="0.35">
      <c r="A79" s="35" t="s">
        <v>2314</v>
      </c>
      <c r="B79" s="35">
        <v>1.98894115705208E-2</v>
      </c>
      <c r="C79" s="35">
        <v>1.98894115705208E-2</v>
      </c>
      <c r="D79" s="35">
        <v>1.7640394885903899E-2</v>
      </c>
      <c r="E79" s="35">
        <v>1.6857506361323198E-2</v>
      </c>
      <c r="F79" s="35">
        <v>2.4554269627776099E-2</v>
      </c>
      <c r="G79" s="35">
        <v>1.8775759426041799E-2</v>
      </c>
      <c r="H79" s="35">
        <v>1.50584357207071E-2</v>
      </c>
      <c r="I79" s="35">
        <v>9.0781607498708894E-3</v>
      </c>
      <c r="J79" s="35">
        <v>2.5234055002925498E-2</v>
      </c>
      <c r="K79" s="35">
        <v>1.3126917314689301E-2</v>
      </c>
      <c r="L79" s="35">
        <v>1.55622843461729E-2</v>
      </c>
      <c r="M79" s="35">
        <v>1.2411593398973899E-2</v>
      </c>
      <c r="N79" s="35">
        <v>1.9724676392027799E-2</v>
      </c>
      <c r="O79" s="35">
        <v>1.6925246826516201E-2</v>
      </c>
      <c r="P79" s="35">
        <v>1.15580212667592E-2</v>
      </c>
      <c r="Q79" s="35">
        <v>1.6779838077827E-2</v>
      </c>
      <c r="R79" s="35">
        <v>2.42727798112117E-2</v>
      </c>
      <c r="S79" s="35">
        <v>2.6894865525672201E-2</v>
      </c>
      <c r="T79" s="35">
        <v>2.8754578754578701E-2</v>
      </c>
      <c r="U79" s="35">
        <v>2.61705536763399E-2</v>
      </c>
      <c r="V79" s="35">
        <v>1.9951422623178301E-2</v>
      </c>
      <c r="W79" s="35">
        <v>2.4097068662471102E-2</v>
      </c>
      <c r="X79" s="35">
        <v>1.5391429520540199E-2</v>
      </c>
      <c r="Y79" s="35">
        <v>1.4558342420937899E-2</v>
      </c>
      <c r="Z79" s="35">
        <v>1.30058580104262E-2</v>
      </c>
      <c r="AA79" s="35">
        <v>1.3051090243514101E-2</v>
      </c>
      <c r="AB79" s="35">
        <v>8.7457449594134894E-3</v>
      </c>
      <c r="AC79" s="35">
        <v>1.32385006749038E-2</v>
      </c>
      <c r="AD79" s="35">
        <v>2.0290003586616898E-2</v>
      </c>
      <c r="AE79" s="35">
        <v>1.9886506302415601E-2</v>
      </c>
      <c r="AF79" s="35">
        <v>1.78738490324486E-2</v>
      </c>
      <c r="AG79" s="35">
        <v>1.8333978328173298E-2</v>
      </c>
      <c r="AH79" s="35">
        <v>1.45361265498076E-2</v>
      </c>
      <c r="AI79" s="35">
        <v>1.6060308095706199E-2</v>
      </c>
      <c r="AJ79" s="35">
        <v>1.42857142857145E-2</v>
      </c>
      <c r="AK79" s="35">
        <v>1.3402998636983E-2</v>
      </c>
      <c r="AL79" s="35">
        <v>2.4568482403048798E-2</v>
      </c>
      <c r="AM79" s="35">
        <v>2.1835207631383E-2</v>
      </c>
      <c r="AN79" s="35">
        <v>3.5157588215141998E-2</v>
      </c>
      <c r="AO79" s="35">
        <v>1.7167914615480201E-2</v>
      </c>
      <c r="AP79" s="35">
        <v>2.57035952497153E-2</v>
      </c>
      <c r="AQ79" s="35">
        <v>2.71609833465505E-2</v>
      </c>
      <c r="AR79" s="35">
        <v>2.7793862188766599E-2</v>
      </c>
      <c r="AS79" s="35">
        <v>2.6591549295774699E-2</v>
      </c>
      <c r="AT79" s="35">
        <v>3.3549189624263703E-2</v>
      </c>
      <c r="AU79" s="35">
        <v>2.08849557522124E-2</v>
      </c>
      <c r="AV79" s="35">
        <v>1.1962552011095799E-2</v>
      </c>
      <c r="AW79" s="35">
        <v>1.5350351207812101E-2</v>
      </c>
      <c r="AX79" s="35">
        <v>1.75142577531806E-2</v>
      </c>
      <c r="AY79" s="35">
        <v>1.59525072963651E-2</v>
      </c>
      <c r="AZ79" s="35">
        <v>1.6616067639473799E-2</v>
      </c>
      <c r="BA79" s="35">
        <v>1.4995825573181E-2</v>
      </c>
      <c r="BB79" s="35">
        <v>8.6051441045271702E-3</v>
      </c>
      <c r="BC79" s="35">
        <v>1.3644490448856799E-2</v>
      </c>
      <c r="BD79" s="35">
        <v>1.1696992202005201E-2</v>
      </c>
      <c r="BE79" s="35">
        <v>9.3901021594173795E-3</v>
      </c>
      <c r="BF79" s="35">
        <v>1.75146207690677E-2</v>
      </c>
      <c r="BG79" s="35">
        <v>1.0899669436254899E-2</v>
      </c>
      <c r="BH79" s="35">
        <v>1.0752688172042999E-2</v>
      </c>
      <c r="BI79" s="35">
        <v>1.18041387350627E-2</v>
      </c>
      <c r="BJ79" s="35">
        <v>1.3221950165634299E-2</v>
      </c>
      <c r="BK79" s="35">
        <v>1.14288963438904E-2</v>
      </c>
      <c r="BL79" s="35">
        <v>9.2759163480997699E-3</v>
      </c>
      <c r="BM79" s="35">
        <v>1.0081880465660401E-2</v>
      </c>
      <c r="BN79" s="35">
        <v>3.6395720745561202E-3</v>
      </c>
      <c r="BO79" s="35">
        <v>3.0219780219780099E-3</v>
      </c>
      <c r="BP79" s="35">
        <v>8.5456039441249593E-3</v>
      </c>
      <c r="BQ79" s="35">
        <v>1.3171473575579899E-2</v>
      </c>
      <c r="BR79" s="35">
        <v>1.6216795775591701E-2</v>
      </c>
      <c r="BS79" s="35">
        <v>1.3135682633467E-2</v>
      </c>
      <c r="BT79" s="35">
        <v>1.2705024733142599E-2</v>
      </c>
      <c r="BU79" s="35">
        <v>6.1185665072753803E-3</v>
      </c>
      <c r="BV79" s="35">
        <v>4.4204824202778202E-3</v>
      </c>
      <c r="BW79" s="35">
        <v>1.07863339184411E-2</v>
      </c>
      <c r="BX79" s="35">
        <v>8.9094707170362906E-3</v>
      </c>
      <c r="BY79" s="35">
        <v>1.2946840621648E-2</v>
      </c>
      <c r="BZ79" s="35">
        <v>1.51701718957789E-2</v>
      </c>
      <c r="CA79" s="35">
        <v>1.48949590024743E-2</v>
      </c>
      <c r="CB79" s="35">
        <v>9.8479778181470596E-3</v>
      </c>
      <c r="CC79" s="35">
        <v>1.4698920658966099E-2</v>
      </c>
      <c r="CD79" s="35">
        <v>1.58389512234949E-2</v>
      </c>
      <c r="CE79" s="35">
        <v>1.06778726922017E-2</v>
      </c>
      <c r="CF79" s="35">
        <v>1.4518437734305899E-2</v>
      </c>
      <c r="CG79" s="35">
        <v>1.89465197527545E-2</v>
      </c>
      <c r="CH79" s="35">
        <v>4.7474614268758798E-3</v>
      </c>
      <c r="CI79" s="35">
        <v>6.2781642385265598E-3</v>
      </c>
      <c r="CJ79" s="35">
        <v>9.5432707984608508E-3</v>
      </c>
      <c r="CK79" s="35">
        <v>1.1391042204995899E-2</v>
      </c>
      <c r="CL79" s="35">
        <v>9.4104622197619392E-3</v>
      </c>
      <c r="CM79" s="35">
        <v>1.3604437788698799E-2</v>
      </c>
      <c r="CN79" s="35">
        <v>8.5525220575994893E-3</v>
      </c>
      <c r="CO79" s="35">
        <v>7.3245713578311599E-3</v>
      </c>
      <c r="CP79" s="35">
        <v>5.46884601204356E-3</v>
      </c>
      <c r="CQ79" s="35">
        <v>5.90763714885201E-3</v>
      </c>
      <c r="CR79" s="35">
        <v>3.2604953522752402E-3</v>
      </c>
      <c r="CS79" s="35">
        <v>5.1069842551474398E-3</v>
      </c>
      <c r="CT79" s="35">
        <v>8.3746711385135307E-3</v>
      </c>
      <c r="CU79" s="35">
        <v>5.8155745867356501E-3</v>
      </c>
      <c r="CV79" s="35">
        <v>8.7323274325767902E-3</v>
      </c>
      <c r="CW79" s="35">
        <v>8.5389553029857606E-3</v>
      </c>
      <c r="CX79" s="35">
        <v>4.5934057378644901E-3</v>
      </c>
      <c r="CY79" s="35">
        <v>7.69171155112969E-3</v>
      </c>
      <c r="CZ79" s="35">
        <v>3.78766030262812E-3</v>
      </c>
      <c r="DA79" s="35">
        <v>3.3902850137910198E-3</v>
      </c>
      <c r="DB79" s="35">
        <v>1.1014603417008899E-2</v>
      </c>
      <c r="DC79" s="35">
        <v>1.41610966353234E-3</v>
      </c>
      <c r="DD79" s="35">
        <v>6.6180213812998502E-3</v>
      </c>
      <c r="DE79" s="35">
        <v>8.1104368022777394E-3</v>
      </c>
      <c r="DF79" s="35">
        <v>6.8560599022686698E-3</v>
      </c>
      <c r="DG79" s="35">
        <v>2.3989665990036299E-3</v>
      </c>
      <c r="DH79" s="35">
        <v>4.7680412371133903E-3</v>
      </c>
      <c r="DI79" s="35">
        <v>8.1716411073855504E-3</v>
      </c>
      <c r="DJ79" s="35">
        <v>1.58109950022722E-3</v>
      </c>
      <c r="DK79" s="35">
        <v>5.3164465089272604E-3</v>
      </c>
      <c r="DL79" s="35">
        <v>7.7971302229040704E-3</v>
      </c>
      <c r="DM79" s="35">
        <v>9.0083636298512494E-3</v>
      </c>
      <c r="DN79" s="35">
        <v>8.5374511892082304E-3</v>
      </c>
      <c r="DO79" s="35">
        <v>1.49944562749689E-2</v>
      </c>
      <c r="DP79" s="35">
        <v>1.3853969795224699E-2</v>
      </c>
      <c r="DQ79" s="35">
        <v>1.21938705705296E-2</v>
      </c>
      <c r="DR79" s="35">
        <v>1.39562389118866E-2</v>
      </c>
      <c r="DS79" s="35">
        <v>1.04480845178383E-2</v>
      </c>
      <c r="DT79" s="35">
        <v>1.17418120650419E-2</v>
      </c>
      <c r="DU79" s="35">
        <v>1.4083129584352001E-2</v>
      </c>
      <c r="DV79" s="35">
        <v>1.3357122191146801E-2</v>
      </c>
      <c r="DW79" s="35">
        <v>4.2192085018637497E-3</v>
      </c>
      <c r="DX79" s="35">
        <v>2.4798218319093102E-3</v>
      </c>
      <c r="DY79" s="35">
        <v>1.1029180059241E-3</v>
      </c>
      <c r="DZ79" s="35">
        <v>6.2482294060248701E-3</v>
      </c>
      <c r="EA79" s="35">
        <v>9.8850394932352703E-3</v>
      </c>
      <c r="EB79" s="35">
        <v>8.2549909396441006E-3</v>
      </c>
      <c r="EC79" s="35">
        <v>1.0061443932411601E-2</v>
      </c>
      <c r="ED79" s="35">
        <v>1.5725039920918601E-2</v>
      </c>
      <c r="EE79" s="35">
        <v>7.0370869454539097E-4</v>
      </c>
      <c r="EF79" s="35">
        <v>7.9148961637440802E-3</v>
      </c>
      <c r="EG79" s="35">
        <v>9.1293698508128109E-3</v>
      </c>
      <c r="EH79" s="35">
        <v>1.42247719917623E-2</v>
      </c>
      <c r="EI79" s="35">
        <v>1.3387094434855799E-2</v>
      </c>
      <c r="EJ79" s="35">
        <v>1.3582367253470701E-2</v>
      </c>
      <c r="EK79" s="35">
        <v>1.5730241884240201E-2</v>
      </c>
      <c r="EL79" s="35">
        <v>9.2030083549969905E-3</v>
      </c>
      <c r="EM79" s="35">
        <v>1.14195192506372E-2</v>
      </c>
      <c r="EN79" s="35">
        <v>1.45456526476355E-2</v>
      </c>
      <c r="EO79" s="35">
        <v>1.69011437469795E-2</v>
      </c>
      <c r="EP79" s="35">
        <v>7.3794405354383804E-3</v>
      </c>
      <c r="EQ79" s="35">
        <v>1.3851395623116301E-2</v>
      </c>
      <c r="ER79" s="35">
        <v>9.2545917510049609E-3</v>
      </c>
      <c r="ES79" s="35">
        <v>7.4664139441362699E-3</v>
      </c>
      <c r="ET79" s="35">
        <v>1.7656929296011099E-2</v>
      </c>
      <c r="EU79" s="35">
        <v>1.09174942227219E-2</v>
      </c>
      <c r="EV79" s="35">
        <v>1.1256780634877599E-2</v>
      </c>
      <c r="EW79" s="35">
        <v>1.49560117302052E-2</v>
      </c>
      <c r="EX79" s="35">
        <v>1.77333140710778E-2</v>
      </c>
      <c r="EY79" s="35">
        <v>1.5543489832854101E-2</v>
      </c>
      <c r="EZ79" s="35">
        <v>1.36632071845406E-2</v>
      </c>
      <c r="FA79" s="35">
        <v>-1.92360728075015E-2</v>
      </c>
      <c r="FB79" s="35">
        <v>-1.7469244288224901E-2</v>
      </c>
      <c r="FC79" s="35">
        <v>5.0680308613268998E-3</v>
      </c>
      <c r="FD79" s="35">
        <v>8.6849224052014708E-3</v>
      </c>
      <c r="FE79" s="35">
        <v>9.1276936106143795E-3</v>
      </c>
      <c r="FF79" s="35">
        <v>1.16094740768369E-2</v>
      </c>
      <c r="FG79" s="35">
        <v>7.2705904042034098E-3</v>
      </c>
      <c r="FH79" s="35">
        <v>5.7538978940505602E-3</v>
      </c>
      <c r="FI79" s="35">
        <v>9.3150747253247807E-3</v>
      </c>
      <c r="FJ79" s="35">
        <v>1.11109859027958E-2</v>
      </c>
      <c r="FK79" s="35">
        <v>1.26160464520155E-2</v>
      </c>
      <c r="FL79" s="35">
        <v>3.7310558117522601E-3</v>
      </c>
      <c r="FM79" s="35">
        <v>-3.62946555845511E-3</v>
      </c>
      <c r="FN79" s="35">
        <v>1.32061144309814E-2</v>
      </c>
      <c r="FO79" s="35">
        <v>-1.6075249546525501E-3</v>
      </c>
      <c r="FP79" s="35">
        <v>6.0705621253496203E-3</v>
      </c>
      <c r="FQ79" s="35">
        <v>1.4522529926360101E-2</v>
      </c>
      <c r="FR79" s="35">
        <v>1.29929652526115E-2</v>
      </c>
      <c r="FS79" s="35">
        <v>5.1452561579983201E-3</v>
      </c>
      <c r="FT79" s="35">
        <v>8.4582530776315893E-3</v>
      </c>
      <c r="FU79" s="35">
        <v>5.43929579804026E-3</v>
      </c>
      <c r="FV79" s="35">
        <v>8.4967995044393802E-3</v>
      </c>
      <c r="FW79" s="35">
        <v>2.8357032441672599E-3</v>
      </c>
      <c r="FX79" s="35">
        <v>5.45120457329529E-3</v>
      </c>
      <c r="FY79" s="35">
        <v>-1.41125347736915E-3</v>
      </c>
      <c r="FZ79" s="35">
        <v>-1.1061969396573701E-2</v>
      </c>
      <c r="GA79" s="35">
        <v>6.7237603709378001E-3</v>
      </c>
      <c r="GB79" s="35">
        <v>1.6339702413170599E-4</v>
      </c>
      <c r="GC79" s="35">
        <v>-4.5641585917477502E-3</v>
      </c>
      <c r="GD79" s="35">
        <v>-9.2419735357471798E-3</v>
      </c>
      <c r="GE79" s="35">
        <v>7.4646181242170604E-3</v>
      </c>
      <c r="GF79" s="35">
        <v>3.68924057136977E-3</v>
      </c>
      <c r="GG79" s="35">
        <v>4.8940810287809696E-3</v>
      </c>
      <c r="GH79" s="35">
        <v>9.8627568850804294E-3</v>
      </c>
      <c r="GI79" s="35">
        <v>1.0391968924987601E-3</v>
      </c>
      <c r="GJ79" s="35">
        <v>8.9701465459897101E-3</v>
      </c>
      <c r="GK79" s="35">
        <v>1.44943461062053E-2</v>
      </c>
      <c r="GL79" s="35">
        <v>1.37457044673539E-2</v>
      </c>
      <c r="GM79" s="35">
        <v>9.5964256228449098E-3</v>
      </c>
      <c r="GN79" s="35">
        <v>9.5148302434988601E-3</v>
      </c>
      <c r="GO79" s="35">
        <v>3.0686539854383201E-3</v>
      </c>
      <c r="GP79" s="35">
        <v>-6.1945389248865296E-3</v>
      </c>
      <c r="GQ79" s="35">
        <v>5.9750291581421901E-3</v>
      </c>
      <c r="GR79" s="35">
        <v>3.66826004732612E-3</v>
      </c>
      <c r="GS79" s="35">
        <v>7.1582096900950597E-3</v>
      </c>
      <c r="GT79" s="35">
        <v>1.52770073987722E-2</v>
      </c>
      <c r="GU79" s="35">
        <v>-1.8612145119172301E-3</v>
      </c>
      <c r="GV79" s="35">
        <v>1.2496173220895501E-2</v>
      </c>
      <c r="GW79" s="35">
        <v>1.4064504306395401E-2</v>
      </c>
      <c r="GX79" s="35">
        <v>2.3690987124463499E-2</v>
      </c>
      <c r="GY79" s="35">
        <v>1.7361448228991001E-2</v>
      </c>
      <c r="GZ79" s="35">
        <v>1.48268323153804E-2</v>
      </c>
      <c r="HA79" s="35">
        <v>1.7790430270233401E-2</v>
      </c>
      <c r="HB79" s="35">
        <v>2.1200463655148199E-2</v>
      </c>
      <c r="HC79">
        <v>3.3435325470068597E-2</v>
      </c>
      <c r="HD79">
        <v>1.28936749361297E-3</v>
      </c>
      <c r="HE79">
        <v>6.1205834426294502E-3</v>
      </c>
      <c r="HF79">
        <v>-2.6861544538810999E-3</v>
      </c>
      <c r="HG79">
        <v>-9.0228542004990898E-3</v>
      </c>
      <c r="HH79">
        <v>1.6627230287139499E-2</v>
      </c>
      <c r="HI79">
        <v>2.0837264892748001E-3</v>
      </c>
    </row>
    <row r="80" spans="1:217" x14ac:dyDescent="0.35">
      <c r="A80" s="35" t="s">
        <v>2315</v>
      </c>
      <c r="B80" s="35">
        <v>2.51540041067762E-2</v>
      </c>
      <c r="C80" s="35">
        <v>2.51540041067762E-2</v>
      </c>
      <c r="D80" s="35">
        <v>1.93415122684026E-2</v>
      </c>
      <c r="E80" s="35">
        <v>2.5422167638931702E-2</v>
      </c>
      <c r="F80" s="35">
        <v>1.6827354931432802E-2</v>
      </c>
      <c r="G80" s="35">
        <v>1.5959952885747902E-2</v>
      </c>
      <c r="H80" s="35">
        <v>1.0897918961219499E-2</v>
      </c>
      <c r="I80" s="35">
        <v>1.73175067377715E-2</v>
      </c>
      <c r="J80" s="35">
        <v>1.2795220111605899E-2</v>
      </c>
      <c r="K80" s="35">
        <v>7.0124666073019303E-3</v>
      </c>
      <c r="L80" s="35">
        <v>1.38720017685419E-2</v>
      </c>
      <c r="M80" s="35">
        <v>1.8697192695557498E-2</v>
      </c>
      <c r="N80" s="35">
        <v>1.92636986301369E-2</v>
      </c>
      <c r="O80" s="35">
        <v>2.1052078958421001E-2</v>
      </c>
      <c r="P80" s="35">
        <v>2.0360944007403702E-2</v>
      </c>
      <c r="Q80" s="35">
        <v>2.68581506676746E-2</v>
      </c>
      <c r="R80" s="35">
        <v>4.6373540092256499E-2</v>
      </c>
      <c r="S80" s="35">
        <v>6.2842939548843901E-2</v>
      </c>
      <c r="T80" s="35">
        <v>6.3892688523143407E-2</v>
      </c>
      <c r="U80" s="35">
        <v>4.1557795197212803E-2</v>
      </c>
      <c r="V80" s="35">
        <v>2.13037072432605E-2</v>
      </c>
      <c r="W80" s="35">
        <v>4.9126637554586204E-3</v>
      </c>
      <c r="X80" s="35">
        <v>3.18150073717693E-3</v>
      </c>
      <c r="Y80" s="35">
        <v>6.0720915841583302E-3</v>
      </c>
      <c r="Z80" s="35">
        <v>4.9206166147695001E-3</v>
      </c>
      <c r="AA80" s="35">
        <v>8.5689147316476699E-3</v>
      </c>
      <c r="AB80" s="35">
        <v>2.1998862127821099E-3</v>
      </c>
      <c r="AC80" s="35">
        <v>6.7744010899595296E-3</v>
      </c>
      <c r="AD80" s="35">
        <v>1.29313585444704E-2</v>
      </c>
      <c r="AE80" s="35">
        <v>9.8715950419356897E-3</v>
      </c>
      <c r="AF80" s="35">
        <v>1.3449948552109301E-2</v>
      </c>
      <c r="AG80" s="35">
        <v>1.0696932337370501E-2</v>
      </c>
      <c r="AH80" s="35">
        <v>1.24134467046964E-2</v>
      </c>
      <c r="AI80" s="35">
        <v>1.9632162727240401E-2</v>
      </c>
      <c r="AJ80" s="35">
        <v>1.9149897473325701E-2</v>
      </c>
      <c r="AK80" s="35">
        <v>1.7869322057018099E-2</v>
      </c>
      <c r="AL80" s="35">
        <v>2.0604395604395798E-2</v>
      </c>
      <c r="AM80" s="35">
        <v>2.71476873584349E-2</v>
      </c>
      <c r="AN80" s="35">
        <v>2.9210610418664198E-2</v>
      </c>
      <c r="AO80" s="35">
        <v>2.8381567507141901E-2</v>
      </c>
      <c r="AP80" s="35">
        <v>2.7296334319705198E-2</v>
      </c>
      <c r="AQ80" s="35">
        <v>2.8716712715302101E-2</v>
      </c>
      <c r="AR80" s="35">
        <v>3.2858081659475902E-2</v>
      </c>
      <c r="AS80" s="35">
        <v>2.9599712301861598E-2</v>
      </c>
      <c r="AT80" s="35">
        <v>2.83188693946641E-2</v>
      </c>
      <c r="AU80" s="35">
        <v>2.3907193060382002E-2</v>
      </c>
      <c r="AV80" s="35">
        <v>2.0490966622435301E-2</v>
      </c>
      <c r="AW80" s="35">
        <v>1.7804005901327798E-2</v>
      </c>
      <c r="AX80" s="35">
        <v>1.4028449991401201E-2</v>
      </c>
      <c r="AY80" s="35">
        <v>1.6741774482725201E-2</v>
      </c>
      <c r="AZ80" s="35">
        <v>1.17955439056356E-2</v>
      </c>
      <c r="BA80" s="35">
        <v>2.5435704192180398E-3</v>
      </c>
      <c r="BB80" s="35">
        <v>9.1618116895331202E-4</v>
      </c>
      <c r="BC80" s="35">
        <v>-1.33780834135244E-3</v>
      </c>
      <c r="BD80" s="35">
        <v>5.6404230317275204E-4</v>
      </c>
      <c r="BE80" s="35">
        <v>-2.8186216939918301E-4</v>
      </c>
      <c r="BF80" s="35">
        <v>1.08077627931014E-3</v>
      </c>
      <c r="BG80" s="35">
        <v>3.5439354111903602E-3</v>
      </c>
      <c r="BH80" s="35">
        <v>3.2273907247597502E-3</v>
      </c>
      <c r="BI80" s="35">
        <v>2.0281138541158299E-3</v>
      </c>
      <c r="BJ80" s="35">
        <v>5.5602084496555503E-3</v>
      </c>
      <c r="BK80" s="35">
        <v>3.1002012817249501E-3</v>
      </c>
      <c r="BL80" s="35">
        <v>4.0823857739233898E-3</v>
      </c>
      <c r="BM80" s="35">
        <v>5.9723434556897496E-3</v>
      </c>
      <c r="BN80" s="35">
        <v>6.2108964698361904E-3</v>
      </c>
      <c r="BO80" s="35">
        <v>1.0302727726591901E-2</v>
      </c>
      <c r="BP80" s="35">
        <v>9.0970350404311305E-3</v>
      </c>
      <c r="BQ80" s="35">
        <v>1.0818030050083499E-2</v>
      </c>
      <c r="BR80" s="35">
        <v>6.4081389971593098E-3</v>
      </c>
      <c r="BS80" s="35">
        <v>8.4241389873529506E-3</v>
      </c>
      <c r="BT80" s="35">
        <v>8.8962180224356792E-3</v>
      </c>
      <c r="BU80" s="35">
        <v>5.2906639138008398E-3</v>
      </c>
      <c r="BV80" s="35">
        <v>8.0439851956442005E-3</v>
      </c>
      <c r="BW80" s="35">
        <v>5.5179439292005698E-3</v>
      </c>
      <c r="BX80" s="35">
        <v>6.4585575888052001E-3</v>
      </c>
      <c r="BY80" s="35">
        <v>5.2637097619796496E-3</v>
      </c>
      <c r="BZ80" s="35">
        <v>4.8397863818423498E-3</v>
      </c>
      <c r="CA80" s="35">
        <v>8.1174223550903903E-3</v>
      </c>
      <c r="CB80" s="35">
        <v>7.4136617310900403E-3</v>
      </c>
      <c r="CC80" s="35">
        <v>5.5397698235859502E-3</v>
      </c>
      <c r="CD80" s="35">
        <v>7.1965846716812703E-3</v>
      </c>
      <c r="CE80" s="35">
        <v>8.8204424350073508E-3</v>
      </c>
      <c r="CF80" s="35">
        <v>9.7036874012124096E-3</v>
      </c>
      <c r="CG80" s="35">
        <v>2.6750683628580202E-3</v>
      </c>
      <c r="CH80" s="35">
        <v>1.95648307345708E-3</v>
      </c>
      <c r="CI80" s="35">
        <v>5.14792899408278E-3</v>
      </c>
      <c r="CJ80" s="35">
        <v>2.6687074429465598E-3</v>
      </c>
      <c r="CK80" s="35">
        <v>-2.5050394348005199E-3</v>
      </c>
      <c r="CL80" s="35">
        <v>-2.6094292609233302E-3</v>
      </c>
      <c r="CM80" s="35">
        <v>4.7210638130459302E-3</v>
      </c>
      <c r="CN80" s="35">
        <v>2.0557600438562101E-3</v>
      </c>
      <c r="CO80" s="35">
        <v>4.5524706434028096E-3</v>
      </c>
      <c r="CP80" s="35">
        <v>7.42988291126934E-3</v>
      </c>
      <c r="CQ80" s="35">
        <v>5.8305660668778198E-3</v>
      </c>
      <c r="CR80" s="35">
        <v>1.0173135245115099E-3</v>
      </c>
      <c r="CS80" s="35">
        <v>4.6787214051504699E-3</v>
      </c>
      <c r="CT80" s="35">
        <v>7.29077202023087E-3</v>
      </c>
      <c r="CU80" s="35">
        <v>4.3390113117456296E-3</v>
      </c>
      <c r="CV80" s="35">
        <v>8.7537259932837196E-3</v>
      </c>
      <c r="CW80" s="35">
        <v>8.3224237890406894E-3</v>
      </c>
      <c r="CX80" s="35">
        <v>9.9786701289066304E-3</v>
      </c>
      <c r="CY80" s="35">
        <v>7.1621398270067501E-3</v>
      </c>
      <c r="CZ80" s="35">
        <v>5.5066280108673196E-3</v>
      </c>
      <c r="DA80" s="35">
        <v>5.7666152869706401E-3</v>
      </c>
      <c r="DB80" s="35">
        <v>5.3729513369273896E-3</v>
      </c>
      <c r="DC80" s="35">
        <v>1.09395455605177E-3</v>
      </c>
      <c r="DD80" s="35">
        <v>4.9801153667012902E-3</v>
      </c>
      <c r="DE80" s="35">
        <v>3.2263814616755298E-3</v>
      </c>
      <c r="DF80" s="35">
        <v>5.6502194346226301E-3</v>
      </c>
      <c r="DG80" s="35">
        <v>6.8199084789484204E-3</v>
      </c>
      <c r="DH80" s="35">
        <v>2.5445292620864799E-3</v>
      </c>
      <c r="DI80" s="35">
        <v>6.4239453877121804E-3</v>
      </c>
      <c r="DJ80" s="35">
        <v>3.47844235351502E-4</v>
      </c>
      <c r="DK80" s="35">
        <v>6.0851574317144497E-4</v>
      </c>
      <c r="DL80" s="35">
        <v>6.1857103141507198E-3</v>
      </c>
      <c r="DM80" s="35">
        <v>5.6296193962837001E-3</v>
      </c>
      <c r="DN80" s="35">
        <v>4.0182711130953798E-3</v>
      </c>
      <c r="DO80" s="35">
        <v>7.4057604159540897E-3</v>
      </c>
      <c r="DP80" s="35">
        <v>4.2274324714350903E-3</v>
      </c>
      <c r="DQ80" s="35">
        <v>8.5207100591717707E-3</v>
      </c>
      <c r="DR80" s="35">
        <v>7.9122942300600095E-3</v>
      </c>
      <c r="DS80" s="35">
        <v>1.1392741908658599E-2</v>
      </c>
      <c r="DT80" s="35">
        <v>6.5448685270756996E-3</v>
      </c>
      <c r="DU80" s="35">
        <v>5.8814880164681496E-3</v>
      </c>
      <c r="DV80" s="35">
        <v>6.1719371761761498E-3</v>
      </c>
      <c r="DW80" s="35">
        <v>2.5666273870441599E-3</v>
      </c>
      <c r="DX80" s="35">
        <v>3.1396921491595501E-3</v>
      </c>
      <c r="DY80" s="35">
        <v>5.37694814053902E-3</v>
      </c>
      <c r="DZ80" s="35">
        <v>4.3903062039016803E-3</v>
      </c>
      <c r="EA80" s="35">
        <v>5.4360783939726397E-3</v>
      </c>
      <c r="EB80" s="35">
        <v>3.0669512291516799E-3</v>
      </c>
      <c r="EC80" s="35">
        <v>1.73367586565587E-3</v>
      </c>
      <c r="ED80" s="35">
        <v>8.2915086769772602E-3</v>
      </c>
      <c r="EE80" s="35">
        <v>1.04547014948664E-3</v>
      </c>
      <c r="EF80" s="35">
        <v>1.26260658114186E-3</v>
      </c>
      <c r="EG80" s="35">
        <v>2.7711180994489698E-3</v>
      </c>
      <c r="EH80" s="35">
        <v>6.5049990684964403E-3</v>
      </c>
      <c r="EI80" s="35">
        <v>1.8370841109962802E-2</v>
      </c>
      <c r="EJ80" s="35">
        <v>2.6930417133682601E-2</v>
      </c>
      <c r="EK80" s="35">
        <v>2.40117994100295E-2</v>
      </c>
      <c r="EL80" s="35">
        <v>8.4548020971366693E-3</v>
      </c>
      <c r="EM80" s="35">
        <v>1.8810254945368799E-2</v>
      </c>
      <c r="EN80" s="35">
        <v>2.22761173106041E-2</v>
      </c>
      <c r="EO80" s="35">
        <v>1.3946599744929299E-2</v>
      </c>
      <c r="EP80" s="35">
        <v>6.2079039195002102E-3</v>
      </c>
      <c r="EQ80" s="35">
        <v>2.2043899619608402E-2</v>
      </c>
      <c r="ER80" s="35">
        <v>1.3914278574904199E-2</v>
      </c>
      <c r="ES80" s="35">
        <v>2.3451585705947402E-2</v>
      </c>
      <c r="ET80" s="35">
        <v>2.5233514568520701E-2</v>
      </c>
      <c r="EU80" s="35">
        <v>1.0458130392859699E-2</v>
      </c>
      <c r="EV80" s="35">
        <v>9.6280890628823706E-3</v>
      </c>
      <c r="EW80" s="35">
        <v>1.1765846329080201E-2</v>
      </c>
      <c r="EX80" s="35">
        <v>9.4852571319072893E-3</v>
      </c>
      <c r="EY80" s="35">
        <v>7.6877446909477997E-3</v>
      </c>
      <c r="EZ80" s="35">
        <v>1.29270762203018E-2</v>
      </c>
      <c r="FA80" s="35">
        <v>1.8317913431586699E-2</v>
      </c>
      <c r="FB80" s="35">
        <v>6.2434369721045E-3</v>
      </c>
      <c r="FC80" s="35">
        <v>-8.7795914200479198E-3</v>
      </c>
      <c r="FD80" s="35">
        <v>-9.0175659438119799E-3</v>
      </c>
      <c r="FE80" s="35">
        <v>-7.7369885792799597E-4</v>
      </c>
      <c r="FF80" s="35">
        <v>2.8313879579338098E-3</v>
      </c>
      <c r="FG80" s="35">
        <v>4.3560933448574301E-3</v>
      </c>
      <c r="FH80" s="35">
        <v>3.1438963661607499E-3</v>
      </c>
      <c r="FI80" s="35">
        <v>4.4951788349134603E-3</v>
      </c>
      <c r="FJ80" s="35">
        <v>6.0350717376451701E-3</v>
      </c>
      <c r="FK80" s="35">
        <v>1.01075268817203E-2</v>
      </c>
      <c r="FL80" s="35">
        <v>1.1306208890333101E-2</v>
      </c>
      <c r="FM80" s="35">
        <v>9.3959136639631992E-3</v>
      </c>
      <c r="FN80" s="35">
        <v>7.44237102085643E-3</v>
      </c>
      <c r="FO80" s="35">
        <v>7.8341214670181198E-3</v>
      </c>
      <c r="FP80" s="35">
        <v>5.4596365287522498E-3</v>
      </c>
      <c r="FQ80" s="35">
        <v>1.9461947054904001E-3</v>
      </c>
      <c r="FR80" s="35">
        <v>3.9599497762468098E-3</v>
      </c>
      <c r="FS80" s="35">
        <v>4.9598084487771903E-3</v>
      </c>
      <c r="FT80" s="35">
        <v>5.3501531654187601E-3</v>
      </c>
      <c r="FU80" s="35">
        <v>7.4376580370083501E-3</v>
      </c>
      <c r="FV80" s="35">
        <v>5.5554388691689801E-3</v>
      </c>
      <c r="FW80" s="35">
        <v>4.4281521864000303E-3</v>
      </c>
      <c r="FX80" s="35">
        <v>4.6269820639459596E-3</v>
      </c>
      <c r="FY80" s="35">
        <v>1.64562202442542E-3</v>
      </c>
      <c r="FZ80" s="35">
        <v>-3.8231434505409101E-4</v>
      </c>
      <c r="GA80" s="35">
        <v>4.1967294453286704E-3</v>
      </c>
      <c r="GB80" s="35">
        <v>2.77926462716693E-3</v>
      </c>
      <c r="GC80" s="35">
        <v>-6.6722782237382805E-4</v>
      </c>
      <c r="GD80" s="35">
        <v>-2.4652553080027899E-3</v>
      </c>
      <c r="GE80" s="35">
        <v>8.0421776693131407E-3</v>
      </c>
      <c r="GF80" s="35">
        <v>6.02692708439712E-4</v>
      </c>
      <c r="GG80" s="35">
        <v>4.7675926209509402E-3</v>
      </c>
      <c r="GH80" s="35">
        <v>6.4011379800852398E-3</v>
      </c>
      <c r="GI80" s="35">
        <v>5.2498738011104197E-3</v>
      </c>
      <c r="GJ80" s="35">
        <v>8.4563623581401792E-3</v>
      </c>
      <c r="GK80" s="35">
        <v>5.5371867904234796E-3</v>
      </c>
      <c r="GL80" s="35">
        <v>9.3395927422550394E-3</v>
      </c>
      <c r="GM80" s="35">
        <v>1.2785665924188699E-2</v>
      </c>
      <c r="GN80" s="35">
        <v>6.61731935590137E-3</v>
      </c>
      <c r="GO80" s="35">
        <v>1.00869130003753E-2</v>
      </c>
      <c r="GP80" s="35">
        <v>3.9068083281719197E-3</v>
      </c>
      <c r="GQ80" s="35">
        <v>1.0602249537278599E-2</v>
      </c>
      <c r="GR80" s="35">
        <v>4.1795025922308797E-3</v>
      </c>
      <c r="GS80" s="35">
        <v>1.3468391369007E-3</v>
      </c>
      <c r="GT80" s="35">
        <v>2.43786252697054E-3</v>
      </c>
      <c r="GU80" s="35">
        <v>-3.17735413056042E-3</v>
      </c>
      <c r="GV80" s="35">
        <v>1.0001776016302E-2</v>
      </c>
      <c r="GW80" s="35">
        <v>5.3585806702389797E-3</v>
      </c>
      <c r="GX80" s="35">
        <v>1.6008469115345699E-2</v>
      </c>
      <c r="GY80" s="35">
        <v>2.3312705560438102E-2</v>
      </c>
      <c r="GZ80" s="35">
        <v>2.0559225088983699E-2</v>
      </c>
      <c r="HA80" s="35">
        <v>2.54546085508052E-2</v>
      </c>
      <c r="HB80" s="35">
        <v>2.59902874837139E-2</v>
      </c>
      <c r="HC80">
        <v>2.9331244330832E-2</v>
      </c>
      <c r="HD80">
        <v>1.88901439592397E-2</v>
      </c>
      <c r="HE80">
        <v>9.9382788850887992E-3</v>
      </c>
      <c r="HF80">
        <v>1.2744357682815699E-2</v>
      </c>
      <c r="HG80">
        <v>8.9171778669494604E-4</v>
      </c>
      <c r="HH80">
        <v>2.8033363542803199E-3</v>
      </c>
      <c r="HI80">
        <v>2.3666010553968801E-3</v>
      </c>
    </row>
    <row r="81" spans="1:217" x14ac:dyDescent="0.35">
      <c r="A81" s="35" t="s">
        <v>2316</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8772.7000000000007</v>
      </c>
      <c r="GM81" s="35">
        <v>8853.5</v>
      </c>
      <c r="GN81" s="35">
        <v>8979.5</v>
      </c>
      <c r="GO81" s="35">
        <v>9034.7000000000007</v>
      </c>
      <c r="GP81" s="35">
        <v>9233.2000000000007</v>
      </c>
      <c r="GQ81" s="35">
        <v>9284.9</v>
      </c>
      <c r="GR81" s="35">
        <v>9340.9</v>
      </c>
      <c r="GS81" s="35">
        <v>9488.2000000000007</v>
      </c>
      <c r="GT81" s="35">
        <v>9635.9</v>
      </c>
      <c r="GU81" s="35">
        <v>9004.6</v>
      </c>
      <c r="GV81" s="35">
        <v>9440.7000000000007</v>
      </c>
      <c r="GW81" s="35">
        <v>9807.7999999999993</v>
      </c>
      <c r="GX81" s="35">
        <v>9888.4</v>
      </c>
      <c r="GY81" s="35">
        <v>10180</v>
      </c>
      <c r="GZ81" s="35">
        <v>10459.1</v>
      </c>
      <c r="HA81" s="35">
        <v>10766</v>
      </c>
      <c r="HB81" s="35">
        <v>10902.1</v>
      </c>
      <c r="HC81">
        <v>11004.6</v>
      </c>
      <c r="HD81">
        <v>11287.6</v>
      </c>
      <c r="HE81">
        <v>11334.1</v>
      </c>
      <c r="HF81">
        <v>11581.9</v>
      </c>
      <c r="HG81">
        <v>11750.8</v>
      </c>
      <c r="HH81">
        <v>11912.1</v>
      </c>
      <c r="HI81">
        <v>12045.4</v>
      </c>
    </row>
    <row r="82" spans="1:217" x14ac:dyDescent="0.35">
      <c r="A82" s="35" t="s">
        <v>2317</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630.20000000000005</v>
      </c>
      <c r="DL82" s="35">
        <v>645.4</v>
      </c>
      <c r="DM82" s="35">
        <v>668.1</v>
      </c>
      <c r="DN82" s="35">
        <v>682.4</v>
      </c>
      <c r="DO82" s="35">
        <v>690.2</v>
      </c>
      <c r="DP82" s="35">
        <v>699.5</v>
      </c>
      <c r="DQ82" s="35">
        <v>713.3</v>
      </c>
      <c r="DR82" s="35">
        <v>720.6</v>
      </c>
      <c r="DS82" s="35">
        <v>750.7</v>
      </c>
      <c r="DT82" s="35">
        <v>760.3</v>
      </c>
      <c r="DU82" s="35">
        <v>782.7</v>
      </c>
      <c r="DV82" s="35">
        <v>810</v>
      </c>
      <c r="DW82" s="35">
        <v>827.8</v>
      </c>
      <c r="DX82" s="35">
        <v>845.6</v>
      </c>
      <c r="DY82" s="35">
        <v>840.9</v>
      </c>
      <c r="DZ82" s="35">
        <v>859.7</v>
      </c>
      <c r="EA82" s="35">
        <v>864.4</v>
      </c>
      <c r="EB82" s="35">
        <v>873</v>
      </c>
      <c r="EC82" s="35">
        <v>883.4</v>
      </c>
      <c r="ED82" s="35">
        <v>876.3</v>
      </c>
      <c r="EE82" s="35">
        <v>892.4</v>
      </c>
      <c r="EF82" s="35">
        <v>905.3</v>
      </c>
      <c r="EG82" s="35">
        <v>916.1</v>
      </c>
      <c r="EH82" s="35">
        <v>946.6</v>
      </c>
      <c r="EI82" s="35">
        <v>963</v>
      </c>
      <c r="EJ82" s="35">
        <v>964.2</v>
      </c>
      <c r="EK82" s="35">
        <v>977.8</v>
      </c>
      <c r="EL82" s="35">
        <v>957.1</v>
      </c>
      <c r="EM82" s="35">
        <v>963.9</v>
      </c>
      <c r="EN82" s="35">
        <v>988</v>
      </c>
      <c r="EO82" s="35">
        <v>1007.5</v>
      </c>
      <c r="EP82" s="35">
        <v>1049.5</v>
      </c>
      <c r="EQ82" s="35">
        <v>1052</v>
      </c>
      <c r="ER82" s="35">
        <v>1048.8</v>
      </c>
      <c r="ES82" s="35">
        <v>1053.2</v>
      </c>
      <c r="ET82" s="35">
        <v>1017.2</v>
      </c>
      <c r="EU82" s="35">
        <v>998.5</v>
      </c>
      <c r="EV82" s="35">
        <v>987.1</v>
      </c>
      <c r="EW82" s="35">
        <v>978.8</v>
      </c>
      <c r="EX82" s="35">
        <v>965</v>
      </c>
      <c r="EY82" s="35">
        <v>967.5</v>
      </c>
      <c r="EZ82" s="35">
        <v>957.2</v>
      </c>
      <c r="FA82" s="35">
        <v>951.5</v>
      </c>
      <c r="FB82" s="35">
        <v>913.8</v>
      </c>
      <c r="FC82" s="35">
        <v>902</v>
      </c>
      <c r="FD82" s="35">
        <v>935</v>
      </c>
      <c r="FE82" s="35">
        <v>1001.7</v>
      </c>
      <c r="FF82" s="35">
        <v>1057.0999999999999</v>
      </c>
      <c r="FG82" s="35">
        <v>1103.5</v>
      </c>
      <c r="FH82" s="35">
        <v>1129</v>
      </c>
      <c r="FI82" s="35">
        <v>1144.4000000000001</v>
      </c>
      <c r="FJ82" s="35">
        <v>1181.2</v>
      </c>
      <c r="FK82" s="35">
        <v>1211.9000000000001</v>
      </c>
      <c r="FL82" s="35">
        <v>1252.0999999999999</v>
      </c>
      <c r="FM82" s="35">
        <v>1268.2</v>
      </c>
      <c r="FN82" s="35">
        <v>1297.7</v>
      </c>
      <c r="FO82" s="35">
        <v>1308.7</v>
      </c>
      <c r="FP82" s="35">
        <v>1286.8</v>
      </c>
      <c r="FQ82" s="35">
        <v>1306.5999999999999</v>
      </c>
      <c r="FR82" s="35">
        <v>1339.6</v>
      </c>
      <c r="FS82" s="35">
        <v>1364.1</v>
      </c>
      <c r="FT82" s="35">
        <v>1363.1</v>
      </c>
      <c r="FU82" s="35">
        <v>1340.1</v>
      </c>
      <c r="FV82" s="35">
        <v>1349.4</v>
      </c>
      <c r="FW82" s="35">
        <v>1376.7</v>
      </c>
      <c r="FX82" s="35">
        <v>1381.9</v>
      </c>
      <c r="FY82" s="35">
        <v>1371.7</v>
      </c>
      <c r="FZ82" s="35">
        <v>1356.1</v>
      </c>
      <c r="GA82" s="35">
        <v>1339.9</v>
      </c>
      <c r="GB82" s="35">
        <v>1352.3</v>
      </c>
      <c r="GC82" s="35">
        <v>1342.5</v>
      </c>
      <c r="GD82" s="35">
        <v>1335.9</v>
      </c>
      <c r="GE82" s="35">
        <v>1334</v>
      </c>
      <c r="GF82" s="35">
        <v>1355.9</v>
      </c>
      <c r="GG82" s="35">
        <v>1371.1</v>
      </c>
      <c r="GH82" s="35">
        <v>1409.4</v>
      </c>
      <c r="GI82" s="35">
        <v>1419.7</v>
      </c>
      <c r="GJ82" s="35">
        <v>1423.9</v>
      </c>
      <c r="GK82" s="35">
        <v>1461.5</v>
      </c>
      <c r="GL82" s="35">
        <v>1472.2</v>
      </c>
      <c r="GM82" s="35">
        <v>1479.6</v>
      </c>
      <c r="GN82" s="35">
        <v>1499.9</v>
      </c>
      <c r="GO82" s="35">
        <v>1529.7</v>
      </c>
      <c r="GP82" s="35">
        <v>1531.8</v>
      </c>
      <c r="GQ82" s="35">
        <v>1533.5</v>
      </c>
      <c r="GR82" s="35">
        <v>1570.1</v>
      </c>
      <c r="GS82" s="35">
        <v>1581.1</v>
      </c>
      <c r="GT82" s="35">
        <v>1577.7</v>
      </c>
      <c r="GU82" s="35">
        <v>1411.5</v>
      </c>
      <c r="GV82" s="35">
        <v>1691.6</v>
      </c>
      <c r="GW82" s="35">
        <v>1654.4</v>
      </c>
      <c r="GX82" s="35">
        <v>1650.2</v>
      </c>
      <c r="GY82" s="35">
        <v>1784.1</v>
      </c>
      <c r="GZ82" s="35">
        <v>1792.8</v>
      </c>
      <c r="HA82" s="35">
        <v>1769.2</v>
      </c>
      <c r="HB82" s="35">
        <v>1756.4</v>
      </c>
      <c r="HC82">
        <v>1774.4</v>
      </c>
      <c r="HD82">
        <v>1807.4</v>
      </c>
      <c r="HE82">
        <v>1825.3</v>
      </c>
      <c r="HF82">
        <v>1827.4</v>
      </c>
      <c r="HG82">
        <v>1824.1</v>
      </c>
      <c r="HH82">
        <v>1859.6</v>
      </c>
      <c r="HI82">
        <v>1886.7</v>
      </c>
    </row>
    <row r="83" spans="1:217" x14ac:dyDescent="0.35">
      <c r="A83" s="35" t="s">
        <v>2318</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281</v>
      </c>
      <c r="EZ83" s="35">
        <v>305.2</v>
      </c>
      <c r="FA83" s="35">
        <v>325.60000000000002</v>
      </c>
      <c r="FB83" s="35">
        <v>326.5</v>
      </c>
      <c r="FC83" s="35">
        <v>335.9</v>
      </c>
      <c r="FD83" s="35">
        <v>355.9</v>
      </c>
      <c r="FE83" s="35">
        <v>372</v>
      </c>
      <c r="FF83" s="35">
        <v>404.9</v>
      </c>
      <c r="FG83" s="35">
        <v>428.9</v>
      </c>
      <c r="FH83" s="35">
        <v>442.6</v>
      </c>
      <c r="FI83" s="35">
        <v>458.3</v>
      </c>
      <c r="FJ83" s="35">
        <v>489.1</v>
      </c>
      <c r="FK83" s="35">
        <v>501.4</v>
      </c>
      <c r="FL83" s="35">
        <v>510.1</v>
      </c>
      <c r="FM83" s="35">
        <v>525.6</v>
      </c>
      <c r="FN83" s="35">
        <v>526.79999999999995</v>
      </c>
      <c r="FO83" s="35">
        <v>532.5</v>
      </c>
      <c r="FP83" s="35">
        <v>536.1</v>
      </c>
      <c r="FQ83" s="35">
        <v>542.6</v>
      </c>
      <c r="FR83" s="35">
        <v>562.29999999999995</v>
      </c>
      <c r="FS83" s="35">
        <v>576.29999999999995</v>
      </c>
      <c r="FT83" s="35">
        <v>588.6</v>
      </c>
      <c r="FU83" s="35">
        <v>587.6</v>
      </c>
      <c r="FV83" s="35">
        <v>595</v>
      </c>
      <c r="FW83" s="35">
        <v>599.1</v>
      </c>
      <c r="FX83" s="35">
        <v>600.29999999999995</v>
      </c>
      <c r="FY83" s="35">
        <v>599.70000000000005</v>
      </c>
      <c r="FZ83" s="35">
        <v>588.79999999999995</v>
      </c>
      <c r="GA83" s="35">
        <v>603.1</v>
      </c>
      <c r="GB83" s="35">
        <v>606.4</v>
      </c>
      <c r="GC83" s="35">
        <v>607.20000000000005</v>
      </c>
      <c r="GD83" s="35">
        <v>612</v>
      </c>
      <c r="GE83" s="35">
        <v>619.1</v>
      </c>
      <c r="GF83" s="35">
        <v>619.9</v>
      </c>
      <c r="GG83" s="35">
        <v>623.9</v>
      </c>
      <c r="GH83" s="35">
        <v>633.9</v>
      </c>
      <c r="GI83" s="35">
        <v>634.29999999999995</v>
      </c>
      <c r="GJ83" s="35">
        <v>643.79999999999995</v>
      </c>
      <c r="GK83" s="35">
        <v>656.2</v>
      </c>
      <c r="GL83" s="35">
        <v>663.5</v>
      </c>
      <c r="GM83" s="35">
        <v>669</v>
      </c>
      <c r="GN83" s="35">
        <v>679.8</v>
      </c>
      <c r="GO83" s="35">
        <v>673.6</v>
      </c>
      <c r="GP83" s="35">
        <v>667.8</v>
      </c>
      <c r="GQ83" s="35">
        <v>674.7</v>
      </c>
      <c r="GR83" s="35">
        <v>685.7</v>
      </c>
      <c r="GS83" s="35">
        <v>709.8</v>
      </c>
      <c r="GT83" s="35">
        <v>740.9</v>
      </c>
      <c r="GU83" s="35">
        <v>738.2</v>
      </c>
      <c r="GV83" s="35">
        <v>765.2</v>
      </c>
      <c r="GW83" s="35">
        <v>780.3</v>
      </c>
      <c r="GX83" s="35">
        <v>791.6</v>
      </c>
      <c r="GY83" s="35">
        <v>807.2</v>
      </c>
      <c r="GZ83" s="35">
        <v>822.4</v>
      </c>
      <c r="HA83" s="35">
        <v>835.5</v>
      </c>
      <c r="HB83" s="35">
        <v>837.2</v>
      </c>
      <c r="HC83">
        <v>875.3</v>
      </c>
      <c r="HD83">
        <v>893.1</v>
      </c>
      <c r="HE83">
        <v>907.5</v>
      </c>
      <c r="HF83">
        <v>945.8</v>
      </c>
      <c r="HG83">
        <v>961.1</v>
      </c>
      <c r="HH83">
        <v>974.4</v>
      </c>
      <c r="HI83">
        <v>986.9</v>
      </c>
    </row>
    <row r="84" spans="1:217" x14ac:dyDescent="0.35">
      <c r="A84" s="35" t="s">
        <v>2319</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308.60000000000002</v>
      </c>
      <c r="AM84" s="35">
        <v>318.60000000000002</v>
      </c>
      <c r="AN84" s="35">
        <v>330.4</v>
      </c>
      <c r="AO84" s="35">
        <v>351</v>
      </c>
      <c r="AP84" s="35">
        <v>378.8</v>
      </c>
      <c r="AQ84" s="35">
        <v>392.5</v>
      </c>
      <c r="AR84" s="35">
        <v>397.7</v>
      </c>
      <c r="AS84" s="35">
        <v>421.8</v>
      </c>
      <c r="AT84" s="35">
        <v>439.6</v>
      </c>
      <c r="AU84" s="35">
        <v>467.3</v>
      </c>
      <c r="AV84" s="35">
        <v>506.4</v>
      </c>
      <c r="AW84" s="35">
        <v>522.4</v>
      </c>
      <c r="AX84" s="35">
        <v>541</v>
      </c>
      <c r="AY84" s="35">
        <v>557.20000000000005</v>
      </c>
      <c r="AZ84" s="35">
        <v>558.79999999999995</v>
      </c>
      <c r="BA84" s="35">
        <v>562.5</v>
      </c>
      <c r="BB84" s="35">
        <v>575.1</v>
      </c>
      <c r="BC84" s="35">
        <v>585.79999999999995</v>
      </c>
      <c r="BD84" s="35">
        <v>610.20000000000005</v>
      </c>
      <c r="BE84" s="35">
        <v>629.79999999999995</v>
      </c>
      <c r="BF84" s="35">
        <v>642.79999999999995</v>
      </c>
      <c r="BG84" s="35">
        <v>667.2</v>
      </c>
      <c r="BH84" s="35">
        <v>693.7</v>
      </c>
      <c r="BI84" s="35">
        <v>703.2</v>
      </c>
      <c r="BJ84" s="35">
        <v>714.7</v>
      </c>
      <c r="BK84" s="35">
        <v>721.2</v>
      </c>
      <c r="BL84" s="35">
        <v>722.7</v>
      </c>
      <c r="BM84" s="35">
        <v>738.6</v>
      </c>
      <c r="BN84" s="35">
        <v>763.4</v>
      </c>
      <c r="BO84" s="35">
        <v>770.6</v>
      </c>
      <c r="BP84" s="35">
        <v>768.1</v>
      </c>
      <c r="BQ84" s="35">
        <v>763</v>
      </c>
      <c r="BR84" s="35">
        <v>758.1</v>
      </c>
      <c r="BS84" s="35">
        <v>764.7</v>
      </c>
      <c r="BT84" s="35">
        <v>780.5</v>
      </c>
      <c r="BU84" s="35">
        <v>801.9</v>
      </c>
      <c r="BV84" s="35">
        <v>816.5</v>
      </c>
      <c r="BW84" s="35">
        <v>830.3</v>
      </c>
      <c r="BX84" s="35">
        <v>859</v>
      </c>
      <c r="BY84" s="35">
        <v>886.3</v>
      </c>
      <c r="BZ84" s="35">
        <v>930.1</v>
      </c>
      <c r="CA84" s="35">
        <v>956.6</v>
      </c>
      <c r="CB84" s="35">
        <v>970.4</v>
      </c>
      <c r="CC84" s="35">
        <v>981.9</v>
      </c>
      <c r="CD84" s="35">
        <v>996.1</v>
      </c>
      <c r="CE84" s="35">
        <v>1001.4</v>
      </c>
      <c r="CF84" s="35">
        <v>1010.4</v>
      </c>
      <c r="CG84" s="35">
        <v>1011.5</v>
      </c>
      <c r="CH84" s="35">
        <v>1009.2</v>
      </c>
      <c r="CI84" s="35">
        <v>1010.5</v>
      </c>
      <c r="CJ84" s="35">
        <v>1012</v>
      </c>
      <c r="CK84" s="35">
        <v>1003.1</v>
      </c>
      <c r="CL84" s="35">
        <v>996.3</v>
      </c>
      <c r="CM84" s="35">
        <v>997.3</v>
      </c>
      <c r="CN84" s="35">
        <v>992.5</v>
      </c>
      <c r="CO84" s="35">
        <v>995.7</v>
      </c>
      <c r="CP84" s="35">
        <v>1002.7</v>
      </c>
      <c r="CQ84" s="35">
        <v>1002.4</v>
      </c>
      <c r="CR84" s="35">
        <v>1001.2</v>
      </c>
      <c r="CS84" s="35">
        <v>1001.5</v>
      </c>
      <c r="CT84" s="35">
        <v>1009.5</v>
      </c>
      <c r="CU84" s="35">
        <v>1029.5</v>
      </c>
      <c r="CV84" s="35">
        <v>1051.5999999999999</v>
      </c>
      <c r="CW84" s="35">
        <v>1084</v>
      </c>
      <c r="CX84" s="35">
        <v>1105.5999999999999</v>
      </c>
      <c r="CY84" s="35">
        <v>1123.3</v>
      </c>
      <c r="CZ84" s="35">
        <v>1136.0999999999999</v>
      </c>
      <c r="DA84" s="35">
        <v>1149.2</v>
      </c>
      <c r="DB84" s="35">
        <v>1160.5</v>
      </c>
      <c r="DC84" s="35">
        <v>1177.3</v>
      </c>
      <c r="DD84" s="35">
        <v>1197.7</v>
      </c>
      <c r="DE84" s="35">
        <v>1219.9000000000001</v>
      </c>
      <c r="DF84" s="35">
        <v>1234.2</v>
      </c>
      <c r="DG84" s="35">
        <v>1255.5</v>
      </c>
      <c r="DH84" s="35">
        <v>1276</v>
      </c>
      <c r="DI84" s="35">
        <v>1300.4000000000001</v>
      </c>
      <c r="DJ84" s="35">
        <v>1335.9</v>
      </c>
      <c r="DK84" s="35">
        <v>1361.9</v>
      </c>
      <c r="DL84" s="35">
        <v>1367.1</v>
      </c>
      <c r="DM84" s="35">
        <v>1345.1</v>
      </c>
      <c r="DN84" s="35">
        <v>1326.7</v>
      </c>
      <c r="DO84" s="35">
        <v>1321</v>
      </c>
      <c r="DP84" s="35">
        <v>1337.2</v>
      </c>
      <c r="DQ84" s="35">
        <v>1359.8</v>
      </c>
      <c r="DR84" s="35">
        <v>1398.1</v>
      </c>
      <c r="DS84" s="35">
        <v>1441.8</v>
      </c>
      <c r="DT84" s="35">
        <v>1478.2</v>
      </c>
      <c r="DU84" s="35">
        <v>1504.5</v>
      </c>
      <c r="DV84" s="35">
        <v>1494.8</v>
      </c>
      <c r="DW84" s="35">
        <v>1486.8</v>
      </c>
      <c r="DX84" s="35">
        <v>1462.4</v>
      </c>
      <c r="DY84" s="35">
        <v>1403.7</v>
      </c>
      <c r="DZ84" s="35">
        <v>1388</v>
      </c>
      <c r="EA84" s="35">
        <v>1398.7</v>
      </c>
      <c r="EB84" s="35">
        <v>1401.3</v>
      </c>
      <c r="EC84" s="35">
        <v>1422.5</v>
      </c>
      <c r="ED84" s="35">
        <v>1437.6</v>
      </c>
      <c r="EE84" s="35">
        <v>1419.2</v>
      </c>
      <c r="EF84" s="35">
        <v>1434</v>
      </c>
      <c r="EG84" s="35">
        <v>1451.5</v>
      </c>
      <c r="EH84" s="35">
        <v>1452.2</v>
      </c>
      <c r="EI84" s="35">
        <v>1467.5</v>
      </c>
      <c r="EJ84" s="35">
        <v>1477.8</v>
      </c>
      <c r="EK84" s="35">
        <v>1597.3</v>
      </c>
      <c r="EL84" s="35">
        <v>1545.5</v>
      </c>
      <c r="EM84" s="35">
        <v>1611.1</v>
      </c>
      <c r="EN84" s="35">
        <v>1648.9</v>
      </c>
      <c r="EO84" s="35">
        <v>1740</v>
      </c>
      <c r="EP84" s="35">
        <v>1805.5</v>
      </c>
      <c r="EQ84" s="35">
        <v>1909.5</v>
      </c>
      <c r="ER84" s="35">
        <v>1931.4</v>
      </c>
      <c r="ES84" s="35">
        <v>1949.7</v>
      </c>
      <c r="ET84" s="35">
        <v>1997.6</v>
      </c>
      <c r="EU84" s="35">
        <v>2125</v>
      </c>
      <c r="EV84" s="35">
        <v>2143.4</v>
      </c>
      <c r="EW84" s="35">
        <v>2155.3000000000002</v>
      </c>
      <c r="EX84" s="35">
        <v>2181.1</v>
      </c>
      <c r="EY84" s="35">
        <v>2148.6999999999998</v>
      </c>
      <c r="EZ84" s="35">
        <v>2175.1999999999998</v>
      </c>
      <c r="FA84" s="35">
        <v>2101</v>
      </c>
      <c r="FB84" s="35">
        <v>1982.2</v>
      </c>
      <c r="FC84" s="35">
        <v>1865.1</v>
      </c>
      <c r="FD84" s="35">
        <v>1773.6</v>
      </c>
      <c r="FE84" s="35">
        <v>1733</v>
      </c>
      <c r="FF84" s="35">
        <v>1729.5</v>
      </c>
      <c r="FG84" s="35">
        <v>1742.5</v>
      </c>
      <c r="FH84" s="35">
        <v>1735.7</v>
      </c>
      <c r="FI84" s="35">
        <v>1783</v>
      </c>
      <c r="FJ84" s="35">
        <v>1847.8</v>
      </c>
      <c r="FK84" s="35">
        <v>1882.4</v>
      </c>
      <c r="FL84" s="35">
        <v>1913.9</v>
      </c>
      <c r="FM84" s="35">
        <v>1981.8</v>
      </c>
      <c r="FN84" s="35">
        <v>2039.5</v>
      </c>
      <c r="FO84" s="35">
        <v>2088.9</v>
      </c>
      <c r="FP84" s="35">
        <v>2025.8</v>
      </c>
      <c r="FQ84" s="35">
        <v>2260</v>
      </c>
      <c r="FR84" s="35">
        <v>1957.5</v>
      </c>
      <c r="FS84" s="35">
        <v>1963.9</v>
      </c>
      <c r="FT84" s="35">
        <v>1998.1</v>
      </c>
      <c r="FU84" s="35">
        <v>2013.4</v>
      </c>
      <c r="FV84" s="35">
        <v>2067.1999999999998</v>
      </c>
      <c r="FW84" s="35">
        <v>2160.8000000000002</v>
      </c>
      <c r="FX84" s="35">
        <v>2214</v>
      </c>
      <c r="FY84" s="35">
        <v>2267.6</v>
      </c>
      <c r="FZ84" s="35">
        <v>2322.1999999999998</v>
      </c>
      <c r="GA84" s="35">
        <v>2341.1999999999998</v>
      </c>
      <c r="GB84" s="35">
        <v>2347.8000000000002</v>
      </c>
      <c r="GC84" s="35">
        <v>2367.1999999999998</v>
      </c>
      <c r="GD84" s="35">
        <v>2388.1</v>
      </c>
      <c r="GE84" s="35">
        <v>2391.1999999999998</v>
      </c>
      <c r="GF84" s="35">
        <v>2421.8000000000002</v>
      </c>
      <c r="GG84" s="35">
        <v>2460.5</v>
      </c>
      <c r="GH84" s="35">
        <v>2535.6</v>
      </c>
      <c r="GI84" s="35">
        <v>2612.6999999999998</v>
      </c>
      <c r="GJ84" s="35">
        <v>2636.3</v>
      </c>
      <c r="GK84" s="35">
        <v>2659.4</v>
      </c>
      <c r="GL84" s="35">
        <v>2690.3</v>
      </c>
      <c r="GM84" s="35">
        <v>2755.1</v>
      </c>
      <c r="GN84" s="35">
        <v>2808</v>
      </c>
      <c r="GO84" s="35">
        <v>2904.2</v>
      </c>
      <c r="GP84" s="35">
        <v>2921.6</v>
      </c>
      <c r="GQ84" s="35">
        <v>2963.1</v>
      </c>
      <c r="GR84" s="35">
        <v>2962.3</v>
      </c>
      <c r="GS84" s="35">
        <v>2952.8</v>
      </c>
      <c r="GT84" s="35">
        <v>2926.1</v>
      </c>
      <c r="GU84" s="35">
        <v>2869.8</v>
      </c>
      <c r="GV84" s="35">
        <v>2865</v>
      </c>
      <c r="GW84" s="35">
        <v>2994</v>
      </c>
      <c r="GX84" s="35">
        <v>3079.2</v>
      </c>
      <c r="GY84" s="35">
        <v>3198.3</v>
      </c>
      <c r="GZ84" s="35">
        <v>3262.6</v>
      </c>
      <c r="HA84" s="35">
        <v>3318.6</v>
      </c>
      <c r="HB84" s="35">
        <v>3342.2</v>
      </c>
      <c r="HC84">
        <v>3407</v>
      </c>
      <c r="HD84">
        <v>3453.4</v>
      </c>
      <c r="HE84">
        <v>3525.4</v>
      </c>
      <c r="HF84">
        <v>3577</v>
      </c>
      <c r="HG84">
        <v>3602.6</v>
      </c>
      <c r="HH84">
        <v>3606.5</v>
      </c>
      <c r="HI84">
        <v>3669.1</v>
      </c>
    </row>
    <row r="85" spans="1:217" x14ac:dyDescent="0.35">
      <c r="A85" s="35" t="s">
        <v>2320</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222.3</v>
      </c>
      <c r="AM85" s="35">
        <v>219.7</v>
      </c>
      <c r="AN85" s="35">
        <v>211.3</v>
      </c>
      <c r="AO85" s="35">
        <v>205.2</v>
      </c>
      <c r="AP85" s="35">
        <v>197.2</v>
      </c>
      <c r="AQ85" s="35">
        <v>169.9</v>
      </c>
      <c r="AR85" s="35">
        <v>179.2</v>
      </c>
      <c r="AS85" s="35">
        <v>204.4</v>
      </c>
      <c r="AT85" s="35">
        <v>213</v>
      </c>
      <c r="AU85" s="35">
        <v>211.8</v>
      </c>
      <c r="AV85" s="35">
        <v>228.6</v>
      </c>
      <c r="AW85" s="35">
        <v>211.4</v>
      </c>
      <c r="AX85" s="35">
        <v>188.2</v>
      </c>
      <c r="AY85" s="35">
        <v>200.5</v>
      </c>
      <c r="AZ85" s="35">
        <v>200.4</v>
      </c>
      <c r="BA85" s="35">
        <v>191.5</v>
      </c>
      <c r="BB85" s="35">
        <v>209.5</v>
      </c>
      <c r="BC85" s="35">
        <v>238.3</v>
      </c>
      <c r="BD85" s="35">
        <v>254.4</v>
      </c>
      <c r="BE85" s="35">
        <v>269.2</v>
      </c>
      <c r="BF85" s="35">
        <v>301.10000000000002</v>
      </c>
      <c r="BG85" s="35">
        <v>301.2</v>
      </c>
      <c r="BH85" s="35">
        <v>295.3</v>
      </c>
      <c r="BI85" s="35">
        <v>305.2</v>
      </c>
      <c r="BJ85" s="35">
        <v>311.39999999999998</v>
      </c>
      <c r="BK85" s="35">
        <v>310.3</v>
      </c>
      <c r="BL85" s="35">
        <v>331.5</v>
      </c>
      <c r="BM85" s="35">
        <v>306.60000000000002</v>
      </c>
      <c r="BN85" s="35">
        <v>296.7</v>
      </c>
      <c r="BO85" s="35">
        <v>286.39999999999998</v>
      </c>
      <c r="BP85" s="35">
        <v>275.60000000000002</v>
      </c>
      <c r="BQ85" s="35">
        <v>277.7</v>
      </c>
      <c r="BR85" s="35">
        <v>288.39999999999998</v>
      </c>
      <c r="BS85" s="35">
        <v>319.7</v>
      </c>
      <c r="BT85" s="35">
        <v>344.2</v>
      </c>
      <c r="BU85" s="35">
        <v>338.9</v>
      </c>
      <c r="BV85" s="35">
        <v>344.1</v>
      </c>
      <c r="BW85" s="35">
        <v>352.3</v>
      </c>
      <c r="BX85" s="35">
        <v>359.3</v>
      </c>
      <c r="BY85" s="35">
        <v>381.4</v>
      </c>
      <c r="BZ85" s="35">
        <v>363.2</v>
      </c>
      <c r="CA85" s="35">
        <v>356.4</v>
      </c>
      <c r="CB85" s="35">
        <v>355</v>
      </c>
      <c r="CC85" s="35">
        <v>331.8</v>
      </c>
      <c r="CD85" s="35">
        <v>344.4</v>
      </c>
      <c r="CE85" s="35">
        <v>361.4</v>
      </c>
      <c r="CF85" s="35">
        <v>337.8</v>
      </c>
      <c r="CG85" s="35">
        <v>329.4</v>
      </c>
      <c r="CH85" s="35">
        <v>367</v>
      </c>
      <c r="CI85" s="35">
        <v>373.1</v>
      </c>
      <c r="CJ85" s="35">
        <v>376.3</v>
      </c>
      <c r="CK85" s="35">
        <v>372.6</v>
      </c>
      <c r="CL85" s="35">
        <v>400.9</v>
      </c>
      <c r="CM85" s="35">
        <v>407.8</v>
      </c>
      <c r="CN85" s="35">
        <v>399.3</v>
      </c>
      <c r="CO85" s="35">
        <v>424.7</v>
      </c>
      <c r="CP85" s="35">
        <v>406.5</v>
      </c>
      <c r="CQ85" s="35">
        <v>444.7</v>
      </c>
      <c r="CR85" s="35">
        <v>452.4</v>
      </c>
      <c r="CS85" s="35">
        <v>511.6</v>
      </c>
      <c r="CT85" s="35">
        <v>517.5</v>
      </c>
      <c r="CU85" s="35">
        <v>539.20000000000005</v>
      </c>
      <c r="CV85" s="35">
        <v>571.9</v>
      </c>
      <c r="CW85" s="35">
        <v>595.79999999999995</v>
      </c>
      <c r="CX85" s="35">
        <v>588.9</v>
      </c>
      <c r="CY85" s="35">
        <v>605.79999999999995</v>
      </c>
      <c r="CZ85" s="35">
        <v>649.9</v>
      </c>
      <c r="DA85" s="35">
        <v>650.29999999999995</v>
      </c>
      <c r="DB85" s="35">
        <v>683.8</v>
      </c>
      <c r="DC85" s="35">
        <v>700.2</v>
      </c>
      <c r="DD85" s="35">
        <v>706</v>
      </c>
      <c r="DE85" s="35">
        <v>716.3</v>
      </c>
      <c r="DF85" s="35">
        <v>753.3</v>
      </c>
      <c r="DG85" s="35">
        <v>767.9</v>
      </c>
      <c r="DH85" s="35">
        <v>808.1</v>
      </c>
      <c r="DI85" s="35">
        <v>799.9</v>
      </c>
      <c r="DJ85" s="35">
        <v>728.6</v>
      </c>
      <c r="DK85" s="35">
        <v>729.6</v>
      </c>
      <c r="DL85" s="35">
        <v>749.1</v>
      </c>
      <c r="DM85" s="35">
        <v>722.4</v>
      </c>
      <c r="DN85" s="35">
        <v>761.9</v>
      </c>
      <c r="DO85" s="35">
        <v>754.1</v>
      </c>
      <c r="DP85" s="35">
        <v>737.7</v>
      </c>
      <c r="DQ85" s="35">
        <v>726.5</v>
      </c>
      <c r="DR85" s="35">
        <v>714.8</v>
      </c>
      <c r="DS85" s="35">
        <v>699.1</v>
      </c>
      <c r="DT85" s="35">
        <v>677.6</v>
      </c>
      <c r="DU85" s="35">
        <v>631.5</v>
      </c>
      <c r="DV85" s="35">
        <v>622.6</v>
      </c>
      <c r="DW85" s="35">
        <v>638</v>
      </c>
      <c r="DX85" s="35">
        <v>627.70000000000005</v>
      </c>
      <c r="DY85" s="35">
        <v>585.20000000000005</v>
      </c>
      <c r="DZ85" s="35">
        <v>711.7</v>
      </c>
      <c r="EA85" s="35">
        <v>756</v>
      </c>
      <c r="EB85" s="35">
        <v>778.5</v>
      </c>
      <c r="EC85" s="35">
        <v>848.2</v>
      </c>
      <c r="ED85" s="35">
        <v>862.8</v>
      </c>
      <c r="EE85" s="35">
        <v>891.4</v>
      </c>
      <c r="EF85" s="35">
        <v>941.8</v>
      </c>
      <c r="EG85" s="35">
        <v>976.6</v>
      </c>
      <c r="EH85" s="35">
        <v>1064.5999999999999</v>
      </c>
      <c r="EI85" s="35">
        <v>1113.5</v>
      </c>
      <c r="EJ85" s="35">
        <v>1158.9000000000001</v>
      </c>
      <c r="EK85" s="35">
        <v>1164.7</v>
      </c>
      <c r="EL85" s="35">
        <v>1257.9000000000001</v>
      </c>
      <c r="EM85" s="35">
        <v>1276.9000000000001</v>
      </c>
      <c r="EN85" s="35">
        <v>1287.2</v>
      </c>
      <c r="EO85" s="35">
        <v>1395.3</v>
      </c>
      <c r="EP85" s="35">
        <v>1445.4</v>
      </c>
      <c r="EQ85" s="35">
        <v>1453.1</v>
      </c>
      <c r="ER85" s="35">
        <v>1505.8</v>
      </c>
      <c r="ES85" s="35">
        <v>1421.3</v>
      </c>
      <c r="ET85" s="35">
        <v>1316.3</v>
      </c>
      <c r="EU85" s="35">
        <v>1347.7</v>
      </c>
      <c r="EV85" s="35">
        <v>1229.2</v>
      </c>
      <c r="EW85" s="35">
        <v>1138.9000000000001</v>
      </c>
      <c r="EX85" s="35">
        <v>1053.8</v>
      </c>
      <c r="EY85" s="35">
        <v>1027</v>
      </c>
      <c r="EZ85" s="35">
        <v>1008.2</v>
      </c>
      <c r="FA85" s="35">
        <v>732.8</v>
      </c>
      <c r="FB85" s="35">
        <v>953.5</v>
      </c>
      <c r="FC85" s="35">
        <v>1003.3</v>
      </c>
      <c r="FD85" s="35">
        <v>1123.2</v>
      </c>
      <c r="FE85" s="35">
        <v>1227.5</v>
      </c>
      <c r="FF85" s="35">
        <v>1295.5</v>
      </c>
      <c r="FG85" s="35">
        <v>1300</v>
      </c>
      <c r="FH85" s="35">
        <v>1475.5</v>
      </c>
      <c r="FI85" s="35">
        <v>1483.8</v>
      </c>
      <c r="FJ85" s="35">
        <v>1323.4</v>
      </c>
      <c r="FK85" s="35">
        <v>1443.9</v>
      </c>
      <c r="FL85" s="35">
        <v>1447.1</v>
      </c>
      <c r="FM85" s="35">
        <v>1585</v>
      </c>
      <c r="FN85" s="35">
        <v>1660</v>
      </c>
      <c r="FO85" s="35">
        <v>1662.6</v>
      </c>
      <c r="FP85" s="35">
        <v>1644.6</v>
      </c>
      <c r="FQ85" s="35">
        <v>1642.3</v>
      </c>
      <c r="FR85" s="35">
        <v>1672.8</v>
      </c>
      <c r="FS85" s="35">
        <v>1665.6</v>
      </c>
      <c r="FT85" s="35">
        <v>1676.1</v>
      </c>
      <c r="FU85" s="35">
        <v>1714.8</v>
      </c>
      <c r="FV85" s="35">
        <v>1650.3</v>
      </c>
      <c r="FW85" s="35">
        <v>1832.1</v>
      </c>
      <c r="FX85" s="35">
        <v>1864.9</v>
      </c>
      <c r="FY85" s="35">
        <v>1884.5</v>
      </c>
      <c r="FZ85" s="35">
        <v>1847.9</v>
      </c>
      <c r="GA85" s="35">
        <v>1831.7</v>
      </c>
      <c r="GB85" s="35">
        <v>1779</v>
      </c>
      <c r="GC85" s="35">
        <v>1653</v>
      </c>
      <c r="GD85" s="35">
        <v>1757.8</v>
      </c>
      <c r="GE85" s="35">
        <v>1708.7</v>
      </c>
      <c r="GF85" s="35">
        <v>1731</v>
      </c>
      <c r="GG85" s="35">
        <v>1700.1</v>
      </c>
      <c r="GH85" s="35">
        <v>1721.1</v>
      </c>
      <c r="GI85" s="35">
        <v>1723.6</v>
      </c>
      <c r="GJ85" s="35">
        <v>1718</v>
      </c>
      <c r="GK85" s="35">
        <v>1742.7</v>
      </c>
      <c r="GL85" s="35">
        <v>1772.4</v>
      </c>
      <c r="GM85" s="35">
        <v>1846</v>
      </c>
      <c r="GN85" s="35">
        <v>1868.8</v>
      </c>
      <c r="GO85" s="35">
        <v>1891.1</v>
      </c>
      <c r="GP85" s="35">
        <v>1871</v>
      </c>
      <c r="GQ85" s="35">
        <v>1896.6</v>
      </c>
      <c r="GR85" s="35">
        <v>1975</v>
      </c>
      <c r="GS85" s="35">
        <v>2006.6</v>
      </c>
      <c r="GT85" s="35">
        <v>1751.4</v>
      </c>
      <c r="GU85" s="35">
        <v>1644.9</v>
      </c>
      <c r="GV85" s="35">
        <v>2284</v>
      </c>
      <c r="GW85" s="35">
        <v>2059.6</v>
      </c>
      <c r="GX85" s="35">
        <v>2280.4</v>
      </c>
      <c r="GY85" s="35">
        <v>2580</v>
      </c>
      <c r="GZ85" s="35">
        <v>2541.1</v>
      </c>
      <c r="HA85" s="35">
        <v>2555</v>
      </c>
      <c r="HB85">
        <v>2604.4</v>
      </c>
      <c r="HC85">
        <v>2781.5</v>
      </c>
      <c r="HD85">
        <v>2809</v>
      </c>
      <c r="HE85">
        <v>2748.4</v>
      </c>
      <c r="HF85">
        <v>2673.1</v>
      </c>
      <c r="HG85">
        <v>2658</v>
      </c>
      <c r="HH85">
        <v>2757.8</v>
      </c>
    </row>
    <row r="86" spans="1:217" x14ac:dyDescent="0.35">
      <c r="A86" s="35" t="s">
        <v>2321</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7" x14ac:dyDescent="0.35">
      <c r="A87" s="35" t="s">
        <v>2322</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7" ht="19.399999999999999" customHeight="1" x14ac:dyDescent="0.35">
      <c r="A88" s="35" t="s">
        <v>2323</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960613</v>
      </c>
      <c r="GM88" s="35">
        <v>968342</v>
      </c>
      <c r="GN88" s="35">
        <v>976833</v>
      </c>
      <c r="GO88" s="35">
        <v>983861</v>
      </c>
      <c r="GP88" s="35">
        <v>1019170</v>
      </c>
      <c r="GQ88" s="35">
        <v>1026740</v>
      </c>
      <c r="GR88" s="35">
        <v>1034364</v>
      </c>
      <c r="GS88" s="35">
        <v>1042697</v>
      </c>
      <c r="GT88" s="35">
        <v>1068172</v>
      </c>
      <c r="GU88" s="35">
        <v>1075081</v>
      </c>
      <c r="GV88" s="35">
        <v>1080296</v>
      </c>
      <c r="GW88" s="35">
        <v>1088164</v>
      </c>
      <c r="GX88" s="35">
        <v>1105684</v>
      </c>
      <c r="GY88" s="35">
        <v>1109622</v>
      </c>
      <c r="GZ88" s="35">
        <v>1116840</v>
      </c>
      <c r="HA88" s="35">
        <v>1126254</v>
      </c>
      <c r="HB88" s="35">
        <v>1198680</v>
      </c>
      <c r="HC88">
        <v>1207049</v>
      </c>
      <c r="HD88">
        <v>1214451</v>
      </c>
      <c r="HE88">
        <v>1225835</v>
      </c>
      <c r="HF88">
        <v>1339977</v>
      </c>
      <c r="HG88">
        <v>1353758</v>
      </c>
      <c r="HH88">
        <v>1361285</v>
      </c>
      <c r="HI88">
        <v>1374448</v>
      </c>
    </row>
    <row r="89" spans="1:217" x14ac:dyDescent="0.35">
      <c r="A89" s="35" t="s">
        <v>2324</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K20" sqref="K20"/>
    </sheetView>
  </sheetViews>
  <sheetFormatPr defaultColWidth="10.9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2018</v>
      </c>
      <c r="E2" s="61" t="s">
        <v>2019</v>
      </c>
      <c r="F2" s="61"/>
      <c r="H2" s="62"/>
    </row>
    <row r="3" spans="1:11" x14ac:dyDescent="0.35">
      <c r="B3" s="56" t="s">
        <v>91</v>
      </c>
      <c r="C3" s="56" t="str">
        <f>'Haver Pivoted'!A2</f>
        <v>gdp</v>
      </c>
      <c r="D3">
        <v>27610.1</v>
      </c>
      <c r="E3" s="56">
        <f>'Haver Pivoted'!HH2</f>
        <v>27610.1</v>
      </c>
      <c r="F3" s="56">
        <f>E3-D3</f>
        <v>0</v>
      </c>
      <c r="G3" s="63">
        <f>F3/D3</f>
        <v>0</v>
      </c>
      <c r="H3" s="64"/>
    </row>
    <row r="4" spans="1:11" x14ac:dyDescent="0.35">
      <c r="B4" s="56" t="s">
        <v>92</v>
      </c>
      <c r="C4" s="56" t="str">
        <f>'Haver Pivoted'!A3</f>
        <v>gdph</v>
      </c>
      <c r="D4">
        <v>22490.7</v>
      </c>
      <c r="E4" s="56">
        <f>'Haver Pivoted'!HH3</f>
        <v>22490.7</v>
      </c>
      <c r="F4" s="56">
        <f t="shared" ref="F4:F67" si="0">E4-D4</f>
        <v>0</v>
      </c>
      <c r="G4" s="63">
        <f t="shared" ref="G4:G67" si="1">F4/D4</f>
        <v>0</v>
      </c>
      <c r="H4" s="64"/>
    </row>
    <row r="5" spans="1:11" x14ac:dyDescent="0.35">
      <c r="B5" s="56" t="s">
        <v>93</v>
      </c>
      <c r="C5" s="56" t="str">
        <f>'Haver Pivoted'!A4</f>
        <v>jgdp</v>
      </c>
      <c r="D5">
        <v>122.792</v>
      </c>
      <c r="E5" s="56">
        <f>'Haver Pivoted'!HH4</f>
        <v>122.792</v>
      </c>
      <c r="F5" s="56">
        <f t="shared" si="0"/>
        <v>0</v>
      </c>
      <c r="G5" s="63">
        <f t="shared" si="1"/>
        <v>0</v>
      </c>
      <c r="H5" s="65"/>
    </row>
    <row r="6" spans="1:11" x14ac:dyDescent="0.35">
      <c r="B6" s="56" t="s">
        <v>94</v>
      </c>
      <c r="C6" s="56" t="str">
        <f>'Haver Pivoted'!A5</f>
        <v>c</v>
      </c>
      <c r="D6">
        <v>18679.5</v>
      </c>
      <c r="E6" s="56">
        <f>'Haver Pivoted'!HH5</f>
        <v>18679.5</v>
      </c>
      <c r="F6" s="56">
        <f t="shared" si="0"/>
        <v>0</v>
      </c>
      <c r="G6" s="63">
        <f t="shared" si="1"/>
        <v>0</v>
      </c>
    </row>
    <row r="7" spans="1:11" x14ac:dyDescent="0.35">
      <c r="B7" s="56" t="s">
        <v>95</v>
      </c>
      <c r="C7" s="56" t="str">
        <f>'Haver Pivoted'!A6</f>
        <v>ch</v>
      </c>
      <c r="D7">
        <v>15461.4</v>
      </c>
      <c r="E7" s="56">
        <f>'Haver Pivoted'!HH6</f>
        <v>15461.4</v>
      </c>
      <c r="F7" s="56">
        <f t="shared" si="0"/>
        <v>0</v>
      </c>
      <c r="G7" s="63">
        <f t="shared" si="1"/>
        <v>0</v>
      </c>
      <c r="K7" s="65"/>
    </row>
    <row r="8" spans="1:11" x14ac:dyDescent="0.35">
      <c r="B8" s="56" t="s">
        <v>96</v>
      </c>
      <c r="C8" s="56" t="str">
        <f>'Haver Pivoted'!A7</f>
        <v>jc</v>
      </c>
      <c r="D8">
        <v>120.81399999999999</v>
      </c>
      <c r="E8" s="56">
        <f>'Haver Pivoted'!HH7</f>
        <v>120.81399999999999</v>
      </c>
      <c r="F8" s="56">
        <f t="shared" si="0"/>
        <v>0</v>
      </c>
      <c r="G8" s="63">
        <f t="shared" si="1"/>
        <v>0</v>
      </c>
    </row>
    <row r="9" spans="1:11" x14ac:dyDescent="0.35">
      <c r="B9" s="56" t="s">
        <v>97</v>
      </c>
      <c r="C9" s="56" t="str">
        <f>'Haver Pivoted'!A8</f>
        <v>jgf</v>
      </c>
      <c r="D9">
        <v>120.09699999999999</v>
      </c>
      <c r="E9" s="56">
        <f>'Haver Pivoted'!HH8</f>
        <v>120.09699999999999</v>
      </c>
      <c r="F9" s="56">
        <f t="shared" si="0"/>
        <v>0</v>
      </c>
      <c r="G9" s="63">
        <f t="shared" si="1"/>
        <v>0</v>
      </c>
    </row>
    <row r="10" spans="1:11" x14ac:dyDescent="0.35">
      <c r="B10" s="56" t="s">
        <v>98</v>
      </c>
      <c r="C10" s="56" t="str">
        <f>'Haver Pivoted'!A9</f>
        <v>jgs</v>
      </c>
      <c r="D10">
        <v>127.717</v>
      </c>
      <c r="E10" s="56">
        <f>'Haver Pivoted'!HH9</f>
        <v>127.717</v>
      </c>
      <c r="F10" s="56">
        <f t="shared" si="0"/>
        <v>0</v>
      </c>
      <c r="G10" s="63">
        <f t="shared" si="1"/>
        <v>0</v>
      </c>
    </row>
    <row r="11" spans="1:11" x14ac:dyDescent="0.35">
      <c r="B11" s="56" t="s">
        <v>99</v>
      </c>
      <c r="C11" s="56" t="str">
        <f>'Haver Pivoted'!A10</f>
        <v>jgse</v>
      </c>
      <c r="D11">
        <v>127.176</v>
      </c>
      <c r="E11" s="56">
        <f>'Haver Pivoted'!HH10</f>
        <v>127.176</v>
      </c>
      <c r="F11" s="56">
        <f t="shared" si="0"/>
        <v>0</v>
      </c>
      <c r="G11" s="63">
        <f t="shared" si="1"/>
        <v>0</v>
      </c>
    </row>
    <row r="12" spans="1:11" x14ac:dyDescent="0.35">
      <c r="B12" s="56" t="s">
        <v>100</v>
      </c>
      <c r="C12" s="56" t="str">
        <f>'Haver Pivoted'!A11</f>
        <v>jgsi</v>
      </c>
      <c r="D12">
        <v>130.56700000000001</v>
      </c>
      <c r="E12" s="56">
        <f>'Haver Pivoted'!HH11</f>
        <v>130.56700000000001</v>
      </c>
      <c r="F12" s="56">
        <f t="shared" si="0"/>
        <v>0</v>
      </c>
      <c r="G12" s="63">
        <f t="shared" si="1"/>
        <v>0</v>
      </c>
    </row>
    <row r="13" spans="1:11" x14ac:dyDescent="0.35">
      <c r="A13" s="56" t="s">
        <v>55</v>
      </c>
      <c r="B13" s="56" t="s">
        <v>55</v>
      </c>
      <c r="C13" s="56" t="str">
        <f>'Haver Pivoted'!A12</f>
        <v>yptmr</v>
      </c>
      <c r="D13">
        <v>946.3</v>
      </c>
      <c r="E13" s="56">
        <f>'Haver Pivoted'!HH12</f>
        <v>946.3</v>
      </c>
      <c r="F13" s="56">
        <f t="shared" si="0"/>
        <v>0</v>
      </c>
      <c r="G13" s="63">
        <f t="shared" si="1"/>
        <v>0</v>
      </c>
      <c r="I13" s="66"/>
    </row>
    <row r="14" spans="1:11" x14ac:dyDescent="0.35">
      <c r="A14" s="56" t="s">
        <v>54</v>
      </c>
      <c r="B14" s="56" t="s">
        <v>101</v>
      </c>
      <c r="C14" s="56" t="str">
        <f>'Haver Pivoted'!A13</f>
        <v>yptmd</v>
      </c>
      <c r="D14">
        <v>880.6</v>
      </c>
      <c r="E14" s="56">
        <f>'Haver Pivoted'!HH13</f>
        <v>880.6</v>
      </c>
      <c r="F14" s="56">
        <f t="shared" si="0"/>
        <v>0</v>
      </c>
      <c r="G14" s="63">
        <f t="shared" si="1"/>
        <v>0</v>
      </c>
    </row>
    <row r="15" spans="1:11" x14ac:dyDescent="0.35">
      <c r="A15" s="56" t="s">
        <v>53</v>
      </c>
      <c r="B15" s="56" t="s">
        <v>102</v>
      </c>
      <c r="C15" s="56" t="str">
        <f>'Haver Pivoted'!A14</f>
        <v>yptu</v>
      </c>
      <c r="D15">
        <v>21</v>
      </c>
      <c r="E15" s="56">
        <f>'Haver Pivoted'!HH14</f>
        <v>21</v>
      </c>
      <c r="F15" s="56">
        <f t="shared" si="0"/>
        <v>0</v>
      </c>
      <c r="G15" s="63">
        <f t="shared" si="1"/>
        <v>0</v>
      </c>
    </row>
    <row r="16" spans="1:11" x14ac:dyDescent="0.35">
      <c r="B16" s="56" t="s">
        <v>57</v>
      </c>
      <c r="C16" s="56" t="str">
        <f>'Haver Pivoted'!A15</f>
        <v>gtfp</v>
      </c>
      <c r="D16">
        <v>3987.8</v>
      </c>
      <c r="E16" s="56">
        <f>'Haver Pivoted'!HH15</f>
        <v>3987.8</v>
      </c>
      <c r="F16" s="56">
        <f t="shared" si="0"/>
        <v>0</v>
      </c>
      <c r="G16" s="63">
        <f t="shared" si="1"/>
        <v>0</v>
      </c>
    </row>
    <row r="17" spans="1:7" x14ac:dyDescent="0.35">
      <c r="B17" s="56" t="s">
        <v>103</v>
      </c>
      <c r="C17" s="56" t="str">
        <f>'Haver Pivoted'!A16</f>
        <v>ypog</v>
      </c>
      <c r="D17">
        <v>131.19999999999999</v>
      </c>
      <c r="E17" s="56">
        <f>'Haver Pivoted'!HH16</f>
        <v>131.19999999999999</v>
      </c>
      <c r="F17" s="56">
        <f t="shared" si="0"/>
        <v>0</v>
      </c>
      <c r="G17" s="63">
        <f t="shared" si="1"/>
        <v>0</v>
      </c>
    </row>
    <row r="18" spans="1:7" x14ac:dyDescent="0.35">
      <c r="B18" s="56" t="s">
        <v>104</v>
      </c>
      <c r="C18" s="56" t="str">
        <f>'Haver Pivoted'!A17</f>
        <v>yptx</v>
      </c>
      <c r="D18">
        <v>2756.5</v>
      </c>
      <c r="E18" s="56">
        <f>'Haver Pivoted'!HH17</f>
        <v>2756.5</v>
      </c>
      <c r="F18" s="56">
        <f t="shared" si="0"/>
        <v>0</v>
      </c>
      <c r="G18" s="63">
        <f t="shared" si="1"/>
        <v>0</v>
      </c>
    </row>
    <row r="19" spans="1:7" x14ac:dyDescent="0.35">
      <c r="B19" s="56" t="s">
        <v>105</v>
      </c>
      <c r="C19" s="56" t="str">
        <f>'Haver Pivoted'!A18</f>
        <v>ytpi</v>
      </c>
      <c r="D19">
        <v>1830.7</v>
      </c>
      <c r="E19" s="56">
        <f>'Haver Pivoted'!HH18</f>
        <v>1830.7</v>
      </c>
      <c r="F19" s="56">
        <f t="shared" si="0"/>
        <v>0</v>
      </c>
      <c r="G19" s="63">
        <f t="shared" si="1"/>
        <v>0</v>
      </c>
    </row>
    <row r="20" spans="1:7" x14ac:dyDescent="0.35">
      <c r="B20" s="56" t="s">
        <v>106</v>
      </c>
      <c r="C20" s="56" t="str">
        <f>'Haver Pivoted'!A19</f>
        <v>yctlg</v>
      </c>
      <c r="D20">
        <v>566.70000000000005</v>
      </c>
      <c r="E20" s="56">
        <f>'Haver Pivoted'!HH19</f>
        <v>566.70000000000005</v>
      </c>
      <c r="F20" s="56">
        <f t="shared" si="0"/>
        <v>0</v>
      </c>
      <c r="G20" s="63">
        <f t="shared" si="1"/>
        <v>0</v>
      </c>
    </row>
    <row r="21" spans="1:7" x14ac:dyDescent="0.35">
      <c r="B21" s="56" t="s">
        <v>107</v>
      </c>
      <c r="C21" s="56" t="str">
        <f>'Haver Pivoted'!A20</f>
        <v>g</v>
      </c>
      <c r="D21">
        <v>4794.8</v>
      </c>
      <c r="E21" s="56">
        <f>'Haver Pivoted'!HH20</f>
        <v>4794.8</v>
      </c>
      <c r="F21" s="56">
        <f t="shared" si="0"/>
        <v>0</v>
      </c>
      <c r="G21" s="63">
        <f t="shared" si="1"/>
        <v>0</v>
      </c>
    </row>
    <row r="22" spans="1:7" x14ac:dyDescent="0.35">
      <c r="B22" s="56" t="s">
        <v>108</v>
      </c>
      <c r="C22" s="56" t="str">
        <f>'Haver Pivoted'!A21</f>
        <v>grcsi</v>
      </c>
      <c r="D22">
        <v>1820.3</v>
      </c>
      <c r="E22" s="56">
        <f>'Haver Pivoted'!HH21</f>
        <v>1820.3</v>
      </c>
      <c r="F22" s="56">
        <f t="shared" si="0"/>
        <v>0</v>
      </c>
      <c r="G22" s="63">
        <f t="shared" si="1"/>
        <v>0</v>
      </c>
    </row>
    <row r="23" spans="1:7" x14ac:dyDescent="0.35">
      <c r="B23" s="56" t="s">
        <v>96</v>
      </c>
      <c r="C23" s="56" t="str">
        <f>'Haver Pivoted'!A22</f>
        <v>dc</v>
      </c>
      <c r="D23">
        <v>120.81399999999999</v>
      </c>
      <c r="E23" s="56">
        <f>'Haver Pivoted'!HH22</f>
        <v>120.81399999999999</v>
      </c>
      <c r="F23" s="56">
        <f t="shared" si="0"/>
        <v>0</v>
      </c>
      <c r="G23" s="63">
        <f t="shared" si="1"/>
        <v>0</v>
      </c>
    </row>
    <row r="24" spans="1:7" x14ac:dyDescent="0.35">
      <c r="A24" s="56" t="s">
        <v>109</v>
      </c>
      <c r="B24" s="56" t="s">
        <v>110</v>
      </c>
      <c r="C24" s="56" t="str">
        <f>'Haver Pivoted'!A23</f>
        <v>gf</v>
      </c>
      <c r="D24">
        <v>1791.9</v>
      </c>
      <c r="E24" s="56">
        <f>'Haver Pivoted'!HH23</f>
        <v>1791.9</v>
      </c>
      <c r="F24" s="56">
        <f t="shared" si="0"/>
        <v>0</v>
      </c>
      <c r="G24" s="63">
        <f t="shared" si="1"/>
        <v>0</v>
      </c>
    </row>
    <row r="25" spans="1:7" x14ac:dyDescent="0.35">
      <c r="A25" s="56" t="s">
        <v>109</v>
      </c>
      <c r="B25" s="56" t="s">
        <v>111</v>
      </c>
      <c r="C25" s="56" t="str">
        <f>'Haver Pivoted'!A24</f>
        <v>gs</v>
      </c>
      <c r="D25">
        <v>3002.9</v>
      </c>
      <c r="E25" s="56">
        <f>'Haver Pivoted'!HH24</f>
        <v>3002.9</v>
      </c>
      <c r="F25" s="56">
        <f t="shared" si="0"/>
        <v>0</v>
      </c>
      <c r="G25" s="63">
        <f t="shared" si="1"/>
        <v>0</v>
      </c>
    </row>
    <row r="26" spans="1:7" x14ac:dyDescent="0.35">
      <c r="B26" s="56" t="s">
        <v>112</v>
      </c>
      <c r="C26" s="56" t="str">
        <f>'Haver Pivoted'!A25</f>
        <v>gfh</v>
      </c>
      <c r="D26">
        <v>1492.3</v>
      </c>
      <c r="E26" s="56">
        <f>'Haver Pivoted'!HH25</f>
        <v>1492.3</v>
      </c>
      <c r="F26" s="56">
        <f t="shared" si="0"/>
        <v>0</v>
      </c>
      <c r="G26" s="63">
        <f t="shared" si="1"/>
        <v>0</v>
      </c>
    </row>
    <row r="27" spans="1:7" x14ac:dyDescent="0.35">
      <c r="B27" s="56" t="s">
        <v>113</v>
      </c>
      <c r="C27" s="56" t="str">
        <f>'Haver Pivoted'!A26</f>
        <v>gsh</v>
      </c>
      <c r="D27">
        <v>2351.4</v>
      </c>
      <c r="E27" s="56">
        <f>'Haver Pivoted'!HH26</f>
        <v>2351.4</v>
      </c>
      <c r="F27" s="56">
        <f t="shared" si="0"/>
        <v>0</v>
      </c>
      <c r="G27" s="63">
        <f t="shared" si="1"/>
        <v>0</v>
      </c>
    </row>
    <row r="28" spans="1:7" x14ac:dyDescent="0.35">
      <c r="A28" s="56" t="s">
        <v>58</v>
      </c>
      <c r="B28" s="56" t="s">
        <v>114</v>
      </c>
      <c r="C28" s="56" t="s">
        <v>115</v>
      </c>
      <c r="D28">
        <v>2179.8000000000002</v>
      </c>
      <c r="E28" s="56">
        <f>'Haver Pivoted'!HH27</f>
        <v>2179.8000000000002</v>
      </c>
      <c r="F28" s="56">
        <f t="shared" si="0"/>
        <v>0</v>
      </c>
      <c r="G28" s="63">
        <f t="shared" si="1"/>
        <v>0</v>
      </c>
    </row>
    <row r="29" spans="1:7" x14ac:dyDescent="0.35">
      <c r="A29" s="56" t="s">
        <v>58</v>
      </c>
      <c r="B29" s="56" t="s">
        <v>116</v>
      </c>
      <c r="C29" s="56" t="s">
        <v>117</v>
      </c>
      <c r="D29">
        <v>171.6</v>
      </c>
      <c r="E29" s="56">
        <f>'Haver Pivoted'!HH28</f>
        <v>171.6</v>
      </c>
      <c r="F29" s="56">
        <f t="shared" si="0"/>
        <v>0</v>
      </c>
      <c r="G29" s="63">
        <f t="shared" si="1"/>
        <v>0</v>
      </c>
    </row>
    <row r="30" spans="1:7" x14ac:dyDescent="0.35">
      <c r="A30" s="56" t="s">
        <v>58</v>
      </c>
      <c r="B30" s="56" t="s">
        <v>118</v>
      </c>
      <c r="C30" s="56" t="s">
        <v>119</v>
      </c>
      <c r="D30">
        <v>418</v>
      </c>
      <c r="E30" s="56">
        <f>'Haver Pivoted'!HH29</f>
        <v>418</v>
      </c>
      <c r="F30" s="56">
        <f t="shared" si="0"/>
        <v>0</v>
      </c>
      <c r="G30" s="63">
        <f t="shared" si="1"/>
        <v>0</v>
      </c>
    </row>
    <row r="31" spans="1:7" x14ac:dyDescent="0.35">
      <c r="A31" s="56" t="s">
        <v>58</v>
      </c>
      <c r="B31" s="56" t="s">
        <v>120</v>
      </c>
      <c r="C31" s="56" t="s">
        <v>121</v>
      </c>
      <c r="D31">
        <v>1798.4</v>
      </c>
      <c r="E31" s="56">
        <f>'Haver Pivoted'!HH30</f>
        <v>1798.4</v>
      </c>
      <c r="F31" s="56">
        <f t="shared" si="0"/>
        <v>0</v>
      </c>
      <c r="G31" s="63">
        <f t="shared" si="1"/>
        <v>0</v>
      </c>
    </row>
    <row r="32" spans="1:7" x14ac:dyDescent="0.35">
      <c r="A32" s="56" t="s">
        <v>122</v>
      </c>
      <c r="B32" s="56" t="s">
        <v>123</v>
      </c>
      <c r="C32" s="56" t="str">
        <f>'Haver Pivoted'!A31</f>
        <v>gftfp</v>
      </c>
      <c r="D32">
        <v>2930.1</v>
      </c>
      <c r="E32" s="56">
        <f>'Haver Pivoted'!HH31</f>
        <v>2930.1</v>
      </c>
      <c r="F32" s="56">
        <f t="shared" si="0"/>
        <v>0</v>
      </c>
      <c r="G32" s="63">
        <f t="shared" si="1"/>
        <v>0</v>
      </c>
    </row>
    <row r="33" spans="1:10" x14ac:dyDescent="0.35">
      <c r="A33" s="56" t="s">
        <v>51</v>
      </c>
      <c r="B33" s="55" t="s">
        <v>124</v>
      </c>
      <c r="C33" s="56" t="str">
        <f>'Haver Pivoted'!A32</f>
        <v>gfeg</v>
      </c>
      <c r="D33">
        <v>918.5</v>
      </c>
      <c r="E33" s="56">
        <f>'Haver Pivoted'!HH32</f>
        <v>918.5</v>
      </c>
      <c r="F33" s="56">
        <f t="shared" si="0"/>
        <v>0</v>
      </c>
      <c r="G33" s="63">
        <f t="shared" si="1"/>
        <v>0</v>
      </c>
    </row>
    <row r="34" spans="1:10" x14ac:dyDescent="0.35">
      <c r="A34" s="56" t="s">
        <v>58</v>
      </c>
      <c r="B34" s="56" t="s">
        <v>125</v>
      </c>
      <c r="C34" s="56" t="str">
        <f>'Haver Pivoted'!A33</f>
        <v>gsrpt</v>
      </c>
      <c r="D34">
        <v>576.6</v>
      </c>
      <c r="E34" s="56">
        <f>'Haver Pivoted'!HH33</f>
        <v>576.6</v>
      </c>
      <c r="F34" s="56">
        <f t="shared" si="0"/>
        <v>0</v>
      </c>
      <c r="G34" s="63">
        <f t="shared" si="1"/>
        <v>0</v>
      </c>
    </row>
    <row r="35" spans="1:10" x14ac:dyDescent="0.35">
      <c r="A35" s="56" t="s">
        <v>58</v>
      </c>
      <c r="B35" s="56" t="s">
        <v>126</v>
      </c>
      <c r="C35" s="56" t="str">
        <f>'Haver Pivoted'!A34</f>
        <v>gsrpri</v>
      </c>
      <c r="D35">
        <v>1659.2</v>
      </c>
      <c r="E35" s="56">
        <f>'Haver Pivoted'!HH34</f>
        <v>1659.2</v>
      </c>
      <c r="F35" s="56">
        <f t="shared" si="0"/>
        <v>0</v>
      </c>
      <c r="G35" s="63">
        <f t="shared" si="1"/>
        <v>0</v>
      </c>
    </row>
    <row r="36" spans="1:10" x14ac:dyDescent="0.35">
      <c r="A36" s="56" t="s">
        <v>58</v>
      </c>
      <c r="B36" s="56" t="s">
        <v>127</v>
      </c>
      <c r="C36" s="56" t="str">
        <f>'Haver Pivoted'!A35</f>
        <v>gsrcp</v>
      </c>
      <c r="D36">
        <v>148.69999999999999</v>
      </c>
      <c r="E36" s="56">
        <f>'Haver Pivoted'!HH35</f>
        <v>148.69999999999999</v>
      </c>
      <c r="F36" s="56">
        <f t="shared" si="0"/>
        <v>0</v>
      </c>
      <c r="G36" s="63">
        <f t="shared" si="1"/>
        <v>0</v>
      </c>
    </row>
    <row r="37" spans="1:10" x14ac:dyDescent="0.35">
      <c r="A37" s="56" t="s">
        <v>58</v>
      </c>
      <c r="B37" s="56" t="s">
        <v>128</v>
      </c>
      <c r="C37" s="56" t="str">
        <f>'Haver Pivoted'!A36</f>
        <v>gsrs</v>
      </c>
      <c r="D37">
        <v>21.9</v>
      </c>
      <c r="E37" s="56">
        <f>'Haver Pivoted'!HH36</f>
        <v>21.9</v>
      </c>
      <c r="F37" s="56">
        <f t="shared" si="0"/>
        <v>0</v>
      </c>
      <c r="G37" s="63">
        <f t="shared" si="1"/>
        <v>0</v>
      </c>
    </row>
    <row r="38" spans="1:10" x14ac:dyDescent="0.35">
      <c r="A38" s="56" t="s">
        <v>57</v>
      </c>
      <c r="B38" s="56" t="s">
        <v>129</v>
      </c>
      <c r="C38" s="56" t="str">
        <f>'Haver Pivoted'!A37</f>
        <v>gstfp</v>
      </c>
      <c r="D38">
        <v>1057.5999999999999</v>
      </c>
      <c r="E38" s="56">
        <f>'Haver Pivoted'!HH37</f>
        <v>1057.5999999999999</v>
      </c>
      <c r="F38" s="56">
        <f t="shared" si="0"/>
        <v>0</v>
      </c>
      <c r="G38" s="63">
        <f t="shared" si="1"/>
        <v>0</v>
      </c>
    </row>
    <row r="39" spans="1:10" x14ac:dyDescent="0.35">
      <c r="B39" s="56" t="s">
        <v>130</v>
      </c>
      <c r="C39" s="56" t="str">
        <f>'Haver Pivoted'!A38</f>
        <v>gset</v>
      </c>
      <c r="D39">
        <v>3985.3</v>
      </c>
      <c r="E39" s="56">
        <f>'Haver Pivoted'!HH38</f>
        <v>3985.3</v>
      </c>
      <c r="F39" s="56">
        <f t="shared" si="0"/>
        <v>0</v>
      </c>
      <c r="G39" s="63">
        <f t="shared" si="1"/>
        <v>0</v>
      </c>
    </row>
    <row r="40" spans="1:10" x14ac:dyDescent="0.35">
      <c r="B40" s="56" t="s">
        <v>131</v>
      </c>
      <c r="C40" s="56" t="str">
        <f>'Haver Pivoted'!A39</f>
        <v>gfeghhx</v>
      </c>
      <c r="D40">
        <v>622.95699999999999</v>
      </c>
      <c r="E40" s="56">
        <f>'Haver Pivoted'!HH39</f>
        <v>622.95699999999999</v>
      </c>
      <c r="F40" s="56">
        <f t="shared" si="0"/>
        <v>0</v>
      </c>
      <c r="G40" s="63">
        <f t="shared" si="1"/>
        <v>0</v>
      </c>
    </row>
    <row r="41" spans="1:10" x14ac:dyDescent="0.35">
      <c r="A41" s="56" t="s">
        <v>132</v>
      </c>
      <c r="B41" s="56" t="s">
        <v>133</v>
      </c>
      <c r="C41" s="56" t="str">
        <f>'Haver Pivoted'!A40</f>
        <v>gfeghdx</v>
      </c>
      <c r="D41">
        <v>590.947</v>
      </c>
      <c r="E41" s="56">
        <f>'Haver Pivoted'!HH40</f>
        <v>590.947</v>
      </c>
      <c r="F41" s="56">
        <f t="shared" si="0"/>
        <v>0</v>
      </c>
      <c r="G41" s="63">
        <f t="shared" si="1"/>
        <v>0</v>
      </c>
    </row>
    <row r="42" spans="1:10" x14ac:dyDescent="0.35">
      <c r="A42" s="56" t="s">
        <v>51</v>
      </c>
      <c r="B42" s="56" t="s">
        <v>134</v>
      </c>
      <c r="C42" s="56" t="str">
        <f>'Haver Pivoted'!A41</f>
        <v>gfeigx</v>
      </c>
      <c r="D42">
        <v>90.495000000000005</v>
      </c>
      <c r="E42" s="56">
        <f>'Haver Pivoted'!HH41</f>
        <v>90.495000000000005</v>
      </c>
      <c r="F42" s="56">
        <f t="shared" si="0"/>
        <v>0</v>
      </c>
      <c r="G42" s="63">
        <f t="shared" si="1"/>
        <v>0</v>
      </c>
    </row>
    <row r="43" spans="1:10" x14ac:dyDescent="0.35">
      <c r="B43" s="56" t="s">
        <v>135</v>
      </c>
      <c r="C43" s="56" t="str">
        <f>'Haver Pivoted'!A42</f>
        <v>gfsub</v>
      </c>
      <c r="D43">
        <v>102.4</v>
      </c>
      <c r="E43" s="56">
        <f>'Haver Pivoted'!HH42</f>
        <v>102.4</v>
      </c>
      <c r="F43" s="56">
        <f t="shared" si="0"/>
        <v>0</v>
      </c>
      <c r="G43" s="63">
        <f t="shared" si="1"/>
        <v>0</v>
      </c>
      <c r="I43" s="67"/>
      <c r="J43" s="64"/>
    </row>
    <row r="44" spans="1:10" x14ac:dyDescent="0.35">
      <c r="B44" s="56" t="s">
        <v>136</v>
      </c>
      <c r="C44" s="56" t="str">
        <f>'Haver Pivoted'!A43</f>
        <v>gssub</v>
      </c>
      <c r="D44">
        <v>0.7</v>
      </c>
      <c r="E44" s="56">
        <f>'Haver Pivoted'!HH43</f>
        <v>0.7</v>
      </c>
      <c r="F44" s="56">
        <f t="shared" si="0"/>
        <v>0</v>
      </c>
      <c r="G44" s="63">
        <f t="shared" si="1"/>
        <v>0</v>
      </c>
      <c r="I44" s="57"/>
      <c r="J44" s="64"/>
    </row>
    <row r="45" spans="1:10" x14ac:dyDescent="0.35">
      <c r="B45" s="56" t="s">
        <v>52</v>
      </c>
      <c r="C45" s="56" t="str">
        <f>'Haver Pivoted'!A44</f>
        <v>gsub</v>
      </c>
      <c r="D45">
        <v>103.1</v>
      </c>
      <c r="E45" s="56">
        <f>'Haver Pivoted'!HH44</f>
        <v>103.1</v>
      </c>
      <c r="F45" s="56">
        <f t="shared" si="0"/>
        <v>0</v>
      </c>
      <c r="G45" s="63">
        <f t="shared" si="1"/>
        <v>0</v>
      </c>
      <c r="I45" s="57"/>
      <c r="J45" s="65"/>
    </row>
    <row r="46" spans="1:10" x14ac:dyDescent="0.35">
      <c r="A46" s="56" t="s">
        <v>56</v>
      </c>
      <c r="B46" s="56" t="s">
        <v>56</v>
      </c>
      <c r="C46" s="56" t="str">
        <f>'Haver Pivoted'!A45</f>
        <v>gftfpe</v>
      </c>
      <c r="D46">
        <v>0</v>
      </c>
      <c r="E46" s="56">
        <f>'Haver Pivoted'!HH45</f>
        <v>0</v>
      </c>
      <c r="F46" s="56">
        <f t="shared" si="0"/>
        <v>0</v>
      </c>
      <c r="G46" s="63" t="e">
        <f t="shared" si="1"/>
        <v>#DIV/0!</v>
      </c>
      <c r="I46" s="57"/>
      <c r="J46" s="65"/>
    </row>
    <row r="47" spans="1:10" x14ac:dyDescent="0.35">
      <c r="B47" s="56" t="s">
        <v>137</v>
      </c>
      <c r="C47" s="56" t="str">
        <f>'Haver Pivoted'!A46</f>
        <v>gftfpr</v>
      </c>
      <c r="D47">
        <v>0</v>
      </c>
      <c r="E47" s="56">
        <f>'Haver Pivoted'!HH46</f>
        <v>0</v>
      </c>
      <c r="F47" s="56">
        <f t="shared" si="0"/>
        <v>0</v>
      </c>
      <c r="G47" s="63" t="e">
        <f t="shared" si="1"/>
        <v>#DIV/0!</v>
      </c>
      <c r="I47" s="57"/>
      <c r="J47" s="65"/>
    </row>
    <row r="48" spans="1:10" x14ac:dyDescent="0.35">
      <c r="A48" s="56" t="s">
        <v>50</v>
      </c>
      <c r="B48" s="56" t="s">
        <v>138</v>
      </c>
      <c r="C48" s="56" t="str">
        <f>'Haver Pivoted'!A47</f>
        <v>gftfpp</v>
      </c>
      <c r="D48">
        <v>0</v>
      </c>
      <c r="E48" s="56">
        <f>'Haver Pivoted'!HH47</f>
        <v>0</v>
      </c>
      <c r="F48" s="56">
        <f t="shared" si="0"/>
        <v>0</v>
      </c>
      <c r="G48" s="63" t="e">
        <f t="shared" si="1"/>
        <v>#DIV/0!</v>
      </c>
      <c r="J48" s="65"/>
    </row>
    <row r="49" spans="1:9" x14ac:dyDescent="0.35">
      <c r="A49" s="56" t="s">
        <v>49</v>
      </c>
      <c r="B49" s="56" t="s">
        <v>139</v>
      </c>
      <c r="C49" s="56" t="str">
        <f>'Haver Pivoted'!A48</f>
        <v>gftfpv</v>
      </c>
      <c r="D49">
        <v>0</v>
      </c>
      <c r="E49" s="56">
        <f>'Haver Pivoted'!HH48</f>
        <v>0</v>
      </c>
      <c r="F49" s="56">
        <f t="shared" si="0"/>
        <v>0</v>
      </c>
      <c r="G49" s="63" t="e">
        <f t="shared" si="1"/>
        <v>#DIV/0!</v>
      </c>
      <c r="H49" s="58"/>
      <c r="I49" s="58"/>
    </row>
    <row r="50" spans="1:9" x14ac:dyDescent="0.35">
      <c r="A50" s="56" t="s">
        <v>140</v>
      </c>
      <c r="B50" s="53" t="s">
        <v>141</v>
      </c>
      <c r="C50" s="56" t="str">
        <f>'Haver Pivoted'!A49</f>
        <v>gfsubp</v>
      </c>
      <c r="D50">
        <v>0</v>
      </c>
      <c r="E50" s="56">
        <f>'Haver Pivoted'!HH49</f>
        <v>0</v>
      </c>
      <c r="F50" s="56">
        <f t="shared" si="0"/>
        <v>0</v>
      </c>
      <c r="G50" s="63" t="e">
        <f t="shared" si="1"/>
        <v>#DIV/0!</v>
      </c>
      <c r="H50" s="49"/>
      <c r="I50" s="50"/>
    </row>
    <row r="51" spans="1:9" x14ac:dyDescent="0.35">
      <c r="A51" s="56" t="s">
        <v>52</v>
      </c>
      <c r="B51" s="53" t="s">
        <v>142</v>
      </c>
      <c r="C51" s="56" t="str">
        <f>'Haver Pivoted'!A50</f>
        <v>gfsubg</v>
      </c>
      <c r="D51">
        <v>0</v>
      </c>
      <c r="E51" s="56">
        <f>'Haver Pivoted'!HH50</f>
        <v>0</v>
      </c>
      <c r="F51" s="56">
        <f t="shared" si="0"/>
        <v>0</v>
      </c>
      <c r="G51" s="63" t="e">
        <f t="shared" si="1"/>
        <v>#DIV/0!</v>
      </c>
      <c r="H51" s="69"/>
      <c r="I51" s="68"/>
    </row>
    <row r="52" spans="1:9" x14ac:dyDescent="0.35">
      <c r="A52" s="56" t="s">
        <v>52</v>
      </c>
      <c r="B52" s="53" t="s">
        <v>143</v>
      </c>
      <c r="C52" s="56" t="str">
        <f>'Haver Pivoted'!A51</f>
        <v>gfsube</v>
      </c>
      <c r="D52">
        <v>0</v>
      </c>
      <c r="E52" s="56">
        <f>'Haver Pivoted'!HH51</f>
        <v>0</v>
      </c>
      <c r="F52" s="56">
        <f t="shared" si="0"/>
        <v>0</v>
      </c>
      <c r="G52" s="63" t="e">
        <f t="shared" si="1"/>
        <v>#DIV/0!</v>
      </c>
      <c r="H52" s="52"/>
      <c r="I52" s="50"/>
    </row>
    <row r="53" spans="1:9" x14ac:dyDescent="0.35">
      <c r="A53" s="56" t="s">
        <v>52</v>
      </c>
      <c r="B53" s="53" t="s">
        <v>144</v>
      </c>
      <c r="C53" s="56" t="str">
        <f>'Haver Pivoted'!A52</f>
        <v>gfsubs</v>
      </c>
      <c r="D53">
        <v>0</v>
      </c>
      <c r="E53" s="56">
        <f>'Haver Pivoted'!HH52</f>
        <v>0</v>
      </c>
      <c r="F53" s="56">
        <f t="shared" si="0"/>
        <v>0</v>
      </c>
      <c r="G53" s="63" t="e">
        <f t="shared" si="1"/>
        <v>#DIV/0!</v>
      </c>
      <c r="H53" s="52"/>
      <c r="I53" s="50"/>
    </row>
    <row r="54" spans="1:9" x14ac:dyDescent="0.35">
      <c r="A54" s="56" t="s">
        <v>52</v>
      </c>
      <c r="B54" s="53" t="s">
        <v>145</v>
      </c>
      <c r="C54" s="56" t="str">
        <f>'Haver Pivoted'!A53</f>
        <v>gfsubf</v>
      </c>
      <c r="D54">
        <v>0</v>
      </c>
      <c r="E54" s="56">
        <f>'Haver Pivoted'!HH53</f>
        <v>0</v>
      </c>
      <c r="F54" s="56">
        <f t="shared" si="0"/>
        <v>0</v>
      </c>
      <c r="G54" s="63" t="e">
        <f t="shared" si="1"/>
        <v>#DIV/0!</v>
      </c>
      <c r="H54" s="49"/>
      <c r="I54" s="50"/>
    </row>
    <row r="55" spans="1:9" x14ac:dyDescent="0.35">
      <c r="A55" s="56" t="s">
        <v>146</v>
      </c>
      <c r="B55" s="53" t="s">
        <v>147</v>
      </c>
      <c r="C55" s="56" t="str">
        <f>'Haver Pivoted'!A54</f>
        <v>gfsubv</v>
      </c>
      <c r="D55">
        <v>0</v>
      </c>
      <c r="E55" s="56">
        <f>'Haver Pivoted'!HH54</f>
        <v>0</v>
      </c>
      <c r="F55" s="56">
        <f t="shared" si="0"/>
        <v>0</v>
      </c>
      <c r="G55" s="63" t="e">
        <f t="shared" si="1"/>
        <v>#DIV/0!</v>
      </c>
    </row>
    <row r="56" spans="1:9" x14ac:dyDescent="0.35">
      <c r="A56" s="56" t="s">
        <v>52</v>
      </c>
      <c r="B56" s="53" t="s">
        <v>148</v>
      </c>
      <c r="C56" s="56" t="str">
        <f>'Haver Pivoted'!A55</f>
        <v>gfsubk</v>
      </c>
      <c r="D56">
        <v>0</v>
      </c>
      <c r="E56" s="56">
        <f>'Haver Pivoted'!HH55</f>
        <v>0</v>
      </c>
      <c r="F56" s="56">
        <f t="shared" si="0"/>
        <v>0</v>
      </c>
      <c r="G56" s="63" t="e">
        <f t="shared" si="1"/>
        <v>#DIV/0!</v>
      </c>
      <c r="H56" s="49"/>
      <c r="I56" s="50"/>
    </row>
    <row r="57" spans="1:9" x14ac:dyDescent="0.35">
      <c r="A57" s="56" t="s">
        <v>51</v>
      </c>
      <c r="B57" s="55" t="s">
        <v>149</v>
      </c>
      <c r="C57" s="56" t="str">
        <f>'Haver Pivoted'!A56</f>
        <v>gfegc</v>
      </c>
      <c r="D57">
        <v>0</v>
      </c>
      <c r="E57" s="56">
        <f>'Haver Pivoted'!HH56</f>
        <v>0</v>
      </c>
      <c r="F57" s="56">
        <f t="shared" si="0"/>
        <v>0</v>
      </c>
      <c r="G57" s="63"/>
      <c r="H57" s="49"/>
      <c r="I57" s="50"/>
    </row>
    <row r="58" spans="1:9" x14ac:dyDescent="0.35">
      <c r="A58" s="56" t="s">
        <v>51</v>
      </c>
      <c r="B58" s="55" t="s">
        <v>150</v>
      </c>
      <c r="C58" s="56" t="str">
        <f>'Haver Pivoted'!A57</f>
        <v>gfege</v>
      </c>
      <c r="D58">
        <v>0</v>
      </c>
      <c r="E58" s="56">
        <f>'Haver Pivoted'!HH57</f>
        <v>0</v>
      </c>
      <c r="F58" s="56">
        <f t="shared" si="0"/>
        <v>0</v>
      </c>
      <c r="G58" s="63" t="e">
        <f t="shared" si="1"/>
        <v>#DIV/0!</v>
      </c>
      <c r="H58" s="49"/>
      <c r="I58" s="50"/>
    </row>
    <row r="59" spans="1:9" x14ac:dyDescent="0.35">
      <c r="A59" s="56" t="s">
        <v>151</v>
      </c>
      <c r="B59" s="55" t="s">
        <v>152</v>
      </c>
      <c r="C59" s="56" t="str">
        <f>'Haver Pivoted'!A58</f>
        <v>gfegv</v>
      </c>
      <c r="D59">
        <v>0</v>
      </c>
      <c r="E59" s="56">
        <f>'Haver Pivoted'!HH58</f>
        <v>0</v>
      </c>
      <c r="F59" s="56">
        <f t="shared" si="0"/>
        <v>0</v>
      </c>
      <c r="G59" s="63" t="e">
        <f t="shared" si="1"/>
        <v>#DIV/0!</v>
      </c>
    </row>
    <row r="60" spans="1:9" x14ac:dyDescent="0.35">
      <c r="A60" s="56" t="s">
        <v>53</v>
      </c>
      <c r="B60" s="56" t="s">
        <v>153</v>
      </c>
      <c r="C60" s="56" t="str">
        <f>'Haver Pivoted'!A59</f>
        <v>yptue</v>
      </c>
      <c r="D60">
        <v>0</v>
      </c>
      <c r="E60" s="56">
        <f>'Haver Pivoted'!HH59</f>
        <v>0</v>
      </c>
      <c r="F60" s="56">
        <f t="shared" si="0"/>
        <v>0</v>
      </c>
      <c r="G60" s="63" t="e">
        <f t="shared" si="1"/>
        <v>#DIV/0!</v>
      </c>
    </row>
    <row r="61" spans="1:9" x14ac:dyDescent="0.35">
      <c r="A61" s="56" t="s">
        <v>53</v>
      </c>
      <c r="B61" s="56" t="s">
        <v>154</v>
      </c>
      <c r="C61" s="56" t="str">
        <f>'Haver Pivoted'!A60</f>
        <v>yptup</v>
      </c>
      <c r="D61">
        <v>0</v>
      </c>
      <c r="E61" s="56">
        <f>'Haver Pivoted'!HH60</f>
        <v>0</v>
      </c>
      <c r="F61" s="56">
        <f t="shared" si="0"/>
        <v>0</v>
      </c>
      <c r="G61" s="63" t="e">
        <f t="shared" si="1"/>
        <v>#DIV/0!</v>
      </c>
    </row>
    <row r="62" spans="1:9" x14ac:dyDescent="0.35">
      <c r="A62" s="56" t="s">
        <v>53</v>
      </c>
      <c r="B62" s="56" t="s">
        <v>155</v>
      </c>
      <c r="C62" s="56" t="str">
        <f>'Haver Pivoted'!A61</f>
        <v>yptuc</v>
      </c>
      <c r="D62">
        <v>0</v>
      </c>
      <c r="E62" s="56">
        <f>'Haver Pivoted'!HH61</f>
        <v>0</v>
      </c>
      <c r="F62" s="56">
        <f t="shared" si="0"/>
        <v>0</v>
      </c>
      <c r="G62" s="63" t="e">
        <f t="shared" si="1"/>
        <v>#DIV/0!</v>
      </c>
    </row>
    <row r="63" spans="1:9" x14ac:dyDescent="0.35">
      <c r="B63" s="56" t="s">
        <v>156</v>
      </c>
      <c r="C63" s="56" t="str">
        <f>'Haver Pivoted'!A62</f>
        <v>gftfpu</v>
      </c>
      <c r="D63">
        <v>0</v>
      </c>
      <c r="E63" s="56">
        <f>'Haver Pivoted'!HH62</f>
        <v>0</v>
      </c>
      <c r="F63" s="56">
        <f t="shared" si="0"/>
        <v>0</v>
      </c>
      <c r="G63" s="63" t="e">
        <f t="shared" si="1"/>
        <v>#DIV/0!</v>
      </c>
      <c r="H63" s="55"/>
      <c r="I63" s="55"/>
    </row>
    <row r="64" spans="1:9" x14ac:dyDescent="0.35">
      <c r="A64" s="56" t="s">
        <v>53</v>
      </c>
      <c r="B64" s="59" t="s">
        <v>157</v>
      </c>
      <c r="C64" s="56" t="str">
        <f>'Haver Pivoted'!A63</f>
        <v>yptub</v>
      </c>
      <c r="D64">
        <v>0</v>
      </c>
      <c r="E64" s="56">
        <f>'Haver Pivoted'!HH63</f>
        <v>0</v>
      </c>
      <c r="F64" s="56">
        <f t="shared" si="0"/>
        <v>0</v>
      </c>
      <c r="G64" s="63" t="e">
        <f t="shared" si="1"/>
        <v>#DIV/0!</v>
      </c>
      <c r="H64" s="55"/>
      <c r="I64" s="55"/>
    </row>
    <row r="65" spans="1:9" x14ac:dyDescent="0.35">
      <c r="A65" s="56" t="s">
        <v>53</v>
      </c>
      <c r="B65" s="56" t="s">
        <v>158</v>
      </c>
      <c r="C65" s="56" t="str">
        <f>'Haver Pivoted'!A64</f>
        <v>yptol</v>
      </c>
      <c r="D65">
        <v>0</v>
      </c>
      <c r="E65" s="56">
        <f>'Haver Pivoted'!HH64</f>
        <v>0</v>
      </c>
      <c r="F65" s="56">
        <f t="shared" si="0"/>
        <v>0</v>
      </c>
      <c r="G65" s="63" t="e">
        <f t="shared" si="1"/>
        <v>#DIV/0!</v>
      </c>
      <c r="H65" s="55"/>
      <c r="I65" s="55"/>
    </row>
    <row r="66" spans="1:9" x14ac:dyDescent="0.35">
      <c r="B66" s="56" t="s">
        <v>159</v>
      </c>
      <c r="C66" s="56" t="str">
        <f>'Haver Pivoted'!A65</f>
        <v>gfctp</v>
      </c>
      <c r="D66">
        <v>561.29999999999995</v>
      </c>
      <c r="E66" s="56">
        <f>'Haver Pivoted'!HH65</f>
        <v>561.29999999999995</v>
      </c>
      <c r="F66" s="56">
        <f t="shared" si="0"/>
        <v>0</v>
      </c>
      <c r="G66" s="63">
        <f t="shared" si="1"/>
        <v>0</v>
      </c>
      <c r="H66" s="55"/>
      <c r="I66" s="55"/>
    </row>
    <row r="67" spans="1:9" x14ac:dyDescent="0.35">
      <c r="A67" s="56" t="s">
        <v>57</v>
      </c>
      <c r="B67" s="54" t="s">
        <v>160</v>
      </c>
      <c r="C67" s="56" t="str">
        <f>'Haver Pivoted'!A66</f>
        <v>gftffx</v>
      </c>
      <c r="D67">
        <v>103.06100000000001</v>
      </c>
      <c r="E67" s="56">
        <f>'Haver Pivoted'!HH66</f>
        <v>103.06100000000001</v>
      </c>
      <c r="F67" s="56">
        <f t="shared" si="0"/>
        <v>0</v>
      </c>
      <c r="G67" s="63">
        <f t="shared" si="1"/>
        <v>0</v>
      </c>
      <c r="H67" s="55"/>
      <c r="I67" s="55"/>
    </row>
    <row r="68" spans="1:9" x14ac:dyDescent="0.35">
      <c r="B68" s="56" t="s">
        <v>161</v>
      </c>
      <c r="C68" s="56" t="str">
        <f>'Haver Pivoted'!A67</f>
        <v>cpiu</v>
      </c>
      <c r="D68">
        <v>306.03266666666701</v>
      </c>
      <c r="E68" s="56">
        <f>'Haver Pivoted'!HH67</f>
        <v>306.03266666666701</v>
      </c>
      <c r="F68" s="56">
        <f t="shared" ref="F68:F81" si="2">E68-D68</f>
        <v>0</v>
      </c>
      <c r="G68" s="63">
        <f t="shared" ref="G68:G81" si="3">F68/D68</f>
        <v>0</v>
      </c>
      <c r="H68" s="55"/>
      <c r="I68" s="55"/>
    </row>
    <row r="69" spans="1:9" x14ac:dyDescent="0.35">
      <c r="C69" s="56" t="str">
        <f>'Haver Pivoted'!A68</f>
        <v>pcw</v>
      </c>
      <c r="D69">
        <v>300.36200000000002</v>
      </c>
      <c r="E69" s="56">
        <f>'Haver Pivoted'!HH68</f>
        <v>300.36200000000002</v>
      </c>
      <c r="F69" s="56">
        <f t="shared" si="2"/>
        <v>0</v>
      </c>
      <c r="G69" s="63">
        <f t="shared" si="3"/>
        <v>0</v>
      </c>
    </row>
    <row r="70" spans="1:9" x14ac:dyDescent="0.35">
      <c r="B70" s="56" t="s">
        <v>162</v>
      </c>
      <c r="C70" s="56" t="str">
        <f>'Haver Pivoted'!A69</f>
        <v>gdppothq</v>
      </c>
      <c r="D70">
        <v>20603.7</v>
      </c>
      <c r="E70" s="56">
        <f>'Haver Pivoted'!HH69</f>
        <v>20603.7</v>
      </c>
      <c r="F70" s="56">
        <f t="shared" si="2"/>
        <v>0</v>
      </c>
      <c r="G70" s="63">
        <f t="shared" si="3"/>
        <v>0</v>
      </c>
    </row>
    <row r="71" spans="1:9" x14ac:dyDescent="0.35">
      <c r="B71" s="56" t="s">
        <v>163</v>
      </c>
      <c r="C71" s="56" t="str">
        <f>'Haver Pivoted'!A70</f>
        <v>gdppotq</v>
      </c>
      <c r="D71">
        <v>27273</v>
      </c>
      <c r="E71" s="56">
        <f>'Haver Pivoted'!HH70</f>
        <v>27273</v>
      </c>
      <c r="F71" s="56">
        <f t="shared" si="2"/>
        <v>0</v>
      </c>
      <c r="G71" s="63">
        <f t="shared" si="3"/>
        <v>0</v>
      </c>
    </row>
    <row r="72" spans="1:9" x14ac:dyDescent="0.35">
      <c r="B72" s="56" t="s">
        <v>164</v>
      </c>
      <c r="C72" s="56" t="str">
        <f>'Haver Pivoted'!A71</f>
        <v>recessq</v>
      </c>
      <c r="D72">
        <v>-1</v>
      </c>
      <c r="E72" s="56">
        <f>'Haver Pivoted'!HH71</f>
        <v>-1</v>
      </c>
      <c r="F72" s="56">
        <f t="shared" si="2"/>
        <v>0</v>
      </c>
      <c r="G72" s="63">
        <f t="shared" si="3"/>
        <v>0</v>
      </c>
    </row>
    <row r="73" spans="1:9" x14ac:dyDescent="0.35">
      <c r="A73" s="56" t="s">
        <v>165</v>
      </c>
      <c r="B73" s="56" t="s">
        <v>166</v>
      </c>
      <c r="C73" s="56" t="str">
        <f>'Haver Pivoted'!A72</f>
        <v>lasgova</v>
      </c>
      <c r="D73">
        <v>5264</v>
      </c>
      <c r="E73" s="56">
        <f>'Haver Pivoted'!HH72</f>
        <v>5264</v>
      </c>
      <c r="F73" s="56">
        <f t="shared" si="2"/>
        <v>0</v>
      </c>
      <c r="G73" s="63">
        <f t="shared" si="3"/>
        <v>0</v>
      </c>
    </row>
    <row r="74" spans="1:9" x14ac:dyDescent="0.35">
      <c r="A74" s="56" t="s">
        <v>165</v>
      </c>
      <c r="B74" s="56" t="s">
        <v>167</v>
      </c>
      <c r="C74" s="56" t="str">
        <f>'Haver Pivoted'!A73</f>
        <v>lalgova</v>
      </c>
      <c r="D74">
        <v>14587.333333333299</v>
      </c>
      <c r="E74" s="56">
        <f>'Haver Pivoted'!HH73</f>
        <v>14587.333333333299</v>
      </c>
      <c r="F74" s="56">
        <f t="shared" si="2"/>
        <v>0</v>
      </c>
      <c r="G74" s="63">
        <f t="shared" si="3"/>
        <v>0</v>
      </c>
    </row>
    <row r="75" spans="1:9" x14ac:dyDescent="0.35">
      <c r="A75" s="56" t="s">
        <v>165</v>
      </c>
      <c r="B75" s="56" t="s">
        <v>168</v>
      </c>
      <c r="C75" s="56" t="str">
        <f>'Haver Pivoted'!A74</f>
        <v>cpgs</v>
      </c>
      <c r="D75">
        <v>408433</v>
      </c>
      <c r="E75" s="56">
        <f>'Haver Pivoted'!HH74</f>
        <v>410267.66666666698</v>
      </c>
      <c r="F75" s="56">
        <f t="shared" si="2"/>
        <v>1834.6666666669771</v>
      </c>
      <c r="G75" s="63">
        <f t="shared" si="3"/>
        <v>4.4919648183838652E-3</v>
      </c>
    </row>
    <row r="76" spans="1:9" x14ac:dyDescent="0.35">
      <c r="B76" s="56" t="s">
        <v>169</v>
      </c>
      <c r="C76" s="56" t="str">
        <f>'Haver Pivoted'!A75</f>
        <v>jgdp_growth</v>
      </c>
      <c r="D76">
        <v>8.2355549351746903E-3</v>
      </c>
      <c r="E76" s="56">
        <f>'Haver Pivoted'!HH75</f>
        <v>8.2355549351746903E-3</v>
      </c>
      <c r="F76" s="51">
        <f t="shared" si="2"/>
        <v>0</v>
      </c>
      <c r="G76" s="63">
        <f t="shared" si="3"/>
        <v>0</v>
      </c>
    </row>
    <row r="77" spans="1:9" x14ac:dyDescent="0.35">
      <c r="B77" s="56" t="s">
        <v>170</v>
      </c>
      <c r="C77" s="56" t="str">
        <f>'Haver Pivoted'!A76</f>
        <v>jc_growth</v>
      </c>
      <c r="D77">
        <v>6.4143147512578701E-3</v>
      </c>
      <c r="E77" s="56">
        <f>'Haver Pivoted'!HH76</f>
        <v>6.4143147512578701E-3</v>
      </c>
      <c r="F77" s="51">
        <f t="shared" si="2"/>
        <v>0</v>
      </c>
      <c r="G77" s="63">
        <f t="shared" si="3"/>
        <v>0</v>
      </c>
    </row>
    <row r="78" spans="1:9" x14ac:dyDescent="0.35">
      <c r="B78" s="56" t="s">
        <v>171</v>
      </c>
      <c r="C78" s="56" t="str">
        <f>'Haver Pivoted'!A77</f>
        <v>jgf_growth</v>
      </c>
      <c r="D78">
        <v>9.7870229456919998E-3</v>
      </c>
      <c r="E78" s="56">
        <f>'Haver Pivoted'!HH77</f>
        <v>9.7870229456919998E-3</v>
      </c>
      <c r="F78" s="51">
        <f t="shared" si="2"/>
        <v>0</v>
      </c>
      <c r="G78" s="63">
        <f t="shared" si="3"/>
        <v>0</v>
      </c>
    </row>
    <row r="79" spans="1:9" x14ac:dyDescent="0.35">
      <c r="B79" s="56" t="s">
        <v>172</v>
      </c>
      <c r="C79" s="56" t="str">
        <f>'Haver Pivoted'!A78</f>
        <v>jgs_growth</v>
      </c>
      <c r="D79">
        <v>1.4053530453285799E-2</v>
      </c>
      <c r="E79" s="56">
        <f>'Haver Pivoted'!HH78</f>
        <v>1.4053530453285799E-2</v>
      </c>
      <c r="F79" s="51">
        <f>E79/D79-1</f>
        <v>0</v>
      </c>
      <c r="G79" s="63">
        <f t="shared" si="3"/>
        <v>0</v>
      </c>
    </row>
    <row r="80" spans="1:9" x14ac:dyDescent="0.35">
      <c r="B80" s="56" t="s">
        <v>173</v>
      </c>
      <c r="C80" s="56" t="str">
        <f>'Haver Pivoted'!A79</f>
        <v>jgse_growth</v>
      </c>
      <c r="D80">
        <v>1.6627230287139499E-2</v>
      </c>
      <c r="E80" s="56">
        <f>'Haver Pivoted'!HH79</f>
        <v>1.6627230287139499E-2</v>
      </c>
      <c r="F80" s="51">
        <f t="shared" si="2"/>
        <v>0</v>
      </c>
      <c r="G80" s="63">
        <f t="shared" si="3"/>
        <v>0</v>
      </c>
    </row>
    <row r="81" spans="2:7" x14ac:dyDescent="0.35">
      <c r="B81" s="56" t="s">
        <v>174</v>
      </c>
      <c r="C81" s="56" t="str">
        <f>'Haver Pivoted'!A80</f>
        <v>jgsi_growth</v>
      </c>
      <c r="D81">
        <v>2.8033363542803199E-3</v>
      </c>
      <c r="E81" s="56">
        <f>'Haver Pivoted'!HH80</f>
        <v>2.8033363542803199E-3</v>
      </c>
      <c r="F81" s="51">
        <f t="shared" si="2"/>
        <v>0</v>
      </c>
      <c r="G81" s="63">
        <f t="shared" si="3"/>
        <v>0</v>
      </c>
    </row>
  </sheetData>
  <conditionalFormatting sqref="F3:F81">
    <cfRule type="cellIs" dxfId="71" priority="1" operator="lessThan">
      <formula>0</formula>
    </cfRule>
    <cfRule type="cellIs" dxfId="70"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Q128"/>
  <sheetViews>
    <sheetView tabSelected="1" topLeftCell="A64" zoomScale="110" zoomScaleNormal="110" workbookViewId="0">
      <selection activeCell="J79" sqref="J79"/>
    </sheetView>
  </sheetViews>
  <sheetFormatPr defaultColWidth="10.90625" defaultRowHeight="14.5" x14ac:dyDescent="0.35"/>
  <cols>
    <col min="2" max="2" width="26.453125" customWidth="1"/>
    <col min="3" max="3" width="20.1796875" customWidth="1"/>
    <col min="4" max="6" width="9.453125" customWidth="1"/>
  </cols>
  <sheetData>
    <row r="2" spans="2:11" x14ac:dyDescent="0.35">
      <c r="B2" s="1255" t="s">
        <v>2016</v>
      </c>
      <c r="C2" s="1255"/>
      <c r="D2" s="1255"/>
      <c r="E2" s="1255"/>
      <c r="F2" s="1255"/>
      <c r="G2" s="1255"/>
      <c r="H2" s="1255"/>
      <c r="I2" s="1255"/>
    </row>
    <row r="3" spans="2:11" x14ac:dyDescent="0.35">
      <c r="B3" t="str">
        <f>forecast!A1</f>
        <v>name</v>
      </c>
      <c r="C3" t="str">
        <f>forecast!B1</f>
        <v>variable</v>
      </c>
      <c r="D3" t="str">
        <f>forecast!C1</f>
        <v>2023 Q4</v>
      </c>
      <c r="E3" t="str">
        <f>forecast!D1</f>
        <v>2024 Q1</v>
      </c>
      <c r="F3" t="str">
        <f>forecast!E1</f>
        <v>2024 Q2</v>
      </c>
      <c r="G3" t="s">
        <v>175</v>
      </c>
      <c r="H3" t="s">
        <v>176</v>
      </c>
      <c r="I3" t="s">
        <v>177</v>
      </c>
    </row>
    <row r="4" spans="2:11" x14ac:dyDescent="0.35">
      <c r="B4" t="str">
        <f>forecast!A2</f>
        <v>Consumption Grants</v>
      </c>
      <c r="C4" t="str">
        <f>forecast!B2</f>
        <v>consumption_grants</v>
      </c>
      <c r="D4" s="75">
        <f>forecast!C2</f>
        <v>396.93694400000004</v>
      </c>
      <c r="E4" s="75">
        <f>forecast!D2</f>
        <v>394.13745836792191</v>
      </c>
      <c r="F4" s="75">
        <f>forecast!E2</f>
        <v>373.86442832865475</v>
      </c>
      <c r="G4" s="75">
        <f>forecast!F2</f>
        <v>377.90945212440317</v>
      </c>
      <c r="H4" s="75">
        <f>forecast!G2</f>
        <v>382.24128570000005</v>
      </c>
      <c r="I4" s="75">
        <f>forecast!H2</f>
        <v>364.98703722263872</v>
      </c>
    </row>
    <row r="5" spans="2:11" x14ac:dyDescent="0.35">
      <c r="B5" t="str">
        <f>forecast!A3</f>
        <v>Investment Grants</v>
      </c>
      <c r="C5" t="str">
        <f>forecast!B3</f>
        <v>investment_grants</v>
      </c>
      <c r="D5" s="75">
        <f>forecast!C3</f>
        <v>77.707285714285717</v>
      </c>
      <c r="E5" s="75">
        <f>forecast!D3</f>
        <v>77.707285714285717</v>
      </c>
      <c r="F5" s="75">
        <f>forecast!E3</f>
        <v>77.707285714285717</v>
      </c>
      <c r="G5" s="75">
        <f>forecast!F3</f>
        <v>77.707285714285717</v>
      </c>
      <c r="H5" s="75">
        <f>forecast!G3</f>
        <v>79.301285714285726</v>
      </c>
      <c r="I5" s="75">
        <f>forecast!H3</f>
        <v>79.301285714285726</v>
      </c>
    </row>
    <row r="6" spans="2:11" x14ac:dyDescent="0.35">
      <c r="B6" t="str">
        <f>forecast!A4</f>
        <v>Federal Purchases (NIPA Consistent)</v>
      </c>
      <c r="C6" t="str">
        <f>forecast!B4</f>
        <v>federal_purchases</v>
      </c>
      <c r="D6" s="75">
        <f>forecast!C4</f>
        <v>1819.8</v>
      </c>
      <c r="E6" s="75">
        <f>forecast!D4</f>
        <v>1831.974579604909</v>
      </c>
      <c r="F6" s="75">
        <f>forecast!E4</f>
        <v>1850.1280465220755</v>
      </c>
      <c r="G6" s="75">
        <f>forecast!F4</f>
        <v>1864.4474482834958</v>
      </c>
      <c r="H6" s="75">
        <f>forecast!G4</f>
        <v>1877.3865670518567</v>
      </c>
      <c r="I6" s="75">
        <f>forecast!H4</f>
        <v>1889.2006799756271</v>
      </c>
    </row>
    <row r="7" spans="2:11" x14ac:dyDescent="0.35">
      <c r="B7" t="str">
        <f>forecast!A5</f>
        <v>State Purchases (NIPA Consistent)</v>
      </c>
      <c r="C7" t="str">
        <f>forecast!B5</f>
        <v>state_purchases</v>
      </c>
      <c r="D7" s="75">
        <f>forecast!C5</f>
        <v>3036.9</v>
      </c>
      <c r="E7" s="75">
        <f>forecast!D5</f>
        <v>3071.6299936651885</v>
      </c>
      <c r="F7" s="75">
        <f>forecast!E5</f>
        <v>3103.4236321808426</v>
      </c>
      <c r="G7" s="75">
        <f>forecast!F5</f>
        <v>3133.3947054312671</v>
      </c>
      <c r="H7" s="75">
        <f>forecast!G5</f>
        <v>3161.9482279198478</v>
      </c>
      <c r="I7" s="75">
        <f>forecast!H5</f>
        <v>3191.21052578935</v>
      </c>
    </row>
    <row r="8" spans="2:11" x14ac:dyDescent="0.35">
      <c r="B8" t="str">
        <f>forecast!A6</f>
        <v>Non-ARP Subsidies + ARP Provider Relief and PPP</v>
      </c>
      <c r="C8" t="str">
        <f>forecast!B6</f>
        <v>federal_subsidies</v>
      </c>
      <c r="D8" s="75">
        <f>forecast!C6</f>
        <v>98.335000000000008</v>
      </c>
      <c r="E8" s="75">
        <f>forecast!D6</f>
        <v>84.266000000000005</v>
      </c>
      <c r="F8" s="75">
        <f>forecast!E6</f>
        <v>84.266000000000005</v>
      </c>
      <c r="G8" s="75">
        <f>forecast!F6</f>
        <v>84.266000000000005</v>
      </c>
      <c r="H8" s="75">
        <f>forecast!G6</f>
        <v>91.364999999999995</v>
      </c>
      <c r="I8" s="75">
        <f>forecast!H6</f>
        <v>91.364999999999995</v>
      </c>
    </row>
    <row r="9" spans="2:11" x14ac:dyDescent="0.35">
      <c r="B9" t="str">
        <f>forecast!A7</f>
        <v>ARP Subsidies less Provider Relief and PPP</v>
      </c>
      <c r="C9" t="str">
        <f>forecast!B7</f>
        <v>federal_aid_to_small_businesses_arp</v>
      </c>
      <c r="D9" s="75">
        <f>forecast!C7</f>
        <v>1.365</v>
      </c>
      <c r="E9" s="75">
        <f>forecast!D7</f>
        <v>1.365</v>
      </c>
      <c r="F9" s="75">
        <f>forecast!E7</f>
        <v>1.365</v>
      </c>
      <c r="G9" s="75">
        <f>forecast!F7</f>
        <v>1.365</v>
      </c>
      <c r="H9" s="75">
        <f>forecast!G7</f>
        <v>-0.90100000000000025</v>
      </c>
      <c r="I9" s="75">
        <f>forecast!H7</f>
        <v>-0.90100000000000025</v>
      </c>
    </row>
    <row r="10" spans="2:11" x14ac:dyDescent="0.35">
      <c r="B10" t="str">
        <f>forecast!A8</f>
        <v>Federal UI</v>
      </c>
      <c r="C10" t="str">
        <f>forecast!B8</f>
        <v>federal_ui</v>
      </c>
      <c r="D10" s="75">
        <f>forecast!C8</f>
        <v>7.1428571428569398E-2</v>
      </c>
      <c r="E10" s="75">
        <f>forecast!D8</f>
        <v>0</v>
      </c>
      <c r="F10" s="75">
        <f>forecast!E8</f>
        <v>0</v>
      </c>
      <c r="G10" s="75">
        <f>forecast!F8</f>
        <v>0</v>
      </c>
      <c r="H10" s="75">
        <f>forecast!G8</f>
        <v>0</v>
      </c>
      <c r="I10" s="75">
        <f>forecast!H8</f>
        <v>0</v>
      </c>
    </row>
    <row r="11" spans="2:11" x14ac:dyDescent="0.35">
      <c r="B11" t="str">
        <f>forecast!A9</f>
        <v>State UI</v>
      </c>
      <c r="C11" t="str">
        <f>forecast!B9</f>
        <v>state_ui</v>
      </c>
      <c r="D11" s="75">
        <f>forecast!C9</f>
        <v>22.62857142857143</v>
      </c>
      <c r="E11" s="75">
        <f>forecast!D9</f>
        <v>23.885714285714286</v>
      </c>
      <c r="F11" s="75">
        <f>forecast!E9</f>
        <v>25.771428571428572</v>
      </c>
      <c r="G11" s="75">
        <f>forecast!F9</f>
        <v>27.028571428571432</v>
      </c>
      <c r="H11" s="75">
        <f>forecast!G9</f>
        <v>28.285714285714292</v>
      </c>
      <c r="I11" s="75">
        <f>forecast!H9</f>
        <v>28.914285714285718</v>
      </c>
    </row>
    <row r="12" spans="2:11" x14ac:dyDescent="0.35">
      <c r="B12" t="str">
        <f>forecast!A10</f>
        <v>Federal Medicaid</v>
      </c>
      <c r="C12" t="str">
        <f>forecast!B10</f>
        <v>medicaid_grants</v>
      </c>
      <c r="D12" s="75">
        <f>forecast!C10</f>
        <v>616.99699999999996</v>
      </c>
      <c r="E12" s="75">
        <f>forecast!D10</f>
        <v>583.51744813871062</v>
      </c>
      <c r="F12" s="75">
        <f>forecast!E10</f>
        <v>571.60610915363998</v>
      </c>
      <c r="G12" s="75">
        <f>forecast!F10</f>
        <v>559.9379162764875</v>
      </c>
      <c r="H12" s="75">
        <f>forecast!G10</f>
        <v>563.98665304899646</v>
      </c>
      <c r="I12" s="75">
        <f>forecast!H10</f>
        <v>568.06466497679764</v>
      </c>
    </row>
    <row r="13" spans="2:11" x14ac:dyDescent="0.35">
      <c r="B13" t="str">
        <f>forecast!A11</f>
        <v>Total Medicaid</v>
      </c>
      <c r="C13" t="str">
        <f>forecast!B11</f>
        <v>medicaid</v>
      </c>
      <c r="D13" s="75">
        <f>forecast!C11</f>
        <v>863.3</v>
      </c>
      <c r="E13" s="75">
        <f>forecast!D11</f>
        <v>845.67746107059509</v>
      </c>
      <c r="F13" s="75">
        <f>forecast!E11</f>
        <v>828.41465094730438</v>
      </c>
      <c r="G13" s="75">
        <f>forecast!F11</f>
        <v>811.50422648766312</v>
      </c>
      <c r="H13" s="75">
        <f>forecast!G11</f>
        <v>817.37196094057458</v>
      </c>
      <c r="I13" s="75">
        <f>forecast!H11</f>
        <v>823.28212315477924</v>
      </c>
    </row>
    <row r="14" spans="2:11" x14ac:dyDescent="0.35">
      <c r="B14" t="str">
        <f>forecast!A12</f>
        <v>Medicare</v>
      </c>
      <c r="C14" t="str">
        <f>forecast!B12</f>
        <v>medicare</v>
      </c>
      <c r="D14" s="75">
        <f>forecast!C12</f>
        <v>951.3</v>
      </c>
      <c r="E14" s="75">
        <f>forecast!D12</f>
        <v>956.26691245960421</v>
      </c>
      <c r="F14" s="75">
        <f>forecast!E12</f>
        <v>961.2597580837006</v>
      </c>
      <c r="G14" s="75">
        <f>forecast!F12</f>
        <v>966.27867227411593</v>
      </c>
      <c r="H14" s="75">
        <f>forecast!G12</f>
        <v>992.86655402345843</v>
      </c>
      <c r="I14" s="75">
        <f>forecast!H12</f>
        <v>1020.1860212627852</v>
      </c>
      <c r="K14" s="73"/>
    </row>
    <row r="15" spans="2:11" x14ac:dyDescent="0.35">
      <c r="B15" t="str">
        <f>forecast!A13</f>
        <v>Non-ARP Rebate Checks</v>
      </c>
      <c r="C15" t="str">
        <f>forecast!B13</f>
        <v>rebate_checks</v>
      </c>
      <c r="D15" s="75">
        <f>forecast!C13</f>
        <v>0</v>
      </c>
      <c r="E15" s="75">
        <f>forecast!D13</f>
        <v>0</v>
      </c>
      <c r="F15" s="75">
        <f>forecast!E13</f>
        <v>0</v>
      </c>
      <c r="G15" s="75">
        <f>forecast!F13</f>
        <v>0</v>
      </c>
      <c r="H15" s="75">
        <f>forecast!G13</f>
        <v>0</v>
      </c>
      <c r="I15" s="75">
        <f>forecast!H13</f>
        <v>0</v>
      </c>
      <c r="K15" s="35"/>
    </row>
    <row r="16" spans="2:11" x14ac:dyDescent="0.35">
      <c r="B16" t="str">
        <f>forecast!A14</f>
        <v>ARP Rebate Checks</v>
      </c>
      <c r="C16" t="str">
        <f>forecast!B14</f>
        <v>rebate_checks_arp</v>
      </c>
      <c r="D16" s="75">
        <f>forecast!C14</f>
        <v>0</v>
      </c>
      <c r="E16" s="75">
        <f>forecast!D14</f>
        <v>0</v>
      </c>
      <c r="F16" s="75">
        <f>forecast!E14</f>
        <v>0</v>
      </c>
      <c r="G16" s="75">
        <f>forecast!F14</f>
        <v>0</v>
      </c>
      <c r="H16" s="75">
        <f>forecast!G14</f>
        <v>0</v>
      </c>
      <c r="I16" s="75">
        <f>forecast!H14</f>
        <v>0</v>
      </c>
      <c r="K16" s="35"/>
    </row>
    <row r="17" spans="2:11" x14ac:dyDescent="0.35">
      <c r="B17" t="str">
        <f>forecast!A15</f>
        <v>ARP Other Vulnerable</v>
      </c>
      <c r="C17" t="str">
        <f>forecast!B15</f>
        <v>federal_other_vulnerable_arp</v>
      </c>
      <c r="D17" s="75">
        <f>forecast!C15</f>
        <v>4.2219999999999995</v>
      </c>
      <c r="E17" s="75">
        <f>forecast!D15</f>
        <v>4.2219999999999995</v>
      </c>
      <c r="F17" s="75">
        <f>forecast!E15</f>
        <v>4.2219999999999995</v>
      </c>
      <c r="G17" s="75">
        <f>forecast!F15</f>
        <v>4.2219999999999995</v>
      </c>
      <c r="H17" s="75">
        <f>forecast!G15</f>
        <v>2.3719999999999999</v>
      </c>
      <c r="I17" s="75">
        <f>forecast!H15</f>
        <v>2.3719999999999999</v>
      </c>
      <c r="K17" s="35"/>
    </row>
    <row r="18" spans="2:11" x14ac:dyDescent="0.35">
      <c r="B18" t="str">
        <f>forecast!A16</f>
        <v xml:space="preserve">ARP Other Direct Aid plus Provider Relief </v>
      </c>
      <c r="C18" t="str">
        <f>forecast!B16</f>
        <v>federal_other_direct_aid_arp</v>
      </c>
      <c r="D18" s="75">
        <f>forecast!C16</f>
        <v>1.4790000000000001</v>
      </c>
      <c r="E18" s="75">
        <f>forecast!D16</f>
        <v>1.4790000000000001</v>
      </c>
      <c r="F18" s="75">
        <f>forecast!E16</f>
        <v>1.4790000000000001</v>
      </c>
      <c r="G18" s="75">
        <f>forecast!F16</f>
        <v>1.4790000000000001</v>
      </c>
      <c r="H18" s="75">
        <f>forecast!G16</f>
        <v>1.63</v>
      </c>
      <c r="I18" s="75">
        <f>forecast!H16</f>
        <v>1.63</v>
      </c>
      <c r="K18" s="35"/>
    </row>
    <row r="19" spans="2:11" x14ac:dyDescent="0.35">
      <c r="B19" t="str">
        <f>forecast!A17</f>
        <v>Other Federal Social Benefits (including all SNAP)</v>
      </c>
      <c r="C19" t="str">
        <f>forecast!B17</f>
        <v>federal_social_benefits</v>
      </c>
      <c r="D19" s="75">
        <f>forecast!C17</f>
        <v>1947.3989999999999</v>
      </c>
      <c r="E19" s="75">
        <f>forecast!D17</f>
        <v>2000.0101040853333</v>
      </c>
      <c r="F19" s="75">
        <f>forecast!E17</f>
        <v>2006.9434374186667</v>
      </c>
      <c r="G19" s="75">
        <f>forecast!F17</f>
        <v>2013.8767707520001</v>
      </c>
      <c r="H19" s="75">
        <f>forecast!G17</f>
        <v>2022.3381040853335</v>
      </c>
      <c r="I19" s="75">
        <f>forecast!H17</f>
        <v>2063.7227287944106</v>
      </c>
    </row>
    <row r="20" spans="2:11" x14ac:dyDescent="0.35">
      <c r="B20" t="str">
        <f>forecast!A18</f>
        <v>State Social Benefits ex Medicaid</v>
      </c>
      <c r="C20" t="str">
        <f>forecast!B18</f>
        <v>state_social_benefits</v>
      </c>
      <c r="D20" s="75">
        <f>forecast!C18</f>
        <v>193.12402555814535</v>
      </c>
      <c r="E20" s="75">
        <f>forecast!D18</f>
        <v>196.29831211574134</v>
      </c>
      <c r="F20" s="75">
        <f>forecast!E18</f>
        <v>199.52477289205825</v>
      </c>
      <c r="G20" s="75">
        <f>forecast!F18</f>
        <v>202.80426544959073</v>
      </c>
      <c r="H20" s="75">
        <f>forecast!G18</f>
        <v>206.137661446175</v>
      </c>
      <c r="I20" s="75">
        <f>forecast!H18</f>
        <v>209.52584686666717</v>
      </c>
    </row>
    <row r="21" spans="2:11" x14ac:dyDescent="0.35">
      <c r="B21" t="str">
        <f>forecast!A19</f>
        <v>Federal Non-Corporate Taxes</v>
      </c>
      <c r="C21" t="str">
        <f>forecast!B19</f>
        <v>federal_non_corporate_taxes</v>
      </c>
      <c r="D21" s="75">
        <f>forecast!C19</f>
        <v>4181.7</v>
      </c>
      <c r="E21" s="75">
        <f>forecast!D19</f>
        <v>4236.8196882791963</v>
      </c>
      <c r="F21" s="75">
        <f>forecast!E19</f>
        <v>4270.0725554678729</v>
      </c>
      <c r="G21" s="75">
        <f>forecast!F19</f>
        <v>4303.6256137979035</v>
      </c>
      <c r="H21" s="75">
        <f>forecast!G19</f>
        <v>4334.5561571140242</v>
      </c>
      <c r="I21" s="75">
        <f>forecast!H19</f>
        <v>4393.0949961856113</v>
      </c>
    </row>
    <row r="22" spans="2:11" x14ac:dyDescent="0.35">
      <c r="B22" t="str">
        <f>forecast!A20</f>
        <v>State Non-Corporate Taxes</v>
      </c>
      <c r="C22" t="str">
        <f>forecast!B20</f>
        <v>state_non_corporate_taxes</v>
      </c>
      <c r="D22" s="75">
        <f>forecast!C20</f>
        <v>2265.6</v>
      </c>
      <c r="E22" s="75">
        <f>forecast!D20</f>
        <v>2284.469094030394</v>
      </c>
      <c r="F22" s="75">
        <f>forecast!E20</f>
        <v>2302.9030292296748</v>
      </c>
      <c r="G22" s="75">
        <f>forecast!F20</f>
        <v>2324.5256298693171</v>
      </c>
      <c r="H22" s="75">
        <f>forecast!G20</f>
        <v>2348.4579698636958</v>
      </c>
      <c r="I22" s="75">
        <f>forecast!H20</f>
        <v>2372.5591961534947</v>
      </c>
    </row>
    <row r="23" spans="2:11" x14ac:dyDescent="0.35">
      <c r="B23" t="str">
        <f>forecast!A21</f>
        <v>Federal Corporate Taxes</v>
      </c>
      <c r="C23" t="str">
        <f>forecast!B21</f>
        <v>federal_corporate_taxes</v>
      </c>
      <c r="D23" s="75">
        <f>forecast!C21</f>
        <v>418.6878884136944</v>
      </c>
      <c r="E23" s="75">
        <f>forecast!D21</f>
        <v>419.37690886200528</v>
      </c>
      <c r="F23" s="75">
        <f>forecast!E21</f>
        <v>420.06706320788362</v>
      </c>
      <c r="G23" s="75">
        <f>forecast!F21</f>
        <v>420.75835331734618</v>
      </c>
      <c r="H23" s="75">
        <f>forecast!G21</f>
        <v>422.95559046469532</v>
      </c>
      <c r="I23" s="75">
        <f>forecast!H21</f>
        <v>425.16430177778267</v>
      </c>
    </row>
    <row r="24" spans="2:11" x14ac:dyDescent="0.35">
      <c r="B24" t="str">
        <f>forecast!A22</f>
        <v>State Corporate Taxes</v>
      </c>
      <c r="C24" s="35" t="str">
        <f>forecast!B22</f>
        <v>state_corporate_taxes</v>
      </c>
      <c r="D24" s="75">
        <f>forecast!C22</f>
        <v>128.90298592625811</v>
      </c>
      <c r="E24" s="75">
        <f>forecast!D22</f>
        <v>129.4766557205416</v>
      </c>
      <c r="F24" s="75">
        <f>forecast!E22</f>
        <v>130.51913093811052</v>
      </c>
      <c r="G24" s="75">
        <f>forecast!F22</f>
        <v>131.81451434455713</v>
      </c>
      <c r="H24" s="75">
        <f>forecast!G22</f>
        <v>135.75618099560171</v>
      </c>
      <c r="I24" s="75">
        <f>forecast!H22</f>
        <v>140.92537763656472</v>
      </c>
    </row>
    <row r="25" spans="2:11" x14ac:dyDescent="0.35">
      <c r="B25" s="35" t="str">
        <f>forecast!A23</f>
        <v>Federal Student Loans</v>
      </c>
      <c r="C25" s="35" t="str">
        <f>forecast!B23</f>
        <v>federal_student_loans</v>
      </c>
      <c r="D25" s="75">
        <f>forecast!C23</f>
        <v>2.1006180000000003</v>
      </c>
      <c r="E25" s="75">
        <f>forecast!D23</f>
        <v>2.5815300000000003</v>
      </c>
      <c r="F25" s="75">
        <f>forecast!E23</f>
        <v>2.6040450000000002</v>
      </c>
      <c r="G25" s="75">
        <f>forecast!F23</f>
        <v>2.626465</v>
      </c>
      <c r="H25" s="75">
        <f>forecast!G23</f>
        <v>2.6498349999999999</v>
      </c>
      <c r="I25" s="75">
        <f>forecast!H23</f>
        <v>2.6454420000000001</v>
      </c>
    </row>
    <row r="26" spans="2:11" x14ac:dyDescent="0.35">
      <c r="B26" s="35"/>
      <c r="C26" s="35"/>
      <c r="D26" s="75"/>
      <c r="E26" s="75"/>
      <c r="F26" s="75"/>
      <c r="G26" s="75"/>
      <c r="H26" s="75"/>
      <c r="I26" s="75"/>
    </row>
    <row r="27" spans="2:11" x14ac:dyDescent="0.35">
      <c r="B27" s="77" t="s">
        <v>2010</v>
      </c>
      <c r="C27" s="35"/>
      <c r="D27" s="75"/>
      <c r="E27" s="75"/>
      <c r="F27" s="75"/>
      <c r="G27" s="75"/>
      <c r="H27" s="75"/>
      <c r="I27" s="75"/>
    </row>
    <row r="28" spans="2:11" x14ac:dyDescent="0.35">
      <c r="B28" s="35" t="s">
        <v>1716</v>
      </c>
      <c r="C28" s="35"/>
      <c r="D28" s="70">
        <f>Deflators!X45</f>
        <v>1.6590383013570742E-2</v>
      </c>
      <c r="E28" s="70">
        <f>Deflators!Y45</f>
        <v>2.8091398638267373E-2</v>
      </c>
      <c r="F28" s="70">
        <f>Deflators!Z45</f>
        <v>2.4757720383034698E-2</v>
      </c>
      <c r="G28" s="70">
        <f>Deflators!AA45</f>
        <v>2.5292162721610056E-2</v>
      </c>
      <c r="H28" s="70">
        <f>Deflators!AB45</f>
        <v>2.4263189998973589E-2</v>
      </c>
      <c r="I28" s="70">
        <f>Deflators!AC45</f>
        <v>2.3060157044477725E-2</v>
      </c>
    </row>
    <row r="29" spans="2:11" x14ac:dyDescent="0.35">
      <c r="B29" s="35" t="s">
        <v>1717</v>
      </c>
      <c r="C29" s="35"/>
      <c r="D29" s="70">
        <f>Deflators!X46</f>
        <v>3.7622788012312114E-2</v>
      </c>
      <c r="E29" s="70">
        <f>Deflators!Y46</f>
        <v>2.9177415019928876E-2</v>
      </c>
      <c r="F29" s="70">
        <f>Deflators!Z46</f>
        <v>2.6899993160794278E-2</v>
      </c>
      <c r="G29" s="70">
        <f>Deflators!AA46</f>
        <v>2.7881138243015302E-2</v>
      </c>
      <c r="H29" s="70">
        <f>Deflators!AB46</f>
        <v>2.6848543864137264E-2</v>
      </c>
      <c r="I29" s="70">
        <f>Deflators!AC46</f>
        <v>2.5377349311315189E-2</v>
      </c>
    </row>
    <row r="30" spans="2:11" x14ac:dyDescent="0.35">
      <c r="B30" s="35" t="s">
        <v>1718</v>
      </c>
      <c r="C30" s="35"/>
      <c r="D30" s="70">
        <f>Deflators!X47</f>
        <v>8.5776073670338349E-3</v>
      </c>
      <c r="E30" s="70">
        <f>Deflators!Y47</f>
        <v>3.3343974071288418E-2</v>
      </c>
      <c r="F30" s="70">
        <f>Deflators!Z47</f>
        <v>3.0704031449066083E-2</v>
      </c>
      <c r="G30" s="70">
        <f>Deflators!AA47</f>
        <v>2.9455855111519602E-2</v>
      </c>
      <c r="H30" s="70">
        <f>Deflators!AB47</f>
        <v>2.8801828876449553E-2</v>
      </c>
      <c r="I30" s="70">
        <f>Deflators!AC47</f>
        <v>2.9396483903845194E-2</v>
      </c>
    </row>
    <row r="31" spans="2:11" x14ac:dyDescent="0.35">
      <c r="B31" s="35" t="s">
        <v>1719</v>
      </c>
      <c r="C31" s="35"/>
      <c r="D31" s="70">
        <f>Deflators!X48</f>
        <v>8.3609936619060132E-3</v>
      </c>
      <c r="E31" s="70">
        <f>Deflators!Y48</f>
        <v>3.3343974071288418E-2</v>
      </c>
      <c r="F31" s="70">
        <f>Deflators!Z48</f>
        <v>3.0704031449066083E-2</v>
      </c>
      <c r="G31" s="70">
        <f>Deflators!AA48</f>
        <v>2.9455855111519602E-2</v>
      </c>
      <c r="H31" s="70">
        <f>Deflators!AB48</f>
        <v>2.8801828876449553E-2</v>
      </c>
      <c r="I31" s="70">
        <f>Deflators!AC48</f>
        <v>2.9396483903845194E-2</v>
      </c>
    </row>
    <row r="32" spans="2:11" x14ac:dyDescent="0.35">
      <c r="B32" s="35" t="s">
        <v>1720</v>
      </c>
      <c r="C32" s="35"/>
      <c r="D32" s="70">
        <f>Deflators!X49</f>
        <v>9.5000620757308418E-3</v>
      </c>
      <c r="E32" s="70">
        <f>Deflators!Y49</f>
        <v>3.3343974071288418E-2</v>
      </c>
      <c r="F32" s="70">
        <f>Deflators!Z49</f>
        <v>3.0704031449066083E-2</v>
      </c>
      <c r="G32" s="70">
        <f>Deflators!AA49</f>
        <v>2.9455855111519602E-2</v>
      </c>
      <c r="H32" s="70">
        <f>Deflators!AB49</f>
        <v>2.8801828876449553E-2</v>
      </c>
      <c r="I32" s="70">
        <f>Deflators!AC49</f>
        <v>2.9396483903845194E-2</v>
      </c>
    </row>
    <row r="33" spans="2:9" x14ac:dyDescent="0.35">
      <c r="D33" s="70"/>
    </row>
    <row r="34" spans="2:9" x14ac:dyDescent="0.35">
      <c r="B34" s="1255" t="s">
        <v>2015</v>
      </c>
      <c r="C34" s="1255"/>
      <c r="D34" s="1255"/>
      <c r="E34" s="1255"/>
      <c r="F34" s="1255"/>
      <c r="G34" s="1255"/>
      <c r="H34" s="1255"/>
      <c r="I34" s="1255"/>
    </row>
    <row r="35" spans="2:9" x14ac:dyDescent="0.35">
      <c r="B35" t="s">
        <v>178</v>
      </c>
      <c r="C35" t="s">
        <v>179</v>
      </c>
      <c r="D35" t="s">
        <v>189</v>
      </c>
      <c r="E35" t="s">
        <v>190</v>
      </c>
      <c r="F35" t="s">
        <v>191</v>
      </c>
      <c r="G35" t="s">
        <v>175</v>
      </c>
      <c r="H35" t="s">
        <v>176</v>
      </c>
      <c r="I35" t="s">
        <v>177</v>
      </c>
    </row>
    <row r="36" spans="2:9" x14ac:dyDescent="0.35">
      <c r="B36" t="s">
        <v>192</v>
      </c>
      <c r="C36" t="s">
        <v>193</v>
      </c>
      <c r="D36" s="75">
        <v>416.42143481502592</v>
      </c>
      <c r="E36" s="75">
        <v>404.707645289997</v>
      </c>
      <c r="F36" s="75">
        <v>384.53876759977163</v>
      </c>
      <c r="G36" s="75">
        <v>388.68897000000004</v>
      </c>
      <c r="H36" s="75">
        <v>393.12701854762702</v>
      </c>
      <c r="I36" s="75">
        <v>375.98003162159682</v>
      </c>
    </row>
    <row r="37" spans="2:9" x14ac:dyDescent="0.35">
      <c r="B37" t="s">
        <v>134</v>
      </c>
      <c r="C37" t="s">
        <v>194</v>
      </c>
      <c r="D37" s="75">
        <v>77.707285714285717</v>
      </c>
      <c r="E37" s="75">
        <v>77.707285714285717</v>
      </c>
      <c r="F37" s="75">
        <v>77.707285714285717</v>
      </c>
      <c r="G37" s="75">
        <v>77.707285714285717</v>
      </c>
      <c r="H37" s="75">
        <v>79.301285714285726</v>
      </c>
      <c r="I37" s="75">
        <v>79.301285714285726</v>
      </c>
    </row>
    <row r="38" spans="2:9" x14ac:dyDescent="0.35">
      <c r="B38" t="s">
        <v>195</v>
      </c>
      <c r="C38" t="s">
        <v>196</v>
      </c>
      <c r="D38" s="75">
        <v>1805.7118273259216</v>
      </c>
      <c r="E38" s="75">
        <v>1817.7921561451901</v>
      </c>
      <c r="F38" s="75">
        <v>1835.8050860931501</v>
      </c>
      <c r="G38" s="75">
        <v>1850.0136327031228</v>
      </c>
      <c r="H38" s="75">
        <v>1862.852581925677</v>
      </c>
      <c r="I38" s="75">
        <v>1874.5752346544473</v>
      </c>
    </row>
    <row r="39" spans="2:9" x14ac:dyDescent="0.35">
      <c r="B39" t="s">
        <v>197</v>
      </c>
      <c r="C39" t="s">
        <v>198</v>
      </c>
      <c r="D39" s="75">
        <v>3037.0238636363642</v>
      </c>
      <c r="E39" s="75">
        <v>3071.7552738063127</v>
      </c>
      <c r="F39" s="75">
        <v>3103.5502090639338</v>
      </c>
      <c r="G39" s="75">
        <v>3133.5225047207987</v>
      </c>
      <c r="H39" s="75">
        <v>3162.0771917992988</v>
      </c>
      <c r="I39" s="75">
        <v>3191.3406831669809</v>
      </c>
    </row>
    <row r="40" spans="2:9" x14ac:dyDescent="0.35">
      <c r="B40" t="s">
        <v>199</v>
      </c>
      <c r="C40" t="s">
        <v>200</v>
      </c>
      <c r="D40" s="75">
        <v>84.266000000000005</v>
      </c>
      <c r="E40" s="75">
        <v>84.266000000000005</v>
      </c>
      <c r="F40" s="75">
        <v>84.266000000000005</v>
      </c>
      <c r="G40" s="75">
        <v>84.266000000000005</v>
      </c>
      <c r="H40" s="75">
        <v>91.364999999999995</v>
      </c>
      <c r="I40" s="75">
        <v>91.364999999999995</v>
      </c>
    </row>
    <row r="41" spans="2:9" x14ac:dyDescent="0.35">
      <c r="B41" t="s">
        <v>201</v>
      </c>
      <c r="C41" t="s">
        <v>202</v>
      </c>
      <c r="D41" s="75">
        <v>1.365</v>
      </c>
      <c r="E41" s="75">
        <v>1.365</v>
      </c>
      <c r="F41" s="75">
        <v>1.365</v>
      </c>
      <c r="G41" s="75">
        <v>1.365</v>
      </c>
      <c r="H41" s="75">
        <v>-0.90100000000000025</v>
      </c>
      <c r="I41" s="75">
        <v>-0.90100000000000025</v>
      </c>
    </row>
    <row r="42" spans="2:9" x14ac:dyDescent="0.35">
      <c r="B42" t="s">
        <v>203</v>
      </c>
      <c r="C42" t="s">
        <v>204</v>
      </c>
      <c r="D42" s="75">
        <v>0</v>
      </c>
      <c r="E42" s="75">
        <v>0</v>
      </c>
      <c r="F42" s="75">
        <v>0</v>
      </c>
      <c r="G42" s="75">
        <v>0</v>
      </c>
      <c r="H42" s="75">
        <v>0</v>
      </c>
      <c r="I42" s="75">
        <v>0</v>
      </c>
    </row>
    <row r="43" spans="2:9" x14ac:dyDescent="0.35">
      <c r="B43" t="s">
        <v>205</v>
      </c>
      <c r="C43" t="s">
        <v>206</v>
      </c>
      <c r="D43" s="75">
        <v>22.62857142857143</v>
      </c>
      <c r="E43" s="75">
        <v>23.885714285714286</v>
      </c>
      <c r="F43" s="75">
        <v>25.771428571428572</v>
      </c>
      <c r="G43" s="75">
        <v>27.028571428571432</v>
      </c>
      <c r="H43" s="75">
        <v>28.285714285714292</v>
      </c>
      <c r="I43" s="75">
        <v>28.914285714285718</v>
      </c>
    </row>
    <row r="44" spans="2:9" x14ac:dyDescent="0.35">
      <c r="B44" t="s">
        <v>207</v>
      </c>
      <c r="C44" t="s">
        <v>208</v>
      </c>
      <c r="D44" s="75">
        <v>588.9477908684147</v>
      </c>
      <c r="E44" s="75">
        <v>578.21184847860195</v>
      </c>
      <c r="F44" s="75">
        <v>567.67161182159691</v>
      </c>
      <c r="G44" s="75">
        <v>557.32351337323973</v>
      </c>
      <c r="H44" s="75">
        <v>560.13381592809628</v>
      </c>
      <c r="I44" s="75">
        <v>562.95828942722551</v>
      </c>
    </row>
    <row r="45" spans="2:9" x14ac:dyDescent="0.35">
      <c r="B45" t="s">
        <v>209</v>
      </c>
      <c r="C45" t="s">
        <v>210</v>
      </c>
      <c r="D45" s="75">
        <v>853.54752299770257</v>
      </c>
      <c r="E45" s="75">
        <v>837.98818620087252</v>
      </c>
      <c r="F45" s="75">
        <v>822.71248090086522</v>
      </c>
      <c r="G45" s="75">
        <v>807.71523677281129</v>
      </c>
      <c r="H45" s="75">
        <v>811.78813902622653</v>
      </c>
      <c r="I45" s="75">
        <v>815.88157888003695</v>
      </c>
    </row>
    <row r="46" spans="2:9" x14ac:dyDescent="0.35">
      <c r="B46" t="s">
        <v>55</v>
      </c>
      <c r="C46" t="s">
        <v>211</v>
      </c>
      <c r="D46" s="75">
        <v>951.24080653897136</v>
      </c>
      <c r="E46" s="75">
        <v>956.20740993861648</v>
      </c>
      <c r="F46" s="75">
        <v>961.19994488909481</v>
      </c>
      <c r="G46" s="75">
        <v>966.21854678380794</v>
      </c>
      <c r="H46" s="75">
        <v>992.80477413522954</v>
      </c>
      <c r="I46" s="75">
        <v>1020.1225414546368</v>
      </c>
    </row>
    <row r="47" spans="2:9" x14ac:dyDescent="0.35">
      <c r="B47" t="s">
        <v>212</v>
      </c>
      <c r="C47" t="s">
        <v>213</v>
      </c>
      <c r="D47" s="75">
        <v>0</v>
      </c>
      <c r="E47" s="75">
        <v>0</v>
      </c>
      <c r="F47" s="75">
        <v>0</v>
      </c>
      <c r="G47" s="75">
        <v>0</v>
      </c>
      <c r="H47" s="75">
        <v>0</v>
      </c>
      <c r="I47" s="75">
        <v>0</v>
      </c>
    </row>
    <row r="48" spans="2:9" x14ac:dyDescent="0.35">
      <c r="B48" t="s">
        <v>214</v>
      </c>
      <c r="C48" t="s">
        <v>215</v>
      </c>
      <c r="D48" s="75">
        <v>0</v>
      </c>
      <c r="E48" s="75">
        <v>0</v>
      </c>
      <c r="F48" s="75">
        <v>0</v>
      </c>
      <c r="G48" s="75">
        <v>0</v>
      </c>
      <c r="H48" s="75">
        <v>0</v>
      </c>
      <c r="I48" s="75">
        <v>0</v>
      </c>
    </row>
    <row r="49" spans="2:12" x14ac:dyDescent="0.35">
      <c r="B49" t="s">
        <v>216</v>
      </c>
      <c r="C49" t="s">
        <v>217</v>
      </c>
      <c r="D49" s="75">
        <v>4.2219999999999995</v>
      </c>
      <c r="E49" s="75">
        <v>4.2219999999999995</v>
      </c>
      <c r="F49" s="75">
        <v>4.2219999999999995</v>
      </c>
      <c r="G49" s="75">
        <v>4.2219999999999995</v>
      </c>
      <c r="H49" s="75">
        <v>2.3719999999999999</v>
      </c>
      <c r="I49" s="75">
        <v>2.3719999999999999</v>
      </c>
    </row>
    <row r="50" spans="2:12" x14ac:dyDescent="0.35">
      <c r="B50" t="s">
        <v>800</v>
      </c>
      <c r="C50" t="s">
        <v>219</v>
      </c>
      <c r="D50" s="75">
        <v>1.4790000000000001</v>
      </c>
      <c r="E50" s="75">
        <v>1.4790000000000001</v>
      </c>
      <c r="F50" s="75">
        <v>1.4790000000000001</v>
      </c>
      <c r="G50" s="75">
        <v>1.4790000000000001</v>
      </c>
      <c r="H50" s="75">
        <v>1.63</v>
      </c>
      <c r="I50" s="75">
        <v>1.63</v>
      </c>
    </row>
    <row r="51" spans="2:12" x14ac:dyDescent="0.35">
      <c r="B51" t="s">
        <v>220</v>
      </c>
      <c r="C51" t="s">
        <v>221</v>
      </c>
      <c r="D51" s="75">
        <v>1948.237761904762</v>
      </c>
      <c r="E51" s="75">
        <v>2000.8765070780953</v>
      </c>
      <c r="F51" s="75">
        <v>2007.8098404114287</v>
      </c>
      <c r="G51" s="75">
        <v>2014.7431737447621</v>
      </c>
      <c r="H51" s="75">
        <v>2023.2045070780955</v>
      </c>
      <c r="I51" s="75">
        <v>2064.609455760909</v>
      </c>
    </row>
    <row r="52" spans="2:12" x14ac:dyDescent="0.35">
      <c r="B52" t="s">
        <v>222</v>
      </c>
      <c r="C52" t="s">
        <v>223</v>
      </c>
      <c r="D52" s="75">
        <v>193.12402555814535</v>
      </c>
      <c r="E52" s="75">
        <v>196.29831211574134</v>
      </c>
      <c r="F52" s="75">
        <v>199.52477289205825</v>
      </c>
      <c r="G52" s="75">
        <v>202.80426544959073</v>
      </c>
      <c r="H52" s="75">
        <v>206.137661446175</v>
      </c>
      <c r="I52" s="75">
        <v>209.52584686666717</v>
      </c>
    </row>
    <row r="53" spans="2:12" x14ac:dyDescent="0.35">
      <c r="B53" t="s">
        <v>224</v>
      </c>
      <c r="C53" t="s">
        <v>225</v>
      </c>
      <c r="D53" s="75">
        <v>4150.0014130268701</v>
      </c>
      <c r="E53" s="75">
        <v>4204.6463858807801</v>
      </c>
      <c r="F53" s="75">
        <v>4237.7292164595583</v>
      </c>
      <c r="G53" s="75">
        <v>4271.1112714710544</v>
      </c>
      <c r="H53" s="75">
        <v>4301.8517528148805</v>
      </c>
      <c r="I53" s="75">
        <v>4359.8223054105692</v>
      </c>
    </row>
    <row r="54" spans="2:12" x14ac:dyDescent="0.35">
      <c r="B54" t="s">
        <v>226</v>
      </c>
      <c r="C54" t="s">
        <v>227</v>
      </c>
      <c r="D54" s="75">
        <v>2303.1049461423299</v>
      </c>
      <c r="E54" s="75">
        <v>2303.0084535700676</v>
      </c>
      <c r="F54" s="75">
        <v>2321.5943152047266</v>
      </c>
      <c r="G54" s="75">
        <v>2343.3886554332466</v>
      </c>
      <c r="H54" s="75">
        <v>2367.5059800940517</v>
      </c>
      <c r="I54" s="75">
        <v>2391.7916324130892</v>
      </c>
    </row>
    <row r="55" spans="2:12" x14ac:dyDescent="0.35">
      <c r="B55" t="s">
        <v>228</v>
      </c>
      <c r="C55" t="s">
        <v>229</v>
      </c>
      <c r="D55" s="75">
        <v>418.6878884136944</v>
      </c>
      <c r="E55" s="75">
        <v>419.37690886200528</v>
      </c>
      <c r="F55" s="75">
        <v>420.06706320788362</v>
      </c>
      <c r="G55" s="75">
        <v>420.75835331734618</v>
      </c>
      <c r="H55" s="75">
        <v>422.95559046469532</v>
      </c>
      <c r="I55" s="75">
        <v>425.16430177778267</v>
      </c>
    </row>
    <row r="56" spans="2:12" x14ac:dyDescent="0.35">
      <c r="B56" t="s">
        <v>230</v>
      </c>
      <c r="C56" s="35" t="s">
        <v>231</v>
      </c>
      <c r="D56" s="75">
        <v>128.90298592625811</v>
      </c>
      <c r="E56" s="75">
        <v>129.4766557205416</v>
      </c>
      <c r="F56" s="75">
        <v>130.51913093811052</v>
      </c>
      <c r="G56" s="75">
        <v>131.81451434455713</v>
      </c>
      <c r="H56" s="75">
        <v>135.75618099560171</v>
      </c>
      <c r="I56" s="75">
        <v>140.92537763656472</v>
      </c>
    </row>
    <row r="57" spans="2:12" x14ac:dyDescent="0.35">
      <c r="B57" s="35" t="s">
        <v>1390</v>
      </c>
      <c r="C57" s="35" t="s">
        <v>1389</v>
      </c>
      <c r="D57" s="75">
        <v>2.1006180000000003</v>
      </c>
      <c r="E57" s="75">
        <v>2.5815300000000003</v>
      </c>
      <c r="F57" s="75">
        <v>2.6040450000000002</v>
      </c>
      <c r="G57" s="75">
        <v>2.626465</v>
      </c>
      <c r="H57" s="75">
        <v>2.6498349999999999</v>
      </c>
      <c r="I57" s="75">
        <v>2.6454420000000001</v>
      </c>
    </row>
    <row r="58" spans="2:12" x14ac:dyDescent="0.35">
      <c r="B58" s="35"/>
      <c r="C58" s="35"/>
      <c r="D58" s="75"/>
      <c r="E58" s="75"/>
      <c r="F58" s="75"/>
      <c r="G58" s="75"/>
      <c r="H58" s="75"/>
      <c r="I58" s="75"/>
    </row>
    <row r="59" spans="2:12" x14ac:dyDescent="0.35">
      <c r="B59" s="77" t="s">
        <v>2010</v>
      </c>
      <c r="C59" s="35"/>
    </row>
    <row r="60" spans="2:12" x14ac:dyDescent="0.35">
      <c r="B60" s="35" t="s">
        <v>1716</v>
      </c>
      <c r="C60" s="35"/>
      <c r="D60" s="70">
        <v>3.0656416393558983E-2</v>
      </c>
      <c r="E60" s="70">
        <v>2.8091398638267373E-2</v>
      </c>
      <c r="F60" s="70">
        <v>2.4757720383034698E-2</v>
      </c>
      <c r="G60" s="70">
        <v>2.5292162721610056E-2</v>
      </c>
      <c r="H60" s="70">
        <v>2.4263189998973589E-2</v>
      </c>
      <c r="I60" s="70">
        <v>2.3060157044477725E-2</v>
      </c>
      <c r="J60" s="71"/>
      <c r="K60" s="71"/>
      <c r="L60" s="71"/>
    </row>
    <row r="61" spans="2:12" x14ac:dyDescent="0.35">
      <c r="B61" s="35" t="s">
        <v>1717</v>
      </c>
      <c r="C61" s="35"/>
      <c r="D61" s="70">
        <v>2.8963096514068587E-2</v>
      </c>
      <c r="E61" s="70">
        <v>2.9177415019928876E-2</v>
      </c>
      <c r="F61" s="70">
        <v>2.6899993160794278E-2</v>
      </c>
      <c r="G61" s="70">
        <v>2.7881138243015302E-2</v>
      </c>
      <c r="H61" s="70">
        <v>2.6848543864137264E-2</v>
      </c>
      <c r="I61" s="70">
        <v>2.5377349311315189E-2</v>
      </c>
      <c r="J61" s="71"/>
      <c r="K61" s="71"/>
      <c r="L61" s="71"/>
    </row>
    <row r="62" spans="2:12" x14ac:dyDescent="0.35">
      <c r="B62" s="35" t="s">
        <v>1718</v>
      </c>
      <c r="C62" s="35"/>
      <c r="D62" s="70">
        <v>3.0650594768110162E-2</v>
      </c>
      <c r="E62" s="70">
        <v>3.3343974071288418E-2</v>
      </c>
      <c r="F62" s="70">
        <v>3.0704031449066083E-2</v>
      </c>
      <c r="G62" s="70">
        <v>2.9455855111519602E-2</v>
      </c>
      <c r="H62" s="70">
        <v>2.8801828876449553E-2</v>
      </c>
      <c r="I62" s="70">
        <v>2.9396483903845194E-2</v>
      </c>
      <c r="J62" s="71"/>
      <c r="K62" s="71"/>
      <c r="L62" s="71"/>
    </row>
    <row r="63" spans="2:12" x14ac:dyDescent="0.35">
      <c r="B63" s="35" t="s">
        <v>1719</v>
      </c>
      <c r="C63" s="35"/>
      <c r="D63" s="70">
        <v>3.0650594768110162E-2</v>
      </c>
      <c r="E63" s="70">
        <v>3.3343974071288418E-2</v>
      </c>
      <c r="F63" s="70">
        <v>3.0704031449066083E-2</v>
      </c>
      <c r="G63" s="70">
        <v>2.9455855111519602E-2</v>
      </c>
      <c r="H63" s="70">
        <v>2.8801828876449553E-2</v>
      </c>
      <c r="I63" s="70">
        <v>2.9396483903845194E-2</v>
      </c>
      <c r="J63" s="71"/>
      <c r="K63" s="71"/>
      <c r="L63" s="71"/>
    </row>
    <row r="64" spans="2:12" x14ac:dyDescent="0.35">
      <c r="B64" s="35" t="s">
        <v>1720</v>
      </c>
      <c r="C64" s="35"/>
      <c r="D64" s="70">
        <v>3.0650594768110162E-2</v>
      </c>
      <c r="E64" s="70">
        <v>3.3343974071288418E-2</v>
      </c>
      <c r="F64" s="70">
        <v>3.0704031449066083E-2</v>
      </c>
      <c r="G64" s="70">
        <v>2.9455855111519602E-2</v>
      </c>
      <c r="H64" s="70">
        <v>2.8801828876449553E-2</v>
      </c>
      <c r="I64" s="70">
        <v>2.9396483903845194E-2</v>
      </c>
      <c r="J64" s="71"/>
      <c r="K64" s="71"/>
      <c r="L64" s="71"/>
    </row>
    <row r="65" spans="2:9" x14ac:dyDescent="0.35">
      <c r="D65" s="76"/>
      <c r="E65" s="76"/>
      <c r="F65" s="76"/>
      <c r="G65" s="76"/>
      <c r="H65" s="76"/>
      <c r="I65" s="76"/>
    </row>
    <row r="66" spans="2:9" x14ac:dyDescent="0.35">
      <c r="B66" s="1255" t="s">
        <v>232</v>
      </c>
      <c r="C66" s="1255"/>
      <c r="D66" s="1255"/>
      <c r="E66" s="1255"/>
      <c r="F66" s="1255"/>
      <c r="G66" s="1255"/>
      <c r="H66" s="1255"/>
      <c r="I66" s="1255"/>
    </row>
    <row r="67" spans="2:9" x14ac:dyDescent="0.35">
      <c r="B67" t="s">
        <v>178</v>
      </c>
      <c r="C67" t="s">
        <v>179</v>
      </c>
      <c r="D67" t="s">
        <v>189</v>
      </c>
      <c r="E67" t="s">
        <v>190</v>
      </c>
      <c r="F67" t="s">
        <v>191</v>
      </c>
      <c r="G67" t="s">
        <v>175</v>
      </c>
      <c r="H67" t="s">
        <v>176</v>
      </c>
      <c r="I67" t="s">
        <v>177</v>
      </c>
    </row>
    <row r="68" spans="2:9" x14ac:dyDescent="0.35">
      <c r="B68" s="35" t="s">
        <v>192</v>
      </c>
      <c r="C68" s="35" t="s">
        <v>193</v>
      </c>
      <c r="D68" s="75">
        <f t="shared" ref="D68:I68" si="0">D4-D36</f>
        <v>-19.484490815025879</v>
      </c>
      <c r="E68" s="75">
        <f t="shared" si="0"/>
        <v>-10.570186922075095</v>
      </c>
      <c r="F68" s="75">
        <f t="shared" si="0"/>
        <v>-10.674339271116878</v>
      </c>
      <c r="G68" s="75">
        <f t="shared" si="0"/>
        <v>-10.779517875596866</v>
      </c>
      <c r="H68" s="75">
        <f t="shared" si="0"/>
        <v>-10.885732847626969</v>
      </c>
      <c r="I68" s="75">
        <f t="shared" si="0"/>
        <v>-10.992994398958103</v>
      </c>
    </row>
    <row r="69" spans="2:9" x14ac:dyDescent="0.35">
      <c r="B69" s="35" t="s">
        <v>134</v>
      </c>
      <c r="C69" s="35" t="s">
        <v>194</v>
      </c>
      <c r="D69" s="75">
        <f t="shared" ref="D69:I69" si="1">D5-D37</f>
        <v>0</v>
      </c>
      <c r="E69" s="75">
        <f t="shared" si="1"/>
        <v>0</v>
      </c>
      <c r="F69" s="75">
        <f t="shared" si="1"/>
        <v>0</v>
      </c>
      <c r="G69" s="75">
        <f t="shared" si="1"/>
        <v>0</v>
      </c>
      <c r="H69" s="75">
        <f t="shared" si="1"/>
        <v>0</v>
      </c>
      <c r="I69" s="75">
        <f t="shared" si="1"/>
        <v>0</v>
      </c>
    </row>
    <row r="70" spans="2:9" x14ac:dyDescent="0.35">
      <c r="B70" s="35" t="s">
        <v>195</v>
      </c>
      <c r="C70" s="35" t="s">
        <v>196</v>
      </c>
      <c r="D70" s="75">
        <f t="shared" ref="D70:I70" si="2">D6-D38</f>
        <v>14.088172674078351</v>
      </c>
      <c r="E70" s="75">
        <f t="shared" si="2"/>
        <v>14.182423459718848</v>
      </c>
      <c r="F70" s="75">
        <f t="shared" si="2"/>
        <v>14.322960428925398</v>
      </c>
      <c r="G70" s="75">
        <f t="shared" si="2"/>
        <v>14.433815580372993</v>
      </c>
      <c r="H70" s="75">
        <f t="shared" si="2"/>
        <v>14.533985126179687</v>
      </c>
      <c r="I70" s="75">
        <f t="shared" si="2"/>
        <v>14.625445321179768</v>
      </c>
    </row>
    <row r="71" spans="2:9" x14ac:dyDescent="0.35">
      <c r="B71" s="35" t="s">
        <v>197</v>
      </c>
      <c r="C71" s="35" t="s">
        <v>198</v>
      </c>
      <c r="D71" s="75">
        <f t="shared" ref="D71:I71" si="3">D7-D39</f>
        <v>-0.12386363636414899</v>
      </c>
      <c r="E71" s="75">
        <f t="shared" si="3"/>
        <v>-0.1252801411242217</v>
      </c>
      <c r="F71" s="75">
        <f t="shared" si="3"/>
        <v>-0.12657688309127479</v>
      </c>
      <c r="G71" s="75">
        <f t="shared" si="3"/>
        <v>-0.1277992895315947</v>
      </c>
      <c r="H71" s="75">
        <f t="shared" si="3"/>
        <v>-0.12896387945102106</v>
      </c>
      <c r="I71" s="75">
        <f t="shared" si="3"/>
        <v>-0.13015737763089419</v>
      </c>
    </row>
    <row r="72" spans="2:9" x14ac:dyDescent="0.35">
      <c r="B72" s="35" t="s">
        <v>199</v>
      </c>
      <c r="C72" s="35" t="s">
        <v>200</v>
      </c>
      <c r="D72" s="75">
        <f t="shared" ref="D72:I72" si="4">D8-D40</f>
        <v>14.069000000000003</v>
      </c>
      <c r="E72" s="75">
        <f t="shared" si="4"/>
        <v>0</v>
      </c>
      <c r="F72" s="75">
        <f t="shared" si="4"/>
        <v>0</v>
      </c>
      <c r="G72" s="75">
        <f t="shared" si="4"/>
        <v>0</v>
      </c>
      <c r="H72" s="75">
        <f t="shared" si="4"/>
        <v>0</v>
      </c>
      <c r="I72" s="75">
        <f t="shared" si="4"/>
        <v>0</v>
      </c>
    </row>
    <row r="73" spans="2:9" x14ac:dyDescent="0.35">
      <c r="B73" s="35" t="s">
        <v>201</v>
      </c>
      <c r="C73" s="35" t="s">
        <v>202</v>
      </c>
      <c r="D73" s="75">
        <f t="shared" ref="D73:I73" si="5">D9-D41</f>
        <v>0</v>
      </c>
      <c r="E73" s="75">
        <f t="shared" si="5"/>
        <v>0</v>
      </c>
      <c r="F73" s="75">
        <f t="shared" si="5"/>
        <v>0</v>
      </c>
      <c r="G73" s="75">
        <f t="shared" si="5"/>
        <v>0</v>
      </c>
      <c r="H73" s="75">
        <f t="shared" si="5"/>
        <v>0</v>
      </c>
      <c r="I73" s="75">
        <f t="shared" si="5"/>
        <v>0</v>
      </c>
    </row>
    <row r="74" spans="2:9" x14ac:dyDescent="0.35">
      <c r="B74" s="35" t="s">
        <v>203</v>
      </c>
      <c r="C74" s="35" t="s">
        <v>204</v>
      </c>
      <c r="D74" s="75">
        <f t="shared" ref="D74:I74" si="6">D10-D42</f>
        <v>7.1428571428569398E-2</v>
      </c>
      <c r="E74" s="75">
        <f t="shared" si="6"/>
        <v>0</v>
      </c>
      <c r="F74" s="75">
        <f t="shared" si="6"/>
        <v>0</v>
      </c>
      <c r="G74" s="75">
        <f t="shared" si="6"/>
        <v>0</v>
      </c>
      <c r="H74" s="75">
        <f t="shared" si="6"/>
        <v>0</v>
      </c>
      <c r="I74" s="75">
        <f t="shared" si="6"/>
        <v>0</v>
      </c>
    </row>
    <row r="75" spans="2:9" x14ac:dyDescent="0.35">
      <c r="B75" s="35" t="s">
        <v>205</v>
      </c>
      <c r="C75" s="35" t="s">
        <v>206</v>
      </c>
      <c r="D75" s="75">
        <f t="shared" ref="D75:I75" si="7">D11-D43</f>
        <v>0</v>
      </c>
      <c r="E75" s="75">
        <f t="shared" si="7"/>
        <v>0</v>
      </c>
      <c r="F75" s="75">
        <f t="shared" si="7"/>
        <v>0</v>
      </c>
      <c r="G75" s="75">
        <f t="shared" si="7"/>
        <v>0</v>
      </c>
      <c r="H75" s="75">
        <f t="shared" si="7"/>
        <v>0</v>
      </c>
      <c r="I75" s="75">
        <f t="shared" si="7"/>
        <v>0</v>
      </c>
    </row>
    <row r="76" spans="2:9" x14ac:dyDescent="0.35">
      <c r="B76" s="35" t="s">
        <v>207</v>
      </c>
      <c r="C76" s="35" t="s">
        <v>208</v>
      </c>
      <c r="D76" s="75">
        <f t="shared" ref="D76:I76" si="8">D12-D44</f>
        <v>28.049209131585258</v>
      </c>
      <c r="E76" s="75">
        <f t="shared" si="8"/>
        <v>5.305599660108669</v>
      </c>
      <c r="F76" s="75">
        <f t="shared" si="8"/>
        <v>3.9344973320430654</v>
      </c>
      <c r="G76" s="75">
        <f t="shared" si="8"/>
        <v>2.6144029032477647</v>
      </c>
      <c r="H76" s="75">
        <f t="shared" si="8"/>
        <v>3.8528371209001762</v>
      </c>
      <c r="I76" s="75">
        <f t="shared" si="8"/>
        <v>5.1063755495721352</v>
      </c>
    </row>
    <row r="77" spans="2:9" x14ac:dyDescent="0.35">
      <c r="B77" s="35" t="s">
        <v>209</v>
      </c>
      <c r="C77" s="35" t="s">
        <v>210</v>
      </c>
      <c r="D77" s="75">
        <f t="shared" ref="D77:I77" si="9">D13-D45</f>
        <v>9.7524770022973826</v>
      </c>
      <c r="E77" s="75">
        <f t="shared" si="9"/>
        <v>7.689274869722567</v>
      </c>
      <c r="F77" s="75">
        <f t="shared" si="9"/>
        <v>5.7021700464391643</v>
      </c>
      <c r="G77" s="75">
        <f t="shared" si="9"/>
        <v>3.788989714851823</v>
      </c>
      <c r="H77" s="75">
        <f t="shared" si="9"/>
        <v>5.5838219143480501</v>
      </c>
      <c r="I77" s="75">
        <f t="shared" si="9"/>
        <v>7.4005442747422876</v>
      </c>
    </row>
    <row r="78" spans="2:9" x14ac:dyDescent="0.35">
      <c r="B78" s="35" t="s">
        <v>55</v>
      </c>
      <c r="C78" s="35" t="s">
        <v>211</v>
      </c>
      <c r="D78" s="75">
        <f t="shared" ref="D78:I78" si="10">D14-D46</f>
        <v>5.9193461028598904E-2</v>
      </c>
      <c r="E78" s="75">
        <f t="shared" si="10"/>
        <v>5.9502520987734897E-2</v>
      </c>
      <c r="F78" s="75">
        <f t="shared" si="10"/>
        <v>5.9813194605794706E-2</v>
      </c>
      <c r="G78" s="75">
        <f t="shared" si="10"/>
        <v>6.0125490307996188E-2</v>
      </c>
      <c r="H78" s="75">
        <f t="shared" si="10"/>
        <v>6.1779888228898017E-2</v>
      </c>
      <c r="I78" s="75">
        <f t="shared" si="10"/>
        <v>6.3479808148372285E-2</v>
      </c>
    </row>
    <row r="79" spans="2:9" x14ac:dyDescent="0.35">
      <c r="B79" s="35" t="s">
        <v>212</v>
      </c>
      <c r="C79" s="35" t="s">
        <v>213</v>
      </c>
      <c r="D79" s="75">
        <f t="shared" ref="D79:I79" si="11">D15-D47</f>
        <v>0</v>
      </c>
      <c r="E79" s="75">
        <f t="shared" si="11"/>
        <v>0</v>
      </c>
      <c r="F79" s="75">
        <f t="shared" si="11"/>
        <v>0</v>
      </c>
      <c r="G79" s="75">
        <f t="shared" si="11"/>
        <v>0</v>
      </c>
      <c r="H79" s="75">
        <f t="shared" si="11"/>
        <v>0</v>
      </c>
      <c r="I79" s="75">
        <f t="shared" si="11"/>
        <v>0</v>
      </c>
    </row>
    <row r="80" spans="2:9" x14ac:dyDescent="0.35">
      <c r="B80" s="35" t="s">
        <v>214</v>
      </c>
      <c r="C80" s="35" t="s">
        <v>215</v>
      </c>
      <c r="D80" s="75">
        <f t="shared" ref="D80:I80" si="12">D16-D48</f>
        <v>0</v>
      </c>
      <c r="E80" s="75">
        <f t="shared" si="12"/>
        <v>0</v>
      </c>
      <c r="F80" s="75">
        <f t="shared" si="12"/>
        <v>0</v>
      </c>
      <c r="G80" s="75">
        <f t="shared" si="12"/>
        <v>0</v>
      </c>
      <c r="H80" s="75">
        <f t="shared" si="12"/>
        <v>0</v>
      </c>
      <c r="I80" s="75">
        <f t="shared" si="12"/>
        <v>0</v>
      </c>
    </row>
    <row r="81" spans="2:17" x14ac:dyDescent="0.35">
      <c r="B81" s="35" t="s">
        <v>216</v>
      </c>
      <c r="C81" s="35" t="s">
        <v>217</v>
      </c>
      <c r="D81" s="75">
        <f t="shared" ref="D81:I81" si="13">D17-D49</f>
        <v>0</v>
      </c>
      <c r="E81" s="75">
        <f t="shared" si="13"/>
        <v>0</v>
      </c>
      <c r="F81" s="75">
        <f t="shared" si="13"/>
        <v>0</v>
      </c>
      <c r="G81" s="75">
        <f t="shared" si="13"/>
        <v>0</v>
      </c>
      <c r="H81" s="75">
        <f t="shared" si="13"/>
        <v>0</v>
      </c>
      <c r="I81" s="75">
        <f t="shared" si="13"/>
        <v>0</v>
      </c>
    </row>
    <row r="82" spans="2:17" x14ac:dyDescent="0.35">
      <c r="B82" s="35" t="s">
        <v>825</v>
      </c>
      <c r="C82" s="35" t="s">
        <v>219</v>
      </c>
      <c r="D82" s="75">
        <f t="shared" ref="D82:I82" si="14">D18-D50</f>
        <v>0</v>
      </c>
      <c r="E82" s="75">
        <f t="shared" si="14"/>
        <v>0</v>
      </c>
      <c r="F82" s="75">
        <f t="shared" si="14"/>
        <v>0</v>
      </c>
      <c r="G82" s="75">
        <f t="shared" si="14"/>
        <v>0</v>
      </c>
      <c r="H82" s="75">
        <f t="shared" si="14"/>
        <v>0</v>
      </c>
      <c r="I82" s="75">
        <f t="shared" si="14"/>
        <v>0</v>
      </c>
    </row>
    <row r="83" spans="2:17" x14ac:dyDescent="0.35">
      <c r="B83" s="35" t="s">
        <v>220</v>
      </c>
      <c r="C83" s="35" t="s">
        <v>221</v>
      </c>
      <c r="D83" s="75">
        <f t="shared" ref="D83:I83" si="15">D19-D51</f>
        <v>-0.83876190476212287</v>
      </c>
      <c r="E83" s="75">
        <f t="shared" si="15"/>
        <v>-0.86640299276200494</v>
      </c>
      <c r="F83" s="75">
        <f t="shared" si="15"/>
        <v>-0.86640299276200494</v>
      </c>
      <c r="G83" s="75">
        <f t="shared" si="15"/>
        <v>-0.86640299276200494</v>
      </c>
      <c r="H83" s="75">
        <f t="shared" si="15"/>
        <v>-0.86640299276200494</v>
      </c>
      <c r="I83" s="75">
        <f t="shared" si="15"/>
        <v>-0.88672696649837235</v>
      </c>
    </row>
    <row r="84" spans="2:17" x14ac:dyDescent="0.35">
      <c r="B84" s="35" t="s">
        <v>222</v>
      </c>
      <c r="C84" s="35" t="s">
        <v>223</v>
      </c>
      <c r="D84" s="75">
        <f t="shared" ref="D84:I84" si="16">D20-D52</f>
        <v>0</v>
      </c>
      <c r="E84" s="75">
        <f t="shared" si="16"/>
        <v>0</v>
      </c>
      <c r="F84" s="75">
        <f t="shared" si="16"/>
        <v>0</v>
      </c>
      <c r="G84" s="75">
        <f t="shared" si="16"/>
        <v>0</v>
      </c>
      <c r="H84" s="75">
        <f t="shared" si="16"/>
        <v>0</v>
      </c>
      <c r="I84" s="75">
        <f t="shared" si="16"/>
        <v>0</v>
      </c>
    </row>
    <row r="85" spans="2:17" x14ac:dyDescent="0.35">
      <c r="B85" s="35" t="s">
        <v>224</v>
      </c>
      <c r="C85" s="35" t="s">
        <v>225</v>
      </c>
      <c r="D85" s="75">
        <f t="shared" ref="D85:I85" si="17">D21-D53</f>
        <v>31.69858697312975</v>
      </c>
      <c r="E85" s="75">
        <f t="shared" si="17"/>
        <v>32.173302398416126</v>
      </c>
      <c r="F85" s="75">
        <f t="shared" si="17"/>
        <v>32.343339008314615</v>
      </c>
      <c r="G85" s="75">
        <f t="shared" si="17"/>
        <v>32.514342326849146</v>
      </c>
      <c r="H85" s="75">
        <f t="shared" si="17"/>
        <v>32.704404299143789</v>
      </c>
      <c r="I85" s="75">
        <f t="shared" si="17"/>
        <v>33.272690775042065</v>
      </c>
      <c r="K85" s="74"/>
      <c r="L85" s="74"/>
      <c r="M85" s="74"/>
      <c r="N85" s="74"/>
      <c r="O85" s="74"/>
      <c r="P85" s="74"/>
      <c r="Q85" s="74"/>
    </row>
    <row r="86" spans="2:17" x14ac:dyDescent="0.35">
      <c r="B86" s="35" t="s">
        <v>226</v>
      </c>
      <c r="C86" s="35" t="s">
        <v>227</v>
      </c>
      <c r="D86" s="75">
        <f t="shared" ref="D86:I86" si="18">D22-D54</f>
        <v>-37.504946142330027</v>
      </c>
      <c r="E86" s="75">
        <f t="shared" si="18"/>
        <v>-18.539359539673569</v>
      </c>
      <c r="F86" s="75">
        <f t="shared" si="18"/>
        <v>-18.691285975051869</v>
      </c>
      <c r="G86" s="75">
        <f t="shared" si="18"/>
        <v>-18.863025563929568</v>
      </c>
      <c r="H86" s="75">
        <f t="shared" si="18"/>
        <v>-19.048010230355885</v>
      </c>
      <c r="I86" s="75">
        <f t="shared" si="18"/>
        <v>-19.232436259594579</v>
      </c>
    </row>
    <row r="87" spans="2:17" x14ac:dyDescent="0.35">
      <c r="B87" s="35" t="s">
        <v>228</v>
      </c>
      <c r="C87" s="35" t="s">
        <v>229</v>
      </c>
      <c r="D87" s="75">
        <f t="shared" ref="D87:I87" si="19">D23-D55</f>
        <v>0</v>
      </c>
      <c r="E87" s="75">
        <f t="shared" si="19"/>
        <v>0</v>
      </c>
      <c r="F87" s="75">
        <f t="shared" si="19"/>
        <v>0</v>
      </c>
      <c r="G87" s="75">
        <f t="shared" si="19"/>
        <v>0</v>
      </c>
      <c r="H87" s="75">
        <f t="shared" si="19"/>
        <v>0</v>
      </c>
      <c r="I87" s="75">
        <f t="shared" si="19"/>
        <v>0</v>
      </c>
    </row>
    <row r="88" spans="2:17" x14ac:dyDescent="0.35">
      <c r="B88" s="35" t="s">
        <v>230</v>
      </c>
      <c r="C88" s="35" t="s">
        <v>231</v>
      </c>
      <c r="D88" s="75">
        <f t="shared" ref="D88:I88" si="20">D24-D56</f>
        <v>0</v>
      </c>
      <c r="E88" s="75">
        <f t="shared" si="20"/>
        <v>0</v>
      </c>
      <c r="F88" s="75">
        <f t="shared" si="20"/>
        <v>0</v>
      </c>
      <c r="G88" s="75">
        <f t="shared" si="20"/>
        <v>0</v>
      </c>
      <c r="H88" s="75">
        <f t="shared" si="20"/>
        <v>0</v>
      </c>
      <c r="I88" s="75">
        <f t="shared" si="20"/>
        <v>0</v>
      </c>
    </row>
    <row r="89" spans="2:17" x14ac:dyDescent="0.35">
      <c r="B89" s="35" t="s">
        <v>1390</v>
      </c>
      <c r="C89" s="35" t="s">
        <v>1389</v>
      </c>
      <c r="D89" s="75">
        <f t="shared" ref="D89:I89" si="21">D25-D57</f>
        <v>0</v>
      </c>
      <c r="E89" s="75">
        <f t="shared" si="21"/>
        <v>0</v>
      </c>
      <c r="F89" s="75">
        <f t="shared" si="21"/>
        <v>0</v>
      </c>
      <c r="G89" s="75">
        <f t="shared" si="21"/>
        <v>0</v>
      </c>
      <c r="H89" s="75">
        <f t="shared" si="21"/>
        <v>0</v>
      </c>
      <c r="I89" s="75">
        <f t="shared" si="21"/>
        <v>0</v>
      </c>
    </row>
    <row r="90" spans="2:17" x14ac:dyDescent="0.35">
      <c r="B90" s="35"/>
      <c r="C90" s="35"/>
      <c r="D90" s="75"/>
      <c r="E90" s="75"/>
      <c r="F90" s="75"/>
      <c r="G90" s="75"/>
      <c r="H90" s="75"/>
      <c r="I90" s="75"/>
    </row>
    <row r="91" spans="2:17" x14ac:dyDescent="0.35">
      <c r="B91" s="77" t="s">
        <v>2010</v>
      </c>
      <c r="C91" s="35"/>
      <c r="D91" s="75"/>
      <c r="E91" s="75"/>
      <c r="F91" s="75"/>
      <c r="G91" s="75"/>
      <c r="H91" s="75"/>
      <c r="I91" s="75"/>
    </row>
    <row r="92" spans="2:17" x14ac:dyDescent="0.35">
      <c r="B92" s="35" t="s">
        <v>1716</v>
      </c>
      <c r="C92" s="35" t="s">
        <v>2011</v>
      </c>
      <c r="D92" s="72">
        <f t="shared" ref="D92:I92" si="22">D28-D60</f>
        <v>-1.4066033379988241E-2</v>
      </c>
      <c r="E92" s="72">
        <f t="shared" si="22"/>
        <v>0</v>
      </c>
      <c r="F92" s="72">
        <f t="shared" si="22"/>
        <v>0</v>
      </c>
      <c r="G92" s="72">
        <f t="shared" si="22"/>
        <v>0</v>
      </c>
      <c r="H92" s="72">
        <f t="shared" si="22"/>
        <v>0</v>
      </c>
      <c r="I92" s="72">
        <f t="shared" si="22"/>
        <v>0</v>
      </c>
    </row>
    <row r="93" spans="2:17" x14ac:dyDescent="0.35">
      <c r="B93" s="35" t="s">
        <v>1717</v>
      </c>
      <c r="C93" s="35"/>
      <c r="D93" s="72">
        <f t="shared" ref="D93:I96" si="23">D29-D61</f>
        <v>8.6596914982435269E-3</v>
      </c>
      <c r="E93" s="72">
        <f t="shared" si="23"/>
        <v>0</v>
      </c>
      <c r="F93" s="72">
        <f t="shared" si="23"/>
        <v>0</v>
      </c>
      <c r="G93" s="72">
        <f t="shared" si="23"/>
        <v>0</v>
      </c>
      <c r="H93" s="72">
        <f t="shared" si="23"/>
        <v>0</v>
      </c>
      <c r="I93" s="72">
        <f t="shared" si="23"/>
        <v>0</v>
      </c>
    </row>
    <row r="94" spans="2:17" x14ac:dyDescent="0.35">
      <c r="B94" s="35" t="s">
        <v>1718</v>
      </c>
      <c r="C94" s="35"/>
      <c r="D94" s="72">
        <f t="shared" si="23"/>
        <v>-2.2072987401076327E-2</v>
      </c>
      <c r="E94" s="72">
        <f t="shared" si="23"/>
        <v>0</v>
      </c>
      <c r="F94" s="72">
        <f t="shared" si="23"/>
        <v>0</v>
      </c>
      <c r="G94" s="72">
        <f t="shared" si="23"/>
        <v>0</v>
      </c>
      <c r="H94" s="72">
        <f t="shared" si="23"/>
        <v>0</v>
      </c>
      <c r="I94" s="72">
        <f t="shared" si="23"/>
        <v>0</v>
      </c>
    </row>
    <row r="95" spans="2:17" x14ac:dyDescent="0.35">
      <c r="B95" s="35" t="s">
        <v>1719</v>
      </c>
      <c r="C95" s="35"/>
      <c r="D95" s="72">
        <f t="shared" si="23"/>
        <v>-2.2289601106204149E-2</v>
      </c>
      <c r="E95" s="72">
        <f t="shared" si="23"/>
        <v>0</v>
      </c>
      <c r="F95" s="72">
        <f t="shared" si="23"/>
        <v>0</v>
      </c>
      <c r="G95" s="72">
        <f t="shared" si="23"/>
        <v>0</v>
      </c>
      <c r="H95" s="72">
        <f t="shared" si="23"/>
        <v>0</v>
      </c>
      <c r="I95" s="72">
        <f t="shared" si="23"/>
        <v>0</v>
      </c>
    </row>
    <row r="96" spans="2:17" x14ac:dyDescent="0.35">
      <c r="B96" s="35" t="s">
        <v>1720</v>
      </c>
      <c r="C96" s="35"/>
      <c r="D96" s="72">
        <f t="shared" si="23"/>
        <v>-2.115053269237932E-2</v>
      </c>
      <c r="E96" s="72">
        <f t="shared" si="23"/>
        <v>0</v>
      </c>
      <c r="F96" s="72">
        <f t="shared" si="23"/>
        <v>0</v>
      </c>
      <c r="G96" s="72">
        <f t="shared" si="23"/>
        <v>0</v>
      </c>
      <c r="H96" s="72">
        <f t="shared" si="23"/>
        <v>0</v>
      </c>
      <c r="I96" s="72">
        <f t="shared" si="23"/>
        <v>0</v>
      </c>
    </row>
    <row r="98" spans="2:9" x14ac:dyDescent="0.35">
      <c r="B98" s="1255" t="s">
        <v>233</v>
      </c>
      <c r="C98" s="1255"/>
      <c r="D98" s="1255"/>
      <c r="E98" s="1255"/>
      <c r="F98" s="1255"/>
      <c r="G98" s="1255"/>
      <c r="H98" s="1255"/>
      <c r="I98" s="1255"/>
    </row>
    <row r="99" spans="2:9" x14ac:dyDescent="0.35">
      <c r="B99" t="s">
        <v>178</v>
      </c>
      <c r="C99" t="s">
        <v>179</v>
      </c>
      <c r="D99" t="s">
        <v>189</v>
      </c>
      <c r="E99" t="s">
        <v>190</v>
      </c>
      <c r="F99" t="s">
        <v>191</v>
      </c>
      <c r="G99" t="s">
        <v>175</v>
      </c>
      <c r="H99" t="s">
        <v>176</v>
      </c>
      <c r="I99" t="s">
        <v>177</v>
      </c>
    </row>
    <row r="100" spans="2:9" x14ac:dyDescent="0.35">
      <c r="B100" t="s">
        <v>192</v>
      </c>
      <c r="C100" t="s">
        <v>193</v>
      </c>
      <c r="D100" s="76">
        <f t="shared" ref="D100:I100" si="24">(D4/D36-1)</f>
        <v>-4.6790316698468892E-2</v>
      </c>
      <c r="E100" s="76">
        <f t="shared" si="24"/>
        <v>-2.6118080656719278E-2</v>
      </c>
      <c r="F100" s="76">
        <f t="shared" si="24"/>
        <v>-2.7758811777923942E-2</v>
      </c>
      <c r="G100" s="76">
        <f t="shared" si="24"/>
        <v>-2.7733017161760132E-2</v>
      </c>
      <c r="H100" s="76">
        <f t="shared" si="24"/>
        <v>-2.7690116257700459E-2</v>
      </c>
      <c r="I100" s="76">
        <f t="shared" si="24"/>
        <v>-2.9238239997867566E-2</v>
      </c>
    </row>
    <row r="101" spans="2:9" x14ac:dyDescent="0.35">
      <c r="B101" t="s">
        <v>134</v>
      </c>
      <c r="C101" t="s">
        <v>194</v>
      </c>
      <c r="D101" s="76">
        <f t="shared" ref="D101:I101" si="25">(D5/D37-1)</f>
        <v>0</v>
      </c>
      <c r="E101" s="76">
        <f t="shared" si="25"/>
        <v>0</v>
      </c>
      <c r="F101" s="76">
        <f t="shared" si="25"/>
        <v>0</v>
      </c>
      <c r="G101" s="76">
        <f t="shared" si="25"/>
        <v>0</v>
      </c>
      <c r="H101" s="76">
        <f t="shared" si="25"/>
        <v>0</v>
      </c>
      <c r="I101" s="76">
        <f t="shared" si="25"/>
        <v>0</v>
      </c>
    </row>
    <row r="102" spans="2:9" x14ac:dyDescent="0.35">
      <c r="B102" t="s">
        <v>195</v>
      </c>
      <c r="C102" t="s">
        <v>196</v>
      </c>
      <c r="D102" s="76">
        <f t="shared" ref="D102:I102" si="26">(D6/D38-1)</f>
        <v>7.8020049826785787E-3</v>
      </c>
      <c r="E102" s="76">
        <f t="shared" si="26"/>
        <v>7.8020049826785787E-3</v>
      </c>
      <c r="F102" s="76">
        <f t="shared" si="26"/>
        <v>7.8020049826785787E-3</v>
      </c>
      <c r="G102" s="76">
        <f t="shared" si="26"/>
        <v>7.8020049826785787E-3</v>
      </c>
      <c r="H102" s="76">
        <f t="shared" si="26"/>
        <v>7.8020049826785787E-3</v>
      </c>
      <c r="I102" s="76">
        <f t="shared" si="26"/>
        <v>7.8020049826785787E-3</v>
      </c>
    </row>
    <row r="103" spans="2:9" x14ac:dyDescent="0.35">
      <c r="B103" t="s">
        <v>197</v>
      </c>
      <c r="C103" t="s">
        <v>198</v>
      </c>
      <c r="D103" s="76">
        <f t="shared" ref="D103:I103" si="27">(D7/D39-1)</f>
        <v>-4.0784544977467974E-5</v>
      </c>
      <c r="E103" s="76">
        <f t="shared" si="27"/>
        <v>-4.0784544977467974E-5</v>
      </c>
      <c r="F103" s="76">
        <f t="shared" si="27"/>
        <v>-4.0784544977467974E-5</v>
      </c>
      <c r="G103" s="76">
        <f t="shared" si="27"/>
        <v>-4.0784544977467974E-5</v>
      </c>
      <c r="H103" s="76">
        <f t="shared" si="27"/>
        <v>-4.0784544977467974E-5</v>
      </c>
      <c r="I103" s="76">
        <f t="shared" si="27"/>
        <v>-4.0784544977467974E-5</v>
      </c>
    </row>
    <row r="104" spans="2:9" x14ac:dyDescent="0.35">
      <c r="B104" t="s">
        <v>199</v>
      </c>
      <c r="C104" t="s">
        <v>200</v>
      </c>
      <c r="D104" s="76">
        <f t="shared" ref="D104:I104" si="28">(D8/D40-1)</f>
        <v>0.16695939050150721</v>
      </c>
      <c r="E104" s="76">
        <f t="shared" si="28"/>
        <v>0</v>
      </c>
      <c r="F104" s="76">
        <f t="shared" si="28"/>
        <v>0</v>
      </c>
      <c r="G104" s="76">
        <f t="shared" si="28"/>
        <v>0</v>
      </c>
      <c r="H104" s="76">
        <f t="shared" si="28"/>
        <v>0</v>
      </c>
      <c r="I104" s="76">
        <f t="shared" si="28"/>
        <v>0</v>
      </c>
    </row>
    <row r="105" spans="2:9" x14ac:dyDescent="0.35">
      <c r="B105" t="s">
        <v>201</v>
      </c>
      <c r="C105" t="s">
        <v>202</v>
      </c>
      <c r="D105" s="76">
        <f t="shared" ref="D105:I105" si="29">(D9/D41-1)</f>
        <v>0</v>
      </c>
      <c r="E105" s="76">
        <f t="shared" si="29"/>
        <v>0</v>
      </c>
      <c r="F105" s="76">
        <f t="shared" si="29"/>
        <v>0</v>
      </c>
      <c r="G105" s="76">
        <f t="shared" si="29"/>
        <v>0</v>
      </c>
      <c r="H105" s="76">
        <f t="shared" si="29"/>
        <v>0</v>
      </c>
      <c r="I105" s="76">
        <f t="shared" si="29"/>
        <v>0</v>
      </c>
    </row>
    <row r="106" spans="2:9" x14ac:dyDescent="0.35">
      <c r="B106" t="s">
        <v>203</v>
      </c>
      <c r="C106" t="s">
        <v>204</v>
      </c>
      <c r="D106" s="76" t="e">
        <f t="shared" ref="D106:I106" si="30">(D10/D42-1)</f>
        <v>#DIV/0!</v>
      </c>
      <c r="E106" s="76" t="e">
        <f t="shared" si="30"/>
        <v>#DIV/0!</v>
      </c>
      <c r="F106" s="76" t="e">
        <f t="shared" si="30"/>
        <v>#DIV/0!</v>
      </c>
      <c r="G106" s="76" t="e">
        <f t="shared" si="30"/>
        <v>#DIV/0!</v>
      </c>
      <c r="H106" s="76" t="e">
        <f t="shared" si="30"/>
        <v>#DIV/0!</v>
      </c>
      <c r="I106" s="76" t="e">
        <f t="shared" si="30"/>
        <v>#DIV/0!</v>
      </c>
    </row>
    <row r="107" spans="2:9" x14ac:dyDescent="0.35">
      <c r="B107" t="s">
        <v>205</v>
      </c>
      <c r="C107" t="s">
        <v>206</v>
      </c>
      <c r="D107" s="76">
        <f t="shared" ref="D107:I107" si="31">(D11/D43-1)</f>
        <v>0</v>
      </c>
      <c r="E107" s="76">
        <f t="shared" si="31"/>
        <v>0</v>
      </c>
      <c r="F107" s="76">
        <f t="shared" si="31"/>
        <v>0</v>
      </c>
      <c r="G107" s="76">
        <f t="shared" si="31"/>
        <v>0</v>
      </c>
      <c r="H107" s="76">
        <f t="shared" si="31"/>
        <v>0</v>
      </c>
      <c r="I107" s="76">
        <f t="shared" si="31"/>
        <v>0</v>
      </c>
    </row>
    <row r="108" spans="2:9" x14ac:dyDescent="0.35">
      <c r="B108" t="s">
        <v>207</v>
      </c>
      <c r="C108" t="s">
        <v>208</v>
      </c>
      <c r="D108" s="76">
        <f t="shared" ref="D108:I108" si="32">(D12/D44-1)</f>
        <v>4.7625968832018417E-2</v>
      </c>
      <c r="E108" s="76">
        <f t="shared" si="32"/>
        <v>9.1758750258557065E-3</v>
      </c>
      <c r="F108" s="76">
        <f t="shared" si="32"/>
        <v>6.9309390325467124E-3</v>
      </c>
      <c r="G108" s="76">
        <f t="shared" si="32"/>
        <v>4.6909969533204254E-3</v>
      </c>
      <c r="H108" s="76">
        <f t="shared" si="32"/>
        <v>6.8784226399836168E-3</v>
      </c>
      <c r="I108" s="76">
        <f t="shared" si="32"/>
        <v>9.0706108169533728E-3</v>
      </c>
    </row>
    <row r="109" spans="2:9" x14ac:dyDescent="0.35">
      <c r="B109" t="s">
        <v>209</v>
      </c>
      <c r="C109" t="s">
        <v>210</v>
      </c>
      <c r="D109" s="76">
        <f t="shared" ref="D109:I109" si="33">(D13/D45-1)</f>
        <v>1.1425816067096362E-2</v>
      </c>
      <c r="E109" s="76">
        <f t="shared" si="33"/>
        <v>9.1758750258554844E-3</v>
      </c>
      <c r="F109" s="76">
        <f t="shared" si="33"/>
        <v>6.9309390325467124E-3</v>
      </c>
      <c r="G109" s="76">
        <f t="shared" si="33"/>
        <v>4.6909969533204254E-3</v>
      </c>
      <c r="H109" s="76">
        <f t="shared" si="33"/>
        <v>6.8784226399833948E-3</v>
      </c>
      <c r="I109" s="76">
        <f t="shared" si="33"/>
        <v>9.0706108169533728E-3</v>
      </c>
    </row>
    <row r="110" spans="2:9" x14ac:dyDescent="0.35">
      <c r="B110" t="s">
        <v>55</v>
      </c>
      <c r="C110" t="s">
        <v>211</v>
      </c>
      <c r="D110" s="76">
        <f t="shared" ref="D110:I110" si="34">(D14/D46-1)</f>
        <v>6.2227630082345442E-5</v>
      </c>
      <c r="E110" s="76">
        <f t="shared" si="34"/>
        <v>6.2227630082345442E-5</v>
      </c>
      <c r="F110" s="76">
        <f t="shared" si="34"/>
        <v>6.2227630082345442E-5</v>
      </c>
      <c r="G110" s="76">
        <f t="shared" si="34"/>
        <v>6.2227630082345442E-5</v>
      </c>
      <c r="H110" s="76">
        <f t="shared" si="34"/>
        <v>6.2227630082345442E-5</v>
      </c>
      <c r="I110" s="76">
        <f t="shared" si="34"/>
        <v>6.2227630082345442E-5</v>
      </c>
    </row>
    <row r="111" spans="2:9" x14ac:dyDescent="0.35">
      <c r="B111" t="s">
        <v>212</v>
      </c>
      <c r="C111" t="s">
        <v>213</v>
      </c>
      <c r="D111" s="76" t="e">
        <f t="shared" ref="D111:I111" si="35">(D15/D47-1)</f>
        <v>#DIV/0!</v>
      </c>
      <c r="E111" s="76" t="e">
        <f t="shared" si="35"/>
        <v>#DIV/0!</v>
      </c>
      <c r="F111" s="76" t="e">
        <f t="shared" si="35"/>
        <v>#DIV/0!</v>
      </c>
      <c r="G111" s="76" t="e">
        <f t="shared" si="35"/>
        <v>#DIV/0!</v>
      </c>
      <c r="H111" s="76" t="e">
        <f t="shared" si="35"/>
        <v>#DIV/0!</v>
      </c>
      <c r="I111" s="76" t="e">
        <f t="shared" si="35"/>
        <v>#DIV/0!</v>
      </c>
    </row>
    <row r="112" spans="2:9" x14ac:dyDescent="0.35">
      <c r="B112" t="s">
        <v>214</v>
      </c>
      <c r="C112" t="s">
        <v>215</v>
      </c>
      <c r="D112" s="76" t="e">
        <f t="shared" ref="D112:I112" si="36">(D16/D48-1)</f>
        <v>#DIV/0!</v>
      </c>
      <c r="E112" s="76" t="e">
        <f t="shared" si="36"/>
        <v>#DIV/0!</v>
      </c>
      <c r="F112" s="76" t="e">
        <f t="shared" si="36"/>
        <v>#DIV/0!</v>
      </c>
      <c r="G112" s="76" t="e">
        <f t="shared" si="36"/>
        <v>#DIV/0!</v>
      </c>
      <c r="H112" s="76" t="e">
        <f t="shared" si="36"/>
        <v>#DIV/0!</v>
      </c>
      <c r="I112" s="76" t="e">
        <f t="shared" si="36"/>
        <v>#DIV/0!</v>
      </c>
    </row>
    <row r="113" spans="2:9" x14ac:dyDescent="0.35">
      <c r="B113" t="s">
        <v>216</v>
      </c>
      <c r="C113" t="s">
        <v>217</v>
      </c>
      <c r="D113" s="76">
        <f t="shared" ref="D113:I113" si="37">(D17/D49-1)</f>
        <v>0</v>
      </c>
      <c r="E113" s="76">
        <f t="shared" si="37"/>
        <v>0</v>
      </c>
      <c r="F113" s="76">
        <f t="shared" si="37"/>
        <v>0</v>
      </c>
      <c r="G113" s="76">
        <f t="shared" si="37"/>
        <v>0</v>
      </c>
      <c r="H113" s="76">
        <f t="shared" si="37"/>
        <v>0</v>
      </c>
      <c r="I113" s="76">
        <f t="shared" si="37"/>
        <v>0</v>
      </c>
    </row>
    <row r="114" spans="2:9" x14ac:dyDescent="0.35">
      <c r="B114" t="s">
        <v>218</v>
      </c>
      <c r="C114" t="s">
        <v>219</v>
      </c>
      <c r="D114" s="76">
        <f t="shared" ref="D114:I114" si="38">(D18/D50-1)</f>
        <v>0</v>
      </c>
      <c r="E114" s="76">
        <f t="shared" si="38"/>
        <v>0</v>
      </c>
      <c r="F114" s="76">
        <f t="shared" si="38"/>
        <v>0</v>
      </c>
      <c r="G114" s="76">
        <f t="shared" si="38"/>
        <v>0</v>
      </c>
      <c r="H114" s="76">
        <f t="shared" si="38"/>
        <v>0</v>
      </c>
      <c r="I114" s="76">
        <f t="shared" si="38"/>
        <v>0</v>
      </c>
    </row>
    <row r="115" spans="2:9" x14ac:dyDescent="0.35">
      <c r="B115" t="s">
        <v>220</v>
      </c>
      <c r="C115" t="s">
        <v>221</v>
      </c>
      <c r="D115" s="76">
        <f t="shared" ref="D115:I115" si="39">(D19/D51-1)</f>
        <v>-4.3052337921123396E-4</v>
      </c>
      <c r="E115" s="76">
        <f t="shared" si="39"/>
        <v>-4.3301172745902061E-4</v>
      </c>
      <c r="F115" s="76">
        <f t="shared" si="39"/>
        <v>-4.3151645904104807E-4</v>
      </c>
      <c r="G115" s="76">
        <f t="shared" si="39"/>
        <v>-4.3003148195397412E-4</v>
      </c>
      <c r="H115" s="76">
        <f t="shared" si="39"/>
        <v>-4.2823302821382025E-4</v>
      </c>
      <c r="I115" s="76">
        <f t="shared" si="39"/>
        <v>-4.2948895929162401E-4</v>
      </c>
    </row>
    <row r="116" spans="2:9" x14ac:dyDescent="0.35">
      <c r="B116" t="s">
        <v>222</v>
      </c>
      <c r="C116" t="s">
        <v>223</v>
      </c>
      <c r="D116" s="76">
        <f t="shared" ref="D116:I116" si="40">(D20/D52-1)</f>
        <v>0</v>
      </c>
      <c r="E116" s="76">
        <f t="shared" si="40"/>
        <v>0</v>
      </c>
      <c r="F116" s="76">
        <f t="shared" si="40"/>
        <v>0</v>
      </c>
      <c r="G116" s="76">
        <f t="shared" si="40"/>
        <v>0</v>
      </c>
      <c r="H116" s="76">
        <f t="shared" si="40"/>
        <v>0</v>
      </c>
      <c r="I116" s="76">
        <f t="shared" si="40"/>
        <v>0</v>
      </c>
    </row>
    <row r="117" spans="2:9" x14ac:dyDescent="0.35">
      <c r="B117" t="s">
        <v>224</v>
      </c>
      <c r="C117" t="s">
        <v>225</v>
      </c>
      <c r="D117" s="76">
        <f t="shared" ref="D117:I117" si="41">(D21/D53-1)</f>
        <v>7.6382111277426556E-3</v>
      </c>
      <c r="E117" s="76">
        <f t="shared" si="41"/>
        <v>7.6518449937796884E-3</v>
      </c>
      <c r="F117" s="76">
        <f t="shared" si="41"/>
        <v>7.6322335279686015E-3</v>
      </c>
      <c r="G117" s="76">
        <f t="shared" si="41"/>
        <v>7.6126188854008792E-3</v>
      </c>
      <c r="H117" s="76">
        <f t="shared" si="41"/>
        <v>7.6024015187747818E-3</v>
      </c>
      <c r="I117" s="76">
        <f t="shared" si="41"/>
        <v>7.6316621284657771E-3</v>
      </c>
    </row>
    <row r="118" spans="2:9" x14ac:dyDescent="0.35">
      <c r="B118" t="s">
        <v>226</v>
      </c>
      <c r="C118" t="s">
        <v>227</v>
      </c>
      <c r="D118" s="76">
        <f t="shared" ref="D118:I118" si="42">(D22/D54-1)</f>
        <v>-1.6284514609353873E-2</v>
      </c>
      <c r="E118" s="76">
        <f t="shared" si="42"/>
        <v>-8.050061436350453E-3</v>
      </c>
      <c r="F118" s="76">
        <f t="shared" si="42"/>
        <v>-8.0510560577434775E-3</v>
      </c>
      <c r="G118" s="76">
        <f t="shared" si="42"/>
        <v>-8.0494652563051217E-3</v>
      </c>
      <c r="H118" s="76">
        <f t="shared" si="42"/>
        <v>-8.0456017389232137E-3</v>
      </c>
      <c r="I118" s="76">
        <f t="shared" si="42"/>
        <v>-8.0410166165648667E-3</v>
      </c>
    </row>
    <row r="119" spans="2:9" x14ac:dyDescent="0.35">
      <c r="B119" t="s">
        <v>228</v>
      </c>
      <c r="C119" t="s">
        <v>229</v>
      </c>
      <c r="D119" s="76">
        <f t="shared" ref="D119:I119" si="43">(D23/D55-1)</f>
        <v>0</v>
      </c>
      <c r="E119" s="76">
        <f t="shared" si="43"/>
        <v>0</v>
      </c>
      <c r="F119" s="76">
        <f t="shared" si="43"/>
        <v>0</v>
      </c>
      <c r="G119" s="76">
        <f t="shared" si="43"/>
        <v>0</v>
      </c>
      <c r="H119" s="76">
        <f t="shared" si="43"/>
        <v>0</v>
      </c>
      <c r="I119" s="76">
        <f t="shared" si="43"/>
        <v>0</v>
      </c>
    </row>
    <row r="120" spans="2:9" x14ac:dyDescent="0.35">
      <c r="B120" t="s">
        <v>230</v>
      </c>
      <c r="C120" t="s">
        <v>231</v>
      </c>
      <c r="D120" s="76">
        <f t="shared" ref="D120:I120" si="44">(D24/D56-1)</f>
        <v>0</v>
      </c>
      <c r="E120" s="76">
        <f t="shared" si="44"/>
        <v>0</v>
      </c>
      <c r="F120" s="76">
        <f t="shared" si="44"/>
        <v>0</v>
      </c>
      <c r="G120" s="76">
        <f t="shared" si="44"/>
        <v>0</v>
      </c>
      <c r="H120" s="76">
        <f t="shared" si="44"/>
        <v>0</v>
      </c>
      <c r="I120" s="76">
        <f t="shared" si="44"/>
        <v>0</v>
      </c>
    </row>
    <row r="121" spans="2:9" x14ac:dyDescent="0.35">
      <c r="B121" s="35" t="s">
        <v>1390</v>
      </c>
      <c r="C121" s="35" t="s">
        <v>1389</v>
      </c>
      <c r="D121" s="76">
        <f t="shared" ref="D121:I121" si="45">(D25/D57-1)</f>
        <v>0</v>
      </c>
      <c r="E121" s="76">
        <f t="shared" si="45"/>
        <v>0</v>
      </c>
      <c r="F121" s="76">
        <f t="shared" si="45"/>
        <v>0</v>
      </c>
      <c r="G121" s="76">
        <f t="shared" si="45"/>
        <v>0</v>
      </c>
      <c r="H121" s="76">
        <f t="shared" si="45"/>
        <v>0</v>
      </c>
      <c r="I121" s="76">
        <f t="shared" si="45"/>
        <v>0</v>
      </c>
    </row>
    <row r="122" spans="2:9" x14ac:dyDescent="0.35">
      <c r="B122" s="35"/>
      <c r="D122" s="76"/>
      <c r="E122" s="76"/>
      <c r="F122" s="76"/>
      <c r="G122" s="76"/>
      <c r="H122" s="76"/>
      <c r="I122" s="76"/>
    </row>
    <row r="123" spans="2:9" x14ac:dyDescent="0.35">
      <c r="B123" s="77" t="s">
        <v>2010</v>
      </c>
      <c r="D123" s="76"/>
      <c r="E123" s="76"/>
      <c r="F123" s="76"/>
      <c r="G123" s="76"/>
      <c r="H123" s="76"/>
      <c r="I123" s="76"/>
    </row>
    <row r="124" spans="2:9" x14ac:dyDescent="0.35">
      <c r="B124" s="35" t="s">
        <v>1716</v>
      </c>
      <c r="D124" s="76">
        <f t="shared" ref="D124:I124" si="46">(D28/D60-1)</f>
        <v>-0.45882836400093918</v>
      </c>
      <c r="E124" s="76">
        <f t="shared" si="46"/>
        <v>0</v>
      </c>
      <c r="F124" s="76">
        <f t="shared" si="46"/>
        <v>0</v>
      </c>
      <c r="G124" s="76">
        <f t="shared" si="46"/>
        <v>0</v>
      </c>
      <c r="H124" s="76">
        <f t="shared" si="46"/>
        <v>0</v>
      </c>
      <c r="I124" s="76">
        <f t="shared" si="46"/>
        <v>0</v>
      </c>
    </row>
    <row r="125" spans="2:9" x14ac:dyDescent="0.35">
      <c r="B125" s="35" t="s">
        <v>1717</v>
      </c>
      <c r="D125" s="76">
        <f t="shared" ref="D125:I125" si="47">(D29/D61-1)</f>
        <v>0.29899052727449749</v>
      </c>
      <c r="E125" s="76">
        <f t="shared" si="47"/>
        <v>0</v>
      </c>
      <c r="F125" s="76">
        <f t="shared" si="47"/>
        <v>0</v>
      </c>
      <c r="G125" s="76">
        <f t="shared" si="47"/>
        <v>0</v>
      </c>
      <c r="H125" s="76">
        <f t="shared" si="47"/>
        <v>0</v>
      </c>
      <c r="I125" s="76">
        <f t="shared" si="47"/>
        <v>0</v>
      </c>
    </row>
    <row r="126" spans="2:9" x14ac:dyDescent="0.35">
      <c r="B126" s="35" t="s">
        <v>1718</v>
      </c>
      <c r="D126" s="76">
        <f t="shared" ref="D126:I126" si="48">(D30/D62-1)</f>
        <v>-0.72014874647854321</v>
      </c>
      <c r="E126" s="76">
        <f t="shared" si="48"/>
        <v>0</v>
      </c>
      <c r="F126" s="76">
        <f t="shared" si="48"/>
        <v>0</v>
      </c>
      <c r="G126" s="76">
        <f t="shared" si="48"/>
        <v>0</v>
      </c>
      <c r="H126" s="76">
        <f t="shared" si="48"/>
        <v>0</v>
      </c>
      <c r="I126" s="76">
        <f t="shared" si="48"/>
        <v>0</v>
      </c>
    </row>
    <row r="127" spans="2:9" x14ac:dyDescent="0.35">
      <c r="B127" s="35" t="s">
        <v>1719</v>
      </c>
      <c r="D127" s="76">
        <f t="shared" ref="D127:I127" si="49">(D31/D63-1)</f>
        <v>-0.72721594066406003</v>
      </c>
      <c r="E127" s="76">
        <f t="shared" si="49"/>
        <v>0</v>
      </c>
      <c r="F127" s="76">
        <f t="shared" si="49"/>
        <v>0</v>
      </c>
      <c r="G127" s="76">
        <f t="shared" si="49"/>
        <v>0</v>
      </c>
      <c r="H127" s="76">
        <f t="shared" si="49"/>
        <v>0</v>
      </c>
      <c r="I127" s="76">
        <f t="shared" si="49"/>
        <v>0</v>
      </c>
    </row>
    <row r="128" spans="2:9" x14ac:dyDescent="0.35">
      <c r="B128" s="35" t="s">
        <v>1720</v>
      </c>
      <c r="D128" s="76">
        <f t="shared" ref="D128:I128" si="50">(D32/D64-1)</f>
        <v>-0.69005292890384617</v>
      </c>
      <c r="E128" s="76">
        <f t="shared" si="50"/>
        <v>0</v>
      </c>
      <c r="F128" s="76">
        <f t="shared" si="50"/>
        <v>0</v>
      </c>
      <c r="G128" s="76">
        <f t="shared" si="50"/>
        <v>0</v>
      </c>
      <c r="H128" s="76">
        <f t="shared" si="50"/>
        <v>0</v>
      </c>
      <c r="I128" s="76">
        <f t="shared" si="50"/>
        <v>0</v>
      </c>
    </row>
  </sheetData>
  <mergeCells count="4">
    <mergeCell ref="B2:I2"/>
    <mergeCell ref="B98:I98"/>
    <mergeCell ref="B66:I66"/>
    <mergeCell ref="B34:I34"/>
  </mergeCells>
  <conditionalFormatting sqref="D68:I96 D100:I128">
    <cfRule type="cellIs" dxfId="69" priority="3" operator="lessThan">
      <formula>0</formula>
    </cfRule>
    <cfRule type="cellIs" dxfId="68"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zoomScaleNormal="100" workbookViewId="0">
      <selection activeCell="C1" sqref="C1:C1048576"/>
    </sheetView>
  </sheetViews>
  <sheetFormatPr defaultColWidth="10.90625" defaultRowHeight="14.5" x14ac:dyDescent="0.35"/>
  <cols>
    <col min="1" max="1" width="41.1796875" customWidth="1"/>
    <col min="2" max="2" width="23.453125" customWidth="1"/>
    <col min="3" max="4" width="10.453125" customWidth="1"/>
  </cols>
  <sheetData>
    <row r="1" spans="1:13" x14ac:dyDescent="0.35">
      <c r="A1" s="77" t="s">
        <v>178</v>
      </c>
      <c r="B1" s="77" t="s">
        <v>179</v>
      </c>
      <c r="C1" s="80" t="s">
        <v>189</v>
      </c>
      <c r="D1" s="80" t="s">
        <v>190</v>
      </c>
      <c r="E1" s="80" t="s">
        <v>191</v>
      </c>
      <c r="F1" s="80" t="s">
        <v>175</v>
      </c>
      <c r="G1" s="80" t="s">
        <v>176</v>
      </c>
      <c r="H1" s="80" t="s">
        <v>177</v>
      </c>
      <c r="I1" s="80" t="s">
        <v>768</v>
      </c>
      <c r="J1" s="80" t="s">
        <v>769</v>
      </c>
      <c r="K1" s="80" t="s">
        <v>770</v>
      </c>
      <c r="L1" s="80" t="s">
        <v>1162</v>
      </c>
    </row>
    <row r="2" spans="1:13" x14ac:dyDescent="0.35">
      <c r="A2" t="s">
        <v>192</v>
      </c>
      <c r="B2" t="s">
        <v>193</v>
      </c>
      <c r="C2" s="75">
        <f>Grants!X75</f>
        <v>396.93694400000004</v>
      </c>
      <c r="D2" s="75">
        <f>Grants!Y75</f>
        <v>394.13745836792191</v>
      </c>
      <c r="E2" s="75">
        <f>Grants!Z75</f>
        <v>373.86442832865475</v>
      </c>
      <c r="F2" s="75">
        <f>Grants!AA75</f>
        <v>377.90945212440317</v>
      </c>
      <c r="G2" s="75">
        <f>Grants!AB75</f>
        <v>382.24128570000005</v>
      </c>
      <c r="H2" s="75">
        <f>Grants!AC75</f>
        <v>364.98703722263872</v>
      </c>
      <c r="I2" s="75">
        <f>Grants!AD75</f>
        <v>359.88619160180087</v>
      </c>
      <c r="J2" s="75">
        <f>Grants!AE75</f>
        <v>361.98269500937926</v>
      </c>
      <c r="K2" s="75">
        <f>Grants!AF75</f>
        <v>360.21415719999999</v>
      </c>
      <c r="L2" s="78">
        <f>Grants!AG75</f>
        <v>234.85200183154427</v>
      </c>
      <c r="M2" s="75"/>
    </row>
    <row r="3" spans="1:13" x14ac:dyDescent="0.35">
      <c r="A3" t="s">
        <v>134</v>
      </c>
      <c r="B3" t="s">
        <v>194</v>
      </c>
      <c r="C3" s="75">
        <f>Grants!X106</f>
        <v>77.707285714285717</v>
      </c>
      <c r="D3" s="75">
        <f>Grants!Y106</f>
        <v>77.707285714285717</v>
      </c>
      <c r="E3" s="75">
        <f>Grants!Z106</f>
        <v>77.707285714285717</v>
      </c>
      <c r="F3" s="75">
        <f>Grants!AA106</f>
        <v>77.707285714285717</v>
      </c>
      <c r="G3" s="75">
        <f>Grants!AB106</f>
        <v>79.301285714285726</v>
      </c>
      <c r="H3" s="75">
        <f>Grants!AC106</f>
        <v>79.301285714285726</v>
      </c>
      <c r="I3" s="75">
        <f>Grants!AD106</f>
        <v>75.229285714285723</v>
      </c>
      <c r="J3" s="75">
        <f>Grants!AE106</f>
        <v>75.229285714285723</v>
      </c>
      <c r="K3" s="75">
        <f>Grants!AF106</f>
        <v>75.229285714285723</v>
      </c>
      <c r="L3" s="75">
        <f>Grants!AG106</f>
        <v>75.229285714285723</v>
      </c>
      <c r="M3" s="75"/>
    </row>
    <row r="4" spans="1:13" x14ac:dyDescent="0.35">
      <c r="A4" t="s">
        <v>195</v>
      </c>
      <c r="B4" t="s">
        <v>196</v>
      </c>
      <c r="C4" s="75">
        <f>'Federal and State Purchases'!X11</f>
        <v>1819.8</v>
      </c>
      <c r="D4" s="75">
        <f>'Federal and State Purchases'!Y11</f>
        <v>1831.974579604909</v>
      </c>
      <c r="E4" s="75">
        <f>'Federal and State Purchases'!Z11</f>
        <v>1850.1280465220755</v>
      </c>
      <c r="F4" s="75">
        <f>'Federal and State Purchases'!AA11</f>
        <v>1864.4474482834958</v>
      </c>
      <c r="G4" s="75">
        <f>'Federal and State Purchases'!AB11</f>
        <v>1877.3865670518567</v>
      </c>
      <c r="H4" s="75">
        <f>'Federal and State Purchases'!AC11</f>
        <v>1889.2006799756271</v>
      </c>
      <c r="I4" s="75">
        <f>'Federal and State Purchases'!AD11</f>
        <v>1902.2884537091418</v>
      </c>
      <c r="J4" s="75">
        <f>'Federal and State Purchases'!AE11</f>
        <v>1915.7696089356652</v>
      </c>
      <c r="K4" s="75">
        <f>'Federal and State Purchases'!AF11</f>
        <v>1930.5736554679283</v>
      </c>
      <c r="L4" s="78">
        <f>'Federal and State Purchases'!AG11</f>
        <v>1930.5736554679283</v>
      </c>
      <c r="M4" s="75"/>
    </row>
    <row r="5" spans="1:13" x14ac:dyDescent="0.35">
      <c r="A5" t="s">
        <v>197</v>
      </c>
      <c r="B5" t="s">
        <v>198</v>
      </c>
      <c r="C5" s="75">
        <f>'Federal and State Purchases'!X27</f>
        <v>3036.9</v>
      </c>
      <c r="D5" s="75">
        <f>'Federal and State Purchases'!Y27</f>
        <v>3071.6299936651885</v>
      </c>
      <c r="E5" s="75">
        <f>'Federal and State Purchases'!Z27</f>
        <v>3103.4236321808426</v>
      </c>
      <c r="F5" s="75">
        <f>'Federal and State Purchases'!AA27</f>
        <v>3133.3947054312671</v>
      </c>
      <c r="G5" s="75">
        <f>'Federal and State Purchases'!AB27</f>
        <v>3161.9482279198478</v>
      </c>
      <c r="H5" s="75">
        <f>'Federal and State Purchases'!AC27</f>
        <v>3191.21052578935</v>
      </c>
      <c r="I5" s="75">
        <f>'Federal and State Purchases'!AD27</f>
        <v>3220.169062781315</v>
      </c>
      <c r="J5" s="75">
        <f>'Federal and State Purchases'!AE27</f>
        <v>3248.3175707665114</v>
      </c>
      <c r="K5" s="75">
        <f>'Federal and State Purchases'!AF27</f>
        <v>3277.0736005067843</v>
      </c>
      <c r="L5" s="78">
        <f>'Federal and State Purchases'!AG27</f>
        <v>0</v>
      </c>
      <c r="M5" s="75"/>
    </row>
    <row r="6" spans="1:13" x14ac:dyDescent="0.35">
      <c r="A6" t="s">
        <v>199</v>
      </c>
      <c r="B6" t="s">
        <v>200</v>
      </c>
      <c r="C6" s="75">
        <f>Subsidies!X46</f>
        <v>98.335000000000008</v>
      </c>
      <c r="D6" s="75">
        <f>Subsidies!Y46</f>
        <v>84.266000000000005</v>
      </c>
      <c r="E6" s="75">
        <f>Subsidies!Z46</f>
        <v>84.266000000000005</v>
      </c>
      <c r="F6" s="75">
        <f>Subsidies!AA46</f>
        <v>84.266000000000005</v>
      </c>
      <c r="G6" s="75">
        <f>Subsidies!AB46</f>
        <v>91.364999999999995</v>
      </c>
      <c r="H6" s="75">
        <f>Subsidies!AC46</f>
        <v>91.364999999999995</v>
      </c>
      <c r="I6" s="75">
        <f>Subsidies!AD46</f>
        <v>84.343000000000004</v>
      </c>
      <c r="J6" s="75">
        <f>Subsidies!AE46</f>
        <v>85.343000000000004</v>
      </c>
      <c r="K6" s="75">
        <f>Subsidies!AF46</f>
        <v>90.682000000000002</v>
      </c>
      <c r="L6" s="78">
        <f>Subsidies!AG46</f>
        <v>0</v>
      </c>
      <c r="M6" s="75"/>
    </row>
    <row r="7" spans="1:13" x14ac:dyDescent="0.35">
      <c r="A7" t="s">
        <v>201</v>
      </c>
      <c r="B7" t="s">
        <v>202</v>
      </c>
      <c r="C7" s="75">
        <f>Subsidies!X45</f>
        <v>1.365</v>
      </c>
      <c r="D7" s="75">
        <f>Subsidies!Y45</f>
        <v>1.365</v>
      </c>
      <c r="E7" s="75">
        <f>Subsidies!Z45</f>
        <v>1.365</v>
      </c>
      <c r="F7" s="75">
        <f>Subsidies!AA45</f>
        <v>1.365</v>
      </c>
      <c r="G7" s="75">
        <f>Subsidies!AB45</f>
        <v>-0.90100000000000025</v>
      </c>
      <c r="H7" s="75">
        <f>Subsidies!AC45</f>
        <v>-0.90100000000000025</v>
      </c>
      <c r="I7" s="75">
        <f>Subsidies!AD45</f>
        <v>-0.90100000000000025</v>
      </c>
      <c r="J7" s="75">
        <f>Subsidies!AE45</f>
        <v>-0.90100000000000025</v>
      </c>
      <c r="K7" s="75">
        <f>Subsidies!AF45</f>
        <v>-2.1500000000000004</v>
      </c>
      <c r="L7" s="78">
        <f>Subsidies!AG45</f>
        <v>0</v>
      </c>
      <c r="M7" s="75"/>
    </row>
    <row r="8" spans="1:13" x14ac:dyDescent="0.35">
      <c r="A8" t="s">
        <v>203</v>
      </c>
      <c r="B8" t="s">
        <v>204</v>
      </c>
      <c r="C8" s="75">
        <f>'Unemployment Insurance'!X19</f>
        <v>7.1428571428569398E-2</v>
      </c>
      <c r="D8" s="75">
        <f>'Unemployment Insurance'!Y19</f>
        <v>0</v>
      </c>
      <c r="E8" s="75">
        <f>'Unemployment Insurance'!Z19</f>
        <v>0</v>
      </c>
      <c r="F8" s="75">
        <f>'Unemployment Insurance'!AA19</f>
        <v>0</v>
      </c>
      <c r="G8" s="75">
        <f>'Unemployment Insurance'!AB19</f>
        <v>0</v>
      </c>
      <c r="H8" s="75">
        <f>'Unemployment Insurance'!AC19</f>
        <v>0</v>
      </c>
      <c r="I8" s="75">
        <f>'Unemployment Insurance'!AD19</f>
        <v>0</v>
      </c>
      <c r="J8" s="75">
        <f>'Unemployment Insurance'!AE19</f>
        <v>0</v>
      </c>
      <c r="K8" s="75">
        <f>'Unemployment Insurance'!AF19</f>
        <v>0</v>
      </c>
      <c r="L8" s="75">
        <f>'Unemployment Insurance'!AG19</f>
        <v>0</v>
      </c>
      <c r="M8" s="75"/>
    </row>
    <row r="9" spans="1:13" x14ac:dyDescent="0.35">
      <c r="A9" t="s">
        <v>205</v>
      </c>
      <c r="B9" t="s">
        <v>206</v>
      </c>
      <c r="C9" s="75">
        <f>'Unemployment Insurance'!X20</f>
        <v>22.62857142857143</v>
      </c>
      <c r="D9" s="75">
        <f>'Unemployment Insurance'!Y20</f>
        <v>23.885714285714286</v>
      </c>
      <c r="E9" s="75">
        <f>'Unemployment Insurance'!Z20</f>
        <v>25.771428571428572</v>
      </c>
      <c r="F9" s="75">
        <f>'Unemployment Insurance'!AA20</f>
        <v>27.028571428571432</v>
      </c>
      <c r="G9" s="75">
        <f>'Unemployment Insurance'!AB20</f>
        <v>28.285714285714292</v>
      </c>
      <c r="H9" s="75">
        <f>'Unemployment Insurance'!AC20</f>
        <v>28.914285714285718</v>
      </c>
      <c r="I9" s="75">
        <f>'Unemployment Insurance'!AD20</f>
        <v>29.542857142857152</v>
      </c>
      <c r="J9" s="75">
        <f>'Unemployment Insurance'!AE20</f>
        <v>28.914285714285718</v>
      </c>
      <c r="K9" s="75">
        <f>'Unemployment Insurance'!AF20</f>
        <v>28.285714285714292</v>
      </c>
      <c r="L9" s="78">
        <f>'Unemployment Insurance'!AG20</f>
        <v>0</v>
      </c>
      <c r="M9" s="75"/>
    </row>
    <row r="10" spans="1:13" x14ac:dyDescent="0.35">
      <c r="A10" s="35" t="s">
        <v>207</v>
      </c>
      <c r="B10" s="35" t="s">
        <v>208</v>
      </c>
      <c r="C10" s="75">
        <f>Medicaid!X28</f>
        <v>616.99699999999996</v>
      </c>
      <c r="D10" s="75">
        <f>Medicaid!Y28</f>
        <v>583.51744813871062</v>
      </c>
      <c r="E10" s="75">
        <f>Medicaid!Z28</f>
        <v>571.60610915363998</v>
      </c>
      <c r="F10" s="75">
        <f>Medicaid!AA28</f>
        <v>559.9379162764875</v>
      </c>
      <c r="G10" s="75">
        <f>Medicaid!AB28</f>
        <v>563.98665304899646</v>
      </c>
      <c r="H10" s="75">
        <f>Medicaid!AC28</f>
        <v>568.06466497679764</v>
      </c>
      <c r="I10" s="75">
        <f>Medicaid!AD28</f>
        <v>572.1721637394262</v>
      </c>
      <c r="J10" s="75">
        <f>Medicaid!AE28</f>
        <v>576.309362547006</v>
      </c>
      <c r="K10" s="75">
        <f>Medicaid!AF28</f>
        <v>586.13171211405199</v>
      </c>
      <c r="L10" s="75">
        <f>Medicaid!AG28</f>
        <v>596.12146925294587</v>
      </c>
      <c r="M10" s="75"/>
    </row>
    <row r="11" spans="1:13" x14ac:dyDescent="0.35">
      <c r="A11" s="35" t="s">
        <v>209</v>
      </c>
      <c r="B11" s="35" t="s">
        <v>210</v>
      </c>
      <c r="C11" s="75">
        <f>Medicaid!X26</f>
        <v>863.3</v>
      </c>
      <c r="D11" s="75">
        <f>Medicaid!Y26</f>
        <v>845.67746107059509</v>
      </c>
      <c r="E11" s="75">
        <f>Medicaid!Z26</f>
        <v>828.41465094730438</v>
      </c>
      <c r="F11" s="75">
        <f>Medicaid!AA26</f>
        <v>811.50422648766312</v>
      </c>
      <c r="G11" s="75">
        <f>Medicaid!AB26</f>
        <v>817.37196094057458</v>
      </c>
      <c r="H11" s="75">
        <f>Medicaid!AC26</f>
        <v>823.28212315477924</v>
      </c>
      <c r="I11" s="75">
        <f>Medicaid!AD26</f>
        <v>829.23501991221201</v>
      </c>
      <c r="J11" s="75">
        <f>Medicaid!AE26</f>
        <v>835.2309602130523</v>
      </c>
      <c r="K11" s="75">
        <f>Medicaid!AF26</f>
        <v>849.46624944065513</v>
      </c>
      <c r="L11" s="75">
        <f>Medicaid!AG26</f>
        <v>863.94415833760286</v>
      </c>
      <c r="M11" s="75"/>
    </row>
    <row r="12" spans="1:13" x14ac:dyDescent="0.35">
      <c r="A12" t="s">
        <v>55</v>
      </c>
      <c r="B12" t="s">
        <v>211</v>
      </c>
      <c r="C12" s="75">
        <f>Medicare!X10</f>
        <v>951.3</v>
      </c>
      <c r="D12" s="75">
        <f>Medicare!Y10</f>
        <v>956.26691245960421</v>
      </c>
      <c r="E12" s="75">
        <f>Medicare!Z10</f>
        <v>961.2597580837006</v>
      </c>
      <c r="F12" s="75">
        <f>Medicare!AA10</f>
        <v>966.27867227411593</v>
      </c>
      <c r="G12" s="75">
        <f>Medicare!AB10</f>
        <v>992.86655402345843</v>
      </c>
      <c r="H12" s="75">
        <f>Medicare!AC10</f>
        <v>1020.1860212627852</v>
      </c>
      <c r="I12" s="75">
        <f>Medicare!AD10</f>
        <v>1048.2572041150672</v>
      </c>
      <c r="J12" s="75">
        <f>Medicare!AE10</f>
        <v>1077.100786598694</v>
      </c>
      <c r="K12" s="75">
        <f>Medicare!AF10</f>
        <v>1106.7380218683199</v>
      </c>
      <c r="L12" s="75">
        <f>Medicare!AG10</f>
        <v>1137.1907478750763</v>
      </c>
      <c r="M12" s="75"/>
    </row>
    <row r="13" spans="1:13" x14ac:dyDescent="0.35">
      <c r="A13" t="s">
        <v>212</v>
      </c>
      <c r="B13" t="s">
        <v>213</v>
      </c>
      <c r="C13" s="75">
        <f>'Rebate Checks (expired)'!X11</f>
        <v>0</v>
      </c>
      <c r="D13" s="75">
        <f>'Rebate Checks (expired)'!Y11</f>
        <v>0</v>
      </c>
      <c r="E13" s="75">
        <f>'Rebate Checks (expired)'!Z11</f>
        <v>0</v>
      </c>
      <c r="F13" s="75">
        <f>'Rebate Checks (expired)'!AA11</f>
        <v>0</v>
      </c>
      <c r="G13" s="75">
        <f>'Rebate Checks (expired)'!AB11</f>
        <v>0</v>
      </c>
      <c r="H13" s="75">
        <f>'Rebate Checks (expired)'!AC11</f>
        <v>0</v>
      </c>
      <c r="I13" s="75">
        <f>'Rebate Checks (expired)'!AD11</f>
        <v>0</v>
      </c>
      <c r="J13" s="75">
        <f>'Rebate Checks (expired)'!AE11</f>
        <v>0</v>
      </c>
      <c r="K13" s="75">
        <f>'Rebate Checks (expired)'!AF11</f>
        <v>0</v>
      </c>
      <c r="L13" s="75">
        <f>'Rebate Checks (expired)'!AG11</f>
        <v>0</v>
      </c>
      <c r="M13" s="75"/>
    </row>
    <row r="14" spans="1:13" x14ac:dyDescent="0.35">
      <c r="A14" t="s">
        <v>214</v>
      </c>
      <c r="B14" t="s">
        <v>215</v>
      </c>
      <c r="C14" s="75">
        <f>'Rebate Checks (expired)'!X10</f>
        <v>0</v>
      </c>
      <c r="D14" s="75">
        <f>'Rebate Checks (expired)'!Y10</f>
        <v>0</v>
      </c>
      <c r="E14" s="75">
        <f>'Rebate Checks (expired)'!Z10</f>
        <v>0</v>
      </c>
      <c r="F14" s="75">
        <f>'Rebate Checks (expired)'!AA10</f>
        <v>0</v>
      </c>
      <c r="G14" s="75">
        <f>'Rebate Checks (expired)'!AB10</f>
        <v>0</v>
      </c>
      <c r="H14" s="75">
        <f>'Rebate Checks (expired)'!AC10</f>
        <v>0</v>
      </c>
      <c r="I14" s="75">
        <f>'Rebate Checks (expired)'!AD10</f>
        <v>0</v>
      </c>
      <c r="J14" s="75">
        <f>'Rebate Checks (expired)'!AE10</f>
        <v>0</v>
      </c>
      <c r="K14" s="75">
        <f>'Rebate Checks (expired)'!AF10</f>
        <v>0</v>
      </c>
      <c r="L14" s="75">
        <f>'Rebate Checks (expired)'!AG10</f>
        <v>0</v>
      </c>
      <c r="M14" s="75"/>
    </row>
    <row r="15" spans="1:13" x14ac:dyDescent="0.35">
      <c r="A15" t="s">
        <v>216</v>
      </c>
      <c r="B15" t="s">
        <v>217</v>
      </c>
      <c r="C15" s="75">
        <f>'Social Benefits'!X24</f>
        <v>4.2219999999999995</v>
      </c>
      <c r="D15" s="75">
        <f>'Social Benefits'!Y24</f>
        <v>4.2219999999999995</v>
      </c>
      <c r="E15" s="75">
        <f>'Social Benefits'!Z24</f>
        <v>4.2219999999999995</v>
      </c>
      <c r="F15" s="75">
        <f>'Social Benefits'!AA24</f>
        <v>4.2219999999999995</v>
      </c>
      <c r="G15" s="75">
        <f>'Social Benefits'!AB24</f>
        <v>2.3719999999999999</v>
      </c>
      <c r="H15" s="75">
        <f>'Social Benefits'!AC24</f>
        <v>2.3719999999999999</v>
      </c>
      <c r="I15" s="75">
        <f>'Social Benefits'!AD24</f>
        <v>2.3719999999999999</v>
      </c>
      <c r="J15" s="75">
        <f>'Social Benefits'!AE24</f>
        <v>2.3719999999999999</v>
      </c>
      <c r="K15" s="75">
        <f>'Social Benefits'!AF24</f>
        <v>0.49</v>
      </c>
      <c r="L15" s="78">
        <f>'Social Benefits'!AG24</f>
        <v>0</v>
      </c>
      <c r="M15" s="75"/>
    </row>
    <row r="16" spans="1:13" x14ac:dyDescent="0.35">
      <c r="A16" t="s">
        <v>800</v>
      </c>
      <c r="B16" t="s">
        <v>219</v>
      </c>
      <c r="C16" s="75">
        <f>'Social Benefits'!X30</f>
        <v>1.4790000000000001</v>
      </c>
      <c r="D16" s="75">
        <f>'Social Benefits'!Y30</f>
        <v>1.4790000000000001</v>
      </c>
      <c r="E16" s="75">
        <f>'Social Benefits'!Z30</f>
        <v>1.4790000000000001</v>
      </c>
      <c r="F16" s="75">
        <f>'Social Benefits'!AA30</f>
        <v>1.4790000000000001</v>
      </c>
      <c r="G16" s="75">
        <f>'Social Benefits'!AB30</f>
        <v>1.63</v>
      </c>
      <c r="H16" s="75">
        <f>'Social Benefits'!AC30</f>
        <v>1.63</v>
      </c>
      <c r="I16" s="75">
        <f>'Social Benefits'!AD30</f>
        <v>1.63</v>
      </c>
      <c r="J16" s="75">
        <f>'Social Benefits'!AE30</f>
        <v>1.63</v>
      </c>
      <c r="K16" s="75">
        <f>'Social Benefits'!AF30</f>
        <v>1.671</v>
      </c>
      <c r="L16" s="78">
        <f>'Social Benefits'!AG30</f>
        <v>0</v>
      </c>
      <c r="M16" s="75"/>
    </row>
    <row r="17" spans="1:13" x14ac:dyDescent="0.35">
      <c r="A17" t="s">
        <v>220</v>
      </c>
      <c r="B17" t="s">
        <v>221</v>
      </c>
      <c r="C17" s="75">
        <f>'Social Benefits'!X33</f>
        <v>1947.3989999999999</v>
      </c>
      <c r="D17" s="75">
        <f>'Social Benefits'!Y33</f>
        <v>2000.0101040853333</v>
      </c>
      <c r="E17" s="75">
        <f>'Social Benefits'!Z33</f>
        <v>2006.9434374186667</v>
      </c>
      <c r="F17" s="75">
        <f>'Social Benefits'!AA33</f>
        <v>2013.8767707520001</v>
      </c>
      <c r="G17" s="75">
        <f>'Social Benefits'!AB33</f>
        <v>2022.3381040853335</v>
      </c>
      <c r="H17" s="75">
        <f>'Social Benefits'!AC33</f>
        <v>2063.7227287944106</v>
      </c>
      <c r="I17" s="75">
        <f>'Social Benefits'!AD33</f>
        <v>2070.6560621277445</v>
      </c>
      <c r="J17" s="75">
        <f>'Social Benefits'!AE33</f>
        <v>2077.5893954610779</v>
      </c>
      <c r="K17" s="75">
        <f>'Social Benefits'!AF33</f>
        <v>2068.2837287944112</v>
      </c>
      <c r="L17" s="78">
        <f>'Social Benefits'!AG33</f>
        <v>0</v>
      </c>
      <c r="M17" s="75"/>
    </row>
    <row r="18" spans="1:13" x14ac:dyDescent="0.35">
      <c r="A18" t="s">
        <v>222</v>
      </c>
      <c r="B18" t="s">
        <v>223</v>
      </c>
      <c r="C18" s="75">
        <f>'Social Benefits'!X38</f>
        <v>193.12402555814535</v>
      </c>
      <c r="D18" s="75">
        <f>'Social Benefits'!Y38</f>
        <v>196.29831211574134</v>
      </c>
      <c r="E18" s="75">
        <f>'Social Benefits'!Z38</f>
        <v>199.52477289205825</v>
      </c>
      <c r="F18" s="75">
        <f>'Social Benefits'!AA38</f>
        <v>202.80426544959073</v>
      </c>
      <c r="G18" s="75">
        <f>'Social Benefits'!AB38</f>
        <v>206.137661446175</v>
      </c>
      <c r="H18" s="75">
        <f>'Social Benefits'!AC38</f>
        <v>209.52584686666717</v>
      </c>
      <c r="I18" s="75">
        <f>'Social Benefits'!AD38</f>
        <v>212.9697222584295</v>
      </c>
      <c r="J18" s="75">
        <f>'Social Benefits'!AE38</f>
        <v>216.47020297068735</v>
      </c>
      <c r="K18" s="75">
        <f>'Social Benefits'!AF38</f>
        <v>220.02821939782032</v>
      </c>
      <c r="L18" s="75">
        <f>'Social Benefits'!AG38</f>
        <v>223.64471722665206</v>
      </c>
      <c r="M18" s="75"/>
    </row>
    <row r="19" spans="1:13" x14ac:dyDescent="0.35">
      <c r="A19" t="s">
        <v>224</v>
      </c>
      <c r="B19" t="s">
        <v>225</v>
      </c>
      <c r="C19" s="75">
        <f>Taxes!X9</f>
        <v>4181.7</v>
      </c>
      <c r="D19" s="75">
        <f>Taxes!Y9</f>
        <v>4236.8196882791963</v>
      </c>
      <c r="E19" s="75">
        <f>Taxes!Z9</f>
        <v>4270.0725554678729</v>
      </c>
      <c r="F19" s="75">
        <f>Taxes!AA9</f>
        <v>4303.6256137979035</v>
      </c>
      <c r="G19" s="75">
        <f>Taxes!AB9</f>
        <v>4334.5561571140242</v>
      </c>
      <c r="H19" s="75">
        <f>Taxes!AC9</f>
        <v>4393.0949961856113</v>
      </c>
      <c r="I19" s="75">
        <f>Taxes!AD9</f>
        <v>4424.6908127465058</v>
      </c>
      <c r="J19" s="75">
        <f>Taxes!AE9</f>
        <v>4456.5558089947972</v>
      </c>
      <c r="K19" s="75">
        <f>Taxes!AF9</f>
        <v>4488.692504183522</v>
      </c>
      <c r="L19" s="75">
        <f>Taxes!AG9</f>
        <v>4549.3307437599615</v>
      </c>
      <c r="M19" s="75"/>
    </row>
    <row r="20" spans="1:13" x14ac:dyDescent="0.35">
      <c r="A20" t="s">
        <v>226</v>
      </c>
      <c r="B20" t="s">
        <v>227</v>
      </c>
      <c r="C20" s="75">
        <f>Taxes!X20</f>
        <v>2265.6</v>
      </c>
      <c r="D20" s="75">
        <f>Taxes!Y20</f>
        <v>2284.469094030394</v>
      </c>
      <c r="E20" s="75">
        <f>Taxes!Z20</f>
        <v>2302.9030292296748</v>
      </c>
      <c r="F20" s="75">
        <f>Taxes!AA20</f>
        <v>2324.5256298693171</v>
      </c>
      <c r="G20" s="75">
        <f>Taxes!AB20</f>
        <v>2348.4579698636958</v>
      </c>
      <c r="H20" s="75">
        <f>Taxes!AC20</f>
        <v>2372.5591961534947</v>
      </c>
      <c r="I20" s="75">
        <f>Taxes!AD20</f>
        <v>2396.4249321271354</v>
      </c>
      <c r="J20" s="75">
        <f>Taxes!AE20</f>
        <v>2421.3194378559351</v>
      </c>
      <c r="K20" s="75">
        <f>Taxes!AF20</f>
        <v>2446.4963977966731</v>
      </c>
      <c r="L20" s="75">
        <f>Taxes!AG20</f>
        <v>2381.0429948822953</v>
      </c>
      <c r="M20" s="75"/>
    </row>
    <row r="21" spans="1:13" x14ac:dyDescent="0.35">
      <c r="A21" t="s">
        <v>228</v>
      </c>
      <c r="B21" t="s">
        <v>229</v>
      </c>
      <c r="C21" s="75">
        <f>Taxes!X16</f>
        <v>418.6878884136944</v>
      </c>
      <c r="D21" s="75">
        <f>Taxes!Y16</f>
        <v>419.37690886200528</v>
      </c>
      <c r="E21" s="75">
        <f>Taxes!Z16</f>
        <v>420.06706320788362</v>
      </c>
      <c r="F21" s="75">
        <f>Taxes!AA16</f>
        <v>420.75835331734618</v>
      </c>
      <c r="G21" s="75">
        <f>Taxes!AB16</f>
        <v>422.95559046469532</v>
      </c>
      <c r="H21" s="75">
        <f>Taxes!AC16</f>
        <v>425.16430177778267</v>
      </c>
      <c r="I21" s="75">
        <f>Taxes!AD16</f>
        <v>427.38454717571142</v>
      </c>
      <c r="J21" s="75">
        <f>Taxes!AE16</f>
        <v>429.6163868904876</v>
      </c>
      <c r="K21" s="75">
        <f>Taxes!AF16</f>
        <v>431.85988146865407</v>
      </c>
      <c r="L21" s="75">
        <f>Taxes!AG16</f>
        <v>434.11509177293306</v>
      </c>
      <c r="M21" s="75"/>
    </row>
    <row r="22" spans="1:13" x14ac:dyDescent="0.35">
      <c r="A22" t="s">
        <v>230</v>
      </c>
      <c r="B22" t="s">
        <v>231</v>
      </c>
      <c r="C22" s="75">
        <f>Taxes!X26</f>
        <v>128.90298592625811</v>
      </c>
      <c r="D22" s="75">
        <f>Taxes!Y26</f>
        <v>129.4766557205416</v>
      </c>
      <c r="E22" s="75">
        <f>Taxes!Z26</f>
        <v>130.51913093811052</v>
      </c>
      <c r="F22" s="75">
        <f>Taxes!AA26</f>
        <v>131.81451434455713</v>
      </c>
      <c r="G22" s="75">
        <f>Taxes!AB26</f>
        <v>135.75618099560171</v>
      </c>
      <c r="H22" s="75">
        <f>Taxes!AC26</f>
        <v>140.92537763656472</v>
      </c>
      <c r="I22" s="75">
        <f>Taxes!AD26</f>
        <v>145.24949081713166</v>
      </c>
      <c r="J22" s="75">
        <f>Taxes!AE26</f>
        <v>148.76553149177235</v>
      </c>
      <c r="K22" s="75">
        <f>Taxes!AF26</f>
        <v>151.49817363013349</v>
      </c>
      <c r="L22" s="75">
        <f>Taxes!AG26</f>
        <v>136.97137400069684</v>
      </c>
      <c r="M22" s="75"/>
    </row>
    <row r="23" spans="1:13" x14ac:dyDescent="0.35">
      <c r="A23" s="35" t="s">
        <v>1390</v>
      </c>
      <c r="B23" t="s">
        <v>1389</v>
      </c>
      <c r="C23" s="75">
        <f>'Student loans'!X11</f>
        <v>2.1006180000000003</v>
      </c>
      <c r="D23" s="75">
        <f>'Student loans'!Y11</f>
        <v>2.5815300000000003</v>
      </c>
      <c r="E23" s="75">
        <f>'Student loans'!Z11</f>
        <v>2.6040450000000002</v>
      </c>
      <c r="F23" s="75">
        <f>'Student loans'!AA11</f>
        <v>2.626465</v>
      </c>
      <c r="G23" s="75">
        <f>'Student loans'!AB11</f>
        <v>2.6498349999999999</v>
      </c>
      <c r="H23" s="75">
        <f>'Student loans'!AC11</f>
        <v>2.6454420000000001</v>
      </c>
      <c r="I23" s="75">
        <f>'Student loans'!AD11</f>
        <v>2.6696</v>
      </c>
      <c r="J23" s="75">
        <f>'Student loans'!AE11</f>
        <v>2.693006</v>
      </c>
      <c r="K23" s="75">
        <f>'Student loans'!AF11</f>
        <v>2.7175400000000001</v>
      </c>
      <c r="L23" s="75">
        <f>'Student loans'!AG11</f>
        <v>2.7175400000000001</v>
      </c>
      <c r="M23" s="75"/>
    </row>
    <row r="24" spans="1:13" x14ac:dyDescent="0.35">
      <c r="A24" s="79"/>
      <c r="B24" t="s">
        <v>1987</v>
      </c>
      <c r="C24" s="75">
        <f>'Supply Side IRA'!X14</f>
        <v>107.09511973283159</v>
      </c>
      <c r="D24" s="75">
        <f>'Supply Side IRA'!Y14</f>
        <v>123.43068098270146</v>
      </c>
      <c r="E24" s="75">
        <f>'Supply Side IRA'!Z14</f>
        <v>119.51894569293765</v>
      </c>
      <c r="F24" s="75">
        <f>'Supply Side IRA'!AA14</f>
        <v>107.43906054902104</v>
      </c>
      <c r="G24" s="75">
        <f>'Supply Side IRA'!AB14</f>
        <v>95.582557225578753</v>
      </c>
      <c r="H24" s="75">
        <f>'Supply Side IRA'!AC14</f>
        <v>78.523007434537817</v>
      </c>
      <c r="I24" s="75">
        <f>'Supply Side IRA'!AD14</f>
        <v>64.241006460387624</v>
      </c>
      <c r="J24" s="75">
        <f>'Supply Side IRA'!AE14</f>
        <v>53.828884603674005</v>
      </c>
      <c r="K24" s="75">
        <f>'Supply Side IRA'!AF14</f>
        <v>54.123937667515193</v>
      </c>
      <c r="L24" s="78">
        <f>'Supply Side IRA'!AG14</f>
        <v>0</v>
      </c>
    </row>
    <row r="25" spans="1:13" x14ac:dyDescent="0.35">
      <c r="A25" s="47"/>
      <c r="C25" s="72"/>
      <c r="D25" s="72"/>
      <c r="E25" s="72"/>
      <c r="F25" s="72"/>
      <c r="G25" s="72"/>
      <c r="H25" s="72"/>
    </row>
    <row r="26" spans="1:13" x14ac:dyDescent="0.35">
      <c r="A26" s="47"/>
      <c r="C26" s="72"/>
      <c r="D26" s="72"/>
      <c r="E26" s="72"/>
      <c r="F26" s="72"/>
      <c r="G26" s="72"/>
      <c r="H26" s="72"/>
    </row>
    <row r="27" spans="1:13" x14ac:dyDescent="0.35">
      <c r="A27" s="47"/>
      <c r="C27" s="72"/>
      <c r="D27" s="72"/>
      <c r="E27" s="72"/>
      <c r="F27" s="72"/>
      <c r="G27" s="72"/>
      <c r="H27" s="72"/>
    </row>
    <row r="28" spans="1:13" x14ac:dyDescent="0.35">
      <c r="A28" s="35"/>
      <c r="C28" s="72"/>
      <c r="D28" s="72"/>
      <c r="E28" s="72"/>
      <c r="F28" s="72"/>
      <c r="G28" s="72"/>
      <c r="H28" s="72"/>
    </row>
  </sheetData>
  <pageMargins left="0.7" right="0.7" top="0.75" bottom="0.75" header="0.3" footer="0.3"/>
  <pageSetup paperSize="9" orientation="portrait" horizontalDpi="300" verticalDpi="300"/>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W90"/>
  <sheetViews>
    <sheetView zoomScale="89" zoomScaleNormal="100" workbookViewId="0">
      <pane xSplit="2" ySplit="7" topLeftCell="L25" activePane="bottomRight" state="frozen"/>
      <selection pane="topRight" activeCell="C1" sqref="C1"/>
      <selection pane="bottomLeft" activeCell="A8" sqref="A8"/>
      <selection pane="bottomRight" activeCell="V39" sqref="V39"/>
    </sheetView>
  </sheetViews>
  <sheetFormatPr defaultColWidth="10.90625" defaultRowHeight="14.5" x14ac:dyDescent="0.35"/>
  <cols>
    <col min="1" max="1" width="6.54296875" customWidth="1"/>
    <col min="2" max="2" width="65" customWidth="1"/>
    <col min="3" max="19" width="11.54296875" customWidth="1"/>
  </cols>
  <sheetData>
    <row r="2" spans="1:23" ht="21" customHeight="1" x14ac:dyDescent="0.5">
      <c r="A2" s="1257" t="s">
        <v>1870</v>
      </c>
      <c r="B2" s="1257"/>
      <c r="C2" s="1257"/>
      <c r="D2" s="1257"/>
      <c r="E2" s="1257"/>
      <c r="F2" s="1257"/>
      <c r="G2" s="1257"/>
      <c r="H2" s="1257"/>
      <c r="I2" s="1257"/>
      <c r="J2" s="1257"/>
      <c r="K2" s="101"/>
      <c r="L2" s="101"/>
      <c r="M2" s="101"/>
      <c r="N2" s="101"/>
      <c r="O2" s="101"/>
      <c r="P2" s="101"/>
      <c r="Q2" s="101"/>
      <c r="R2" s="101"/>
      <c r="S2" s="101"/>
      <c r="T2" s="77"/>
      <c r="U2" s="77"/>
      <c r="V2" s="77"/>
      <c r="W2" s="77"/>
    </row>
    <row r="3" spans="1:23" x14ac:dyDescent="0.35">
      <c r="A3" s="77" t="s">
        <v>887</v>
      </c>
      <c r="B3" s="77"/>
      <c r="C3" s="77"/>
      <c r="D3" s="77"/>
      <c r="E3" s="77"/>
      <c r="F3" s="77"/>
      <c r="G3" s="77"/>
      <c r="H3" s="77"/>
      <c r="I3" s="77"/>
      <c r="J3" s="77"/>
      <c r="K3" s="77"/>
      <c r="L3" s="77"/>
      <c r="M3" s="77"/>
      <c r="N3" s="77"/>
      <c r="O3" s="77"/>
      <c r="P3" s="77"/>
      <c r="Q3" s="77"/>
      <c r="R3" s="77"/>
      <c r="S3" s="77"/>
      <c r="T3" s="77"/>
      <c r="U3" s="77"/>
      <c r="V3" s="77"/>
      <c r="W3" s="77"/>
    </row>
    <row r="4" spans="1:23" ht="15" customHeight="1" x14ac:dyDescent="0.35">
      <c r="A4" s="1258"/>
      <c r="B4" s="1258"/>
      <c r="C4" s="1258"/>
      <c r="D4" s="102"/>
      <c r="E4" s="102"/>
      <c r="F4" s="102"/>
      <c r="G4" s="102"/>
      <c r="H4" s="102"/>
      <c r="I4" s="102"/>
      <c r="J4" s="102"/>
      <c r="K4" s="102"/>
      <c r="L4" s="102"/>
      <c r="M4" s="102"/>
      <c r="N4" s="102"/>
      <c r="O4" s="102"/>
      <c r="P4" s="102"/>
      <c r="Q4" s="102"/>
      <c r="R4" s="102"/>
      <c r="S4" s="102"/>
    </row>
    <row r="5" spans="1:23" x14ac:dyDescent="0.35">
      <c r="A5" s="1259" t="s">
        <v>818</v>
      </c>
      <c r="B5" s="1262"/>
      <c r="C5" s="1265" t="s">
        <v>900</v>
      </c>
      <c r="D5" s="1265" t="s">
        <v>900</v>
      </c>
      <c r="E5" s="1265" t="s">
        <v>900</v>
      </c>
      <c r="F5" s="1265" t="s">
        <v>900</v>
      </c>
      <c r="G5" s="1265" t="s">
        <v>900</v>
      </c>
      <c r="H5" s="1265" t="s">
        <v>900</v>
      </c>
      <c r="I5" s="1265" t="s">
        <v>900</v>
      </c>
      <c r="J5" s="1266" t="s">
        <v>900</v>
      </c>
      <c r="K5" s="135"/>
      <c r="L5" s="135"/>
      <c r="M5" s="135"/>
      <c r="N5" s="135"/>
      <c r="O5" s="135"/>
      <c r="P5" s="135"/>
      <c r="Q5" s="135"/>
      <c r="R5" s="135"/>
      <c r="S5" s="135"/>
    </row>
    <row r="6" spans="1:23" x14ac:dyDescent="0.35">
      <c r="A6" s="1260" t="s">
        <v>818</v>
      </c>
      <c r="B6" s="1263"/>
      <c r="C6" s="1267">
        <v>2022</v>
      </c>
      <c r="D6" s="1268"/>
      <c r="E6" s="1268"/>
      <c r="F6" s="1268"/>
      <c r="G6" s="1268"/>
      <c r="H6" s="1269"/>
      <c r="I6" s="1267">
        <v>2023</v>
      </c>
      <c r="J6" s="1268">
        <v>2023</v>
      </c>
      <c r="K6" s="1269">
        <v>2023</v>
      </c>
      <c r="L6" s="75"/>
      <c r="M6" s="75"/>
      <c r="N6" s="75"/>
      <c r="O6" s="75"/>
      <c r="P6" s="75"/>
      <c r="Q6" s="75"/>
      <c r="R6" s="75"/>
      <c r="S6" s="75"/>
    </row>
    <row r="7" spans="1:23" ht="32.5" customHeight="1" x14ac:dyDescent="0.35">
      <c r="A7" s="1261" t="s">
        <v>818</v>
      </c>
      <c r="B7" s="1264"/>
      <c r="C7" s="82" t="s">
        <v>1812</v>
      </c>
      <c r="D7" s="82" t="s">
        <v>1890</v>
      </c>
      <c r="E7" s="82" t="s">
        <v>1891</v>
      </c>
      <c r="F7" s="82" t="s">
        <v>1897</v>
      </c>
      <c r="G7" s="82" t="s">
        <v>1898</v>
      </c>
      <c r="H7" s="82" t="s">
        <v>1899</v>
      </c>
      <c r="I7" s="82" t="s">
        <v>234</v>
      </c>
      <c r="J7" s="82" t="s">
        <v>235</v>
      </c>
      <c r="K7" s="82" t="s">
        <v>1990</v>
      </c>
      <c r="L7" s="82" t="s">
        <v>2005</v>
      </c>
      <c r="M7" s="82" t="s">
        <v>2006</v>
      </c>
      <c r="N7" s="82" t="s">
        <v>2007</v>
      </c>
      <c r="O7" s="82" t="s">
        <v>1812</v>
      </c>
      <c r="P7" s="82" t="s">
        <v>1999</v>
      </c>
      <c r="Q7" s="82" t="s">
        <v>2008</v>
      </c>
      <c r="R7" s="82" t="s">
        <v>2009</v>
      </c>
      <c r="S7" s="82" t="s">
        <v>2017</v>
      </c>
      <c r="T7" s="118" t="s">
        <v>2002</v>
      </c>
    </row>
    <row r="8" spans="1:23" x14ac:dyDescent="0.35">
      <c r="A8" s="130">
        <v>1</v>
      </c>
      <c r="B8" s="60" t="s">
        <v>239</v>
      </c>
      <c r="C8" s="83">
        <v>21852.3</v>
      </c>
      <c r="D8" s="83">
        <v>21975.8</v>
      </c>
      <c r="E8" s="84">
        <v>22080.400000000001</v>
      </c>
      <c r="F8" s="84">
        <v>22201.9</v>
      </c>
      <c r="G8" s="84">
        <v>22240.1</v>
      </c>
      <c r="H8" s="84">
        <v>22281.9</v>
      </c>
      <c r="I8" s="83">
        <v>22525.3</v>
      </c>
      <c r="J8" s="84">
        <v>22648.400000000001</v>
      </c>
      <c r="K8" s="83">
        <v>22757.9</v>
      </c>
      <c r="L8" s="84">
        <v>22806.1</v>
      </c>
      <c r="M8" s="84">
        <v>22876.6</v>
      </c>
      <c r="N8" s="84">
        <v>22921.4</v>
      </c>
      <c r="O8" s="84">
        <v>22984</v>
      </c>
      <c r="P8" s="84">
        <v>23089.1</v>
      </c>
      <c r="Q8" s="84">
        <v>23185.9</v>
      </c>
      <c r="R8" s="85">
        <v>23242.9</v>
      </c>
      <c r="S8" s="85">
        <v>23289.4</v>
      </c>
    </row>
    <row r="9" spans="1:23" x14ac:dyDescent="0.35">
      <c r="A9" s="131">
        <v>2</v>
      </c>
      <c r="B9" s="121" t="s">
        <v>1813</v>
      </c>
      <c r="C9" s="86">
        <v>13654.1</v>
      </c>
      <c r="D9" s="86">
        <v>13754.9</v>
      </c>
      <c r="E9" s="87">
        <v>13856.1</v>
      </c>
      <c r="F9" s="87">
        <v>13828.8</v>
      </c>
      <c r="G9" s="87">
        <v>13822.8</v>
      </c>
      <c r="H9" s="87">
        <v>13832.7</v>
      </c>
      <c r="I9" s="86">
        <v>13885.2</v>
      </c>
      <c r="J9" s="87">
        <v>13968.7</v>
      </c>
      <c r="K9" s="86">
        <v>14041.7</v>
      </c>
      <c r="L9" s="87">
        <v>14092.7</v>
      </c>
      <c r="M9" s="87">
        <v>14151.1</v>
      </c>
      <c r="N9" s="87">
        <v>14218.6</v>
      </c>
      <c r="O9" s="87">
        <v>14280.7</v>
      </c>
      <c r="P9" s="87">
        <v>14346.9</v>
      </c>
      <c r="Q9" s="87">
        <v>14419.1</v>
      </c>
      <c r="R9" s="88">
        <v>14442.9</v>
      </c>
      <c r="S9" s="88">
        <v>14522.7</v>
      </c>
    </row>
    <row r="10" spans="1:23" x14ac:dyDescent="0.35">
      <c r="A10" s="131">
        <v>3</v>
      </c>
      <c r="B10" s="122" t="s">
        <v>1814</v>
      </c>
      <c r="C10" s="86">
        <v>11271.8</v>
      </c>
      <c r="D10" s="86">
        <v>11360.7</v>
      </c>
      <c r="E10" s="87">
        <v>11450.6</v>
      </c>
      <c r="F10" s="87">
        <v>11420.4</v>
      </c>
      <c r="G10" s="87">
        <v>11408.7</v>
      </c>
      <c r="H10" s="87">
        <v>11412.7</v>
      </c>
      <c r="I10" s="86">
        <v>11494.7</v>
      </c>
      <c r="J10" s="87">
        <v>11568.5</v>
      </c>
      <c r="K10" s="86">
        <v>11633.1</v>
      </c>
      <c r="L10" s="87">
        <v>11680.1</v>
      </c>
      <c r="M10" s="87">
        <v>11730.8</v>
      </c>
      <c r="N10" s="87">
        <v>11788.9</v>
      </c>
      <c r="O10" s="87">
        <v>11840.9</v>
      </c>
      <c r="P10" s="87">
        <v>11897.1</v>
      </c>
      <c r="Q10" s="87">
        <v>11958.9</v>
      </c>
      <c r="R10" s="88">
        <v>11975.9</v>
      </c>
      <c r="S10" s="88">
        <v>12044.2</v>
      </c>
    </row>
    <row r="11" spans="1:23" x14ac:dyDescent="0.35">
      <c r="A11" s="131">
        <v>4</v>
      </c>
      <c r="B11" s="125" t="s">
        <v>1815</v>
      </c>
      <c r="C11" s="89">
        <v>9656.4</v>
      </c>
      <c r="D11" s="89">
        <v>9735.9</v>
      </c>
      <c r="E11" s="90">
        <v>9819.5</v>
      </c>
      <c r="F11" s="90">
        <v>9785.7999999999993</v>
      </c>
      <c r="G11" s="90">
        <v>9763.9</v>
      </c>
      <c r="H11" s="90">
        <v>9762.2999999999993</v>
      </c>
      <c r="I11" s="89">
        <v>9818.2999999999993</v>
      </c>
      <c r="J11" s="90">
        <v>9882.7999999999993</v>
      </c>
      <c r="K11" s="89">
        <v>9937.7000000000007</v>
      </c>
      <c r="L11" s="90">
        <v>9976.9</v>
      </c>
      <c r="M11" s="90">
        <v>10019.799999999999</v>
      </c>
      <c r="N11" s="90">
        <v>10070.4</v>
      </c>
      <c r="O11" s="90">
        <v>10102.5</v>
      </c>
      <c r="P11" s="90">
        <v>10143.6</v>
      </c>
      <c r="Q11" s="90">
        <v>10190.799999999999</v>
      </c>
      <c r="R11" s="91">
        <v>10196.200000000001</v>
      </c>
      <c r="S11" s="91">
        <v>10251.4</v>
      </c>
    </row>
    <row r="12" spans="1:23" x14ac:dyDescent="0.35">
      <c r="A12" s="131">
        <v>5</v>
      </c>
      <c r="B12" s="123" t="s">
        <v>1816</v>
      </c>
      <c r="C12" s="89">
        <v>1767.7</v>
      </c>
      <c r="D12" s="89">
        <v>1780.1</v>
      </c>
      <c r="E12" s="90">
        <v>1797.4</v>
      </c>
      <c r="F12" s="90">
        <v>1795.8</v>
      </c>
      <c r="G12" s="90">
        <v>1793.7</v>
      </c>
      <c r="H12" s="90">
        <v>1789.6</v>
      </c>
      <c r="I12" s="89">
        <v>1804.5</v>
      </c>
      <c r="J12" s="90">
        <v>1806.7</v>
      </c>
      <c r="K12" s="89">
        <v>1818.5</v>
      </c>
      <c r="L12" s="90">
        <v>1828.4</v>
      </c>
      <c r="M12" s="90">
        <v>1836.7</v>
      </c>
      <c r="N12" s="90">
        <v>1847.2</v>
      </c>
      <c r="O12" s="90">
        <v>1857.3</v>
      </c>
      <c r="P12" s="90">
        <v>1864.3</v>
      </c>
      <c r="Q12" s="90">
        <v>1872</v>
      </c>
      <c r="R12" s="91">
        <v>1876.6</v>
      </c>
      <c r="S12" s="91">
        <v>1896.7</v>
      </c>
    </row>
    <row r="13" spans="1:23" x14ac:dyDescent="0.35">
      <c r="A13" s="131">
        <v>6</v>
      </c>
      <c r="B13" s="126" t="s">
        <v>1817</v>
      </c>
      <c r="C13" s="89">
        <v>1046.3</v>
      </c>
      <c r="D13" s="89">
        <v>1054.4000000000001</v>
      </c>
      <c r="E13" s="90">
        <v>1064.8</v>
      </c>
      <c r="F13" s="90">
        <v>1061.4000000000001</v>
      </c>
      <c r="G13" s="90">
        <v>1055.5</v>
      </c>
      <c r="H13" s="90">
        <v>1046.9000000000001</v>
      </c>
      <c r="I13" s="89">
        <v>1066</v>
      </c>
      <c r="J13" s="90">
        <v>1064.3</v>
      </c>
      <c r="K13" s="89">
        <v>1071.2</v>
      </c>
      <c r="L13" s="90">
        <v>1077.3</v>
      </c>
      <c r="M13" s="90">
        <v>1079.5</v>
      </c>
      <c r="N13" s="90">
        <v>1088.5999999999999</v>
      </c>
      <c r="O13" s="90">
        <v>1092.0999999999999</v>
      </c>
      <c r="P13" s="90">
        <v>1094.3</v>
      </c>
      <c r="Q13" s="90">
        <v>1098.2</v>
      </c>
      <c r="R13" s="91">
        <v>1098.0999999999999</v>
      </c>
      <c r="S13" s="91">
        <v>1113.8</v>
      </c>
    </row>
    <row r="14" spans="1:23" x14ac:dyDescent="0.35">
      <c r="A14" s="131">
        <v>7</v>
      </c>
      <c r="B14" s="123" t="s">
        <v>1818</v>
      </c>
      <c r="C14" s="89">
        <v>7888.7</v>
      </c>
      <c r="D14" s="89">
        <v>7955.8</v>
      </c>
      <c r="E14" s="90">
        <v>8022.1</v>
      </c>
      <c r="F14" s="90">
        <v>7990</v>
      </c>
      <c r="G14" s="90">
        <v>7970.1</v>
      </c>
      <c r="H14" s="90">
        <v>7972.7</v>
      </c>
      <c r="I14" s="89">
        <v>8013.8</v>
      </c>
      <c r="J14" s="90">
        <v>8076.2</v>
      </c>
      <c r="K14" s="89">
        <v>8119.2</v>
      </c>
      <c r="L14" s="90">
        <v>8148.5</v>
      </c>
      <c r="M14" s="90">
        <v>8183.1</v>
      </c>
      <c r="N14" s="90">
        <v>8223.2000000000007</v>
      </c>
      <c r="O14" s="90">
        <v>8245.2000000000007</v>
      </c>
      <c r="P14" s="90">
        <v>8279.2999999999993</v>
      </c>
      <c r="Q14" s="90">
        <v>8318.7999999999993</v>
      </c>
      <c r="R14" s="91">
        <v>8319.6</v>
      </c>
      <c r="S14" s="91">
        <v>8354.7000000000007</v>
      </c>
    </row>
    <row r="15" spans="1:23" x14ac:dyDescent="0.35">
      <c r="A15" s="131">
        <v>8</v>
      </c>
      <c r="B15" s="127" t="s">
        <v>1819</v>
      </c>
      <c r="C15" s="89">
        <v>1734</v>
      </c>
      <c r="D15" s="89">
        <v>1748.4</v>
      </c>
      <c r="E15" s="90">
        <v>1762.3</v>
      </c>
      <c r="F15" s="90">
        <v>1757.7</v>
      </c>
      <c r="G15" s="90">
        <v>1749.7</v>
      </c>
      <c r="H15" s="90">
        <v>1745.6</v>
      </c>
      <c r="I15" s="89">
        <v>1778.8</v>
      </c>
      <c r="J15" s="90">
        <v>1795.8</v>
      </c>
      <c r="K15" s="89">
        <v>1796</v>
      </c>
      <c r="L15" s="90">
        <v>1797.8</v>
      </c>
      <c r="M15" s="90">
        <v>1793.1</v>
      </c>
      <c r="N15" s="90">
        <v>1804.5</v>
      </c>
      <c r="O15" s="90">
        <v>1808.4</v>
      </c>
      <c r="P15" s="90">
        <v>1814.7</v>
      </c>
      <c r="Q15" s="90">
        <v>1826</v>
      </c>
      <c r="R15" s="91">
        <v>1819.8</v>
      </c>
      <c r="S15" s="91">
        <v>1828</v>
      </c>
    </row>
    <row r="16" spans="1:23" x14ac:dyDescent="0.35">
      <c r="A16" s="131">
        <v>9</v>
      </c>
      <c r="B16" s="127" t="s">
        <v>1820</v>
      </c>
      <c r="C16" s="89">
        <v>6154.8</v>
      </c>
      <c r="D16" s="89">
        <v>6207.4</v>
      </c>
      <c r="E16" s="90">
        <v>6259.8</v>
      </c>
      <c r="F16" s="90">
        <v>6232.2</v>
      </c>
      <c r="G16" s="90">
        <v>6220.4</v>
      </c>
      <c r="H16" s="90">
        <v>6227.2</v>
      </c>
      <c r="I16" s="89">
        <v>6235</v>
      </c>
      <c r="J16" s="90">
        <v>6280.4</v>
      </c>
      <c r="K16" s="89">
        <v>6323.1</v>
      </c>
      <c r="L16" s="90">
        <v>6350.7</v>
      </c>
      <c r="M16" s="90">
        <v>6390</v>
      </c>
      <c r="N16" s="90">
        <v>6418.7</v>
      </c>
      <c r="O16" s="90">
        <v>6436.8</v>
      </c>
      <c r="P16" s="90">
        <v>6464.6</v>
      </c>
      <c r="Q16" s="90">
        <v>6492.8</v>
      </c>
      <c r="R16" s="91">
        <v>6499.8</v>
      </c>
      <c r="S16" s="91">
        <v>6526.6</v>
      </c>
    </row>
    <row r="17" spans="1:21" ht="16.399999999999999" customHeight="1" x14ac:dyDescent="0.35">
      <c r="A17" s="131">
        <v>10</v>
      </c>
      <c r="B17" s="125" t="s">
        <v>1821</v>
      </c>
      <c r="C17" s="89">
        <v>1615.4</v>
      </c>
      <c r="D17" s="89">
        <v>1624.8</v>
      </c>
      <c r="E17" s="90">
        <v>1631.1</v>
      </c>
      <c r="F17" s="90">
        <v>1634.6</v>
      </c>
      <c r="G17" s="90">
        <v>1644.8</v>
      </c>
      <c r="H17" s="90">
        <v>1650.4</v>
      </c>
      <c r="I17" s="89">
        <v>1676.4</v>
      </c>
      <c r="J17" s="90">
        <v>1685.7</v>
      </c>
      <c r="K17" s="89">
        <v>1695.5</v>
      </c>
      <c r="L17" s="90">
        <v>1703.2</v>
      </c>
      <c r="M17" s="90">
        <v>1711</v>
      </c>
      <c r="N17" s="90">
        <v>1718.6</v>
      </c>
      <c r="O17" s="90">
        <v>1738.4</v>
      </c>
      <c r="P17" s="90">
        <v>1753.5</v>
      </c>
      <c r="Q17" s="90">
        <v>1768.1</v>
      </c>
      <c r="R17" s="91">
        <v>1779.7</v>
      </c>
      <c r="S17" s="91">
        <v>1792.8</v>
      </c>
    </row>
    <row r="18" spans="1:21" ht="16.399999999999999" customHeight="1" x14ac:dyDescent="0.35">
      <c r="A18" s="131">
        <v>11</v>
      </c>
      <c r="B18" s="122" t="s">
        <v>1822</v>
      </c>
      <c r="C18" s="86">
        <v>2382.3000000000002</v>
      </c>
      <c r="D18" s="86">
        <v>2394.1</v>
      </c>
      <c r="E18" s="87">
        <v>2405.5</v>
      </c>
      <c r="F18" s="87">
        <v>2408.5</v>
      </c>
      <c r="G18" s="87">
        <v>2414.1</v>
      </c>
      <c r="H18" s="87">
        <v>2420</v>
      </c>
      <c r="I18" s="86">
        <v>2390.6</v>
      </c>
      <c r="J18" s="87">
        <v>2400.1999999999998</v>
      </c>
      <c r="K18" s="86">
        <v>2408.6</v>
      </c>
      <c r="L18" s="87">
        <v>2412.6</v>
      </c>
      <c r="M18" s="87">
        <v>2420.3000000000002</v>
      </c>
      <c r="N18" s="87">
        <v>2429.6</v>
      </c>
      <c r="O18" s="87">
        <v>2439.8000000000002</v>
      </c>
      <c r="P18" s="87">
        <v>2449.8000000000002</v>
      </c>
      <c r="Q18" s="87">
        <v>2460.1999999999998</v>
      </c>
      <c r="R18" s="88">
        <v>2467</v>
      </c>
      <c r="S18" s="88">
        <v>2478.5</v>
      </c>
    </row>
    <row r="19" spans="1:21" ht="16.5" customHeight="1" x14ac:dyDescent="0.35">
      <c r="A19" s="132">
        <v>12</v>
      </c>
      <c r="B19" s="129" t="s">
        <v>1823</v>
      </c>
      <c r="C19" s="89">
        <v>1614.2</v>
      </c>
      <c r="D19" s="89">
        <v>1620.2</v>
      </c>
      <c r="E19" s="90">
        <v>1625.6</v>
      </c>
      <c r="F19" s="90">
        <v>1630.6</v>
      </c>
      <c r="G19" s="90">
        <v>1637.1</v>
      </c>
      <c r="H19" s="90">
        <v>1642.9</v>
      </c>
      <c r="I19" s="89">
        <v>1594</v>
      </c>
      <c r="J19" s="90">
        <v>1599</v>
      </c>
      <c r="K19" s="89">
        <v>1603.5</v>
      </c>
      <c r="L19" s="90">
        <v>1604.7</v>
      </c>
      <c r="M19" s="90">
        <v>1609.4</v>
      </c>
      <c r="N19" s="90">
        <v>1615</v>
      </c>
      <c r="O19" s="90">
        <v>1622</v>
      </c>
      <c r="P19" s="90">
        <v>1628.6</v>
      </c>
      <c r="Q19" s="90">
        <v>1634.9</v>
      </c>
      <c r="R19" s="91">
        <v>1640.7</v>
      </c>
      <c r="S19" s="91">
        <v>1647.5</v>
      </c>
    </row>
    <row r="20" spans="1:21" x14ac:dyDescent="0.35">
      <c r="A20" s="132">
        <v>13</v>
      </c>
      <c r="B20" s="129" t="s">
        <v>1824</v>
      </c>
      <c r="C20" s="89">
        <v>768.1</v>
      </c>
      <c r="D20" s="89">
        <v>774</v>
      </c>
      <c r="E20" s="90">
        <v>779.9</v>
      </c>
      <c r="F20" s="90">
        <v>777.9</v>
      </c>
      <c r="G20" s="90">
        <v>777</v>
      </c>
      <c r="H20" s="90">
        <v>777.1</v>
      </c>
      <c r="I20" s="89">
        <v>796.6</v>
      </c>
      <c r="J20" s="90">
        <v>801.1</v>
      </c>
      <c r="K20" s="89">
        <v>805.1</v>
      </c>
      <c r="L20" s="90">
        <v>807.9</v>
      </c>
      <c r="M20" s="90">
        <v>811</v>
      </c>
      <c r="N20" s="90">
        <v>814.6</v>
      </c>
      <c r="O20" s="90">
        <v>817.7</v>
      </c>
      <c r="P20" s="90">
        <v>821.3</v>
      </c>
      <c r="Q20" s="90">
        <v>825.2</v>
      </c>
      <c r="R20" s="91">
        <v>826.3</v>
      </c>
      <c r="S20" s="91">
        <v>831</v>
      </c>
    </row>
    <row r="21" spans="1:21" ht="16.399999999999999" customHeight="1" x14ac:dyDescent="0.35">
      <c r="A21" s="132">
        <v>14</v>
      </c>
      <c r="B21" s="128" t="s">
        <v>1825</v>
      </c>
      <c r="C21" s="86">
        <v>1846.5</v>
      </c>
      <c r="D21" s="86">
        <v>1869.7</v>
      </c>
      <c r="E21" s="87">
        <v>1874.4</v>
      </c>
      <c r="F21" s="87">
        <v>1877.2</v>
      </c>
      <c r="G21" s="87">
        <v>1882.7</v>
      </c>
      <c r="H21" s="87">
        <v>1888.6</v>
      </c>
      <c r="I21" s="86">
        <v>1832.2</v>
      </c>
      <c r="J21" s="87">
        <v>1828.6</v>
      </c>
      <c r="K21" s="86">
        <v>1821.5</v>
      </c>
      <c r="L21" s="87">
        <v>1821.1</v>
      </c>
      <c r="M21" s="87">
        <v>1821.3</v>
      </c>
      <c r="N21" s="87">
        <v>1829.9</v>
      </c>
      <c r="O21" s="87">
        <v>1842.2</v>
      </c>
      <c r="P21" s="87">
        <v>1863.4</v>
      </c>
      <c r="Q21" s="87">
        <v>1883.3</v>
      </c>
      <c r="R21" s="88">
        <v>1891.3</v>
      </c>
      <c r="S21" s="88">
        <v>1878.5</v>
      </c>
    </row>
    <row r="22" spans="1:21" x14ac:dyDescent="0.35">
      <c r="A22" s="131">
        <v>15</v>
      </c>
      <c r="B22" s="58" t="s">
        <v>1826</v>
      </c>
      <c r="C22" s="89">
        <v>94.8</v>
      </c>
      <c r="D22" s="89">
        <v>95.9</v>
      </c>
      <c r="E22" s="90">
        <v>97.1</v>
      </c>
      <c r="F22" s="90">
        <v>99</v>
      </c>
      <c r="G22" s="90">
        <v>100.9</v>
      </c>
      <c r="H22" s="90">
        <v>102.8</v>
      </c>
      <c r="I22" s="89">
        <v>78.7</v>
      </c>
      <c r="J22" s="90">
        <v>71.2</v>
      </c>
      <c r="K22" s="89">
        <v>63.8</v>
      </c>
      <c r="L22" s="90">
        <v>61</v>
      </c>
      <c r="M22" s="90">
        <v>58.2</v>
      </c>
      <c r="N22" s="90">
        <v>55.5</v>
      </c>
      <c r="O22" s="90">
        <v>53.9</v>
      </c>
      <c r="P22" s="90">
        <v>52.3</v>
      </c>
      <c r="Q22" s="90">
        <v>50.7</v>
      </c>
      <c r="R22" s="91">
        <v>49.3</v>
      </c>
      <c r="S22" s="91">
        <v>43.5</v>
      </c>
    </row>
    <row r="23" spans="1:21" x14ac:dyDescent="0.35">
      <c r="A23" s="131">
        <v>16</v>
      </c>
      <c r="B23" s="58" t="s">
        <v>1827</v>
      </c>
      <c r="C23" s="89">
        <v>1751.7</v>
      </c>
      <c r="D23" s="89">
        <v>1773.7</v>
      </c>
      <c r="E23" s="90">
        <v>1777.4</v>
      </c>
      <c r="F23" s="90">
        <v>1778.3</v>
      </c>
      <c r="G23" s="90">
        <v>1781.9</v>
      </c>
      <c r="H23" s="90">
        <v>1785.8</v>
      </c>
      <c r="I23" s="89">
        <v>1753.5</v>
      </c>
      <c r="J23" s="90">
        <v>1757.4</v>
      </c>
      <c r="K23" s="89">
        <v>1757.7</v>
      </c>
      <c r="L23" s="90">
        <v>1760.1</v>
      </c>
      <c r="M23" s="90">
        <v>1763.1</v>
      </c>
      <c r="N23" s="90">
        <v>1774.4</v>
      </c>
      <c r="O23" s="90">
        <v>1788.3</v>
      </c>
      <c r="P23" s="90">
        <v>1811.1</v>
      </c>
      <c r="Q23" s="90">
        <v>1832.7</v>
      </c>
      <c r="R23" s="91">
        <v>1842</v>
      </c>
      <c r="S23" s="91">
        <v>1835</v>
      </c>
    </row>
    <row r="24" spans="1:21" x14ac:dyDescent="0.35">
      <c r="A24" s="132">
        <v>17</v>
      </c>
      <c r="B24" s="128" t="s">
        <v>1828</v>
      </c>
      <c r="C24" s="86">
        <v>792.9</v>
      </c>
      <c r="D24" s="86">
        <v>794.9</v>
      </c>
      <c r="E24" s="87">
        <v>797</v>
      </c>
      <c r="F24" s="87">
        <v>804.7</v>
      </c>
      <c r="G24" s="87">
        <v>810.6</v>
      </c>
      <c r="H24" s="87">
        <v>820</v>
      </c>
      <c r="I24" s="86">
        <v>930.9</v>
      </c>
      <c r="J24" s="87">
        <v>945.7</v>
      </c>
      <c r="K24" s="86">
        <v>960.7</v>
      </c>
      <c r="L24" s="87">
        <v>960.6</v>
      </c>
      <c r="M24" s="87">
        <v>960.8</v>
      </c>
      <c r="N24" s="87">
        <v>961.8</v>
      </c>
      <c r="O24" s="87">
        <v>967</v>
      </c>
      <c r="P24" s="87">
        <v>974</v>
      </c>
      <c r="Q24" s="87">
        <v>980.8</v>
      </c>
      <c r="R24" s="88">
        <v>986.1</v>
      </c>
      <c r="S24" s="88">
        <v>995.7</v>
      </c>
    </row>
    <row r="25" spans="1:21" x14ac:dyDescent="0.35">
      <c r="A25" s="131">
        <v>18</v>
      </c>
      <c r="B25" s="121" t="s">
        <v>1829</v>
      </c>
      <c r="C25" s="86">
        <v>3350.6</v>
      </c>
      <c r="D25" s="86">
        <v>3358.1</v>
      </c>
      <c r="E25" s="87">
        <v>3367.7</v>
      </c>
      <c r="F25" s="87">
        <v>3413.8</v>
      </c>
      <c r="G25" s="87">
        <v>3424.7</v>
      </c>
      <c r="H25" s="87">
        <v>3433.5</v>
      </c>
      <c r="I25" s="86">
        <v>3559.3</v>
      </c>
      <c r="J25" s="87">
        <v>3570.9</v>
      </c>
      <c r="K25" s="86">
        <v>3600.9</v>
      </c>
      <c r="L25" s="87">
        <v>3606.8</v>
      </c>
      <c r="M25" s="87">
        <v>3610.2</v>
      </c>
      <c r="N25" s="87">
        <v>3590.7</v>
      </c>
      <c r="O25" s="87">
        <v>3602</v>
      </c>
      <c r="P25" s="87">
        <v>3620.7</v>
      </c>
      <c r="Q25" s="87">
        <v>3637.5</v>
      </c>
      <c r="R25" s="88">
        <v>3665.2</v>
      </c>
      <c r="S25" s="88">
        <v>3661.7</v>
      </c>
    </row>
    <row r="26" spans="1:21" x14ac:dyDescent="0.35">
      <c r="A26" s="131">
        <v>19</v>
      </c>
      <c r="B26" s="58" t="s">
        <v>1830</v>
      </c>
      <c r="C26" s="89">
        <v>1731.1</v>
      </c>
      <c r="D26" s="89">
        <v>1738</v>
      </c>
      <c r="E26" s="90">
        <v>1745.2</v>
      </c>
      <c r="F26" s="90">
        <v>1766.6</v>
      </c>
      <c r="G26" s="90">
        <v>1788.7</v>
      </c>
      <c r="H26" s="90">
        <v>1811.6</v>
      </c>
      <c r="I26" s="89">
        <v>1736.2</v>
      </c>
      <c r="J26" s="90">
        <v>1744.3</v>
      </c>
      <c r="K26" s="89">
        <v>1752.6</v>
      </c>
      <c r="L26" s="90">
        <v>1753.6</v>
      </c>
      <c r="M26" s="90">
        <v>1754.7</v>
      </c>
      <c r="N26" s="90">
        <v>1756.1</v>
      </c>
      <c r="O26" s="90">
        <v>1772.4</v>
      </c>
      <c r="P26" s="90">
        <v>1788.9</v>
      </c>
      <c r="Q26" s="90">
        <v>1805.5</v>
      </c>
      <c r="R26" s="91">
        <v>1818.3</v>
      </c>
      <c r="S26" s="91">
        <v>1808.8</v>
      </c>
    </row>
    <row r="27" spans="1:21" x14ac:dyDescent="0.35">
      <c r="A27" s="131">
        <v>20</v>
      </c>
      <c r="B27" s="58" t="s">
        <v>1831</v>
      </c>
      <c r="C27" s="89">
        <v>1619.5</v>
      </c>
      <c r="D27" s="89">
        <v>1620.1</v>
      </c>
      <c r="E27" s="90">
        <v>1622.6</v>
      </c>
      <c r="F27" s="90">
        <v>1647.2</v>
      </c>
      <c r="G27" s="90">
        <v>1636</v>
      </c>
      <c r="H27" s="90">
        <v>1622</v>
      </c>
      <c r="I27" s="89">
        <v>1823.1</v>
      </c>
      <c r="J27" s="90">
        <v>1826.6</v>
      </c>
      <c r="K27" s="89">
        <v>1848.3</v>
      </c>
      <c r="L27" s="90">
        <v>1853.3</v>
      </c>
      <c r="M27" s="90">
        <v>1855.5</v>
      </c>
      <c r="N27" s="90">
        <v>1834.7</v>
      </c>
      <c r="O27" s="90">
        <v>1829.6</v>
      </c>
      <c r="P27" s="90">
        <v>1831.8</v>
      </c>
      <c r="Q27" s="90">
        <v>1831.9</v>
      </c>
      <c r="R27" s="91">
        <v>1846.9</v>
      </c>
      <c r="S27" s="91">
        <v>1852.9</v>
      </c>
    </row>
    <row r="28" spans="1:21" x14ac:dyDescent="0.35">
      <c r="A28" s="131">
        <v>21</v>
      </c>
      <c r="B28" s="121" t="s">
        <v>1832</v>
      </c>
      <c r="C28" s="86">
        <v>3891.7</v>
      </c>
      <c r="D28" s="86">
        <v>3893.9</v>
      </c>
      <c r="E28" s="87">
        <v>3892.9</v>
      </c>
      <c r="F28" s="87">
        <v>3981.6</v>
      </c>
      <c r="G28" s="87">
        <v>4002.2</v>
      </c>
      <c r="H28" s="87">
        <v>4010.8</v>
      </c>
      <c r="I28" s="86">
        <v>4083.3</v>
      </c>
      <c r="J28" s="87">
        <v>4108.8</v>
      </c>
      <c r="K28" s="86">
        <v>4115.1000000000004</v>
      </c>
      <c r="L28" s="87">
        <v>4112.3</v>
      </c>
      <c r="M28" s="87">
        <v>4126.8</v>
      </c>
      <c r="N28" s="87">
        <v>4121.3</v>
      </c>
      <c r="O28" s="87">
        <v>4099.5</v>
      </c>
      <c r="P28" s="87">
        <v>4098.3999999999996</v>
      </c>
      <c r="Q28" s="87">
        <v>4087.7</v>
      </c>
      <c r="R28" s="88">
        <v>4082.5</v>
      </c>
      <c r="S28" s="88">
        <v>4065.1</v>
      </c>
    </row>
    <row r="29" spans="1:21" x14ac:dyDescent="0.35">
      <c r="A29" s="131">
        <v>22</v>
      </c>
      <c r="B29" s="58" t="s">
        <v>1833</v>
      </c>
      <c r="C29" s="89">
        <v>3821.1</v>
      </c>
      <c r="D29" s="89">
        <v>3824.5</v>
      </c>
      <c r="E29" s="90">
        <v>3823.5</v>
      </c>
      <c r="F29" s="90">
        <v>3912.2</v>
      </c>
      <c r="G29" s="90">
        <v>3932.8</v>
      </c>
      <c r="H29" s="90">
        <v>3941.2</v>
      </c>
      <c r="I29" s="89">
        <v>3983.1</v>
      </c>
      <c r="J29" s="90">
        <v>4007.9</v>
      </c>
      <c r="K29" s="89">
        <v>4013.6</v>
      </c>
      <c r="L29" s="90">
        <v>4010.1</v>
      </c>
      <c r="M29" s="90">
        <v>4024</v>
      </c>
      <c r="N29" s="90">
        <v>4017.8</v>
      </c>
      <c r="O29" s="90">
        <v>3995.4</v>
      </c>
      <c r="P29" s="90">
        <v>3993.8</v>
      </c>
      <c r="Q29" s="90">
        <v>3978.8</v>
      </c>
      <c r="R29" s="91">
        <v>3973.1</v>
      </c>
      <c r="S29" s="91">
        <v>3955.3</v>
      </c>
      <c r="T29" s="120"/>
      <c r="U29" s="134"/>
    </row>
    <row r="30" spans="1:21" ht="16.5" customHeight="1" x14ac:dyDescent="0.35">
      <c r="A30" s="104">
        <v>23</v>
      </c>
      <c r="B30" s="106" t="s">
        <v>1834</v>
      </c>
      <c r="C30" s="107">
        <v>1211.0999999999999</v>
      </c>
      <c r="D30" s="107">
        <v>1215.9000000000001</v>
      </c>
      <c r="E30" s="108">
        <v>1216.9000000000001</v>
      </c>
      <c r="F30" s="90">
        <v>1229.0999999999999</v>
      </c>
      <c r="G30" s="90">
        <v>1224.3</v>
      </c>
      <c r="H30" s="90">
        <v>1223.5999999999999</v>
      </c>
      <c r="I30" s="89">
        <v>1335.4</v>
      </c>
      <c r="J30" s="90">
        <v>1340.1</v>
      </c>
      <c r="K30" s="89">
        <v>1344.5</v>
      </c>
      <c r="L30" s="90">
        <v>1349.9</v>
      </c>
      <c r="M30" s="90">
        <v>1354.7</v>
      </c>
      <c r="N30" s="90">
        <v>1356.7</v>
      </c>
      <c r="O30" s="90">
        <v>1358.1</v>
      </c>
      <c r="P30" s="90">
        <v>1361.9</v>
      </c>
      <c r="Q30" s="90">
        <v>1363</v>
      </c>
      <c r="R30" s="91">
        <v>1378.5</v>
      </c>
      <c r="S30" s="91">
        <v>1372.7</v>
      </c>
      <c r="T30" s="109">
        <f>'Social Benefits'!X97</f>
        <v>1374.4480000000001</v>
      </c>
    </row>
    <row r="31" spans="1:21" ht="16.399999999999999" customHeight="1" x14ac:dyDescent="0.35">
      <c r="A31" s="104">
        <v>24</v>
      </c>
      <c r="B31" s="106" t="s">
        <v>1835</v>
      </c>
      <c r="C31" s="107">
        <v>914.1</v>
      </c>
      <c r="D31" s="107">
        <v>920.1</v>
      </c>
      <c r="E31" s="108">
        <v>926.7</v>
      </c>
      <c r="F31" s="90">
        <v>933.8</v>
      </c>
      <c r="G31" s="90">
        <v>941.5</v>
      </c>
      <c r="H31" s="90">
        <v>949.7</v>
      </c>
      <c r="I31" s="89">
        <v>936.9</v>
      </c>
      <c r="J31" s="90">
        <v>938.1</v>
      </c>
      <c r="K31" s="89">
        <v>939.3</v>
      </c>
      <c r="L31" s="90">
        <v>940.6</v>
      </c>
      <c r="M31" s="90">
        <v>941.9</v>
      </c>
      <c r="N31" s="90">
        <v>943.3</v>
      </c>
      <c r="O31" s="90">
        <v>944.8</v>
      </c>
      <c r="P31" s="90">
        <v>946.3</v>
      </c>
      <c r="Q31" s="90">
        <v>947.9</v>
      </c>
      <c r="R31" s="91">
        <v>949.6</v>
      </c>
      <c r="S31" s="91">
        <v>951.3</v>
      </c>
      <c r="T31" s="111">
        <f>Medicare!X10</f>
        <v>951.3</v>
      </c>
    </row>
    <row r="32" spans="1:21" x14ac:dyDescent="0.35">
      <c r="A32" s="104">
        <v>25</v>
      </c>
      <c r="B32" s="106" t="s">
        <v>54</v>
      </c>
      <c r="C32" s="107">
        <v>790.3</v>
      </c>
      <c r="D32" s="107">
        <v>785.3</v>
      </c>
      <c r="E32" s="108">
        <v>782.8</v>
      </c>
      <c r="F32" s="90">
        <v>791.2</v>
      </c>
      <c r="G32" s="90">
        <v>796.9</v>
      </c>
      <c r="H32" s="90">
        <v>800.6</v>
      </c>
      <c r="I32" s="89">
        <v>856.7</v>
      </c>
      <c r="J32" s="90">
        <v>871.5</v>
      </c>
      <c r="K32" s="89">
        <v>886.1</v>
      </c>
      <c r="L32" s="90">
        <v>908.2</v>
      </c>
      <c r="M32" s="90">
        <v>916.2</v>
      </c>
      <c r="N32" s="90">
        <v>909.8</v>
      </c>
      <c r="O32" s="90">
        <v>895.2</v>
      </c>
      <c r="P32" s="90">
        <v>881.9</v>
      </c>
      <c r="Q32" s="90">
        <v>870.7</v>
      </c>
      <c r="R32" s="91">
        <v>861.3</v>
      </c>
      <c r="S32" s="91">
        <v>855.7</v>
      </c>
      <c r="T32" s="111">
        <f>forecast!C11</f>
        <v>863.3</v>
      </c>
      <c r="U32" s="112"/>
    </row>
    <row r="33" spans="1:21" x14ac:dyDescent="0.35">
      <c r="A33" s="104">
        <v>26</v>
      </c>
      <c r="B33" s="106" t="s">
        <v>263</v>
      </c>
      <c r="C33" s="107">
        <v>18.7</v>
      </c>
      <c r="D33" s="107">
        <v>18.899999999999999</v>
      </c>
      <c r="E33" s="108">
        <v>18</v>
      </c>
      <c r="F33" s="90">
        <v>18.899999999999999</v>
      </c>
      <c r="G33" s="90">
        <v>20.6</v>
      </c>
      <c r="H33" s="90">
        <v>21.6</v>
      </c>
      <c r="I33" s="89">
        <v>21.1</v>
      </c>
      <c r="J33" s="90">
        <v>22</v>
      </c>
      <c r="K33" s="89">
        <v>22.8</v>
      </c>
      <c r="L33" s="90">
        <v>22.8</v>
      </c>
      <c r="M33" s="90">
        <v>22.3</v>
      </c>
      <c r="N33" s="90">
        <v>21.6</v>
      </c>
      <c r="O33" s="90">
        <v>21.1</v>
      </c>
      <c r="P33" s="90">
        <v>21.1</v>
      </c>
      <c r="Q33" s="90">
        <v>20.8</v>
      </c>
      <c r="R33" s="91">
        <v>22</v>
      </c>
      <c r="S33" s="91">
        <v>23.1</v>
      </c>
      <c r="T33" s="111">
        <f>forecast!C9+forecast!C8</f>
        <v>22.7</v>
      </c>
      <c r="U33" s="112"/>
    </row>
    <row r="34" spans="1:21" ht="16.399999999999999" customHeight="1" x14ac:dyDescent="0.35">
      <c r="A34" s="131">
        <v>27</v>
      </c>
      <c r="B34" s="125" t="s">
        <v>1836</v>
      </c>
      <c r="C34" s="89">
        <v>161.1</v>
      </c>
      <c r="D34" s="89">
        <v>161.6</v>
      </c>
      <c r="E34" s="90">
        <v>162.5</v>
      </c>
      <c r="F34" s="90">
        <v>163.19999999999999</v>
      </c>
      <c r="G34" s="90">
        <v>164</v>
      </c>
      <c r="H34" s="90">
        <v>164.8</v>
      </c>
      <c r="I34" s="89">
        <v>173.1</v>
      </c>
      <c r="J34" s="90">
        <v>172.9</v>
      </c>
      <c r="K34" s="89">
        <v>172.7</v>
      </c>
      <c r="L34" s="90">
        <v>172.7</v>
      </c>
      <c r="M34" s="90">
        <v>172.4</v>
      </c>
      <c r="N34" s="90">
        <v>172.5</v>
      </c>
      <c r="O34" s="90">
        <v>172.7</v>
      </c>
      <c r="P34" s="90">
        <v>172.9</v>
      </c>
      <c r="Q34" s="90">
        <v>173</v>
      </c>
      <c r="R34" s="91">
        <v>173.3</v>
      </c>
      <c r="S34" s="91">
        <v>173.6</v>
      </c>
    </row>
    <row r="35" spans="1:21" x14ac:dyDescent="0.35">
      <c r="A35" s="131">
        <v>28</v>
      </c>
      <c r="B35" s="125" t="s">
        <v>535</v>
      </c>
      <c r="C35" s="89">
        <v>725.8</v>
      </c>
      <c r="D35" s="89">
        <v>722.7</v>
      </c>
      <c r="E35" s="90">
        <v>716.6</v>
      </c>
      <c r="F35" s="90">
        <v>776</v>
      </c>
      <c r="G35" s="90">
        <v>785.4</v>
      </c>
      <c r="H35" s="90">
        <v>780.9</v>
      </c>
      <c r="I35" s="89">
        <v>659.8</v>
      </c>
      <c r="J35" s="90">
        <v>663.3</v>
      </c>
      <c r="K35" s="89">
        <v>648.20000000000005</v>
      </c>
      <c r="L35" s="90">
        <v>615.9</v>
      </c>
      <c r="M35" s="90">
        <v>616.4</v>
      </c>
      <c r="N35" s="90">
        <v>613.79999999999995</v>
      </c>
      <c r="O35" s="90">
        <v>603.5</v>
      </c>
      <c r="P35" s="90">
        <v>609.70000000000005</v>
      </c>
      <c r="Q35" s="90">
        <v>603.5</v>
      </c>
      <c r="R35" s="91">
        <v>588.5</v>
      </c>
      <c r="S35" s="91">
        <v>578.9</v>
      </c>
    </row>
    <row r="36" spans="1:21" x14ac:dyDescent="0.35">
      <c r="A36" s="131">
        <v>29</v>
      </c>
      <c r="B36" s="124" t="s">
        <v>1837</v>
      </c>
      <c r="C36" s="89">
        <v>70.7</v>
      </c>
      <c r="D36" s="89">
        <v>69.400000000000006</v>
      </c>
      <c r="E36" s="90">
        <v>69.400000000000006</v>
      </c>
      <c r="F36" s="90">
        <v>69.400000000000006</v>
      </c>
      <c r="G36" s="90">
        <v>69.5</v>
      </c>
      <c r="H36" s="90">
        <v>69.599999999999994</v>
      </c>
      <c r="I36" s="89">
        <v>100.2</v>
      </c>
      <c r="J36" s="90">
        <v>100.9</v>
      </c>
      <c r="K36" s="89">
        <v>101.6</v>
      </c>
      <c r="L36" s="90">
        <v>102.2</v>
      </c>
      <c r="M36" s="90">
        <v>102.8</v>
      </c>
      <c r="N36" s="90">
        <v>103.5</v>
      </c>
      <c r="O36" s="90">
        <v>104.1</v>
      </c>
      <c r="P36" s="90">
        <v>104.7</v>
      </c>
      <c r="Q36" s="90">
        <v>108.9</v>
      </c>
      <c r="R36" s="91">
        <v>109.3</v>
      </c>
      <c r="S36" s="91">
        <v>109.9</v>
      </c>
    </row>
    <row r="37" spans="1:21" x14ac:dyDescent="0.35">
      <c r="A37" s="104">
        <v>30</v>
      </c>
      <c r="B37" s="113" t="s">
        <v>1838</v>
      </c>
      <c r="C37" s="114">
        <v>1683.6</v>
      </c>
      <c r="D37" s="114">
        <v>1695.6</v>
      </c>
      <c r="E37" s="115">
        <v>1707.7</v>
      </c>
      <c r="F37" s="87">
        <v>1704.3</v>
      </c>
      <c r="G37" s="87">
        <v>1703.1</v>
      </c>
      <c r="H37" s="87">
        <v>1703.8</v>
      </c>
      <c r="I37" s="86">
        <v>1765.5</v>
      </c>
      <c r="J37" s="87">
        <v>1774.3</v>
      </c>
      <c r="K37" s="86">
        <v>1782</v>
      </c>
      <c r="L37" s="87">
        <v>1787.4</v>
      </c>
      <c r="M37" s="87">
        <v>1793.6</v>
      </c>
      <c r="N37" s="87">
        <v>1800.9</v>
      </c>
      <c r="O37" s="87">
        <v>1807.3</v>
      </c>
      <c r="P37" s="87">
        <v>1814.4</v>
      </c>
      <c r="Q37" s="87">
        <v>1822.5</v>
      </c>
      <c r="R37" s="88">
        <v>1824.9</v>
      </c>
      <c r="S37" s="88">
        <v>1834.3</v>
      </c>
      <c r="T37" s="109">
        <f>Taxes!X12+Taxes!X24</f>
        <v>1838.5</v>
      </c>
      <c r="U37" s="103"/>
    </row>
    <row r="38" spans="1:21" x14ac:dyDescent="0.35">
      <c r="A38" s="104">
        <v>31</v>
      </c>
      <c r="B38" s="116" t="s">
        <v>242</v>
      </c>
      <c r="C38" s="114">
        <v>3224.2</v>
      </c>
      <c r="D38" s="114">
        <v>3236.7</v>
      </c>
      <c r="E38" s="115">
        <v>3248.6</v>
      </c>
      <c r="F38" s="87">
        <v>3232.7</v>
      </c>
      <c r="G38" s="87">
        <v>3213.6</v>
      </c>
      <c r="H38" s="87">
        <v>3202.1</v>
      </c>
      <c r="I38" s="86">
        <v>2767.2</v>
      </c>
      <c r="J38" s="87">
        <v>2763.4</v>
      </c>
      <c r="K38" s="86">
        <v>2760.4</v>
      </c>
      <c r="L38" s="87">
        <v>2707.4</v>
      </c>
      <c r="M38" s="87">
        <v>2691.2</v>
      </c>
      <c r="N38" s="87">
        <v>2712.9</v>
      </c>
      <c r="O38" s="87">
        <v>2754.4</v>
      </c>
      <c r="P38" s="87">
        <v>2782.4</v>
      </c>
      <c r="Q38" s="87">
        <v>2797.6</v>
      </c>
      <c r="R38" s="88">
        <v>2791.2</v>
      </c>
      <c r="S38" s="88">
        <v>2779</v>
      </c>
      <c r="T38" s="109">
        <f>Taxes!X10+Taxes!X22</f>
        <v>2769.6</v>
      </c>
    </row>
    <row r="39" spans="1:21" x14ac:dyDescent="0.35">
      <c r="A39" s="131">
        <v>32</v>
      </c>
      <c r="B39" s="60" t="s">
        <v>1839</v>
      </c>
      <c r="C39" s="86">
        <v>18628.099999999999</v>
      </c>
      <c r="D39" s="86">
        <v>18739.099999999999</v>
      </c>
      <c r="E39" s="87">
        <v>18831.7</v>
      </c>
      <c r="F39" s="87">
        <v>18969.2</v>
      </c>
      <c r="G39" s="87">
        <v>19026.5</v>
      </c>
      <c r="H39" s="87">
        <v>19079.7</v>
      </c>
      <c r="I39" s="86">
        <v>19758.099999999999</v>
      </c>
      <c r="J39" s="87">
        <v>19885</v>
      </c>
      <c r="K39" s="86">
        <v>19997.5</v>
      </c>
      <c r="L39" s="87">
        <v>20098.7</v>
      </c>
      <c r="M39" s="87">
        <v>20185.400000000001</v>
      </c>
      <c r="N39" s="87">
        <v>20208.400000000001</v>
      </c>
      <c r="O39" s="87">
        <v>20229.599999999999</v>
      </c>
      <c r="P39" s="87">
        <v>20306.7</v>
      </c>
      <c r="Q39" s="87">
        <v>20388.3</v>
      </c>
      <c r="R39" s="88">
        <v>20451.7</v>
      </c>
      <c r="S39" s="88">
        <v>20510.400000000001</v>
      </c>
      <c r="U39" s="105"/>
    </row>
    <row r="40" spans="1:21" x14ac:dyDescent="0.35">
      <c r="A40" s="131">
        <v>33</v>
      </c>
      <c r="B40" s="60" t="s">
        <v>243</v>
      </c>
      <c r="C40" s="86">
        <v>17983.400000000001</v>
      </c>
      <c r="D40" s="86">
        <v>18132.7</v>
      </c>
      <c r="E40" s="87">
        <v>18257.400000000001</v>
      </c>
      <c r="F40" s="87">
        <v>18391.8</v>
      </c>
      <c r="G40" s="87">
        <v>18362.3</v>
      </c>
      <c r="H40" s="87">
        <v>18377.400000000001</v>
      </c>
      <c r="I40" s="86">
        <v>18887</v>
      </c>
      <c r="J40" s="87">
        <v>18959</v>
      </c>
      <c r="K40" s="86">
        <v>18950</v>
      </c>
      <c r="L40" s="87">
        <v>19056.2</v>
      </c>
      <c r="M40" s="87">
        <v>19125.400000000001</v>
      </c>
      <c r="N40" s="87">
        <v>19228.3</v>
      </c>
      <c r="O40" s="87">
        <v>19379.599999999999</v>
      </c>
      <c r="P40" s="87">
        <v>19459.599999999999</v>
      </c>
      <c r="Q40" s="87">
        <v>19639.3</v>
      </c>
      <c r="R40" s="88">
        <v>19683.099999999999</v>
      </c>
      <c r="S40" s="88">
        <v>19670.599999999999</v>
      </c>
    </row>
    <row r="41" spans="1:21" x14ac:dyDescent="0.35">
      <c r="A41" s="131">
        <v>34</v>
      </c>
      <c r="B41" s="100" t="s">
        <v>1721</v>
      </c>
      <c r="C41" s="89">
        <v>17420.3</v>
      </c>
      <c r="D41" s="89">
        <v>17550.900000000001</v>
      </c>
      <c r="E41" s="90">
        <v>17656.8</v>
      </c>
      <c r="F41" s="90">
        <v>17778.2</v>
      </c>
      <c r="G41" s="90">
        <v>17735</v>
      </c>
      <c r="H41" s="90">
        <v>17736.5</v>
      </c>
      <c r="I41" s="89">
        <v>18229.599999999999</v>
      </c>
      <c r="J41" s="90">
        <v>18296.5</v>
      </c>
      <c r="K41" s="89">
        <v>18282.599999999999</v>
      </c>
      <c r="L41" s="90">
        <v>18363.8</v>
      </c>
      <c r="M41" s="90">
        <v>18407.8</v>
      </c>
      <c r="N41" s="90">
        <v>18485.400000000001</v>
      </c>
      <c r="O41" s="90">
        <v>18621.3</v>
      </c>
      <c r="P41" s="90">
        <v>18689.900000000001</v>
      </c>
      <c r="Q41" s="90">
        <v>18823.400000000001</v>
      </c>
      <c r="R41" s="91">
        <v>18864.7</v>
      </c>
      <c r="S41" s="91">
        <v>18858.900000000001</v>
      </c>
    </row>
    <row r="42" spans="1:21" ht="16.399999999999999" customHeight="1" x14ac:dyDescent="0.35">
      <c r="A42" s="131">
        <v>35</v>
      </c>
      <c r="B42" s="58" t="s">
        <v>1762</v>
      </c>
      <c r="C42" s="89">
        <v>5988.2</v>
      </c>
      <c r="D42" s="89">
        <v>5981.9</v>
      </c>
      <c r="E42" s="90">
        <v>5995.6</v>
      </c>
      <c r="F42" s="90">
        <v>6064.4</v>
      </c>
      <c r="G42" s="90">
        <v>5974.1</v>
      </c>
      <c r="H42" s="90">
        <v>5901.5</v>
      </c>
      <c r="I42" s="89">
        <v>6148.2</v>
      </c>
      <c r="J42" s="90">
        <v>6164.2</v>
      </c>
      <c r="K42" s="89">
        <v>6089.2</v>
      </c>
      <c r="L42" s="90">
        <v>6139.1</v>
      </c>
      <c r="M42" s="90">
        <v>6144.7</v>
      </c>
      <c r="N42" s="90">
        <v>6150.1</v>
      </c>
      <c r="O42" s="90">
        <v>6187.9</v>
      </c>
      <c r="P42" s="90">
        <v>6228.2</v>
      </c>
      <c r="Q42" s="90">
        <v>6270.2</v>
      </c>
      <c r="R42" s="91">
        <v>6258.3</v>
      </c>
      <c r="S42" s="91">
        <v>6232.8</v>
      </c>
      <c r="T42" s="120"/>
      <c r="U42" s="134"/>
    </row>
    <row r="43" spans="1:21" ht="16.399999999999999" customHeight="1" x14ac:dyDescent="0.35">
      <c r="A43" s="131">
        <v>36</v>
      </c>
      <c r="B43" s="125" t="s">
        <v>1840</v>
      </c>
      <c r="C43" s="89">
        <v>2189.5</v>
      </c>
      <c r="D43" s="89">
        <v>2197.8000000000002</v>
      </c>
      <c r="E43" s="90">
        <v>2200.1999999999998</v>
      </c>
      <c r="F43" s="90">
        <v>2238.9</v>
      </c>
      <c r="G43" s="90">
        <v>2167.3000000000002</v>
      </c>
      <c r="H43" s="90">
        <v>2134.9</v>
      </c>
      <c r="I43" s="89">
        <v>2213.6999999999998</v>
      </c>
      <c r="J43" s="90">
        <v>2203.6</v>
      </c>
      <c r="K43" s="89">
        <v>2167.3000000000002</v>
      </c>
      <c r="L43" s="90">
        <v>2183.6999999999998</v>
      </c>
      <c r="M43" s="90">
        <v>2202.8000000000002</v>
      </c>
      <c r="N43" s="90">
        <v>2194.1999999999998</v>
      </c>
      <c r="O43" s="90">
        <v>2206.9</v>
      </c>
      <c r="P43" s="90">
        <v>2192.6999999999998</v>
      </c>
      <c r="Q43" s="90">
        <v>2215.8000000000002</v>
      </c>
      <c r="R43" s="91">
        <v>2204</v>
      </c>
      <c r="S43" s="91">
        <v>2205.6</v>
      </c>
      <c r="T43" s="120"/>
      <c r="U43" s="134"/>
    </row>
    <row r="44" spans="1:21" ht="16.399999999999999" customHeight="1" x14ac:dyDescent="0.35">
      <c r="A44" s="131">
        <v>37</v>
      </c>
      <c r="B44" s="125" t="s">
        <v>1841</v>
      </c>
      <c r="C44" s="89">
        <v>3798.7</v>
      </c>
      <c r="D44" s="89">
        <v>3784.1</v>
      </c>
      <c r="E44" s="90">
        <v>3795.4</v>
      </c>
      <c r="F44" s="90">
        <v>3825.6</v>
      </c>
      <c r="G44" s="90">
        <v>3806.8</v>
      </c>
      <c r="H44" s="90">
        <v>3766.5</v>
      </c>
      <c r="I44" s="89">
        <v>3934.5</v>
      </c>
      <c r="J44" s="90">
        <v>3960.6</v>
      </c>
      <c r="K44" s="89">
        <v>3921.9</v>
      </c>
      <c r="L44" s="90">
        <v>3955.4</v>
      </c>
      <c r="M44" s="90">
        <v>3941.9</v>
      </c>
      <c r="N44" s="90">
        <v>3955.9</v>
      </c>
      <c r="O44" s="90">
        <v>3981</v>
      </c>
      <c r="P44" s="90">
        <v>4035.5</v>
      </c>
      <c r="Q44" s="90">
        <v>4054.4</v>
      </c>
      <c r="R44" s="91">
        <v>4054.4</v>
      </c>
      <c r="S44" s="91">
        <v>4027.3</v>
      </c>
      <c r="T44" s="120"/>
      <c r="U44" s="134"/>
    </row>
    <row r="45" spans="1:21" ht="16.399999999999999" customHeight="1" x14ac:dyDescent="0.35">
      <c r="A45" s="131">
        <v>38</v>
      </c>
      <c r="B45" s="58" t="s">
        <v>1768</v>
      </c>
      <c r="C45" s="89">
        <v>11432.1</v>
      </c>
      <c r="D45" s="89">
        <v>11568.9</v>
      </c>
      <c r="E45" s="90">
        <v>11661.2</v>
      </c>
      <c r="F45" s="90">
        <v>11713.7</v>
      </c>
      <c r="G45" s="90">
        <v>11760.9</v>
      </c>
      <c r="H45" s="90">
        <v>11835</v>
      </c>
      <c r="I45" s="89">
        <v>12081.4</v>
      </c>
      <c r="J45" s="90">
        <v>12132.4</v>
      </c>
      <c r="K45" s="89">
        <v>12193.4</v>
      </c>
      <c r="L45" s="90">
        <v>12224.7</v>
      </c>
      <c r="M45" s="90">
        <v>12263</v>
      </c>
      <c r="N45" s="90">
        <v>12335.3</v>
      </c>
      <c r="O45" s="90">
        <v>12433.4</v>
      </c>
      <c r="P45" s="90">
        <v>12461.7</v>
      </c>
      <c r="Q45" s="90">
        <v>12553.2</v>
      </c>
      <c r="R45" s="91">
        <v>12606.4</v>
      </c>
      <c r="S45" s="91">
        <v>12626</v>
      </c>
      <c r="T45" s="120"/>
      <c r="U45" s="134"/>
    </row>
    <row r="46" spans="1:21" ht="16.399999999999999" customHeight="1" x14ac:dyDescent="0.35">
      <c r="A46" s="131">
        <v>39</v>
      </c>
      <c r="B46" s="100" t="s">
        <v>1842</v>
      </c>
      <c r="C46" s="89">
        <v>338.7</v>
      </c>
      <c r="D46" s="89">
        <v>357.1</v>
      </c>
      <c r="E46" s="90">
        <v>375.6</v>
      </c>
      <c r="F46" s="90">
        <v>389.1</v>
      </c>
      <c r="G46" s="90">
        <v>402.6</v>
      </c>
      <c r="H46" s="90">
        <v>416.1</v>
      </c>
      <c r="I46" s="89">
        <v>415</v>
      </c>
      <c r="J46" s="90">
        <v>419.8</v>
      </c>
      <c r="K46" s="89">
        <v>424.7</v>
      </c>
      <c r="L46" s="90">
        <v>449.7</v>
      </c>
      <c r="M46" s="90">
        <v>474.7</v>
      </c>
      <c r="N46" s="90">
        <v>499.8</v>
      </c>
      <c r="O46" s="90">
        <v>512.1</v>
      </c>
      <c r="P46" s="90">
        <v>523.20000000000005</v>
      </c>
      <c r="Q46" s="90">
        <v>569.20000000000005</v>
      </c>
      <c r="R46" s="91">
        <v>571.4</v>
      </c>
      <c r="S46" s="91">
        <v>564.4</v>
      </c>
      <c r="T46" s="120"/>
      <c r="U46" s="134"/>
    </row>
    <row r="47" spans="1:21" x14ac:dyDescent="0.35">
      <c r="A47" s="131">
        <v>40</v>
      </c>
      <c r="B47" s="100" t="s">
        <v>1843</v>
      </c>
      <c r="C47" s="89">
        <v>224.4</v>
      </c>
      <c r="D47" s="89">
        <v>224.7</v>
      </c>
      <c r="E47" s="90">
        <v>225</v>
      </c>
      <c r="F47" s="90">
        <v>224.5</v>
      </c>
      <c r="G47" s="90">
        <v>224.7</v>
      </c>
      <c r="H47" s="90">
        <v>224.8</v>
      </c>
      <c r="I47" s="89">
        <v>242.4</v>
      </c>
      <c r="J47" s="90">
        <v>242.6</v>
      </c>
      <c r="K47" s="89">
        <v>242.8</v>
      </c>
      <c r="L47" s="90">
        <v>242.6</v>
      </c>
      <c r="M47" s="90">
        <v>242.9</v>
      </c>
      <c r="N47" s="90">
        <v>243.1</v>
      </c>
      <c r="O47" s="90">
        <v>246.1</v>
      </c>
      <c r="P47" s="90">
        <v>246.4</v>
      </c>
      <c r="Q47" s="90">
        <v>246.7</v>
      </c>
      <c r="R47" s="91">
        <v>247</v>
      </c>
      <c r="S47" s="91">
        <v>247.3</v>
      </c>
      <c r="T47" s="120"/>
      <c r="U47" s="134"/>
    </row>
    <row r="48" spans="1:21" x14ac:dyDescent="0.35">
      <c r="A48" s="131">
        <v>41</v>
      </c>
      <c r="B48" s="58" t="s">
        <v>1844</v>
      </c>
      <c r="C48" s="89">
        <v>116.1</v>
      </c>
      <c r="D48" s="89">
        <v>116.4</v>
      </c>
      <c r="E48" s="90">
        <v>116.7</v>
      </c>
      <c r="F48" s="90">
        <v>116.9</v>
      </c>
      <c r="G48" s="90">
        <v>117.1</v>
      </c>
      <c r="H48" s="90">
        <v>117.2</v>
      </c>
      <c r="I48" s="89">
        <v>129.5</v>
      </c>
      <c r="J48" s="90">
        <v>129.69999999999999</v>
      </c>
      <c r="K48" s="89">
        <v>129.9</v>
      </c>
      <c r="L48" s="90">
        <v>130.1</v>
      </c>
      <c r="M48" s="90">
        <v>130.4</v>
      </c>
      <c r="N48" s="90">
        <v>130.6</v>
      </c>
      <c r="O48" s="90">
        <v>130.9</v>
      </c>
      <c r="P48" s="90">
        <v>131.19999999999999</v>
      </c>
      <c r="Q48" s="90">
        <v>131.5</v>
      </c>
      <c r="R48" s="91">
        <v>131.80000000000001</v>
      </c>
      <c r="S48" s="91">
        <v>132.1</v>
      </c>
      <c r="T48" s="120"/>
      <c r="U48" s="134"/>
    </row>
    <row r="49" spans="1:21" x14ac:dyDescent="0.35">
      <c r="A49" s="131">
        <v>42</v>
      </c>
      <c r="B49" s="58" t="s">
        <v>1845</v>
      </c>
      <c r="C49" s="89">
        <v>108.3</v>
      </c>
      <c r="D49" s="89">
        <v>108.3</v>
      </c>
      <c r="E49" s="90">
        <v>108.3</v>
      </c>
      <c r="F49" s="90">
        <v>107.6</v>
      </c>
      <c r="G49" s="90">
        <v>107.6</v>
      </c>
      <c r="H49" s="90">
        <v>107.6</v>
      </c>
      <c r="I49" s="89">
        <v>112.9</v>
      </c>
      <c r="J49" s="90">
        <v>112.9</v>
      </c>
      <c r="K49" s="89">
        <v>112.9</v>
      </c>
      <c r="L49" s="90">
        <v>112.5</v>
      </c>
      <c r="M49" s="90">
        <v>112.5</v>
      </c>
      <c r="N49" s="90">
        <v>112.5</v>
      </c>
      <c r="O49" s="90">
        <v>115.2</v>
      </c>
      <c r="P49" s="90">
        <v>115.2</v>
      </c>
      <c r="Q49" s="90">
        <v>115.2</v>
      </c>
      <c r="R49" s="91">
        <v>115.2</v>
      </c>
      <c r="S49" s="91">
        <v>115.2</v>
      </c>
      <c r="T49" s="120"/>
      <c r="U49" s="134"/>
    </row>
    <row r="50" spans="1:21" x14ac:dyDescent="0.35">
      <c r="A50" s="131">
        <v>43</v>
      </c>
      <c r="B50" s="60" t="s">
        <v>244</v>
      </c>
      <c r="C50" s="86">
        <v>644.70000000000005</v>
      </c>
      <c r="D50" s="86">
        <v>606.4</v>
      </c>
      <c r="E50" s="87">
        <v>574.4</v>
      </c>
      <c r="F50" s="87">
        <v>577.4</v>
      </c>
      <c r="G50" s="87">
        <v>664.1</v>
      </c>
      <c r="H50" s="87">
        <v>702.3</v>
      </c>
      <c r="I50" s="86">
        <v>871.1</v>
      </c>
      <c r="J50" s="87">
        <v>926</v>
      </c>
      <c r="K50" s="86">
        <v>1047.5</v>
      </c>
      <c r="L50" s="87">
        <v>1042.5</v>
      </c>
      <c r="M50" s="87">
        <v>1060</v>
      </c>
      <c r="N50" s="87">
        <v>980.1</v>
      </c>
      <c r="O50" s="87">
        <v>850.1</v>
      </c>
      <c r="P50" s="87">
        <v>847.1</v>
      </c>
      <c r="Q50" s="87">
        <v>749</v>
      </c>
      <c r="R50" s="88">
        <v>768.6</v>
      </c>
      <c r="S50" s="88">
        <v>839.8</v>
      </c>
      <c r="T50" s="76"/>
    </row>
    <row r="51" spans="1:21" x14ac:dyDescent="0.35">
      <c r="A51" s="132">
        <v>44</v>
      </c>
      <c r="B51" s="128" t="s">
        <v>1846</v>
      </c>
      <c r="C51" s="86">
        <v>3.5</v>
      </c>
      <c r="D51" s="86">
        <v>3.2</v>
      </c>
      <c r="E51" s="87">
        <v>3</v>
      </c>
      <c r="F51" s="87">
        <v>3</v>
      </c>
      <c r="G51" s="87">
        <v>3.5</v>
      </c>
      <c r="H51" s="87">
        <v>3.7</v>
      </c>
      <c r="I51" s="86">
        <v>4.4000000000000004</v>
      </c>
      <c r="J51" s="87">
        <v>4.7</v>
      </c>
      <c r="K51" s="86">
        <v>5.2</v>
      </c>
      <c r="L51" s="87">
        <v>5.2</v>
      </c>
      <c r="M51" s="87">
        <v>5.3</v>
      </c>
      <c r="N51" s="87">
        <v>4.8</v>
      </c>
      <c r="O51" s="87">
        <v>4.2</v>
      </c>
      <c r="P51" s="87">
        <v>4.2</v>
      </c>
      <c r="Q51" s="87">
        <v>3.7</v>
      </c>
      <c r="R51" s="88">
        <v>3.8</v>
      </c>
      <c r="S51" s="88">
        <v>4.0999999999999996</v>
      </c>
      <c r="T51" s="76"/>
    </row>
    <row r="52" spans="1:21" x14ac:dyDescent="0.35">
      <c r="A52" s="131"/>
      <c r="B52" s="60" t="s">
        <v>1769</v>
      </c>
      <c r="C52" s="86"/>
      <c r="D52" s="86"/>
      <c r="E52" s="87"/>
      <c r="F52" s="87"/>
      <c r="G52" s="87"/>
      <c r="H52" s="87"/>
      <c r="I52" s="86"/>
      <c r="J52" s="87"/>
      <c r="K52" s="86"/>
      <c r="L52" s="87"/>
      <c r="M52" s="87"/>
      <c r="N52" s="87"/>
      <c r="O52" s="87"/>
      <c r="P52" s="87"/>
      <c r="Q52" s="87"/>
      <c r="R52" s="88"/>
      <c r="S52" s="88"/>
    </row>
    <row r="53" spans="1:21" ht="31" customHeight="1" x14ac:dyDescent="0.35">
      <c r="A53" s="132">
        <v>45</v>
      </c>
      <c r="B53" s="128" t="s">
        <v>1847</v>
      </c>
      <c r="C53" s="86">
        <v>14559.1</v>
      </c>
      <c r="D53" s="86">
        <v>14618.2</v>
      </c>
      <c r="E53" s="87">
        <v>14653.2</v>
      </c>
      <c r="F53" s="87">
        <v>14618.1</v>
      </c>
      <c r="G53" s="87">
        <v>14607</v>
      </c>
      <c r="H53" s="87">
        <v>14604.2</v>
      </c>
      <c r="I53" s="86">
        <v>15496.1</v>
      </c>
      <c r="J53" s="87">
        <v>15529.2</v>
      </c>
      <c r="K53" s="86">
        <v>15596.8</v>
      </c>
      <c r="L53" s="87">
        <v>15592.2</v>
      </c>
      <c r="M53" s="87">
        <v>15622.4</v>
      </c>
      <c r="N53" s="87">
        <v>15638</v>
      </c>
      <c r="O53" s="87">
        <v>15680</v>
      </c>
      <c r="P53" s="87">
        <v>15710.9</v>
      </c>
      <c r="Q53" s="87">
        <v>15741.5</v>
      </c>
      <c r="R53" s="88">
        <v>15785</v>
      </c>
      <c r="S53" s="88">
        <v>15858.9</v>
      </c>
    </row>
    <row r="54" spans="1:21" x14ac:dyDescent="0.35">
      <c r="A54" s="131"/>
      <c r="B54" s="121" t="s">
        <v>1848</v>
      </c>
      <c r="C54" s="86"/>
      <c r="D54" s="86"/>
      <c r="E54" s="87"/>
      <c r="F54" s="87"/>
      <c r="G54" s="87"/>
      <c r="H54" s="87"/>
      <c r="I54" s="86"/>
      <c r="J54" s="87"/>
      <c r="K54" s="86"/>
      <c r="L54" s="87"/>
      <c r="M54" s="87"/>
      <c r="N54" s="87"/>
      <c r="O54" s="87"/>
      <c r="P54" s="87"/>
      <c r="Q54" s="87"/>
      <c r="R54" s="88"/>
      <c r="S54" s="88"/>
    </row>
    <row r="55" spans="1:21" ht="16.399999999999999" customHeight="1" x14ac:dyDescent="0.35">
      <c r="A55" s="131">
        <v>46</v>
      </c>
      <c r="B55" s="124" t="s">
        <v>1849</v>
      </c>
      <c r="C55" s="89">
        <v>15100.2</v>
      </c>
      <c r="D55" s="89">
        <v>15149.6</v>
      </c>
      <c r="E55" s="90">
        <v>15172.2</v>
      </c>
      <c r="F55" s="90">
        <v>15218.9</v>
      </c>
      <c r="G55" s="90">
        <v>15238.7</v>
      </c>
      <c r="H55" s="90">
        <v>15250.6</v>
      </c>
      <c r="I55" s="89">
        <v>16601.900000000001</v>
      </c>
      <c r="J55" s="90">
        <v>16656.099999999999</v>
      </c>
      <c r="K55" s="89">
        <v>16730.2</v>
      </c>
      <c r="L55" s="90">
        <v>16763.900000000001</v>
      </c>
      <c r="M55" s="90">
        <v>16818.5</v>
      </c>
      <c r="N55" s="90">
        <v>16809.5</v>
      </c>
      <c r="O55" s="90">
        <v>16796.900000000001</v>
      </c>
      <c r="P55" s="90">
        <v>16799.7</v>
      </c>
      <c r="Q55" s="90">
        <v>16804.8</v>
      </c>
      <c r="R55" s="91">
        <v>16848.7</v>
      </c>
      <c r="S55" s="91">
        <v>16919.900000000001</v>
      </c>
    </row>
    <row r="56" spans="1:21" x14ac:dyDescent="0.35">
      <c r="A56" s="131"/>
      <c r="B56" s="58" t="s">
        <v>1850</v>
      </c>
      <c r="C56" s="89"/>
      <c r="D56" s="89"/>
      <c r="E56" s="90"/>
      <c r="F56" s="90"/>
      <c r="G56" s="90"/>
      <c r="H56" s="90"/>
      <c r="I56" s="89"/>
      <c r="J56" s="90"/>
      <c r="K56" s="89"/>
      <c r="L56" s="90"/>
      <c r="M56" s="90"/>
      <c r="N56" s="90"/>
      <c r="O56" s="90"/>
      <c r="P56" s="90"/>
      <c r="Q56" s="90"/>
      <c r="R56" s="91"/>
      <c r="S56" s="91"/>
    </row>
    <row r="57" spans="1:21" x14ac:dyDescent="0.35">
      <c r="A57" s="131">
        <v>47</v>
      </c>
      <c r="B57" s="125" t="s">
        <v>1851</v>
      </c>
      <c r="C57" s="92">
        <v>55836</v>
      </c>
      <c r="D57" s="92">
        <v>56139</v>
      </c>
      <c r="E57" s="93">
        <v>56387</v>
      </c>
      <c r="F57" s="93">
        <v>56770</v>
      </c>
      <c r="G57" s="93">
        <v>56917</v>
      </c>
      <c r="H57" s="93">
        <v>57053</v>
      </c>
      <c r="I57" s="92">
        <v>59062</v>
      </c>
      <c r="J57" s="93">
        <v>59423</v>
      </c>
      <c r="K57" s="92">
        <v>59738</v>
      </c>
      <c r="L57" s="93">
        <v>60018</v>
      </c>
      <c r="M57" s="93">
        <v>60253</v>
      </c>
      <c r="N57" s="93">
        <v>60294</v>
      </c>
      <c r="O57" s="93">
        <v>60328</v>
      </c>
      <c r="P57" s="93">
        <v>60526</v>
      </c>
      <c r="Q57" s="93">
        <v>60738</v>
      </c>
      <c r="R57" s="94">
        <v>60898</v>
      </c>
      <c r="S57" s="94">
        <v>61047</v>
      </c>
    </row>
    <row r="58" spans="1:21" x14ac:dyDescent="0.35">
      <c r="A58" s="131">
        <v>48</v>
      </c>
      <c r="B58" s="125" t="s">
        <v>1852</v>
      </c>
      <c r="C58" s="92">
        <v>45261</v>
      </c>
      <c r="D58" s="92">
        <v>45385</v>
      </c>
      <c r="E58" s="93">
        <v>45429</v>
      </c>
      <c r="F58" s="93">
        <v>45546</v>
      </c>
      <c r="G58" s="93">
        <v>45586</v>
      </c>
      <c r="H58" s="93">
        <v>45603</v>
      </c>
      <c r="I58" s="92">
        <v>49627</v>
      </c>
      <c r="J58" s="93">
        <v>49774</v>
      </c>
      <c r="K58" s="92">
        <v>49978</v>
      </c>
      <c r="L58" s="93">
        <v>50060</v>
      </c>
      <c r="M58" s="93">
        <v>50203</v>
      </c>
      <c r="N58" s="93">
        <v>50153</v>
      </c>
      <c r="O58" s="93">
        <v>50091</v>
      </c>
      <c r="P58" s="93">
        <v>50073</v>
      </c>
      <c r="Q58" s="93">
        <v>50063</v>
      </c>
      <c r="R58" s="94">
        <v>50169</v>
      </c>
      <c r="S58" s="94">
        <v>50360</v>
      </c>
    </row>
    <row r="59" spans="1:21" ht="15" customHeight="1" x14ac:dyDescent="0.35">
      <c r="A59" s="133">
        <v>49</v>
      </c>
      <c r="B59" s="100" t="s">
        <v>1853</v>
      </c>
      <c r="C59" s="95">
        <v>333624</v>
      </c>
      <c r="D59" s="95">
        <v>333799</v>
      </c>
      <c r="E59" s="96">
        <v>333976</v>
      </c>
      <c r="F59" s="96">
        <v>334141</v>
      </c>
      <c r="G59" s="96">
        <v>334287</v>
      </c>
      <c r="H59" s="96">
        <v>334420</v>
      </c>
      <c r="I59" s="95">
        <v>334533</v>
      </c>
      <c r="J59" s="96">
        <v>334637</v>
      </c>
      <c r="K59" s="95">
        <v>334753</v>
      </c>
      <c r="L59" s="96">
        <v>334880</v>
      </c>
      <c r="M59" s="96">
        <v>335013</v>
      </c>
      <c r="N59" s="96">
        <v>335163</v>
      </c>
      <c r="O59" s="96">
        <v>335329</v>
      </c>
      <c r="P59" s="96">
        <v>335501</v>
      </c>
      <c r="Q59" s="96">
        <v>335675</v>
      </c>
      <c r="R59" s="97">
        <v>335836</v>
      </c>
      <c r="S59" s="97">
        <v>335979</v>
      </c>
    </row>
    <row r="60" spans="1:21" x14ac:dyDescent="0.35">
      <c r="A60" s="1270" t="s">
        <v>1854</v>
      </c>
      <c r="B60" s="1270"/>
      <c r="C60" s="1270"/>
      <c r="D60" s="1270"/>
      <c r="E60" s="1270"/>
      <c r="F60" s="1270"/>
      <c r="G60" s="1270"/>
      <c r="H60" s="1270"/>
      <c r="I60" s="1270"/>
      <c r="J60" s="1270"/>
      <c r="K60" s="81"/>
      <c r="L60" s="81"/>
      <c r="M60" s="81"/>
      <c r="N60" s="81"/>
      <c r="O60" s="81"/>
      <c r="P60" s="81"/>
      <c r="Q60" s="81"/>
      <c r="R60" s="81"/>
      <c r="S60" s="81"/>
    </row>
    <row r="61" spans="1:21" x14ac:dyDescent="0.35">
      <c r="A61" s="1256" t="s">
        <v>1855</v>
      </c>
      <c r="B61" s="1256"/>
      <c r="C61" s="1256"/>
      <c r="D61" s="1256"/>
      <c r="E61" s="1256"/>
      <c r="F61" s="1256"/>
      <c r="G61" s="1256"/>
      <c r="H61" s="1256"/>
      <c r="I61" s="1256"/>
      <c r="J61" s="1256"/>
      <c r="K61" s="98"/>
      <c r="L61" s="98"/>
      <c r="M61" s="98"/>
      <c r="N61" s="98"/>
      <c r="O61" s="98"/>
      <c r="P61" s="98"/>
      <c r="Q61" s="98"/>
      <c r="R61" s="98"/>
      <c r="S61" s="98"/>
    </row>
    <row r="62" spans="1:21" x14ac:dyDescent="0.35">
      <c r="A62" s="1256" t="s">
        <v>1856</v>
      </c>
      <c r="B62" s="1256"/>
      <c r="C62" s="1256"/>
      <c r="D62" s="1256"/>
      <c r="E62" s="1256"/>
      <c r="F62" s="1256"/>
      <c r="G62" s="1256"/>
      <c r="H62" s="1256"/>
      <c r="I62" s="1256"/>
      <c r="J62" s="1256"/>
      <c r="K62" s="98"/>
      <c r="L62" s="98"/>
      <c r="M62" s="98"/>
      <c r="N62" s="98"/>
      <c r="O62" s="98"/>
      <c r="P62" s="98"/>
      <c r="Q62" s="98"/>
      <c r="R62" s="98"/>
      <c r="S62" s="98"/>
    </row>
    <row r="63" spans="1:21" x14ac:dyDescent="0.35">
      <c r="A63" s="1256" t="s">
        <v>1857</v>
      </c>
      <c r="B63" s="1256"/>
      <c r="C63" s="1256"/>
      <c r="D63" s="1256"/>
      <c r="E63" s="1256"/>
      <c r="F63" s="1256"/>
      <c r="G63" s="1256"/>
      <c r="H63" s="1256"/>
      <c r="I63" s="1256"/>
      <c r="J63" s="1256"/>
      <c r="K63" s="98"/>
      <c r="L63" s="98"/>
      <c r="M63" s="98"/>
      <c r="N63" s="98"/>
      <c r="O63" s="98"/>
      <c r="P63" s="98"/>
      <c r="Q63" s="98"/>
      <c r="R63" s="98"/>
      <c r="S63" s="98"/>
    </row>
    <row r="64" spans="1:21" x14ac:dyDescent="0.35">
      <c r="A64" s="1256" t="s">
        <v>1858</v>
      </c>
      <c r="B64" s="1256"/>
      <c r="C64" s="1256"/>
      <c r="D64" s="1256"/>
      <c r="E64" s="1256"/>
      <c r="F64" s="1256"/>
      <c r="G64" s="1256"/>
      <c r="H64" s="1256"/>
      <c r="I64" s="1256"/>
      <c r="J64" s="1256"/>
      <c r="K64" s="98"/>
      <c r="L64" s="98"/>
      <c r="M64" s="98"/>
      <c r="N64" s="98"/>
      <c r="O64" s="98"/>
      <c r="P64" s="98"/>
      <c r="Q64" s="98"/>
      <c r="R64" s="98"/>
      <c r="S64" s="98"/>
    </row>
    <row r="65" spans="1:19" x14ac:dyDescent="0.35">
      <c r="A65" s="1256" t="s">
        <v>1859</v>
      </c>
      <c r="B65" s="1256"/>
      <c r="C65" s="1256"/>
      <c r="D65" s="1256"/>
      <c r="E65" s="1256"/>
      <c r="F65" s="1256"/>
      <c r="G65" s="1256"/>
      <c r="H65" s="1256"/>
      <c r="I65" s="1256"/>
      <c r="J65" s="1256"/>
      <c r="K65" s="98"/>
      <c r="L65" s="98"/>
      <c r="M65" s="98"/>
      <c r="N65" s="98"/>
      <c r="O65" s="98"/>
      <c r="P65" s="98"/>
      <c r="Q65" s="98"/>
      <c r="R65" s="98"/>
      <c r="S65" s="98"/>
    </row>
    <row r="66" spans="1:19" ht="14.5" customHeight="1" x14ac:dyDescent="0.35">
      <c r="A66" s="1256" t="s">
        <v>1860</v>
      </c>
      <c r="B66" s="1256"/>
      <c r="C66" s="1256"/>
      <c r="D66" s="1256"/>
      <c r="E66" s="1256"/>
      <c r="F66" s="1256"/>
      <c r="G66" s="1256"/>
      <c r="H66" s="1256"/>
      <c r="I66" s="1256"/>
      <c r="J66" s="1256"/>
      <c r="K66" s="98"/>
      <c r="L66" s="98"/>
      <c r="M66" s="98"/>
      <c r="N66" s="98"/>
      <c r="O66" s="98"/>
      <c r="P66" s="98"/>
      <c r="Q66" s="98"/>
      <c r="R66" s="98"/>
      <c r="S66" s="98"/>
    </row>
    <row r="67" spans="1:19" ht="14.5" customHeight="1" x14ac:dyDescent="0.35">
      <c r="A67" s="1274" t="s">
        <v>1861</v>
      </c>
      <c r="B67" s="1274"/>
      <c r="C67" s="1274"/>
      <c r="D67" s="1274"/>
      <c r="E67" s="1274"/>
      <c r="F67" s="1274"/>
      <c r="G67" s="1274"/>
      <c r="H67" s="1274"/>
      <c r="I67" s="1274"/>
      <c r="J67" s="1274"/>
      <c r="K67" s="99"/>
      <c r="L67" s="99"/>
      <c r="M67" s="99"/>
      <c r="N67" s="99"/>
      <c r="O67" s="99"/>
      <c r="P67" s="99"/>
      <c r="Q67" s="99"/>
      <c r="R67" s="99"/>
      <c r="S67" s="99"/>
    </row>
    <row r="68" spans="1:19" ht="14.5" customHeight="1" x14ac:dyDescent="0.35">
      <c r="A68" s="1275" t="s">
        <v>246</v>
      </c>
      <c r="B68" s="1275"/>
      <c r="C68" s="1275"/>
      <c r="D68" s="1275"/>
      <c r="E68" s="1275"/>
      <c r="F68" s="1275"/>
      <c r="G68" s="1275"/>
      <c r="H68" s="1275"/>
      <c r="I68" s="1275"/>
      <c r="J68" s="1275"/>
      <c r="K68" s="100"/>
      <c r="L68" s="100"/>
      <c r="M68" s="100"/>
      <c r="N68" s="100"/>
      <c r="O68" s="100"/>
      <c r="P68" s="100"/>
      <c r="Q68" s="100"/>
      <c r="R68" s="100"/>
      <c r="S68" s="100"/>
    </row>
    <row r="69" spans="1:19" x14ac:dyDescent="0.35">
      <c r="A69" s="1273" t="s">
        <v>888</v>
      </c>
      <c r="B69" s="1273"/>
      <c r="C69" s="1273"/>
      <c r="D69" s="1273"/>
      <c r="E69" s="1273"/>
      <c r="F69" s="1273"/>
      <c r="G69" s="1273"/>
    </row>
    <row r="70" spans="1:19" x14ac:dyDescent="0.35">
      <c r="A70" s="1276" t="s">
        <v>889</v>
      </c>
      <c r="B70" s="1276"/>
      <c r="C70" s="1276"/>
      <c r="D70" s="1276"/>
      <c r="E70" s="1276"/>
      <c r="F70" s="1276"/>
      <c r="G70" s="1276"/>
    </row>
    <row r="71" spans="1:19" x14ac:dyDescent="0.35">
      <c r="A71" s="1272" t="s">
        <v>890</v>
      </c>
      <c r="B71" s="1272"/>
      <c r="C71" s="1272"/>
      <c r="D71" s="1272"/>
      <c r="E71" s="1272"/>
      <c r="F71" s="1272"/>
      <c r="G71" s="1272"/>
    </row>
    <row r="72" spans="1:19" x14ac:dyDescent="0.35">
      <c r="A72" s="1271" t="s">
        <v>891</v>
      </c>
      <c r="B72" s="1271"/>
      <c r="C72" s="1271"/>
      <c r="D72" s="1271"/>
      <c r="E72" s="1271"/>
      <c r="F72" s="1271"/>
      <c r="G72" s="1271"/>
    </row>
    <row r="73" spans="1:19" x14ac:dyDescent="0.35">
      <c r="A73" s="1271" t="s">
        <v>892</v>
      </c>
      <c r="B73" s="1271"/>
      <c r="C73" s="1271"/>
      <c r="D73" s="1271"/>
      <c r="E73" s="1271"/>
      <c r="F73" s="1271"/>
      <c r="G73" s="1271"/>
    </row>
    <row r="74" spans="1:19" x14ac:dyDescent="0.35">
      <c r="A74" s="1272" t="s">
        <v>893</v>
      </c>
      <c r="B74" s="1272"/>
      <c r="C74" s="1272"/>
      <c r="D74" s="1272"/>
      <c r="E74" s="1272"/>
      <c r="F74" s="1272"/>
      <c r="G74" s="1272"/>
    </row>
    <row r="76" spans="1:19" x14ac:dyDescent="0.35">
      <c r="A76" s="1273" t="s">
        <v>894</v>
      </c>
      <c r="B76" s="1273"/>
      <c r="C76" s="1273"/>
      <c r="D76" s="1273"/>
      <c r="E76" s="1273"/>
      <c r="F76" s="1273"/>
      <c r="G76" s="1273"/>
    </row>
    <row r="78" spans="1:19" x14ac:dyDescent="0.35">
      <c r="A78" s="35" t="s">
        <v>245</v>
      </c>
    </row>
    <row r="80" spans="1:19" x14ac:dyDescent="0.35">
      <c r="A80" s="35" t="s">
        <v>246</v>
      </c>
    </row>
    <row r="82" spans="1:1" x14ac:dyDescent="0.35">
      <c r="A82" s="119"/>
    </row>
    <row r="88" spans="1:1" x14ac:dyDescent="0.35">
      <c r="A88" s="117"/>
    </row>
    <row r="89" spans="1:1" x14ac:dyDescent="0.35">
      <c r="A89" s="117"/>
    </row>
    <row r="90" spans="1:1" x14ac:dyDescent="0.35">
      <c r="A90" s="117"/>
    </row>
  </sheetData>
  <mergeCells count="23">
    <mergeCell ref="A72:G72"/>
    <mergeCell ref="A73:G73"/>
    <mergeCell ref="A74:G74"/>
    <mergeCell ref="A76:G76"/>
    <mergeCell ref="A66:J66"/>
    <mergeCell ref="A67:J67"/>
    <mergeCell ref="A68:J68"/>
    <mergeCell ref="A69:G69"/>
    <mergeCell ref="A70:G70"/>
    <mergeCell ref="A71:G71"/>
    <mergeCell ref="A65:J65"/>
    <mergeCell ref="A2:J2"/>
    <mergeCell ref="A4:C4"/>
    <mergeCell ref="A5:A7"/>
    <mergeCell ref="B5:B7"/>
    <mergeCell ref="C5:J5"/>
    <mergeCell ref="C6:H6"/>
    <mergeCell ref="I6:K6"/>
    <mergeCell ref="A60:J60"/>
    <mergeCell ref="A61:J61"/>
    <mergeCell ref="A62:J62"/>
    <mergeCell ref="A63:J63"/>
    <mergeCell ref="A64:J64"/>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November - MPI</vt:lpstr>
      <vt:lpstr>October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Supply Side IRA</vt:lpstr>
      <vt:lpstr>Taxes</vt:lpstr>
      <vt:lpstr>Deflators</vt:lpstr>
      <vt:lpstr>PPP (expired)</vt:lpstr>
      <vt:lpstr>Provider Relief (expired)</vt:lpstr>
      <vt:lpstr>Rebate Checks (expired)</vt:lpstr>
      <vt:lpstr>IRA and CHIPS supply side</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2024-01-25T14:48:32Z</dcterms:modified>
  <cp:category/>
  <cp:contentStatus/>
</cp:coreProperties>
</file>