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8499B30E-938B-46CD-B0FF-862779169642}" xr6:coauthVersionLast="47" xr6:coauthVersionMax="47" xr10:uidLastSave="{00000000-0000-0000-0000-000000000000}"/>
  <bookViews>
    <workbookView xWindow="30780" yWindow="1140" windowWidth="26760" windowHeight="14190" firstSheet="21" activeTab="2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15"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E11" i="21"/>
  <c r="D11" i="21"/>
  <c r="U10" i="21"/>
  <c r="E10" i="21"/>
  <c r="V9" i="21"/>
  <c r="C8" i="21"/>
  <c r="C7" i="21"/>
  <c r="H6" i="21"/>
  <c r="L3" i="21"/>
  <c r="K3" i="21"/>
  <c r="H3" i="21"/>
  <c r="E1" i="21"/>
  <c r="D1" i="21"/>
  <c r="D9" i="21" s="1"/>
  <c r="C19" i="6"/>
  <c r="B19" i="6"/>
  <c r="U16" i="6"/>
  <c r="T16" i="6"/>
  <c r="T17" i="6" s="1"/>
  <c r="S16" i="6"/>
  <c r="R16" i="6"/>
  <c r="Q16" i="6"/>
  <c r="T49" i="21" s="1"/>
  <c r="P16" i="6"/>
  <c r="S49" i="21" s="1"/>
  <c r="O16" i="6"/>
  <c r="R49" i="21" s="1"/>
  <c r="N16" i="6"/>
  <c r="C9" i="6"/>
  <c r="D9" i="6" s="1"/>
  <c r="U6" i="6"/>
  <c r="V3" i="21" s="1"/>
  <c r="T6" i="6"/>
  <c r="U3" i="21" s="1"/>
  <c r="S6" i="6"/>
  <c r="T3" i="21" s="1"/>
  <c r="R6" i="6"/>
  <c r="Q6" i="6"/>
  <c r="P6" i="6"/>
  <c r="O6" i="6"/>
  <c r="N6" i="6"/>
  <c r="O3" i="21" s="1"/>
  <c r="M6" i="6"/>
  <c r="N3" i="21" s="1"/>
  <c r="L6" i="6"/>
  <c r="M3" i="21" s="1"/>
  <c r="K6" i="6"/>
  <c r="J6" i="6"/>
  <c r="I6" i="6"/>
  <c r="H6" i="6"/>
  <c r="G6" i="6"/>
  <c r="F6" i="6"/>
  <c r="G3" i="21" s="1"/>
  <c r="E6" i="6"/>
  <c r="F3" i="21" s="1"/>
  <c r="D6" i="6"/>
  <c r="E3" i="21" s="1"/>
  <c r="C6" i="6"/>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E15" i="5"/>
  <c r="D15" i="5"/>
  <c r="F15" i="5" s="1"/>
  <c r="C15" i="5"/>
  <c r="B15" i="5"/>
  <c r="N14" i="5"/>
  <c r="M14" i="5"/>
  <c r="K14" i="5"/>
  <c r="J14" i="5"/>
  <c r="I14" i="5"/>
  <c r="H14" i="5"/>
  <c r="G14" i="5"/>
  <c r="F14" i="5"/>
  <c r="D14" i="5"/>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V10" i="21" s="1"/>
  <c r="J10" i="5"/>
  <c r="I10" i="5"/>
  <c r="H10" i="5"/>
  <c r="V7" i="21" s="1"/>
  <c r="G10" i="5"/>
  <c r="V6" i="21" s="1"/>
  <c r="D10" i="5"/>
  <c r="C10" i="5"/>
  <c r="F10" i="5" s="1"/>
  <c r="V5" i="21" s="1"/>
  <c r="B10" i="5"/>
  <c r="E10" i="5" s="1"/>
  <c r="V4" i="21" s="1"/>
  <c r="N9" i="5"/>
  <c r="M9" i="5"/>
  <c r="K9" i="5"/>
  <c r="J9" i="5"/>
  <c r="I9" i="5"/>
  <c r="H9" i="5"/>
  <c r="G9" i="5"/>
  <c r="F9" i="5"/>
  <c r="E9" i="5"/>
  <c r="D9" i="5"/>
  <c r="C9" i="5"/>
  <c r="S3" i="21" s="1"/>
  <c r="B9" i="5"/>
  <c r="N8" i="5"/>
  <c r="M8" i="5"/>
  <c r="K8" i="5"/>
  <c r="J8" i="5"/>
  <c r="I8" i="5"/>
  <c r="H8" i="5"/>
  <c r="G8" i="5"/>
  <c r="P6" i="21" s="1"/>
  <c r="D8" i="5"/>
  <c r="C8" i="5"/>
  <c r="F8" i="5" s="1"/>
  <c r="B8" i="5"/>
  <c r="N7" i="5"/>
  <c r="M7" i="5"/>
  <c r="K7" i="5"/>
  <c r="M10" i="21" s="1"/>
  <c r="J7" i="5"/>
  <c r="J9" i="21" s="1"/>
  <c r="I7" i="5"/>
  <c r="H7" i="5"/>
  <c r="K7" i="21" s="1"/>
  <c r="G7" i="5"/>
  <c r="F7" i="5"/>
  <c r="E7" i="5"/>
  <c r="D7" i="5"/>
  <c r="C7" i="5"/>
  <c r="B7" i="5"/>
  <c r="N6" i="5"/>
  <c r="M6" i="5"/>
  <c r="K6" i="5"/>
  <c r="J6" i="5"/>
  <c r="I6" i="5"/>
  <c r="I16" i="5" s="1"/>
  <c r="H6" i="5"/>
  <c r="G6" i="5"/>
  <c r="D6" i="5"/>
  <c r="C6" i="5"/>
  <c r="F6" i="5" s="1"/>
  <c r="B6" i="5"/>
  <c r="E6" i="5" s="1"/>
  <c r="G4" i="21" s="1"/>
  <c r="N5" i="5"/>
  <c r="M5" i="5"/>
  <c r="C12" i="21" s="1"/>
  <c r="L5" i="5"/>
  <c r="C11" i="21" s="1"/>
  <c r="K5" i="5"/>
  <c r="C10" i="21" s="1"/>
  <c r="J5" i="5"/>
  <c r="C9" i="21" s="1"/>
  <c r="I5" i="5"/>
  <c r="H5" i="5"/>
  <c r="G5" i="5"/>
  <c r="F5" i="5"/>
  <c r="E5" i="5"/>
  <c r="D5" i="5"/>
  <c r="C5" i="5"/>
  <c r="D3" i="21" s="1"/>
  <c r="B5" i="5"/>
  <c r="F17" i="27"/>
  <c r="F16" i="27"/>
  <c r="F15" i="27"/>
  <c r="F14" i="27"/>
  <c r="F13" i="27"/>
  <c r="F12" i="27"/>
  <c r="F11" i="27"/>
  <c r="F9" i="27"/>
  <c r="F8" i="27"/>
  <c r="F7" i="27"/>
  <c r="F6" i="27"/>
  <c r="F5" i="27"/>
  <c r="B3" i="27"/>
  <c r="D194" i="65"/>
  <c r="E194" i="65" s="1"/>
  <c r="F193" i="65"/>
  <c r="G193" i="65" s="1"/>
  <c r="H193" i="65" s="1"/>
  <c r="I193" i="65" s="1"/>
  <c r="D192" i="65"/>
  <c r="E192" i="65" s="1"/>
  <c r="F191" i="65"/>
  <c r="G191" i="65" s="1"/>
  <c r="H191" i="65" s="1"/>
  <c r="I191" i="65" s="1"/>
  <c r="D191" i="65"/>
  <c r="E191" i="65" s="1"/>
  <c r="D190" i="65"/>
  <c r="E190" i="65" s="1"/>
  <c r="R188" i="65"/>
  <c r="S188" i="65" s="1"/>
  <c r="N188" i="65"/>
  <c r="O188" i="65" s="1"/>
  <c r="P188" i="65" s="1"/>
  <c r="Q188" i="65" s="1"/>
  <c r="L188" i="65"/>
  <c r="M188" i="65" s="1"/>
  <c r="J188" i="65"/>
  <c r="K188" i="65" s="1"/>
  <c r="F188" i="65"/>
  <c r="G188" i="65" s="1"/>
  <c r="H188" i="65" s="1"/>
  <c r="I188" i="65" s="1"/>
  <c r="E188" i="65"/>
  <c r="D188" i="65"/>
  <c r="D187" i="65"/>
  <c r="E187" i="65" s="1"/>
  <c r="S27" i="30" s="1"/>
  <c r="F186" i="65"/>
  <c r="G186" i="65" s="1"/>
  <c r="H186" i="65" s="1"/>
  <c r="I186" i="65" s="1"/>
  <c r="D185" i="65"/>
  <c r="E185" i="65" s="1"/>
  <c r="N184" i="65"/>
  <c r="O184" i="65" s="1"/>
  <c r="P184" i="65" s="1"/>
  <c r="Q184" i="65" s="1"/>
  <c r="N178" i="65"/>
  <c r="M178" i="65"/>
  <c r="L178" i="65"/>
  <c r="F178" i="65"/>
  <c r="J193" i="65" s="1"/>
  <c r="K193" i="65" s="1"/>
  <c r="L193" i="65" s="1"/>
  <c r="M193" i="65" s="1"/>
  <c r="E178" i="65"/>
  <c r="D178" i="65"/>
  <c r="D193" i="65" s="1"/>
  <c r="E193" i="65" s="1"/>
  <c r="J177" i="65"/>
  <c r="I177" i="65"/>
  <c r="H177" i="65"/>
  <c r="R192" i="65" s="1"/>
  <c r="S192" i="65" s="1"/>
  <c r="N176" i="65"/>
  <c r="M176" i="65"/>
  <c r="L176" i="65"/>
  <c r="F176" i="65"/>
  <c r="J191" i="65" s="1"/>
  <c r="K191" i="65" s="1"/>
  <c r="L191" i="65" s="1"/>
  <c r="E176" i="65"/>
  <c r="D176" i="65"/>
  <c r="J175" i="65"/>
  <c r="I175" i="65"/>
  <c r="H175" i="65"/>
  <c r="R190" i="65" s="1"/>
  <c r="S190" i="65" s="1"/>
  <c r="N174" i="65"/>
  <c r="M174" i="65"/>
  <c r="L174" i="65"/>
  <c r="F174" i="65"/>
  <c r="J189" i="65" s="1"/>
  <c r="K189" i="65" s="1"/>
  <c r="L189" i="65" s="1"/>
  <c r="M189" i="65" s="1"/>
  <c r="E174" i="65"/>
  <c r="F189" i="65" s="1"/>
  <c r="G189" i="65" s="1"/>
  <c r="H189" i="65" s="1"/>
  <c r="I189" i="65" s="1"/>
  <c r="D174" i="65"/>
  <c r="D189" i="65" s="1"/>
  <c r="E189" i="65" s="1"/>
  <c r="J172" i="65"/>
  <c r="I172" i="65"/>
  <c r="H172" i="65"/>
  <c r="R187" i="65" s="1"/>
  <c r="S187" i="65" s="1"/>
  <c r="N171" i="65"/>
  <c r="M171" i="65"/>
  <c r="L171" i="65"/>
  <c r="F171" i="65"/>
  <c r="J186" i="65" s="1"/>
  <c r="K186" i="65" s="1"/>
  <c r="L186" i="65" s="1"/>
  <c r="M186" i="65" s="1"/>
  <c r="E171" i="65"/>
  <c r="D171" i="65"/>
  <c r="D186" i="65" s="1"/>
  <c r="E186" i="65" s="1"/>
  <c r="J170" i="65"/>
  <c r="I170" i="65"/>
  <c r="H170" i="65"/>
  <c r="R185" i="65" s="1"/>
  <c r="S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I184" i="65" s="1"/>
  <c r="D169" i="65"/>
  <c r="D184" i="65" s="1"/>
  <c r="E184" i="65" s="1"/>
  <c r="O85" i="65"/>
  <c r="O178" i="65" s="1"/>
  <c r="N85" i="65"/>
  <c r="M85" i="65"/>
  <c r="L85" i="65"/>
  <c r="K85" i="65"/>
  <c r="K178" i="65" s="1"/>
  <c r="J85" i="65"/>
  <c r="J178" i="65" s="1"/>
  <c r="I85" i="65"/>
  <c r="I178" i="65" s="1"/>
  <c r="H85" i="65"/>
  <c r="H178" i="65" s="1"/>
  <c r="R193" i="65" s="1"/>
  <c r="S193" i="65" s="1"/>
  <c r="G85" i="65"/>
  <c r="G178" i="65" s="1"/>
  <c r="N193" i="65" s="1"/>
  <c r="O193" i="65" s="1"/>
  <c r="P193" i="65" s="1"/>
  <c r="Q193" i="65" s="1"/>
  <c r="F85" i="65"/>
  <c r="E85" i="65"/>
  <c r="D85" i="65"/>
  <c r="O84" i="65"/>
  <c r="O177" i="65" s="1"/>
  <c r="N84" i="65"/>
  <c r="N177" i="65" s="1"/>
  <c r="M84" i="65"/>
  <c r="M177" i="65" s="1"/>
  <c r="L84" i="65"/>
  <c r="L177" i="65" s="1"/>
  <c r="K84" i="65"/>
  <c r="K177" i="65" s="1"/>
  <c r="J84" i="65"/>
  <c r="I84" i="65"/>
  <c r="H84" i="65"/>
  <c r="G84" i="65"/>
  <c r="G177" i="65" s="1"/>
  <c r="N192" i="65" s="1"/>
  <c r="O192" i="65" s="1"/>
  <c r="P192" i="65" s="1"/>
  <c r="Q192" i="65" s="1"/>
  <c r="F84" i="65"/>
  <c r="F177" i="65" s="1"/>
  <c r="J192" i="65" s="1"/>
  <c r="K192" i="65" s="1"/>
  <c r="L192" i="65" s="1"/>
  <c r="M192" i="65" s="1"/>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N172" i="65" s="1"/>
  <c r="M74" i="65"/>
  <c r="M172" i="65" s="1"/>
  <c r="L74" i="65"/>
  <c r="L172" i="65" s="1"/>
  <c r="K74" i="65"/>
  <c r="K172" i="65" s="1"/>
  <c r="J74" i="65"/>
  <c r="I74" i="65"/>
  <c r="H74" i="65"/>
  <c r="G74" i="65"/>
  <c r="G172" i="65" s="1"/>
  <c r="N187" i="65" s="1"/>
  <c r="F74" i="65"/>
  <c r="F172" i="65" s="1"/>
  <c r="J187" i="65" s="1"/>
  <c r="K187" i="65" s="1"/>
  <c r="L187" i="65" s="1"/>
  <c r="M187" i="65" s="1"/>
  <c r="E74" i="65"/>
  <c r="E172" i="65" s="1"/>
  <c r="F187" i="65" s="1"/>
  <c r="G187" i="65" s="1"/>
  <c r="H187" i="65" s="1"/>
  <c r="I187" i="65" s="1"/>
  <c r="D74" i="65"/>
  <c r="D172" i="65" s="1"/>
  <c r="O73" i="65"/>
  <c r="O176" i="65" s="1"/>
  <c r="N73" i="65"/>
  <c r="M73" i="65"/>
  <c r="L73" i="65"/>
  <c r="K73" i="65"/>
  <c r="K176" i="65" s="1"/>
  <c r="J73" i="65"/>
  <c r="J176" i="65" s="1"/>
  <c r="I73" i="65"/>
  <c r="I176" i="65" s="1"/>
  <c r="H73" i="65"/>
  <c r="H176" i="65" s="1"/>
  <c r="R191" i="65" s="1"/>
  <c r="S191" i="65" s="1"/>
  <c r="G73" i="65"/>
  <c r="G176" i="65" s="1"/>
  <c r="N191" i="65" s="1"/>
  <c r="O191" i="65" s="1"/>
  <c r="P191" i="65" s="1"/>
  <c r="Q191" i="65" s="1"/>
  <c r="F73" i="65"/>
  <c r="E73" i="65"/>
  <c r="D73" i="65"/>
  <c r="O72" i="65"/>
  <c r="O175" i="65" s="1"/>
  <c r="N72" i="65"/>
  <c r="N175" i="65" s="1"/>
  <c r="M72" i="65"/>
  <c r="M175" i="65" s="1"/>
  <c r="L72" i="65"/>
  <c r="L175" i="65" s="1"/>
  <c r="K72" i="65"/>
  <c r="K175" i="65" s="1"/>
  <c r="J72" i="65"/>
  <c r="I72" i="65"/>
  <c r="H72" i="65"/>
  <c r="G72" i="65"/>
  <c r="G175" i="65" s="1"/>
  <c r="N190" i="65" s="1"/>
  <c r="O190" i="65" s="1"/>
  <c r="P190" i="65" s="1"/>
  <c r="Q190" i="65" s="1"/>
  <c r="F72" i="65"/>
  <c r="F175" i="65" s="1"/>
  <c r="J190" i="65" s="1"/>
  <c r="K190" i="65" s="1"/>
  <c r="L190" i="65" s="1"/>
  <c r="M190" i="65" s="1"/>
  <c r="E72" i="65"/>
  <c r="E175" i="65" s="1"/>
  <c r="F190" i="65" s="1"/>
  <c r="G190" i="65" s="1"/>
  <c r="H190" i="65" s="1"/>
  <c r="I190" i="65" s="1"/>
  <c r="D72" i="65"/>
  <c r="D175" i="65" s="1"/>
  <c r="O71" i="65"/>
  <c r="O174" i="65" s="1"/>
  <c r="N71" i="65"/>
  <c r="M71" i="65"/>
  <c r="L71" i="65"/>
  <c r="K71" i="65"/>
  <c r="K174" i="65" s="1"/>
  <c r="J71" i="65"/>
  <c r="J174" i="65" s="1"/>
  <c r="I71" i="65"/>
  <c r="I174" i="65" s="1"/>
  <c r="H71" i="65"/>
  <c r="H174" i="65" s="1"/>
  <c r="R189" i="65" s="1"/>
  <c r="S189" i="65" s="1"/>
  <c r="G71" i="65"/>
  <c r="G174" i="65" s="1"/>
  <c r="N189" i="65" s="1"/>
  <c r="O189" i="65" s="1"/>
  <c r="P189" i="65" s="1"/>
  <c r="Q189" i="65" s="1"/>
  <c r="F71" i="65"/>
  <c r="E71" i="65"/>
  <c r="D71" i="65"/>
  <c r="O70" i="65"/>
  <c r="O170" i="65" s="1"/>
  <c r="N70" i="65"/>
  <c r="N170" i="65" s="1"/>
  <c r="M70" i="65"/>
  <c r="M170" i="65" s="1"/>
  <c r="L70" i="65"/>
  <c r="L170" i="65" s="1"/>
  <c r="K70" i="65"/>
  <c r="K170" i="65" s="1"/>
  <c r="J70" i="65"/>
  <c r="I70" i="65"/>
  <c r="H70" i="65"/>
  <c r="G70" i="65"/>
  <c r="G170" i="65" s="1"/>
  <c r="N185" i="65" s="1"/>
  <c r="F70" i="65"/>
  <c r="F170" i="65" s="1"/>
  <c r="J185" i="65" s="1"/>
  <c r="K185" i="65" s="1"/>
  <c r="L185" i="65" s="1"/>
  <c r="M185" i="65" s="1"/>
  <c r="E70" i="65"/>
  <c r="E170" i="65" s="1"/>
  <c r="F185" i="65" s="1"/>
  <c r="G185" i="65" s="1"/>
  <c r="H185" i="65" s="1"/>
  <c r="I185" i="65" s="1"/>
  <c r="D70" i="65"/>
  <c r="D170" i="65" s="1"/>
  <c r="O69" i="65"/>
  <c r="O171" i="65" s="1"/>
  <c r="N69" i="65"/>
  <c r="M69" i="65"/>
  <c r="L69" i="65"/>
  <c r="K69" i="65"/>
  <c r="K171" i="65" s="1"/>
  <c r="J69" i="65"/>
  <c r="J171" i="65" s="1"/>
  <c r="I69" i="65"/>
  <c r="I171" i="65" s="1"/>
  <c r="H69" i="65"/>
  <c r="H171" i="65" s="1"/>
  <c r="R186" i="65" s="1"/>
  <c r="S186" i="65" s="1"/>
  <c r="G69" i="65"/>
  <c r="G171" i="65" s="1"/>
  <c r="N186" i="65" s="1"/>
  <c r="O186" i="65" s="1"/>
  <c r="P186" i="65" s="1"/>
  <c r="Q186" i="65" s="1"/>
  <c r="F69" i="65"/>
  <c r="E69" i="65"/>
  <c r="D69" i="65"/>
  <c r="D75" i="76"/>
  <c r="D74" i="76"/>
  <c r="D73" i="76"/>
  <c r="D72" i="76"/>
  <c r="D71" i="76"/>
  <c r="D70" i="76"/>
  <c r="D61" i="76"/>
  <c r="D60" i="76"/>
  <c r="D59" i="76"/>
  <c r="G38" i="76" s="1"/>
  <c r="D58" i="76"/>
  <c r="D57" i="76"/>
  <c r="D56" i="76"/>
  <c r="D55" i="76"/>
  <c r="D54" i="76"/>
  <c r="D53" i="76"/>
  <c r="D52" i="76"/>
  <c r="D51" i="76"/>
  <c r="B46" i="76"/>
  <c r="D46" i="76" s="1"/>
  <c r="G33" i="76" s="1"/>
  <c r="H33" i="76" s="1"/>
  <c r="D45" i="76"/>
  <c r="D44" i="76"/>
  <c r="D43" i="76"/>
  <c r="D42" i="76"/>
  <c r="D41" i="76"/>
  <c r="D40" i="76"/>
  <c r="D39" i="76"/>
  <c r="D38" i="76"/>
  <c r="H37" i="76"/>
  <c r="G37" i="76"/>
  <c r="D37" i="76"/>
  <c r="G36" i="76"/>
  <c r="H36" i="76" s="1"/>
  <c r="D36" i="76"/>
  <c r="D35" i="76"/>
  <c r="D34" i="76"/>
  <c r="I33" i="76"/>
  <c r="J33" i="76" s="1"/>
  <c r="K33" i="76" s="1"/>
  <c r="D33" i="76"/>
  <c r="G32" i="76"/>
  <c r="H32" i="76" s="1"/>
  <c r="D32" i="76"/>
  <c r="G31" i="76"/>
  <c r="H31" i="76" s="1"/>
  <c r="D31" i="76"/>
  <c r="D30" i="76"/>
  <c r="I29" i="76"/>
  <c r="J29" i="76" s="1"/>
  <c r="G29" i="76"/>
  <c r="H29" i="76" s="1"/>
  <c r="D29" i="76"/>
  <c r="H28" i="76"/>
  <c r="G28" i="76"/>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M11" i="29"/>
  <c r="T9" i="29"/>
  <c r="T10" i="29" s="1"/>
  <c r="S9" i="29"/>
  <c r="S10" i="29" s="1"/>
  <c r="R9" i="29"/>
  <c r="R10" i="29" s="1"/>
  <c r="Q9" i="29"/>
  <c r="Q10" i="29" s="1"/>
  <c r="P9" i="29"/>
  <c r="P10" i="29" s="1"/>
  <c r="O9" i="29"/>
  <c r="O10" i="29" s="1"/>
  <c r="N9" i="29"/>
  <c r="N10" i="29" s="1"/>
  <c r="M9" i="29"/>
  <c r="M10" i="29" s="1"/>
  <c r="L9" i="29"/>
  <c r="L11" i="29" s="1"/>
  <c r="K9" i="29"/>
  <c r="K11" i="29" s="1"/>
  <c r="J9" i="29"/>
  <c r="J11" i="29" s="1"/>
  <c r="O14" i="40"/>
  <c r="O16" i="40" s="1"/>
  <c r="N14" i="40"/>
  <c r="N17" i="40" s="1"/>
  <c r="T13" i="40"/>
  <c r="T14" i="40" s="1"/>
  <c r="T15" i="40" s="1"/>
  <c r="S13" i="40"/>
  <c r="R13" i="40"/>
  <c r="Q13" i="40"/>
  <c r="P13" i="40"/>
  <c r="O13" i="40"/>
  <c r="N13" i="40"/>
  <c r="M13" i="40"/>
  <c r="L13" i="40"/>
  <c r="L14" i="40" s="1"/>
  <c r="L15" i="40" s="1"/>
  <c r="K13" i="40"/>
  <c r="J13" i="40"/>
  <c r="T12" i="40"/>
  <c r="S12" i="40"/>
  <c r="R12" i="40"/>
  <c r="Q12" i="40"/>
  <c r="P12" i="40"/>
  <c r="O12" i="40"/>
  <c r="N12" i="40"/>
  <c r="M12" i="40"/>
  <c r="L12" i="40"/>
  <c r="K12" i="40"/>
  <c r="J12" i="40"/>
  <c r="T11" i="40"/>
  <c r="S11" i="40"/>
  <c r="R11" i="40"/>
  <c r="Q11" i="40"/>
  <c r="P11" i="40"/>
  <c r="P14" i="40" s="1"/>
  <c r="P16" i="40" s="1"/>
  <c r="O11" i="40"/>
  <c r="N11" i="40"/>
  <c r="M11" i="40"/>
  <c r="L11" i="40"/>
  <c r="K11" i="40"/>
  <c r="J11" i="40"/>
  <c r="L65" i="38"/>
  <c r="I65" i="38"/>
  <c r="L64" i="38"/>
  <c r="K55" i="38"/>
  <c r="J55" i="38"/>
  <c r="J56" i="38" s="1"/>
  <c r="P54" i="38"/>
  <c r="P55" i="38" s="1"/>
  <c r="O54" i="38"/>
  <c r="O55" i="38" s="1"/>
  <c r="K67" i="38" s="1"/>
  <c r="N54" i="38"/>
  <c r="M54" i="38"/>
  <c r="M55" i="38" s="1"/>
  <c r="I67" i="38" s="1"/>
  <c r="L54" i="38"/>
  <c r="K54" i="38"/>
  <c r="J54" i="38"/>
  <c r="P53" i="38"/>
  <c r="O53" i="38"/>
  <c r="N53" i="38"/>
  <c r="M53" i="38"/>
  <c r="L53" i="38"/>
  <c r="L55" i="38" s="1"/>
  <c r="K53" i="38"/>
  <c r="K56" i="38" s="1"/>
  <c r="J53" i="38"/>
  <c r="O48" i="38"/>
  <c r="M48" i="38"/>
  <c r="Q45" i="38"/>
  <c r="J45" i="38"/>
  <c r="Q44" i="38"/>
  <c r="J44" i="38"/>
  <c r="Q43" i="38"/>
  <c r="J43" i="38"/>
  <c r="J42" i="38"/>
  <c r="Q41" i="38"/>
  <c r="J41" i="38"/>
  <c r="Q40" i="38"/>
  <c r="J40" i="38"/>
  <c r="Q39" i="38"/>
  <c r="J39" i="38"/>
  <c r="T38" i="38"/>
  <c r="T39" i="38" s="1"/>
  <c r="S38" i="38"/>
  <c r="S39" i="38" s="1"/>
  <c r="S40" i="38" s="1"/>
  <c r="S41" i="38" s="1"/>
  <c r="S42" i="38" s="1"/>
  <c r="S43" i="38" s="1"/>
  <c r="S44" i="38" s="1"/>
  <c r="S45" i="38" s="1"/>
  <c r="J38" i="38"/>
  <c r="Q37" i="38"/>
  <c r="J37" i="38"/>
  <c r="P37" i="38" s="1"/>
  <c r="P36" i="38"/>
  <c r="J36" i="38"/>
  <c r="J35" i="38"/>
  <c r="P34" i="38"/>
  <c r="J34" i="38"/>
  <c r="P33" i="38"/>
  <c r="J33" i="38"/>
  <c r="P32" i="38"/>
  <c r="J32" i="38"/>
  <c r="J31" i="38"/>
  <c r="P30" i="38"/>
  <c r="J30" i="38"/>
  <c r="S29" i="38"/>
  <c r="O29" i="38" s="1"/>
  <c r="P29" i="38"/>
  <c r="J29" i="38"/>
  <c r="T28" i="38"/>
  <c r="T29" i="38" s="1"/>
  <c r="T30" i="38" s="1"/>
  <c r="T31" i="38" s="1"/>
  <c r="T32" i="38" s="1"/>
  <c r="T33" i="38" s="1"/>
  <c r="T34" i="38" s="1"/>
  <c r="T35" i="38" s="1"/>
  <c r="T36" i="38" s="1"/>
  <c r="S28" i="38"/>
  <c r="O28" i="38" s="1"/>
  <c r="P28" i="38"/>
  <c r="J28" i="38"/>
  <c r="Q28" i="38" s="1"/>
  <c r="P27" i="38"/>
  <c r="J27" i="38"/>
  <c r="J26" i="38"/>
  <c r="N26" i="38" s="1"/>
  <c r="J25" i="38"/>
  <c r="J24" i="38"/>
  <c r="N24" i="38" s="1"/>
  <c r="S23" i="38"/>
  <c r="S24" i="38" s="1"/>
  <c r="N23" i="38"/>
  <c r="J23" i="38"/>
  <c r="M22" i="38"/>
  <c r="J22" i="38"/>
  <c r="N22" i="38" s="1"/>
  <c r="J21" i="38"/>
  <c r="J20" i="38"/>
  <c r="M20" i="38" s="1"/>
  <c r="M19" i="38"/>
  <c r="J19" i="38"/>
  <c r="J18" i="38"/>
  <c r="M18" i="38" s="1"/>
  <c r="M17" i="38"/>
  <c r="J17" i="38"/>
  <c r="J16" i="38"/>
  <c r="S15" i="38"/>
  <c r="S16" i="38" s="1"/>
  <c r="M15" i="38"/>
  <c r="J15" i="38"/>
  <c r="S14" i="38"/>
  <c r="N14" i="38"/>
  <c r="M14" i="38"/>
  <c r="L14" i="38"/>
  <c r="J14" i="38"/>
  <c r="J13" i="38"/>
  <c r="M13" i="38" s="1"/>
  <c r="N12" i="38"/>
  <c r="M12" i="38"/>
  <c r="L12" i="38"/>
  <c r="J12" i="38"/>
  <c r="J11" i="38"/>
  <c r="M11" i="38"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V49" i="70"/>
  <c r="U49" i="70"/>
  <c r="T49" i="70"/>
  <c r="T20" i="70" s="1"/>
  <c r="T27" i="70" s="1"/>
  <c r="S49" i="70"/>
  <c r="R49" i="70"/>
  <c r="Q49" i="70"/>
  <c r="Q20" i="70" s="1"/>
  <c r="Q27" i="70" s="1"/>
  <c r="P49" i="70"/>
  <c r="O49" i="70"/>
  <c r="N49" i="70"/>
  <c r="M49" i="70"/>
  <c r="L49" i="70"/>
  <c r="L20" i="70" s="1"/>
  <c r="L27" i="70" s="1"/>
  <c r="K49" i="70"/>
  <c r="J49" i="70"/>
  <c r="I49" i="70"/>
  <c r="I20" i="70" s="1"/>
  <c r="I27" i="70" s="1"/>
  <c r="H49" i="70"/>
  <c r="G49" i="70"/>
  <c r="F49" i="70"/>
  <c r="E49" i="70"/>
  <c r="D49" i="70"/>
  <c r="D20" i="70" s="1"/>
  <c r="D27" i="70" s="1"/>
  <c r="AD48" i="70"/>
  <c r="Y48" i="70"/>
  <c r="V48" i="70"/>
  <c r="V18" i="70" s="1"/>
  <c r="V26" i="70" s="1"/>
  <c r="U48" i="70"/>
  <c r="T48" i="70"/>
  <c r="S48" i="70"/>
  <c r="R48" i="70"/>
  <c r="Q48" i="70"/>
  <c r="Q18" i="70" s="1"/>
  <c r="Q26" i="70" s="1"/>
  <c r="P48" i="70"/>
  <c r="O48" i="70"/>
  <c r="N48" i="70"/>
  <c r="N18" i="70" s="1"/>
  <c r="N26" i="70" s="1"/>
  <c r="M48" i="70"/>
  <c r="L48" i="70"/>
  <c r="K48" i="70"/>
  <c r="J48" i="70"/>
  <c r="I48" i="70"/>
  <c r="I18" i="70" s="1"/>
  <c r="I26" i="70" s="1"/>
  <c r="H48" i="70"/>
  <c r="G48" i="70"/>
  <c r="F48" i="70"/>
  <c r="F18" i="70" s="1"/>
  <c r="F26" i="70" s="1"/>
  <c r="E48" i="70"/>
  <c r="D48" i="70"/>
  <c r="AF47" i="70"/>
  <c r="AF48" i="70" s="1"/>
  <c r="AF49" i="70" s="1"/>
  <c r="AE47" i="70"/>
  <c r="AE48" i="70" s="1"/>
  <c r="AD47" i="70"/>
  <c r="AD16" i="70" s="1"/>
  <c r="AD25" i="70" s="1"/>
  <c r="AC47" i="70"/>
  <c r="AC48" i="70" s="1"/>
  <c r="AC49" i="70" s="1"/>
  <c r="AC20" i="70" s="1"/>
  <c r="AB47" i="70"/>
  <c r="AB48" i="70" s="1"/>
  <c r="AA47" i="70"/>
  <c r="AA16" i="70" s="1"/>
  <c r="AA25" i="70" s="1"/>
  <c r="Z47" i="70"/>
  <c r="Z48" i="70" s="1"/>
  <c r="Y47" i="70"/>
  <c r="X47" i="70"/>
  <c r="X48" i="70" s="1"/>
  <c r="X49" i="70" s="1"/>
  <c r="W47" i="70"/>
  <c r="W48" i="70" s="1"/>
  <c r="V47" i="70"/>
  <c r="V16" i="70" s="1"/>
  <c r="V25" i="70" s="1"/>
  <c r="U47" i="70"/>
  <c r="T47" i="70"/>
  <c r="S47" i="70"/>
  <c r="S16" i="70" s="1"/>
  <c r="S25" i="70" s="1"/>
  <c r="R47" i="70"/>
  <c r="Q47" i="70"/>
  <c r="P47" i="70"/>
  <c r="O47" i="70"/>
  <c r="N47" i="70"/>
  <c r="N16" i="70" s="1"/>
  <c r="N25" i="70" s="1"/>
  <c r="M47" i="70"/>
  <c r="L47" i="70"/>
  <c r="K47" i="70"/>
  <c r="K16" i="70" s="1"/>
  <c r="K25" i="70" s="1"/>
  <c r="J47" i="70"/>
  <c r="I47" i="70"/>
  <c r="H47" i="70"/>
  <c r="G47" i="70"/>
  <c r="F47" i="70"/>
  <c r="F16" i="70" s="1"/>
  <c r="F25" i="70" s="1"/>
  <c r="E47" i="70"/>
  <c r="D47" i="70"/>
  <c r="AF46" i="70"/>
  <c r="AF14" i="70" s="1"/>
  <c r="AF24" i="70" s="1"/>
  <c r="AE46" i="70"/>
  <c r="AD46" i="70"/>
  <c r="AC46" i="70"/>
  <c r="AB46" i="70"/>
  <c r="AA46" i="70"/>
  <c r="AA14" i="70" s="1"/>
  <c r="AA24" i="70" s="1"/>
  <c r="Z46" i="70"/>
  <c r="Y46" i="70"/>
  <c r="X46" i="70"/>
  <c r="X14" i="70" s="1"/>
  <c r="X24" i="70" s="1"/>
  <c r="W46" i="70"/>
  <c r="V46" i="70"/>
  <c r="U46" i="70"/>
  <c r="T46" i="70"/>
  <c r="S46" i="70"/>
  <c r="S14" i="70" s="1"/>
  <c r="S24" i="70" s="1"/>
  <c r="R46" i="70"/>
  <c r="Q46" i="70"/>
  <c r="P46" i="70"/>
  <c r="P14" i="70" s="1"/>
  <c r="P24" i="70" s="1"/>
  <c r="O46" i="70"/>
  <c r="N46" i="70"/>
  <c r="M46" i="70"/>
  <c r="L46" i="70"/>
  <c r="K46" i="70"/>
  <c r="K14" i="70" s="1"/>
  <c r="K24" i="70" s="1"/>
  <c r="J46" i="70"/>
  <c r="I46" i="70"/>
  <c r="H46" i="70"/>
  <c r="H14" i="70" s="1"/>
  <c r="H24" i="70" s="1"/>
  <c r="G46" i="70"/>
  <c r="F46" i="70"/>
  <c r="E46" i="70"/>
  <c r="D46" i="70"/>
  <c r="AF45" i="70"/>
  <c r="AF12" i="70" s="1"/>
  <c r="AF23" i="70" s="1"/>
  <c r="AE45" i="70"/>
  <c r="AD45" i="70"/>
  <c r="AC45" i="70"/>
  <c r="AC12" i="70" s="1"/>
  <c r="AC23" i="70" s="1"/>
  <c r="AB45" i="70"/>
  <c r="AA45" i="70"/>
  <c r="Z45" i="70"/>
  <c r="Y45" i="70"/>
  <c r="X45" i="70"/>
  <c r="X12" i="70" s="1"/>
  <c r="X23" i="70" s="1"/>
  <c r="W45" i="70"/>
  <c r="V45" i="70"/>
  <c r="U45" i="70"/>
  <c r="U12" i="70" s="1"/>
  <c r="U23" i="70" s="1"/>
  <c r="T45" i="70"/>
  <c r="S45" i="70"/>
  <c r="R45" i="70"/>
  <c r="Q45" i="70"/>
  <c r="P45" i="70"/>
  <c r="P12" i="70" s="1"/>
  <c r="P23" i="70" s="1"/>
  <c r="O45" i="70"/>
  <c r="N45" i="70"/>
  <c r="M45" i="70"/>
  <c r="M12" i="70" s="1"/>
  <c r="M23" i="70" s="1"/>
  <c r="L45" i="70"/>
  <c r="K45" i="70"/>
  <c r="J45" i="70"/>
  <c r="I45" i="70"/>
  <c r="H45" i="70"/>
  <c r="H12" i="70" s="1"/>
  <c r="H23" i="70" s="1"/>
  <c r="G45" i="70"/>
  <c r="F45" i="70"/>
  <c r="E45" i="70"/>
  <c r="E12" i="70" s="1"/>
  <c r="E23" i="70" s="1"/>
  <c r="D45" i="70"/>
  <c r="AC27" i="70"/>
  <c r="U27" i="70"/>
  <c r="R27" i="70"/>
  <c r="O27" i="70"/>
  <c r="M27" i="70"/>
  <c r="J27" i="70"/>
  <c r="G27" i="70"/>
  <c r="E27" i="70"/>
  <c r="T26" i="70"/>
  <c r="R26" i="70"/>
  <c r="O26" i="70"/>
  <c r="L26" i="70"/>
  <c r="J26" i="70"/>
  <c r="G26" i="70"/>
  <c r="D26" i="70"/>
  <c r="AE25" i="70"/>
  <c r="AB25" i="70"/>
  <c r="Y25" i="70"/>
  <c r="W25" i="70"/>
  <c r="T25" i="70"/>
  <c r="Q25" i="70"/>
  <c r="O25" i="70"/>
  <c r="L25" i="70"/>
  <c r="I25" i="70"/>
  <c r="G25" i="70"/>
  <c r="D25" i="70"/>
  <c r="AD24" i="70"/>
  <c r="AB24" i="70"/>
  <c r="Y24" i="70"/>
  <c r="V24" i="70"/>
  <c r="T24" i="70"/>
  <c r="Q24" i="70"/>
  <c r="N24" i="70"/>
  <c r="L24" i="70"/>
  <c r="I24" i="70"/>
  <c r="F24" i="70"/>
  <c r="D24" i="70"/>
  <c r="AD23" i="70"/>
  <c r="AA23" i="70"/>
  <c r="Y23" i="70"/>
  <c r="V23" i="70"/>
  <c r="S23" i="70"/>
  <c r="Q23" i="70"/>
  <c r="N23" i="70"/>
  <c r="K23" i="70"/>
  <c r="I23" i="70"/>
  <c r="F23" i="70"/>
  <c r="AF20" i="70"/>
  <c r="AF27" i="70" s="1"/>
  <c r="X20" i="70"/>
  <c r="X27" i="70" s="1"/>
  <c r="V20" i="70"/>
  <c r="V27" i="70" s="1"/>
  <c r="U20" i="70"/>
  <c r="S20" i="70"/>
  <c r="S27" i="70" s="1"/>
  <c r="R20" i="70"/>
  <c r="P20" i="70"/>
  <c r="P27" i="70" s="1"/>
  <c r="O20" i="70"/>
  <c r="N20" i="70"/>
  <c r="N27" i="70" s="1"/>
  <c r="M20" i="70"/>
  <c r="K20" i="70"/>
  <c r="K27" i="70" s="1"/>
  <c r="J20" i="70"/>
  <c r="H20" i="70"/>
  <c r="H27" i="70" s="1"/>
  <c r="G20" i="70"/>
  <c r="F20" i="70"/>
  <c r="F27" i="70" s="1"/>
  <c r="E20" i="70"/>
  <c r="AF18" i="70"/>
  <c r="AF26" i="70" s="1"/>
  <c r="AC18" i="70"/>
  <c r="AC26" i="70" s="1"/>
  <c r="X18" i="70"/>
  <c r="X26" i="70" s="1"/>
  <c r="U18" i="70"/>
  <c r="U26" i="70" s="1"/>
  <c r="T18" i="70"/>
  <c r="S18" i="70"/>
  <c r="S26" i="70" s="1"/>
  <c r="R18" i="70"/>
  <c r="P18" i="70"/>
  <c r="P26" i="70" s="1"/>
  <c r="O18" i="70"/>
  <c r="M18" i="70"/>
  <c r="M26" i="70" s="1"/>
  <c r="L18" i="70"/>
  <c r="K18" i="70"/>
  <c r="K26" i="70" s="1"/>
  <c r="J18" i="70"/>
  <c r="H18" i="70"/>
  <c r="H26" i="70" s="1"/>
  <c r="G18" i="70"/>
  <c r="E18" i="70"/>
  <c r="E26" i="70" s="1"/>
  <c r="D18" i="70"/>
  <c r="AF16" i="70"/>
  <c r="AF25" i="70" s="1"/>
  <c r="AE16" i="70"/>
  <c r="AC16" i="70"/>
  <c r="AC25" i="70" s="1"/>
  <c r="AB16" i="70"/>
  <c r="Z16" i="70"/>
  <c r="Z25" i="70" s="1"/>
  <c r="Y16" i="70"/>
  <c r="X16" i="70"/>
  <c r="X25" i="70" s="1"/>
  <c r="W16" i="70"/>
  <c r="U16" i="70"/>
  <c r="U25" i="70" s="1"/>
  <c r="T16" i="70"/>
  <c r="R16" i="70"/>
  <c r="R25" i="70" s="1"/>
  <c r="Q16" i="70"/>
  <c r="P16" i="70"/>
  <c r="P25" i="70" s="1"/>
  <c r="O16" i="70"/>
  <c r="M16" i="70"/>
  <c r="M25" i="70" s="1"/>
  <c r="L16" i="70"/>
  <c r="J16" i="70"/>
  <c r="J25" i="70" s="1"/>
  <c r="I16" i="70"/>
  <c r="H16" i="70"/>
  <c r="H25" i="70" s="1"/>
  <c r="G16" i="70"/>
  <c r="E16" i="70"/>
  <c r="E25" i="70" s="1"/>
  <c r="D16" i="70"/>
  <c r="AE14" i="70"/>
  <c r="AE24" i="70" s="1"/>
  <c r="AD14" i="70"/>
  <c r="AC14" i="70"/>
  <c r="AC24" i="70" s="1"/>
  <c r="AB14" i="70"/>
  <c r="Z14" i="70"/>
  <c r="Z24" i="70" s="1"/>
  <c r="Y14" i="70"/>
  <c r="W14" i="70"/>
  <c r="W24" i="70" s="1"/>
  <c r="V14" i="70"/>
  <c r="U14" i="70"/>
  <c r="U24" i="70" s="1"/>
  <c r="T14" i="70"/>
  <c r="R14" i="70"/>
  <c r="R24" i="70" s="1"/>
  <c r="Q14" i="70"/>
  <c r="O14" i="70"/>
  <c r="O24" i="70" s="1"/>
  <c r="N14" i="70"/>
  <c r="M14" i="70"/>
  <c r="M24" i="70" s="1"/>
  <c r="L14" i="70"/>
  <c r="J14" i="70"/>
  <c r="J24" i="70" s="1"/>
  <c r="I14" i="70"/>
  <c r="G14" i="70"/>
  <c r="G24" i="70" s="1"/>
  <c r="F14" i="70"/>
  <c r="E14" i="70"/>
  <c r="E24" i="70" s="1"/>
  <c r="D14" i="70"/>
  <c r="AE12" i="70"/>
  <c r="AE23" i="70" s="1"/>
  <c r="AD12" i="70"/>
  <c r="AB12" i="70"/>
  <c r="AB23" i="70" s="1"/>
  <c r="AA12" i="70"/>
  <c r="Z12" i="70"/>
  <c r="Z23" i="70" s="1"/>
  <c r="Y12" i="70"/>
  <c r="W12" i="70"/>
  <c r="W23" i="70" s="1"/>
  <c r="V12" i="70"/>
  <c r="T12" i="70"/>
  <c r="T23" i="70" s="1"/>
  <c r="S12" i="70"/>
  <c r="R12" i="70"/>
  <c r="R23" i="70" s="1"/>
  <c r="Q12" i="70"/>
  <c r="O12" i="70"/>
  <c r="O23" i="70" s="1"/>
  <c r="N12" i="70"/>
  <c r="L12" i="70"/>
  <c r="L23" i="70" s="1"/>
  <c r="K12" i="70"/>
  <c r="J12" i="70"/>
  <c r="J23" i="70" s="1"/>
  <c r="I12" i="70"/>
  <c r="G12" i="70"/>
  <c r="G23" i="70" s="1"/>
  <c r="F12" i="70"/>
  <c r="D12" i="70"/>
  <c r="D23" i="70" s="1"/>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U157" i="48"/>
  <c r="R157" i="48"/>
  <c r="N157" i="48"/>
  <c r="L157" i="48"/>
  <c r="U153" i="48"/>
  <c r="V153" i="48" s="1"/>
  <c r="W153" i="48" s="1"/>
  <c r="X153" i="48" s="1"/>
  <c r="Y153" i="48" s="1"/>
  <c r="Z153" i="48" s="1"/>
  <c r="AA153" i="48" s="1"/>
  <c r="AB153" i="48" s="1"/>
  <c r="AC153" i="48" s="1"/>
  <c r="T153" i="48"/>
  <c r="Z151" i="48"/>
  <c r="AA151" i="48" s="1"/>
  <c r="AB151" i="48" s="1"/>
  <c r="AC151" i="48" s="1"/>
  <c r="U151" i="48"/>
  <c r="V151" i="48" s="1"/>
  <c r="W151" i="48" s="1"/>
  <c r="X151" i="48" s="1"/>
  <c r="Y151" i="48" s="1"/>
  <c r="T151" i="48"/>
  <c r="W149" i="48"/>
  <c r="X149" i="48" s="1"/>
  <c r="Y149" i="48" s="1"/>
  <c r="Z149" i="48" s="1"/>
  <c r="AA149" i="48" s="1"/>
  <c r="AB149" i="48" s="1"/>
  <c r="AC149" i="48" s="1"/>
  <c r="T149" i="48"/>
  <c r="U149" i="48" s="1"/>
  <c r="V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S139" i="48"/>
  <c r="Q139" i="48"/>
  <c r="K139" i="48"/>
  <c r="S138" i="48"/>
  <c r="N138" i="48"/>
  <c r="K138" i="48"/>
  <c r="H138" i="48"/>
  <c r="M136" i="48"/>
  <c r="J136" i="48"/>
  <c r="O135" i="48"/>
  <c r="G135" i="48"/>
  <c r="O134" i="48"/>
  <c r="Q133" i="48"/>
  <c r="O133" i="48"/>
  <c r="L133" i="48"/>
  <c r="I133" i="48"/>
  <c r="G133" i="48"/>
  <c r="T126" i="48"/>
  <c r="Q126" i="48"/>
  <c r="L126" i="48"/>
  <c r="I126" i="48"/>
  <c r="P125" i="48"/>
  <c r="M125" i="48"/>
  <c r="K125" i="48"/>
  <c r="H125" i="48"/>
  <c r="W124" i="48"/>
  <c r="X124" i="48" s="1"/>
  <c r="AA123" i="48"/>
  <c r="AB123" i="48" s="1"/>
  <c r="X123" i="48"/>
  <c r="Y123" i="48" s="1"/>
  <c r="Z123" i="48" s="1"/>
  <c r="V121" i="48"/>
  <c r="U121" i="48"/>
  <c r="T121" i="48"/>
  <c r="S121" i="48"/>
  <c r="R121" i="48"/>
  <c r="R139" i="48" s="1"/>
  <c r="Q121" i="48"/>
  <c r="P121" i="48"/>
  <c r="P139" i="48" s="1"/>
  <c r="O121" i="48"/>
  <c r="O139" i="48" s="1"/>
  <c r="N121" i="48"/>
  <c r="N139" i="48" s="1"/>
  <c r="M121" i="48"/>
  <c r="M139" i="48" s="1"/>
  <c r="L121" i="48"/>
  <c r="L139" i="48" s="1"/>
  <c r="K121" i="48"/>
  <c r="J121" i="48"/>
  <c r="J139" i="48" s="1"/>
  <c r="I121" i="48"/>
  <c r="I139" i="48" s="1"/>
  <c r="H121" i="48"/>
  <c r="H139" i="48" s="1"/>
  <c r="G121" i="48"/>
  <c r="G139" i="48" s="1"/>
  <c r="F121" i="48"/>
  <c r="V120" i="48"/>
  <c r="U120" i="48"/>
  <c r="U125" i="48" s="1"/>
  <c r="T120" i="48"/>
  <c r="S120" i="48"/>
  <c r="R120" i="48"/>
  <c r="R138" i="48" s="1"/>
  <c r="Q120" i="48"/>
  <c r="Q138" i="48" s="1"/>
  <c r="P120" i="48"/>
  <c r="O120" i="48"/>
  <c r="N120" i="48"/>
  <c r="M120" i="48"/>
  <c r="M138" i="48" s="1"/>
  <c r="L120" i="48"/>
  <c r="L138" i="48" s="1"/>
  <c r="K120" i="48"/>
  <c r="J120" i="48"/>
  <c r="J138" i="48" s="1"/>
  <c r="I120" i="48"/>
  <c r="I138" i="48" s="1"/>
  <c r="H120" i="48"/>
  <c r="G120" i="48"/>
  <c r="G138" i="48" s="1"/>
  <c r="F120" i="48"/>
  <c r="V119" i="48"/>
  <c r="S119" i="48"/>
  <c r="P119" i="48"/>
  <c r="N119" i="48"/>
  <c r="K119" i="48"/>
  <c r="H119" i="48"/>
  <c r="F119" i="48"/>
  <c r="V118" i="48"/>
  <c r="U118" i="48"/>
  <c r="T118" i="48"/>
  <c r="S118" i="48"/>
  <c r="S136" i="48" s="1"/>
  <c r="R118" i="48"/>
  <c r="Q118" i="48"/>
  <c r="Q136" i="48" s="1"/>
  <c r="P118" i="48"/>
  <c r="O118" i="48"/>
  <c r="O136" i="48" s="1"/>
  <c r="N118" i="48"/>
  <c r="N136" i="48" s="1"/>
  <c r="M118" i="48"/>
  <c r="L118" i="48"/>
  <c r="L136" i="48" s="1"/>
  <c r="K118" i="48"/>
  <c r="K136" i="48" s="1"/>
  <c r="J118" i="48"/>
  <c r="I118" i="48"/>
  <c r="I136" i="48" s="1"/>
  <c r="H118" i="48"/>
  <c r="G118" i="48"/>
  <c r="F118" i="48"/>
  <c r="V117" i="48"/>
  <c r="U117" i="48"/>
  <c r="U114" i="48" s="1"/>
  <c r="T117" i="48"/>
  <c r="S117" i="48"/>
  <c r="R117" i="48"/>
  <c r="R135" i="48" s="1"/>
  <c r="Q117" i="48"/>
  <c r="Q135" i="48" s="1"/>
  <c r="P117" i="48"/>
  <c r="P135" i="48" s="1"/>
  <c r="O117" i="48"/>
  <c r="N117" i="48"/>
  <c r="M117" i="48"/>
  <c r="M135" i="48" s="1"/>
  <c r="L117" i="48"/>
  <c r="L135" i="48" s="1"/>
  <c r="K117" i="48"/>
  <c r="J117" i="48"/>
  <c r="J135" i="48" s="1"/>
  <c r="I117" i="48"/>
  <c r="I135" i="48" s="1"/>
  <c r="H117" i="48"/>
  <c r="G117" i="48"/>
  <c r="F117" i="48"/>
  <c r="V116" i="48"/>
  <c r="V114" i="48" s="1"/>
  <c r="U116" i="48"/>
  <c r="T116" i="48"/>
  <c r="S116" i="48"/>
  <c r="S134" i="48" s="1"/>
  <c r="R116" i="48"/>
  <c r="Q116" i="48"/>
  <c r="R134" i="48" s="1"/>
  <c r="P116" i="48"/>
  <c r="P134" i="48" s="1"/>
  <c r="O116" i="48"/>
  <c r="N116" i="48"/>
  <c r="M116" i="48"/>
  <c r="M134" i="48" s="1"/>
  <c r="L116" i="48"/>
  <c r="K116" i="48"/>
  <c r="K134" i="48" s="1"/>
  <c r="J116" i="48"/>
  <c r="I116" i="48"/>
  <c r="H116" i="48"/>
  <c r="H134" i="48" s="1"/>
  <c r="G116" i="48"/>
  <c r="F116" i="48"/>
  <c r="F114" i="48" s="1"/>
  <c r="V115" i="48"/>
  <c r="U115" i="48"/>
  <c r="U119" i="48" s="1"/>
  <c r="T115" i="48"/>
  <c r="S115" i="48"/>
  <c r="S133" i="48" s="1"/>
  <c r="R115" i="48"/>
  <c r="Q115" i="48"/>
  <c r="Q119" i="48" s="1"/>
  <c r="Q137" i="48" s="1"/>
  <c r="P115" i="48"/>
  <c r="O115" i="48"/>
  <c r="N115" i="48"/>
  <c r="N133" i="48" s="1"/>
  <c r="M115" i="48"/>
  <c r="M119" i="48" s="1"/>
  <c r="L115" i="48"/>
  <c r="K115" i="48"/>
  <c r="K133" i="48" s="1"/>
  <c r="J115" i="48"/>
  <c r="I115" i="48"/>
  <c r="I119" i="48" s="1"/>
  <c r="H115" i="48"/>
  <c r="G115" i="48"/>
  <c r="F115" i="48"/>
  <c r="S114" i="48"/>
  <c r="M114" i="48"/>
  <c r="K114" i="48"/>
  <c r="Q111" i="48"/>
  <c r="AA110" i="48"/>
  <c r="AB110" i="48" s="1"/>
  <c r="AC110" i="48" s="1"/>
  <c r="AD110" i="48" s="1"/>
  <c r="AE110" i="48" s="1"/>
  <c r="AF110" i="48" s="1"/>
  <c r="AG110" i="48" s="1"/>
  <c r="N110" i="48"/>
  <c r="H90" i="48" s="1"/>
  <c r="M110" i="48"/>
  <c r="K110" i="48"/>
  <c r="W109" i="48"/>
  <c r="X109" i="48" s="1"/>
  <c r="Y109" i="48" s="1"/>
  <c r="Z109" i="48" s="1"/>
  <c r="AA109" i="48" s="1"/>
  <c r="AB109" i="48" s="1"/>
  <c r="AC109" i="48" s="1"/>
  <c r="AD109" i="48" s="1"/>
  <c r="AE109" i="48" s="1"/>
  <c r="AF109" i="48" s="1"/>
  <c r="AG109" i="48" s="1"/>
  <c r="AG96" i="48"/>
  <c r="AF96" i="48"/>
  <c r="AE96" i="48"/>
  <c r="AD96" i="48"/>
  <c r="AC96" i="48"/>
  <c r="AB96" i="48"/>
  <c r="AA96" i="48"/>
  <c r="AA157" i="48" s="1"/>
  <c r="Z96" i="48"/>
  <c r="Z157" i="48" s="1"/>
  <c r="Y96" i="48"/>
  <c r="Y157" i="48" s="1"/>
  <c r="X96" i="48"/>
  <c r="W96" i="48"/>
  <c r="W157" i="48" s="1"/>
  <c r="V96" i="48"/>
  <c r="V157" i="48" s="1"/>
  <c r="U96" i="48"/>
  <c r="T96" i="48"/>
  <c r="S96" i="48"/>
  <c r="S157" i="48" s="1"/>
  <c r="R96" i="48"/>
  <c r="Q96" i="48"/>
  <c r="Q157" i="48" s="1"/>
  <c r="P96" i="48"/>
  <c r="O96" i="48"/>
  <c r="O157" i="48" s="1"/>
  <c r="N96" i="48"/>
  <c r="M96" i="48"/>
  <c r="M157" i="48" s="1"/>
  <c r="L96" i="48"/>
  <c r="K96" i="48"/>
  <c r="K157" i="48" s="1"/>
  <c r="J96" i="48"/>
  <c r="J157" i="48" s="1"/>
  <c r="I96" i="48"/>
  <c r="I157" i="48" s="1"/>
  <c r="H96" i="48"/>
  <c r="G96" i="48"/>
  <c r="G157" i="48" s="1"/>
  <c r="F96" i="48"/>
  <c r="F88" i="48"/>
  <c r="L83" i="48"/>
  <c r="K83" i="48"/>
  <c r="J83" i="48"/>
  <c r="I83" i="48"/>
  <c r="H83" i="48"/>
  <c r="G83" i="48"/>
  <c r="F83" i="48"/>
  <c r="F91" i="48" s="1"/>
  <c r="E83" i="48"/>
  <c r="K82" i="48"/>
  <c r="J82" i="48"/>
  <c r="H82" i="48"/>
  <c r="E82" i="48"/>
  <c r="E90" i="48" s="1"/>
  <c r="L81" i="48"/>
  <c r="K81" i="48"/>
  <c r="J81" i="48"/>
  <c r="I81" i="48"/>
  <c r="H81" i="48"/>
  <c r="G81" i="48"/>
  <c r="F81" i="48"/>
  <c r="F89" i="48" s="1"/>
  <c r="E81" i="48"/>
  <c r="E89" i="48" s="1"/>
  <c r="L80" i="48"/>
  <c r="K80" i="48"/>
  <c r="J80" i="48"/>
  <c r="I80" i="48"/>
  <c r="H80" i="48"/>
  <c r="G80" i="48"/>
  <c r="F80" i="48"/>
  <c r="E80" i="48"/>
  <c r="E88" i="48" s="1"/>
  <c r="F68" i="48"/>
  <c r="E68" i="48"/>
  <c r="F66" i="48"/>
  <c r="E66" i="48"/>
  <c r="F65" i="48"/>
  <c r="E65" i="48"/>
  <c r="L52" i="48"/>
  <c r="L82" i="48" s="1"/>
  <c r="K52" i="48"/>
  <c r="J52" i="48"/>
  <c r="I52" i="48"/>
  <c r="I82" i="48" s="1"/>
  <c r="H52" i="48"/>
  <c r="G52" i="48"/>
  <c r="G82" i="48" s="1"/>
  <c r="F52" i="48"/>
  <c r="E52" i="48"/>
  <c r="E67" i="48" s="1"/>
  <c r="U25" i="48"/>
  <c r="U126" i="48" s="1"/>
  <c r="V126" i="48" s="1"/>
  <c r="V25" i="48" s="1"/>
  <c r="T25" i="48"/>
  <c r="S25" i="48"/>
  <c r="S126" i="48" s="1"/>
  <c r="R25" i="48"/>
  <c r="R126" i="48" s="1"/>
  <c r="Q25" i="48"/>
  <c r="P25" i="48"/>
  <c r="P126" i="48" s="1"/>
  <c r="O25" i="48"/>
  <c r="O126" i="48" s="1"/>
  <c r="N25" i="48"/>
  <c r="M25" i="48"/>
  <c r="M126" i="48" s="1"/>
  <c r="L25" i="48"/>
  <c r="K25" i="48"/>
  <c r="K126" i="48" s="1"/>
  <c r="J25" i="48"/>
  <c r="J126" i="48" s="1"/>
  <c r="I25" i="48"/>
  <c r="H25" i="48"/>
  <c r="H126" i="48" s="1"/>
  <c r="G25" i="48"/>
  <c r="G126" i="48" s="1"/>
  <c r="F25" i="48"/>
  <c r="W24" i="48"/>
  <c r="V24" i="48"/>
  <c r="V125" i="48" s="1"/>
  <c r="W125" i="48" s="1"/>
  <c r="X125" i="48" s="1"/>
  <c r="Y125" i="48" s="1"/>
  <c r="U24" i="48"/>
  <c r="T24" i="48"/>
  <c r="T125" i="48" s="1"/>
  <c r="S24" i="48"/>
  <c r="S125" i="48" s="1"/>
  <c r="R24" i="48"/>
  <c r="R125" i="48" s="1"/>
  <c r="Q24" i="48"/>
  <c r="Q125" i="48" s="1"/>
  <c r="P24" i="48"/>
  <c r="O24" i="48"/>
  <c r="O125" i="48" s="1"/>
  <c r="N24" i="48"/>
  <c r="N125" i="48" s="1"/>
  <c r="M24" i="48"/>
  <c r="L24" i="48"/>
  <c r="L125" i="48" s="1"/>
  <c r="K24" i="48"/>
  <c r="J24" i="48"/>
  <c r="J125" i="48" s="1"/>
  <c r="I24" i="48"/>
  <c r="I125" i="48" s="1"/>
  <c r="H24" i="48"/>
  <c r="G24" i="48"/>
  <c r="G125" i="48" s="1"/>
  <c r="F24" i="48"/>
  <c r="F125" i="48" s="1"/>
  <c r="V23" i="48"/>
  <c r="V124" i="48" s="1"/>
  <c r="U23" i="48"/>
  <c r="U124" i="48" s="1"/>
  <c r="T23" i="48"/>
  <c r="S23" i="48"/>
  <c r="R23" i="48"/>
  <c r="Q23" i="48"/>
  <c r="P23" i="48"/>
  <c r="P124" i="48" s="1"/>
  <c r="O23" i="48"/>
  <c r="N23" i="48"/>
  <c r="N124" i="48" s="1"/>
  <c r="M23" i="48"/>
  <c r="M124" i="48" s="1"/>
  <c r="L23" i="48"/>
  <c r="K23" i="48"/>
  <c r="K124" i="48" s="1"/>
  <c r="J23" i="48"/>
  <c r="I23" i="48"/>
  <c r="H23" i="48"/>
  <c r="G23" i="48"/>
  <c r="F23" i="48"/>
  <c r="W22" i="48"/>
  <c r="V22" i="48"/>
  <c r="V123" i="48" s="1"/>
  <c r="W123" i="48" s="1"/>
  <c r="U22" i="48"/>
  <c r="T22" i="48"/>
  <c r="S22" i="48"/>
  <c r="S123" i="48" s="1"/>
  <c r="R22" i="48"/>
  <c r="Q22" i="48"/>
  <c r="P22" i="48"/>
  <c r="O22" i="48"/>
  <c r="N22" i="48"/>
  <c r="M22" i="48"/>
  <c r="L22" i="48"/>
  <c r="K22" i="48"/>
  <c r="J22" i="48"/>
  <c r="I22" i="48"/>
  <c r="H22" i="48"/>
  <c r="G22" i="48"/>
  <c r="F22" i="48"/>
  <c r="F123" i="48" s="1"/>
  <c r="V20" i="48"/>
  <c r="U20" i="48"/>
  <c r="P20" i="48"/>
  <c r="N20" i="48"/>
  <c r="M20" i="48"/>
  <c r="I20" i="48"/>
  <c r="H20" i="48"/>
  <c r="U16" i="48"/>
  <c r="T16" i="48"/>
  <c r="T111" i="48" s="1"/>
  <c r="S16" i="48"/>
  <c r="S111" i="48" s="1"/>
  <c r="R16" i="48"/>
  <c r="R111" i="48" s="1"/>
  <c r="Q16" i="48"/>
  <c r="P16" i="48"/>
  <c r="O16" i="48"/>
  <c r="O111" i="48" s="1"/>
  <c r="N16" i="48"/>
  <c r="M16" i="48"/>
  <c r="M111" i="48" s="1"/>
  <c r="H91" i="48" s="1"/>
  <c r="L16" i="48"/>
  <c r="K16" i="48"/>
  <c r="K111" i="48" s="1"/>
  <c r="J16" i="48"/>
  <c r="J111" i="48" s="1"/>
  <c r="I16" i="48"/>
  <c r="I111" i="48" s="1"/>
  <c r="H16" i="48"/>
  <c r="G16" i="48"/>
  <c r="F16" i="48"/>
  <c r="V14" i="48"/>
  <c r="V110" i="48" s="1"/>
  <c r="W110" i="48" s="1"/>
  <c r="X110" i="48" s="1"/>
  <c r="Y110" i="48" s="1"/>
  <c r="Z110" i="48" s="1"/>
  <c r="U14" i="48"/>
  <c r="U110" i="48" s="1"/>
  <c r="T14" i="48"/>
  <c r="T110" i="48" s="1"/>
  <c r="S14" i="48"/>
  <c r="S110" i="48" s="1"/>
  <c r="R14" i="48"/>
  <c r="R110" i="48" s="1"/>
  <c r="Q14" i="48"/>
  <c r="P14" i="48"/>
  <c r="O14" i="48"/>
  <c r="N14" i="48"/>
  <c r="M14" i="48"/>
  <c r="L14" i="48"/>
  <c r="K14" i="48"/>
  <c r="J14" i="48"/>
  <c r="J110" i="48" s="1"/>
  <c r="I14" i="48"/>
  <c r="H14" i="48"/>
  <c r="G14" i="48"/>
  <c r="F14" i="48"/>
  <c r="V12" i="48"/>
  <c r="V109" i="48" s="1"/>
  <c r="U12" i="48"/>
  <c r="U109" i="48" s="1"/>
  <c r="T12" i="48"/>
  <c r="S12" i="48"/>
  <c r="S109" i="48" s="1"/>
  <c r="R12" i="48"/>
  <c r="Q12" i="48"/>
  <c r="P12" i="48"/>
  <c r="O12" i="48"/>
  <c r="N12" i="48"/>
  <c r="N109" i="48" s="1"/>
  <c r="H89" i="48" s="1"/>
  <c r="I89" i="48" s="1"/>
  <c r="J89" i="48" s="1"/>
  <c r="K89" i="48" s="1"/>
  <c r="L89" i="48" s="1"/>
  <c r="M12" i="48"/>
  <c r="M109" i="48" s="1"/>
  <c r="L12" i="48"/>
  <c r="K12" i="48"/>
  <c r="K109" i="48" s="1"/>
  <c r="J12" i="48"/>
  <c r="I12" i="48"/>
  <c r="H12" i="48"/>
  <c r="G12" i="48"/>
  <c r="F12" i="48"/>
  <c r="X11" i="48"/>
  <c r="Y11" i="48" s="1"/>
  <c r="Z11" i="48" s="1"/>
  <c r="AA11" i="48" s="1"/>
  <c r="AB11" i="48" s="1"/>
  <c r="AC11" i="48" s="1"/>
  <c r="AD11" i="48" s="1"/>
  <c r="AE11" i="48" s="1"/>
  <c r="AF11" i="48" s="1"/>
  <c r="AG11" i="48" s="1"/>
  <c r="W11" i="48"/>
  <c r="V10" i="48"/>
  <c r="V107" i="48" s="1"/>
  <c r="W107" i="48" s="1"/>
  <c r="X107" i="48" s="1"/>
  <c r="Y107" i="48" s="1"/>
  <c r="Z107" i="48" s="1"/>
  <c r="AA107" i="48" s="1"/>
  <c r="AB107" i="48" s="1"/>
  <c r="AC107" i="48" s="1"/>
  <c r="AD107" i="48" s="1"/>
  <c r="AE107" i="48" s="1"/>
  <c r="AF107" i="48" s="1"/>
  <c r="AG107" i="48" s="1"/>
  <c r="U10" i="48"/>
  <c r="U9" i="48" s="1"/>
  <c r="T10" i="48"/>
  <c r="S10" i="48"/>
  <c r="S107" i="48" s="1"/>
  <c r="R10" i="48"/>
  <c r="R9" i="48" s="1"/>
  <c r="Q10" i="48"/>
  <c r="P10" i="48"/>
  <c r="O10" i="48"/>
  <c r="N10" i="48"/>
  <c r="M10" i="48"/>
  <c r="L10" i="48"/>
  <c r="K10" i="48"/>
  <c r="K9" i="48" s="1"/>
  <c r="J10" i="48"/>
  <c r="I10" i="48"/>
  <c r="H10" i="48"/>
  <c r="G10" i="48"/>
  <c r="G9" i="48" s="1"/>
  <c r="F10" i="48"/>
  <c r="V9" i="48"/>
  <c r="S9" i="48"/>
  <c r="P9" i="48"/>
  <c r="O9" i="48"/>
  <c r="N9" i="48"/>
  <c r="F9" i="48"/>
  <c r="AF14" i="78"/>
  <c r="AC14" i="78"/>
  <c r="AB14" i="78"/>
  <c r="AH13" i="78"/>
  <c r="AH14" i="78" s="1"/>
  <c r="AG13" i="78"/>
  <c r="AG14" i="78" s="1"/>
  <c r="AF13" i="78"/>
  <c r="AE13" i="78"/>
  <c r="AE14" i="78" s="1"/>
  <c r="AD13" i="78"/>
  <c r="AD14" i="78" s="1"/>
  <c r="AC13" i="78"/>
  <c r="AB13" i="78"/>
  <c r="AA13" i="78"/>
  <c r="AA14" i="78" s="1"/>
  <c r="Z13" i="78"/>
  <c r="Z14" i="78" s="1"/>
  <c r="Y13" i="78"/>
  <c r="Y14" i="78" s="1"/>
  <c r="X13" i="78"/>
  <c r="X14" i="78" s="1"/>
  <c r="W13" i="78"/>
  <c r="W14" i="78" s="1"/>
  <c r="V13" i="78"/>
  <c r="V14" i="78" s="1"/>
  <c r="U13" i="78"/>
  <c r="U14" i="78" s="1"/>
  <c r="T13" i="78"/>
  <c r="T14" i="78" s="1"/>
  <c r="S13" i="78"/>
  <c r="S14" i="78" s="1"/>
  <c r="X15" i="77"/>
  <c r="X7" i="77"/>
  <c r="Q7" i="77"/>
  <c r="F130" i="75"/>
  <c r="U106" i="75"/>
  <c r="V105" i="75"/>
  <c r="U105" i="75"/>
  <c r="T105" i="75"/>
  <c r="U104" i="75" s="1"/>
  <c r="S105" i="75"/>
  <c r="R105" i="75"/>
  <c r="Q105" i="75"/>
  <c r="P105" i="75"/>
  <c r="O105" i="75"/>
  <c r="N105" i="75"/>
  <c r="M105" i="75"/>
  <c r="L105" i="75"/>
  <c r="K105" i="75"/>
  <c r="J105" i="75"/>
  <c r="I105" i="75"/>
  <c r="H105" i="75"/>
  <c r="G105" i="75"/>
  <c r="F105" i="75"/>
  <c r="E105" i="75"/>
  <c r="D105" i="75"/>
  <c r="W104" i="75"/>
  <c r="W106" i="75" s="1"/>
  <c r="V104" i="75"/>
  <c r="V106" i="75" s="1"/>
  <c r="AG99" i="75"/>
  <c r="AF99" i="75"/>
  <c r="AE99" i="75"/>
  <c r="AD99" i="75"/>
  <c r="E99" i="75"/>
  <c r="V96" i="75"/>
  <c r="U96" i="75"/>
  <c r="T96" i="75"/>
  <c r="S96" i="75"/>
  <c r="R96" i="75"/>
  <c r="Q96" i="75"/>
  <c r="P96" i="75"/>
  <c r="O96" i="75"/>
  <c r="N96" i="75"/>
  <c r="M96" i="75"/>
  <c r="L96" i="75"/>
  <c r="K96" i="75"/>
  <c r="J96" i="75"/>
  <c r="I96" i="75"/>
  <c r="H96" i="75"/>
  <c r="G96" i="75"/>
  <c r="F96" i="75"/>
  <c r="E96" i="75"/>
  <c r="D96" i="75"/>
  <c r="T87" i="75"/>
  <c r="Q87" i="75"/>
  <c r="P87" i="75"/>
  <c r="O87" i="75"/>
  <c r="L87" i="75"/>
  <c r="V86" i="75"/>
  <c r="U86" i="75"/>
  <c r="T86" i="75"/>
  <c r="S86" i="75"/>
  <c r="S87" i="75" s="1"/>
  <c r="R86" i="75"/>
  <c r="R87" i="75" s="1"/>
  <c r="Q86" i="75"/>
  <c r="Q85" i="75" s="1"/>
  <c r="P86" i="75"/>
  <c r="O86" i="75"/>
  <c r="N86" i="75"/>
  <c r="N87" i="75" s="1"/>
  <c r="M86" i="75"/>
  <c r="M87" i="75" s="1"/>
  <c r="L86" i="75"/>
  <c r="K86" i="75"/>
  <c r="K87" i="75" s="1"/>
  <c r="J86" i="75"/>
  <c r="J87" i="75" s="1"/>
  <c r="I86" i="75"/>
  <c r="I85" i="75" s="1"/>
  <c r="H86" i="75"/>
  <c r="G86" i="75"/>
  <c r="F86" i="75"/>
  <c r="E86" i="75"/>
  <c r="P85" i="75" s="1"/>
  <c r="D86" i="75"/>
  <c r="S85" i="75"/>
  <c r="O85" i="75"/>
  <c r="N85" i="75"/>
  <c r="M85" i="75"/>
  <c r="L85" i="75"/>
  <c r="K85" i="75"/>
  <c r="V44" i="75"/>
  <c r="U44" i="75"/>
  <c r="T44" i="75"/>
  <c r="S44" i="75"/>
  <c r="R44" i="75"/>
  <c r="Q44" i="75"/>
  <c r="P44" i="75"/>
  <c r="O44" i="75"/>
  <c r="N44" i="75"/>
  <c r="M44" i="75"/>
  <c r="L44" i="75"/>
  <c r="K44" i="75"/>
  <c r="J44" i="75"/>
  <c r="I44" i="75"/>
  <c r="H44" i="75"/>
  <c r="G44" i="75"/>
  <c r="F44" i="75"/>
  <c r="E44" i="75"/>
  <c r="D44" i="75"/>
  <c r="AC40" i="75"/>
  <c r="AB40" i="75"/>
  <c r="Y40" i="75"/>
  <c r="X40" i="75"/>
  <c r="W40" i="75"/>
  <c r="V40" i="75"/>
  <c r="U40" i="75"/>
  <c r="T40" i="75"/>
  <c r="S40" i="75"/>
  <c r="L38" i="75"/>
  <c r="K38" i="75"/>
  <c r="I38" i="75"/>
  <c r="D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S34" i="75"/>
  <c r="Q34" i="75"/>
  <c r="P34" i="75"/>
  <c r="L34" i="75"/>
  <c r="K34" i="75"/>
  <c r="I34" i="75"/>
  <c r="H34" i="75"/>
  <c r="G34" i="75"/>
  <c r="F34" i="75"/>
  <c r="E34" i="75"/>
  <c r="D34" i="75"/>
  <c r="D99" i="75" s="1"/>
  <c r="H28" i="75"/>
  <c r="G28" i="75"/>
  <c r="V25" i="75"/>
  <c r="U25" i="75"/>
  <c r="T25" i="75"/>
  <c r="S25" i="75"/>
  <c r="R25" i="75"/>
  <c r="Q25" i="75"/>
  <c r="P25" i="75"/>
  <c r="O25" i="75"/>
  <c r="N25" i="75"/>
  <c r="M25" i="75"/>
  <c r="L25" i="75"/>
  <c r="K25" i="75"/>
  <c r="J25" i="75"/>
  <c r="I25" i="75"/>
  <c r="H25" i="75"/>
  <c r="G25" i="75"/>
  <c r="F25" i="75"/>
  <c r="E25" i="75"/>
  <c r="D25" i="75"/>
  <c r="S24" i="75"/>
  <c r="Q24" i="75"/>
  <c r="P24" i="75"/>
  <c r="L24" i="75"/>
  <c r="K24" i="75"/>
  <c r="I24" i="75"/>
  <c r="H24" i="75"/>
  <c r="G24" i="75"/>
  <c r="F24" i="75"/>
  <c r="F28" i="75" s="1"/>
  <c r="E24" i="75"/>
  <c r="E28" i="75" s="1"/>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K21" i="75"/>
  <c r="J21" i="75"/>
  <c r="J38" i="75" s="1"/>
  <c r="I21" i="75"/>
  <c r="H21" i="75"/>
  <c r="H38" i="75" s="1"/>
  <c r="G21" i="75"/>
  <c r="F21" i="75"/>
  <c r="F99" i="75" s="1"/>
  <c r="E21" i="75"/>
  <c r="E38" i="75" s="1"/>
  <c r="D21" i="75"/>
  <c r="AC18" i="75"/>
  <c r="AB18" i="75"/>
  <c r="AA18" i="75"/>
  <c r="Z18" i="75"/>
  <c r="Y18" i="75"/>
  <c r="X18" i="75"/>
  <c r="W18" i="75"/>
  <c r="V18" i="75"/>
  <c r="U18" i="75"/>
  <c r="T18" i="75"/>
  <c r="S18" i="75"/>
  <c r="R18" i="75"/>
  <c r="Q18" i="75"/>
  <c r="P18" i="75"/>
  <c r="O18" i="75"/>
  <c r="N18" i="75"/>
  <c r="M18" i="75"/>
  <c r="L18" i="75"/>
  <c r="K18" i="75"/>
  <c r="J18" i="75"/>
  <c r="I18" i="75"/>
  <c r="I28" i="75" s="1"/>
  <c r="H18" i="75"/>
  <c r="Q17"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V97" i="59"/>
  <c r="W96" i="59" s="1"/>
  <c r="W98" i="59" s="1"/>
  <c r="U97" i="59"/>
  <c r="V96" i="59" s="1"/>
  <c r="V98" i="59" s="1"/>
  <c r="T97" i="59"/>
  <c r="S97" i="59"/>
  <c r="R97" i="59"/>
  <c r="Q97" i="59"/>
  <c r="P97" i="59"/>
  <c r="O97" i="59"/>
  <c r="N97" i="59"/>
  <c r="M97" i="59"/>
  <c r="L97" i="59"/>
  <c r="K97" i="59"/>
  <c r="J97" i="59"/>
  <c r="I97" i="59"/>
  <c r="H97" i="59"/>
  <c r="G97" i="59"/>
  <c r="F97" i="59"/>
  <c r="E97" i="59"/>
  <c r="D97" i="59"/>
  <c r="U96" i="59"/>
  <c r="U98" i="59" s="1"/>
  <c r="V88" i="59"/>
  <c r="U88" i="59"/>
  <c r="T88" i="59"/>
  <c r="S88" i="59"/>
  <c r="R88" i="59"/>
  <c r="Q88" i="59"/>
  <c r="P88" i="59"/>
  <c r="O88" i="59"/>
  <c r="N88" i="59"/>
  <c r="M88" i="59"/>
  <c r="L88" i="59"/>
  <c r="K88" i="59"/>
  <c r="J88" i="59"/>
  <c r="I88" i="59"/>
  <c r="H88" i="59"/>
  <c r="G88" i="59"/>
  <c r="F88" i="59"/>
  <c r="E88" i="59"/>
  <c r="D88" i="59"/>
  <c r="V79" i="59"/>
  <c r="U79" i="59"/>
  <c r="N79" i="59"/>
  <c r="V78" i="59"/>
  <c r="U78" i="59"/>
  <c r="T78" i="59"/>
  <c r="S78" i="59"/>
  <c r="S77" i="59" s="1"/>
  <c r="S26" i="59" s="1"/>
  <c r="R78" i="59"/>
  <c r="Q78" i="59"/>
  <c r="P78" i="59"/>
  <c r="O78" i="59"/>
  <c r="N78" i="59"/>
  <c r="M78" i="59"/>
  <c r="L78" i="59"/>
  <c r="K78" i="59"/>
  <c r="J78" i="59"/>
  <c r="I78" i="59"/>
  <c r="H78" i="59"/>
  <c r="T79" i="59" s="1"/>
  <c r="G78" i="59"/>
  <c r="F78" i="59"/>
  <c r="E78" i="59"/>
  <c r="T77" i="59" s="1"/>
  <c r="T26" i="59" s="1"/>
  <c r="D78" i="59"/>
  <c r="Q77" i="59"/>
  <c r="P77" i="59"/>
  <c r="P26" i="59" s="1"/>
  <c r="N77" i="59"/>
  <c r="N26" i="59" s="1"/>
  <c r="I77" i="59"/>
  <c r="J37" i="59"/>
  <c r="J38" i="59" s="1"/>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Y32" i="59"/>
  <c r="X32" i="59"/>
  <c r="W32" i="59"/>
  <c r="V32" i="59"/>
  <c r="U32" i="59"/>
  <c r="T32" i="59"/>
  <c r="S32" i="59"/>
  <c r="L30" i="59"/>
  <c r="F30" i="59"/>
  <c r="E30" i="59"/>
  <c r="D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Q26" i="59"/>
  <c r="I26" i="59"/>
  <c r="H26" i="59"/>
  <c r="G26" i="59"/>
  <c r="F26" i="59"/>
  <c r="E26" i="59"/>
  <c r="D26" i="59"/>
  <c r="AF25" i="59"/>
  <c r="AF30" i="59" s="1"/>
  <c r="AF24" i="59"/>
  <c r="T21" i="59"/>
  <c r="S21" i="59"/>
  <c r="R21" i="59"/>
  <c r="Q21" i="59"/>
  <c r="P21" i="59"/>
  <c r="O21" i="59"/>
  <c r="N21" i="59"/>
  <c r="M21" i="59"/>
  <c r="L21" i="59"/>
  <c r="K21" i="59"/>
  <c r="K30" i="59" s="1"/>
  <c r="J21" i="59"/>
  <c r="J30" i="59" s="1"/>
  <c r="I21" i="59"/>
  <c r="I30" i="59" s="1"/>
  <c r="H21" i="59"/>
  <c r="G21" i="59"/>
  <c r="G91" i="59" s="1"/>
  <c r="F21" i="59"/>
  <c r="F91" i="59" s="1"/>
  <c r="E21" i="59"/>
  <c r="E91" i="59" s="1"/>
  <c r="D21" i="59"/>
  <c r="D91" i="59" s="1"/>
  <c r="AC18" i="59"/>
  <c r="AB18" i="59"/>
  <c r="AA18" i="59"/>
  <c r="Z18" i="59"/>
  <c r="Y18" i="59"/>
  <c r="X18" i="59"/>
  <c r="W18" i="59"/>
  <c r="V18" i="59"/>
  <c r="U18" i="59"/>
  <c r="T18" i="59"/>
  <c r="S18" i="59"/>
  <c r="R18" i="59"/>
  <c r="Q18" i="59"/>
  <c r="P18" i="59"/>
  <c r="O18" i="59"/>
  <c r="N18" i="59"/>
  <c r="M18" i="59"/>
  <c r="L18" i="59"/>
  <c r="K18" i="59"/>
  <c r="J18" i="59"/>
  <c r="I18" i="59"/>
  <c r="I91" i="59" s="1"/>
  <c r="H18" i="59"/>
  <c r="O17" i="59"/>
  <c r="I17" i="59"/>
  <c r="V12" i="59"/>
  <c r="U12" i="59"/>
  <c r="T12" i="59"/>
  <c r="S12" i="59"/>
  <c r="R12" i="59"/>
  <c r="Q12" i="59"/>
  <c r="P12" i="59"/>
  <c r="E125" i="59" s="1"/>
  <c r="E129" i="59" s="1"/>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V11" i="67"/>
  <c r="U11" i="67"/>
  <c r="T11" i="67"/>
  <c r="S11" i="67"/>
  <c r="R11" i="67"/>
  <c r="I22" i="33"/>
  <c r="J24" i="33" s="1"/>
  <c r="H22" i="33"/>
  <c r="G22" i="33"/>
  <c r="G24" i="33" s="1"/>
  <c r="F22" i="33"/>
  <c r="E22" i="33"/>
  <c r="F24" i="33" s="1"/>
  <c r="J21" i="33"/>
  <c r="F20" i="33"/>
  <c r="AA13" i="33"/>
  <c r="Z13" i="33"/>
  <c r="Y13" i="33"/>
  <c r="X13" i="33"/>
  <c r="O13" i="33"/>
  <c r="N13" i="33"/>
  <c r="X11" i="33"/>
  <c r="Y11" i="33" s="1"/>
  <c r="Z11" i="33" s="1"/>
  <c r="W11" i="33"/>
  <c r="V11" i="33"/>
  <c r="U11" i="33"/>
  <c r="T11" i="33"/>
  <c r="S11" i="33"/>
  <c r="R11" i="33"/>
  <c r="Q11" i="33"/>
  <c r="P11" i="33"/>
  <c r="O11" i="33"/>
  <c r="N11" i="33"/>
  <c r="M11" i="33"/>
  <c r="L11" i="33"/>
  <c r="K11" i="33"/>
  <c r="J11" i="33"/>
  <c r="V10" i="33"/>
  <c r="U10" i="33"/>
  <c r="T10" i="33"/>
  <c r="S10" i="33"/>
  <c r="R10" i="33"/>
  <c r="R17" i="75" s="1"/>
  <c r="Q10" i="33"/>
  <c r="Q17" i="59" s="1"/>
  <c r="P10" i="33"/>
  <c r="O10" i="33"/>
  <c r="O17" i="75" s="1"/>
  <c r="N10" i="33"/>
  <c r="M10" i="33"/>
  <c r="L10" i="33"/>
  <c r="D126" i="59" s="1"/>
  <c r="K10" i="33"/>
  <c r="J10" i="33"/>
  <c r="J17" i="75" s="1"/>
  <c r="I10" i="33"/>
  <c r="I17" i="75" s="1"/>
  <c r="H10" i="33"/>
  <c r="G10" i="33"/>
  <c r="F10" i="33"/>
  <c r="E10" i="33"/>
  <c r="D10" i="33"/>
  <c r="C23" i="33" s="1"/>
  <c r="L47" i="49"/>
  <c r="K47" i="49"/>
  <c r="J47" i="49"/>
  <c r="P46" i="49"/>
  <c r="O46" i="49"/>
  <c r="N46" i="49"/>
  <c r="M46" i="49"/>
  <c r="L46" i="49"/>
  <c r="K46" i="49"/>
  <c r="J46" i="49"/>
  <c r="I46" i="49"/>
  <c r="H46" i="49"/>
  <c r="G46" i="49"/>
  <c r="F46" i="49"/>
  <c r="P45" i="49"/>
  <c r="O45" i="49"/>
  <c r="N45" i="49"/>
  <c r="M45" i="49"/>
  <c r="L45" i="49"/>
  <c r="K45" i="49"/>
  <c r="J45" i="49"/>
  <c r="I45" i="49"/>
  <c r="H45" i="49"/>
  <c r="G45" i="49"/>
  <c r="F45" i="49"/>
  <c r="P28" i="49"/>
  <c r="T26" i="49"/>
  <c r="T37" i="59" s="1"/>
  <c r="D26" i="49"/>
  <c r="AB12" i="49"/>
  <c r="AC12" i="49" s="1"/>
  <c r="AD12" i="49" s="1"/>
  <c r="AE12" i="49" s="1"/>
  <c r="AF12" i="49" s="1"/>
  <c r="AG12" i="49" s="1"/>
  <c r="J18" i="49" s="1"/>
  <c r="J19" i="49" s="1"/>
  <c r="AA12" i="49"/>
  <c r="Z12" i="49"/>
  <c r="Q12" i="49"/>
  <c r="Q28" i="49" s="1"/>
  <c r="P12" i="49"/>
  <c r="N12" i="49"/>
  <c r="H12" i="49"/>
  <c r="H28" i="49" s="1"/>
  <c r="H29" i="49" s="1"/>
  <c r="V11" i="49"/>
  <c r="U11" i="49"/>
  <c r="U12" i="49" s="1"/>
  <c r="T11" i="49"/>
  <c r="T12" i="49" s="1"/>
  <c r="S11" i="49"/>
  <c r="S12" i="49" s="1"/>
  <c r="R11" i="49"/>
  <c r="R12" i="49" s="1"/>
  <c r="Q11" i="49"/>
  <c r="P11" i="49"/>
  <c r="O11" i="49"/>
  <c r="N11" i="49"/>
  <c r="M11" i="49"/>
  <c r="M12" i="49" s="1"/>
  <c r="L11" i="49"/>
  <c r="L12" i="49" s="1"/>
  <c r="K11" i="49"/>
  <c r="K12" i="49" s="1"/>
  <c r="J11" i="49"/>
  <c r="J12" i="49" s="1"/>
  <c r="I11" i="49"/>
  <c r="I12" i="49" s="1"/>
  <c r="I28" i="49" s="1"/>
  <c r="H11" i="49"/>
  <c r="G11" i="49"/>
  <c r="F11" i="49"/>
  <c r="E11" i="49"/>
  <c r="E12" i="49" s="1"/>
  <c r="D11" i="49"/>
  <c r="D12" i="49" s="1"/>
  <c r="V10" i="49"/>
  <c r="V26" i="49" s="1"/>
  <c r="U10" i="49"/>
  <c r="U26" i="49" s="1"/>
  <c r="T10" i="49"/>
  <c r="S10" i="49"/>
  <c r="S26" i="49" s="1"/>
  <c r="R10" i="49"/>
  <c r="R26" i="49" s="1"/>
  <c r="Q10" i="49"/>
  <c r="Q26" i="49" s="1"/>
  <c r="P10" i="49"/>
  <c r="P26" i="49" s="1"/>
  <c r="O10" i="49"/>
  <c r="N10" i="49"/>
  <c r="N28" i="49" s="1"/>
  <c r="M10" i="49"/>
  <c r="M28" i="49" s="1"/>
  <c r="L10" i="49"/>
  <c r="L26" i="49" s="1"/>
  <c r="K10" i="49"/>
  <c r="K26" i="49" s="1"/>
  <c r="J10" i="49"/>
  <c r="J26" i="49" s="1"/>
  <c r="J45" i="75" s="1"/>
  <c r="J46" i="75" s="1"/>
  <c r="I10" i="49"/>
  <c r="I26" i="49" s="1"/>
  <c r="H10" i="49"/>
  <c r="H26" i="49" s="1"/>
  <c r="G10" i="49"/>
  <c r="F10" i="49"/>
  <c r="F12" i="49" s="1"/>
  <c r="E10" i="49"/>
  <c r="E28" i="49" s="1"/>
  <c r="D10" i="49"/>
  <c r="AD81" i="30"/>
  <c r="AD79" i="30"/>
  <c r="AD72" i="30"/>
  <c r="AD71" i="30"/>
  <c r="AD70" i="30"/>
  <c r="AD69" i="30"/>
  <c r="AD68" i="30"/>
  <c r="AD67" i="30"/>
  <c r="AD66" i="30"/>
  <c r="AD65" i="30"/>
  <c r="AD63" i="30"/>
  <c r="AD62" i="30"/>
  <c r="AD60" i="30"/>
  <c r="AD55" i="30"/>
  <c r="AD54" i="30"/>
  <c r="G46" i="30"/>
  <c r="F46" i="30"/>
  <c r="AF45" i="30"/>
  <c r="Z45" i="30"/>
  <c r="R45" i="30"/>
  <c r="AC43" i="30"/>
  <c r="AB43" i="30"/>
  <c r="AC41" i="30"/>
  <c r="AC24" i="30" s="1"/>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AA20" i="30" s="1"/>
  <c r="Z37" i="30"/>
  <c r="Y37" i="30"/>
  <c r="Y20" i="30" s="1"/>
  <c r="AC36" i="30"/>
  <c r="AB36" i="30"/>
  <c r="AA36" i="30"/>
  <c r="Z36" i="30"/>
  <c r="Y36" i="30"/>
  <c r="X36" i="30"/>
  <c r="O34" i="30"/>
  <c r="O25" i="30" s="1"/>
  <c r="N34" i="30"/>
  <c r="O33" i="30"/>
  <c r="AG27" i="30"/>
  <c r="AF27" i="30"/>
  <c r="AA27" i="30"/>
  <c r="Z27" i="30"/>
  <c r="Y27" i="30"/>
  <c r="X27" i="30"/>
  <c r="W27" i="30"/>
  <c r="V27" i="30"/>
  <c r="U27" i="30"/>
  <c r="AD64" i="30" s="1"/>
  <c r="T27" i="30"/>
  <c r="AG26" i="30"/>
  <c r="AF26" i="30"/>
  <c r="AE26" i="30"/>
  <c r="AD26" i="30"/>
  <c r="AC26" i="30"/>
  <c r="AB26" i="30"/>
  <c r="AA26" i="30"/>
  <c r="Z26" i="30"/>
  <c r="Y26" i="30"/>
  <c r="X26" i="30"/>
  <c r="W26" i="30"/>
  <c r="V26" i="30"/>
  <c r="U26" i="30"/>
  <c r="T26" i="30"/>
  <c r="S26" i="30"/>
  <c r="AG25" i="30"/>
  <c r="AF25" i="30"/>
  <c r="AE25" i="30"/>
  <c r="AD25" i="30"/>
  <c r="AC25" i="30"/>
  <c r="AB25" i="30"/>
  <c r="AA25" i="30"/>
  <c r="Z25" i="30"/>
  <c r="Y25" i="30"/>
  <c r="X25" i="30"/>
  <c r="W25" i="30"/>
  <c r="V25" i="30"/>
  <c r="U25" i="30"/>
  <c r="T25" i="30"/>
  <c r="AG24" i="30"/>
  <c r="AF24" i="30"/>
  <c r="AE24" i="30"/>
  <c r="AD24" i="30"/>
  <c r="AB24" i="30"/>
  <c r="Y23" i="30"/>
  <c r="Z23" i="30" s="1"/>
  <c r="AA23" i="30" s="1"/>
  <c r="AB23" i="30" s="1"/>
  <c r="AC23" i="30" s="1"/>
  <c r="AD23" i="30" s="1"/>
  <c r="AE23" i="30" s="1"/>
  <c r="AF23" i="30" s="1"/>
  <c r="AG23" i="30" s="1"/>
  <c r="V23" i="30"/>
  <c r="W23" i="30" s="1"/>
  <c r="X23" i="30" s="1"/>
  <c r="U23" i="30"/>
  <c r="T23" i="30"/>
  <c r="S23" i="30"/>
  <c r="R23" i="30"/>
  <c r="Q23" i="30"/>
  <c r="P23" i="30"/>
  <c r="O23" i="30"/>
  <c r="N23" i="30"/>
  <c r="V22" i="30"/>
  <c r="U22" i="30"/>
  <c r="AD59" i="30" s="1"/>
  <c r="T22" i="30"/>
  <c r="S22" i="30"/>
  <c r="R22" i="30"/>
  <c r="Q22" i="30"/>
  <c r="P22" i="30"/>
  <c r="O22" i="30"/>
  <c r="N22" i="30"/>
  <c r="AA21" i="30"/>
  <c r="AB21" i="30" s="1"/>
  <c r="AC21" i="30" s="1"/>
  <c r="AD21" i="30" s="1"/>
  <c r="AE21" i="30" s="1"/>
  <c r="AF21" i="30" s="1"/>
  <c r="AG21" i="30" s="1"/>
  <c r="V21" i="30"/>
  <c r="W21" i="30" s="1"/>
  <c r="X21" i="30" s="1"/>
  <c r="Y21" i="30" s="1"/>
  <c r="Z21" i="30" s="1"/>
  <c r="U21" i="30"/>
  <c r="AD58" i="30" s="1"/>
  <c r="T21" i="30"/>
  <c r="S21" i="30"/>
  <c r="R21" i="30"/>
  <c r="Q21" i="30"/>
  <c r="P21" i="30"/>
  <c r="O21" i="30"/>
  <c r="N21" i="30"/>
  <c r="M21" i="30"/>
  <c r="M13" i="30" s="1"/>
  <c r="L21" i="30"/>
  <c r="K21" i="30"/>
  <c r="J21" i="30"/>
  <c r="I21" i="30"/>
  <c r="H21" i="30"/>
  <c r="AG20" i="30"/>
  <c r="AF20" i="30"/>
  <c r="AE20" i="30"/>
  <c r="AD20" i="30"/>
  <c r="AC20" i="30"/>
  <c r="Z20" i="30"/>
  <c r="T20" i="30"/>
  <c r="S20" i="30"/>
  <c r="R20" i="30"/>
  <c r="Q20" i="30"/>
  <c r="P20" i="30"/>
  <c r="O20" i="30"/>
  <c r="N20" i="30"/>
  <c r="M20" i="30"/>
  <c r="L20" i="30"/>
  <c r="K20" i="30"/>
  <c r="J20" i="30"/>
  <c r="I20" i="30"/>
  <c r="H20" i="30"/>
  <c r="V19" i="30"/>
  <c r="U19" i="30"/>
  <c r="AD56" i="30" s="1"/>
  <c r="T19" i="30"/>
  <c r="S19" i="30"/>
  <c r="R19" i="30"/>
  <c r="Q19" i="30"/>
  <c r="P19" i="30"/>
  <c r="O19" i="30"/>
  <c r="N19" i="30"/>
  <c r="M19" i="30"/>
  <c r="L19" i="30"/>
  <c r="L13" i="30" s="1"/>
  <c r="L12" i="30" s="1"/>
  <c r="K19" i="30"/>
  <c r="J19" i="30"/>
  <c r="I19" i="30"/>
  <c r="H19" i="30"/>
  <c r="AG18" i="30"/>
  <c r="AF18" i="30"/>
  <c r="AE18" i="30"/>
  <c r="AD18" i="30"/>
  <c r="AC18" i="30"/>
  <c r="AB18" i="30"/>
  <c r="AA18" i="30"/>
  <c r="Z18" i="30"/>
  <c r="Y18" i="30"/>
  <c r="X18" i="30"/>
  <c r="W18" i="30"/>
  <c r="V18" i="30"/>
  <c r="U18" i="30"/>
  <c r="T18" i="30"/>
  <c r="S18" i="30"/>
  <c r="R18" i="30"/>
  <c r="Q18" i="30"/>
  <c r="P18" i="30"/>
  <c r="O18" i="30"/>
  <c r="N18" i="30"/>
  <c r="M18" i="30"/>
  <c r="O30" i="30" s="1"/>
  <c r="L18" i="30"/>
  <c r="K18" i="30"/>
  <c r="J18" i="30"/>
  <c r="I18" i="30"/>
  <c r="H18" i="30"/>
  <c r="X17" i="30"/>
  <c r="V17" i="30"/>
  <c r="W17" i="30" s="1"/>
  <c r="U17" i="30"/>
  <c r="T17" i="30"/>
  <c r="S17" i="30"/>
  <c r="R17" i="30"/>
  <c r="Q17" i="30"/>
  <c r="P17" i="30"/>
  <c r="O17" i="30"/>
  <c r="N17" i="30"/>
  <c r="M17" i="30"/>
  <c r="L17" i="30"/>
  <c r="K17" i="30"/>
  <c r="J17" i="30"/>
  <c r="I17" i="30"/>
  <c r="H17" i="30"/>
  <c r="V16" i="30"/>
  <c r="U16" i="30"/>
  <c r="AD53" i="30" s="1"/>
  <c r="T16" i="30"/>
  <c r="S16" i="30"/>
  <c r="R16" i="30"/>
  <c r="Q16" i="30"/>
  <c r="P16" i="30"/>
  <c r="O16" i="30"/>
  <c r="N16" i="30"/>
  <c r="M16" i="30"/>
  <c r="L16" i="30"/>
  <c r="K16" i="30"/>
  <c r="J16" i="30"/>
  <c r="J15" i="30" s="1"/>
  <c r="I16" i="30"/>
  <c r="I13" i="30" s="1"/>
  <c r="H16" i="30"/>
  <c r="L15" i="30"/>
  <c r="K15" i="30"/>
  <c r="I15" i="30"/>
  <c r="V14" i="30"/>
  <c r="U14" i="30"/>
  <c r="AD51" i="30" s="1"/>
  <c r="T14" i="30"/>
  <c r="S14" i="30"/>
  <c r="R14" i="30"/>
  <c r="Q14" i="30"/>
  <c r="P14" i="30"/>
  <c r="O14" i="30"/>
  <c r="N14" i="30"/>
  <c r="M14" i="30"/>
  <c r="L14" i="30"/>
  <c r="K14" i="30"/>
  <c r="K13" i="30" s="1"/>
  <c r="J14" i="30"/>
  <c r="I14" i="30"/>
  <c r="H14" i="30"/>
  <c r="J13" i="30"/>
  <c r="G12" i="30"/>
  <c r="F12" i="30"/>
  <c r="V11" i="30"/>
  <c r="U11" i="30"/>
  <c r="AD48" i="30" s="1"/>
  <c r="T11" i="30"/>
  <c r="S11" i="30"/>
  <c r="R11" i="30"/>
  <c r="Q11" i="30"/>
  <c r="P11" i="30"/>
  <c r="O11" i="30"/>
  <c r="N11" i="30"/>
  <c r="M11" i="30"/>
  <c r="L11" i="30"/>
  <c r="L46" i="30" s="1"/>
  <c r="K11" i="30"/>
  <c r="J11" i="30"/>
  <c r="I11" i="30"/>
  <c r="I12" i="30" s="1"/>
  <c r="H11" i="30"/>
  <c r="P47" i="20"/>
  <c r="N47" i="20"/>
  <c r="H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V27" i="20"/>
  <c r="U27" i="20"/>
  <c r="U26" i="20" s="1"/>
  <c r="S27" i="20"/>
  <c r="M27" i="20"/>
  <c r="M26" i="20" s="1"/>
  <c r="K27" i="20"/>
  <c r="AF26" i="20"/>
  <c r="AE26" i="20"/>
  <c r="AD26" i="20"/>
  <c r="AC26" i="20"/>
  <c r="AB26" i="20"/>
  <c r="AA26" i="20"/>
  <c r="Z26" i="20"/>
  <c r="Y26" i="20"/>
  <c r="X26" i="20"/>
  <c r="W26" i="20"/>
  <c r="V26" i="20"/>
  <c r="V24" i="20"/>
  <c r="U24" i="20"/>
  <c r="T24" i="20"/>
  <c r="T27" i="20" s="1"/>
  <c r="S24" i="20"/>
  <c r="R24" i="20"/>
  <c r="R27" i="20" s="1"/>
  <c r="Q24" i="20"/>
  <c r="Q27" i="20" s="1"/>
  <c r="P24" i="20"/>
  <c r="O24" i="20"/>
  <c r="N24" i="20"/>
  <c r="M24" i="20"/>
  <c r="L24" i="20"/>
  <c r="L27" i="20" s="1"/>
  <c r="K24" i="20"/>
  <c r="J24" i="20"/>
  <c r="J27" i="20" s="1"/>
  <c r="I24" i="20"/>
  <c r="H24" i="20"/>
  <c r="X12" i="20"/>
  <c r="V12" i="20"/>
  <c r="W12" i="20" s="1"/>
  <c r="U12" i="20"/>
  <c r="T12" i="20"/>
  <c r="S12" i="20"/>
  <c r="R12" i="20"/>
  <c r="Q12" i="20"/>
  <c r="P12" i="20"/>
  <c r="O12" i="20"/>
  <c r="N12" i="20"/>
  <c r="M12" i="20"/>
  <c r="L12" i="20"/>
  <c r="K12" i="20"/>
  <c r="J12" i="20"/>
  <c r="I12" i="20"/>
  <c r="H12" i="20"/>
  <c r="AF11" i="20"/>
  <c r="AE11" i="20"/>
  <c r="AD11" i="20"/>
  <c r="AD95" i="26"/>
  <c r="AA95" i="26"/>
  <c r="AA94" i="26" s="1"/>
  <c r="Z95" i="26"/>
  <c r="Y95" i="26"/>
  <c r="X95" i="26"/>
  <c r="W95" i="26"/>
  <c r="V95" i="26"/>
  <c r="U95" i="26"/>
  <c r="T95" i="26"/>
  <c r="S95" i="26"/>
  <c r="Q94" i="26"/>
  <c r="Q47" i="20" s="1"/>
  <c r="P94" i="26"/>
  <c r="O94" i="26"/>
  <c r="O47" i="20" s="1"/>
  <c r="N94" i="26"/>
  <c r="M94" i="26"/>
  <c r="M47" i="20" s="1"/>
  <c r="L94" i="26"/>
  <c r="L47" i="20" s="1"/>
  <c r="K94" i="26"/>
  <c r="K47" i="20" s="1"/>
  <c r="J94" i="26"/>
  <c r="J47" i="20" s="1"/>
  <c r="I94" i="26"/>
  <c r="AG94" i="26" s="1"/>
  <c r="AG47" i="20" s="1"/>
  <c r="H94" i="26"/>
  <c r="AD94" i="26" s="1"/>
  <c r="AD47" i="20" s="1"/>
  <c r="N83" i="26"/>
  <c r="AG81" i="26"/>
  <c r="AF81" i="26"/>
  <c r="AE81" i="26"/>
  <c r="AD81" i="26"/>
  <c r="AC81" i="26"/>
  <c r="AB81" i="26"/>
  <c r="AA81" i="26"/>
  <c r="Z81" i="26"/>
  <c r="Y81" i="26"/>
  <c r="X81" i="26"/>
  <c r="W81" i="26"/>
  <c r="V81" i="26"/>
  <c r="U81" i="26"/>
  <c r="T81" i="26"/>
  <c r="S81" i="26"/>
  <c r="M80" i="26"/>
  <c r="AG79" i="26"/>
  <c r="AF79" i="26"/>
  <c r="AE79" i="26"/>
  <c r="W79" i="26"/>
  <c r="AG78" i="26"/>
  <c r="AF78" i="26"/>
  <c r="AE78" i="26"/>
  <c r="AD78" i="26"/>
  <c r="AC78" i="26"/>
  <c r="AB78" i="26"/>
  <c r="AA78" i="26"/>
  <c r="Z78" i="26"/>
  <c r="Y78" i="26"/>
  <c r="AG77" i="26"/>
  <c r="AF77" i="26"/>
  <c r="AE77" i="26"/>
  <c r="Q77" i="26"/>
  <c r="N77" i="26"/>
  <c r="C69" i="26"/>
  <c r="C68" i="26"/>
  <c r="C67" i="26"/>
  <c r="C66" i="26"/>
  <c r="C65" i="26"/>
  <c r="C64" i="26" s="1"/>
  <c r="C63" i="26"/>
  <c r="C62" i="26"/>
  <c r="C61" i="26"/>
  <c r="C60" i="26"/>
  <c r="C59" i="26"/>
  <c r="C54" i="26"/>
  <c r="C51" i="26"/>
  <c r="E50" i="26"/>
  <c r="C50" i="26"/>
  <c r="C49" i="26"/>
  <c r="C48" i="26"/>
  <c r="C47" i="26"/>
  <c r="C46" i="26"/>
  <c r="W39" i="26"/>
  <c r="O39" i="26"/>
  <c r="T37" i="26"/>
  <c r="N37" i="26"/>
  <c r="AH36" i="26"/>
  <c r="Q36" i="26"/>
  <c r="N36" i="26"/>
  <c r="X34" i="26"/>
  <c r="W34" i="26"/>
  <c r="W16" i="26" s="1"/>
  <c r="V34" i="26"/>
  <c r="U34" i="26"/>
  <c r="T34" i="26"/>
  <c r="S34" i="26"/>
  <c r="R34" i="26"/>
  <c r="Q34" i="26"/>
  <c r="P34" i="26"/>
  <c r="O34" i="26"/>
  <c r="O16" i="26" s="1"/>
  <c r="O79" i="26" s="1"/>
  <c r="N34" i="26"/>
  <c r="M34" i="26"/>
  <c r="X33" i="26"/>
  <c r="W33" i="26"/>
  <c r="V33" i="26"/>
  <c r="U33" i="26"/>
  <c r="T33" i="26"/>
  <c r="T16" i="26" s="1"/>
  <c r="T79" i="26" s="1"/>
  <c r="S33" i="26"/>
  <c r="R33" i="26"/>
  <c r="R16" i="26" s="1"/>
  <c r="R79" i="26" s="1"/>
  <c r="Q33" i="26"/>
  <c r="P33" i="26"/>
  <c r="O33" i="26"/>
  <c r="N33" i="26"/>
  <c r="M33" i="26"/>
  <c r="AH33" i="26" s="1"/>
  <c r="X32" i="26"/>
  <c r="W32" i="26"/>
  <c r="V32" i="26"/>
  <c r="U32" i="26"/>
  <c r="T32" i="26"/>
  <c r="S32" i="26"/>
  <c r="R32" i="26"/>
  <c r="Q32" i="26"/>
  <c r="P32" i="26"/>
  <c r="O32" i="26"/>
  <c r="AH32" i="26" s="1"/>
  <c r="N32" i="26"/>
  <c r="M32" i="26"/>
  <c r="N31" i="26"/>
  <c r="M31" i="26"/>
  <c r="AH31" i="26" s="1"/>
  <c r="M30" i="26"/>
  <c r="M78" i="26" s="1"/>
  <c r="AD29" i="26"/>
  <c r="AC29" i="26"/>
  <c r="AB29" i="26"/>
  <c r="AA29" i="26"/>
  <c r="Z29" i="26"/>
  <c r="Y29" i="26"/>
  <c r="AH28" i="26"/>
  <c r="AH27" i="26"/>
  <c r="AH26" i="26"/>
  <c r="AI12" i="26" s="1"/>
  <c r="J26" i="26"/>
  <c r="P25" i="26"/>
  <c r="O25" i="26"/>
  <c r="N25" i="26"/>
  <c r="M25" i="26"/>
  <c r="L25" i="26"/>
  <c r="K25" i="26"/>
  <c r="J25" i="26"/>
  <c r="E20" i="26"/>
  <c r="AI19" i="26"/>
  <c r="AD19" i="26"/>
  <c r="AC19" i="26"/>
  <c r="AB19" i="26"/>
  <c r="AA19" i="26"/>
  <c r="Z19" i="26"/>
  <c r="Y19" i="26"/>
  <c r="X19" i="26"/>
  <c r="W19" i="26"/>
  <c r="V19" i="26"/>
  <c r="U19" i="26"/>
  <c r="T19" i="26"/>
  <c r="S19" i="26"/>
  <c r="R19" i="26"/>
  <c r="Q19" i="26"/>
  <c r="P19" i="26"/>
  <c r="O19" i="26"/>
  <c r="N19" i="26"/>
  <c r="M19" i="26"/>
  <c r="L19" i="26"/>
  <c r="K19" i="26"/>
  <c r="S18" i="26"/>
  <c r="Q18" i="26"/>
  <c r="P18" i="26"/>
  <c r="W17" i="26"/>
  <c r="O17" i="26"/>
  <c r="AD16" i="26"/>
  <c r="AD79" i="26" s="1"/>
  <c r="AC16" i="26"/>
  <c r="AC79" i="26" s="1"/>
  <c r="AB16" i="26"/>
  <c r="AB79" i="26" s="1"/>
  <c r="AA16" i="26"/>
  <c r="AA79" i="26" s="1"/>
  <c r="Z16" i="26"/>
  <c r="Z79" i="26" s="1"/>
  <c r="Y16" i="26"/>
  <c r="Y79" i="26" s="1"/>
  <c r="X16" i="26"/>
  <c r="X79" i="26" s="1"/>
  <c r="V16" i="26"/>
  <c r="V79" i="26" s="1"/>
  <c r="U16" i="26"/>
  <c r="U79" i="26" s="1"/>
  <c r="S16" i="26"/>
  <c r="S79" i="26" s="1"/>
  <c r="Q16" i="26"/>
  <c r="Q79" i="26" s="1"/>
  <c r="P16" i="26"/>
  <c r="P79" i="26" s="1"/>
  <c r="N16" i="26"/>
  <c r="N79" i="26" s="1"/>
  <c r="M16" i="26"/>
  <c r="AD15" i="26"/>
  <c r="AC15" i="26"/>
  <c r="AB15" i="26"/>
  <c r="AA15" i="26"/>
  <c r="Z15" i="26"/>
  <c r="Y15" i="26"/>
  <c r="M15" i="26"/>
  <c r="D49" i="26" s="1"/>
  <c r="E49" i="26" s="1"/>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P14" i="26"/>
  <c r="P77" i="26" s="1"/>
  <c r="O14" i="26"/>
  <c r="O77" i="26" s="1"/>
  <c r="N14" i="26"/>
  <c r="M14" i="26"/>
  <c r="M77" i="26" s="1"/>
  <c r="L14" i="26"/>
  <c r="L77" i="26" s="1"/>
  <c r="K14" i="26"/>
  <c r="K77" i="26" s="1"/>
  <c r="J14" i="26"/>
  <c r="T13" i="26"/>
  <c r="T83" i="26" s="1"/>
  <c r="S13" i="26"/>
  <c r="S83" i="26" s="1"/>
  <c r="R13" i="26"/>
  <c r="R83" i="26" s="1"/>
  <c r="Q13" i="26"/>
  <c r="Q83" i="26" s="1"/>
  <c r="P13" i="26"/>
  <c r="P83" i="26" s="1"/>
  <c r="O13" i="26"/>
  <c r="O83" i="26" s="1"/>
  <c r="N13" i="26"/>
  <c r="M13" i="26"/>
  <c r="M83" i="26" s="1"/>
  <c r="L13" i="26"/>
  <c r="L83" i="26" s="1"/>
  <c r="K13" i="26"/>
  <c r="K83" i="26" s="1"/>
  <c r="J13" i="26"/>
  <c r="AJ13" i="26" s="1"/>
  <c r="J12" i="26"/>
  <c r="D46" i="26" s="1"/>
  <c r="U11" i="26"/>
  <c r="M11" i="26"/>
  <c r="M20" i="26" s="1"/>
  <c r="E11" i="26"/>
  <c r="AD10" i="26"/>
  <c r="V10" i="26"/>
  <c r="U10" i="26"/>
  <c r="T10" i="26"/>
  <c r="S10" i="26"/>
  <c r="R10" i="26"/>
  <c r="Q10" i="26"/>
  <c r="P10" i="26"/>
  <c r="O10" i="26"/>
  <c r="N10" i="26"/>
  <c r="M10" i="26"/>
  <c r="L10" i="26"/>
  <c r="K10" i="26"/>
  <c r="J10" i="26"/>
  <c r="I10" i="26"/>
  <c r="H10" i="26"/>
  <c r="G10" i="26"/>
  <c r="F10" i="26"/>
  <c r="E10" i="26"/>
  <c r="D10" i="26"/>
  <c r="V9" i="26"/>
  <c r="V11" i="26" s="1"/>
  <c r="U9" i="26"/>
  <c r="T9" i="26"/>
  <c r="T11" i="26" s="1"/>
  <c r="S9" i="26"/>
  <c r="S11" i="26" s="1"/>
  <c r="R9" i="26"/>
  <c r="R11" i="26" s="1"/>
  <c r="Q9" i="26"/>
  <c r="Q11" i="26" s="1"/>
  <c r="P9" i="26"/>
  <c r="P11" i="26" s="1"/>
  <c r="O9" i="26"/>
  <c r="O11" i="26" s="1"/>
  <c r="N9" i="26"/>
  <c r="N11" i="26" s="1"/>
  <c r="M9" i="26"/>
  <c r="L9" i="26"/>
  <c r="L11" i="26" s="1"/>
  <c r="L20" i="26" s="1"/>
  <c r="L80" i="26" s="1"/>
  <c r="K9" i="26"/>
  <c r="K11" i="26" s="1"/>
  <c r="K20" i="26" s="1"/>
  <c r="K80" i="26" s="1"/>
  <c r="J9" i="26"/>
  <c r="J11" i="26" s="1"/>
  <c r="J20" i="26" s="1"/>
  <c r="J80" i="26" s="1"/>
  <c r="I9" i="26"/>
  <c r="I11" i="26" s="1"/>
  <c r="I20" i="26" s="1"/>
  <c r="I80" i="26" s="1"/>
  <c r="I75" i="26" s="1"/>
  <c r="I48" i="20" s="1"/>
  <c r="H9" i="26"/>
  <c r="H11" i="26" s="1"/>
  <c r="H20" i="26" s="1"/>
  <c r="H80" i="26" s="1"/>
  <c r="H75" i="26" s="1"/>
  <c r="H48" i="20" s="1"/>
  <c r="G9" i="26"/>
  <c r="G11" i="26" s="1"/>
  <c r="G20" i="26" s="1"/>
  <c r="F9" i="26"/>
  <c r="F11" i="26" s="1"/>
  <c r="F20" i="26" s="1"/>
  <c r="E9" i="26"/>
  <c r="D9" i="26"/>
  <c r="D11" i="26" s="1"/>
  <c r="D20" i="26" s="1"/>
  <c r="T20" i="74"/>
  <c r="E20" i="74"/>
  <c r="E19" i="74" s="1"/>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Q15" i="74"/>
  <c r="P15" i="74"/>
  <c r="O15" i="74"/>
  <c r="N15" i="74"/>
  <c r="M15" i="74"/>
  <c r="L15" i="74"/>
  <c r="K15" i="74"/>
  <c r="J15" i="74"/>
  <c r="I15" i="74"/>
  <c r="H15" i="74"/>
  <c r="G15" i="74"/>
  <c r="F15" i="74"/>
  <c r="E15" i="74"/>
  <c r="D15" i="74"/>
  <c r="U14" i="74"/>
  <c r="T14" i="74"/>
  <c r="S14" i="74"/>
  <c r="R14" i="74"/>
  <c r="Q14" i="74"/>
  <c r="P14" i="74"/>
  <c r="O14" i="74"/>
  <c r="O13" i="74" s="1"/>
  <c r="N14" i="74"/>
  <c r="M14" i="74"/>
  <c r="L14" i="74"/>
  <c r="K14" i="74"/>
  <c r="J14" i="74"/>
  <c r="I14" i="74"/>
  <c r="I13" i="74" s="1"/>
  <c r="H14" i="74"/>
  <c r="G14" i="74"/>
  <c r="F14" i="74"/>
  <c r="E14" i="74"/>
  <c r="D14" i="74"/>
  <c r="T13" i="74"/>
  <c r="S13" i="74"/>
  <c r="R13" i="74"/>
  <c r="P13" i="74"/>
  <c r="N13" i="74"/>
  <c r="L13" i="74"/>
  <c r="J13" i="74"/>
  <c r="H13" i="74"/>
  <c r="U12" i="74"/>
  <c r="T12" i="74"/>
  <c r="S12" i="74"/>
  <c r="R12" i="74"/>
  <c r="Q12" i="74"/>
  <c r="P12" i="74"/>
  <c r="O12" i="74"/>
  <c r="N12" i="74"/>
  <c r="M12" i="74"/>
  <c r="L12" i="74"/>
  <c r="K12" i="74"/>
  <c r="J12" i="74"/>
  <c r="I12" i="74"/>
  <c r="H12" i="74"/>
  <c r="G12" i="74"/>
  <c r="F12" i="74"/>
  <c r="E12" i="74"/>
  <c r="D12" i="74"/>
  <c r="U11" i="74"/>
  <c r="T11" i="74"/>
  <c r="T19" i="74" s="1"/>
  <c r="S11" i="74"/>
  <c r="R11" i="74"/>
  <c r="Q11" i="74"/>
  <c r="Q20" i="74" s="1"/>
  <c r="P11" i="74"/>
  <c r="O11" i="74"/>
  <c r="N11" i="74"/>
  <c r="M11" i="74"/>
  <c r="L11" i="74"/>
  <c r="K11" i="74"/>
  <c r="J11" i="74"/>
  <c r="I11" i="74"/>
  <c r="I20" i="74" s="1"/>
  <c r="H11" i="74"/>
  <c r="H20" i="74" s="1"/>
  <c r="G11" i="74"/>
  <c r="G20" i="74" s="1"/>
  <c r="G19" i="74" s="1"/>
  <c r="F11" i="74"/>
  <c r="E11" i="74"/>
  <c r="D11" i="74"/>
  <c r="D20" i="74" s="1"/>
  <c r="AF23" i="25"/>
  <c r="AE23" i="25"/>
  <c r="AD23" i="25"/>
  <c r="AC23" i="25"/>
  <c r="AB23" i="25"/>
  <c r="AA23" i="25"/>
  <c r="Z23" i="25"/>
  <c r="Y23" i="25"/>
  <c r="X23" i="25"/>
  <c r="Q20" i="25"/>
  <c r="I20" i="25"/>
  <c r="D19" i="25"/>
  <c r="V18" i="25"/>
  <c r="U18" i="25"/>
  <c r="T18" i="25"/>
  <c r="S18" i="25"/>
  <c r="R18" i="25"/>
  <c r="Q18" i="25"/>
  <c r="P18" i="25"/>
  <c r="O18" i="25"/>
  <c r="N18" i="25"/>
  <c r="M18" i="25"/>
  <c r="L18" i="25"/>
  <c r="K18" i="25"/>
  <c r="J18" i="25"/>
  <c r="I18" i="25"/>
  <c r="H18" i="25"/>
  <c r="G18" i="25"/>
  <c r="F18" i="25"/>
  <c r="E18" i="25"/>
  <c r="D18" i="25"/>
  <c r="V17" i="25"/>
  <c r="W17" i="25" s="1"/>
  <c r="X17" i="25" s="1"/>
  <c r="Y17" i="25" s="1"/>
  <c r="Z17" i="25" s="1"/>
  <c r="AA17" i="25" s="1"/>
  <c r="AB17" i="25" s="1"/>
  <c r="AC17" i="25" s="1"/>
  <c r="AD17" i="25" s="1"/>
  <c r="U17" i="25"/>
  <c r="T17" i="25"/>
  <c r="S17" i="25"/>
  <c r="R17" i="25"/>
  <c r="Q17" i="25"/>
  <c r="P17" i="25"/>
  <c r="O17" i="25"/>
  <c r="N17" i="25"/>
  <c r="M17" i="25"/>
  <c r="L17" i="25"/>
  <c r="L13" i="25" s="1"/>
  <c r="K17" i="25"/>
  <c r="J17" i="25"/>
  <c r="I17" i="25"/>
  <c r="H17" i="25"/>
  <c r="G17" i="25"/>
  <c r="F17" i="25"/>
  <c r="E17" i="25"/>
  <c r="D17" i="25"/>
  <c r="AC16" i="25"/>
  <c r="AD16" i="25" s="1"/>
  <c r="W16" i="25"/>
  <c r="X16" i="25" s="1"/>
  <c r="Y16" i="25" s="1"/>
  <c r="Z16" i="25" s="1"/>
  <c r="AA16" i="25" s="1"/>
  <c r="AB16" i="25" s="1"/>
  <c r="V16" i="25"/>
  <c r="U16" i="25"/>
  <c r="T16" i="25"/>
  <c r="S16" i="25"/>
  <c r="R16" i="25"/>
  <c r="Q16" i="25"/>
  <c r="P16" i="25"/>
  <c r="O16" i="25"/>
  <c r="N16" i="25"/>
  <c r="M16" i="25"/>
  <c r="M13" i="25" s="1"/>
  <c r="L16" i="25"/>
  <c r="K16" i="25"/>
  <c r="J16" i="25"/>
  <c r="I16" i="25"/>
  <c r="H16" i="25"/>
  <c r="G16" i="25"/>
  <c r="F16" i="25"/>
  <c r="E16" i="25"/>
  <c r="D16" i="25"/>
  <c r="V15" i="25"/>
  <c r="W15" i="25" s="1"/>
  <c r="X15" i="25" s="1"/>
  <c r="Y15" i="25" s="1"/>
  <c r="Z15" i="25" s="1"/>
  <c r="AA15" i="25" s="1"/>
  <c r="AB15" i="25" s="1"/>
  <c r="AC15" i="25" s="1"/>
  <c r="AD15" i="25" s="1"/>
  <c r="U15" i="25"/>
  <c r="T15" i="25"/>
  <c r="S15" i="25"/>
  <c r="R15" i="25"/>
  <c r="Q15" i="25"/>
  <c r="P15" i="25"/>
  <c r="P13" i="25" s="1"/>
  <c r="O15" i="25"/>
  <c r="N15" i="25"/>
  <c r="N13" i="25" s="1"/>
  <c r="M15" i="25"/>
  <c r="L15" i="25"/>
  <c r="K15" i="25"/>
  <c r="J15" i="25"/>
  <c r="I15" i="25"/>
  <c r="H15" i="25"/>
  <c r="H13" i="25" s="1"/>
  <c r="G15" i="25"/>
  <c r="F15" i="25"/>
  <c r="E15" i="25"/>
  <c r="D15" i="25"/>
  <c r="V14" i="25"/>
  <c r="U14" i="25"/>
  <c r="U13" i="25" s="1"/>
  <c r="T14" i="25"/>
  <c r="S14" i="25"/>
  <c r="S13" i="25" s="1"/>
  <c r="R14" i="25"/>
  <c r="Q14" i="25"/>
  <c r="P14" i="25"/>
  <c r="O14" i="25"/>
  <c r="N14" i="25"/>
  <c r="M14" i="25"/>
  <c r="L14" i="25"/>
  <c r="K14" i="25"/>
  <c r="K13" i="25" s="1"/>
  <c r="J14" i="25"/>
  <c r="I14" i="25"/>
  <c r="I13" i="25" s="1"/>
  <c r="H14" i="25"/>
  <c r="G14" i="25"/>
  <c r="F14" i="25"/>
  <c r="E14" i="25"/>
  <c r="D14" i="25"/>
  <c r="V13" i="25"/>
  <c r="T13" i="25"/>
  <c r="O13" i="25"/>
  <c r="V12" i="25"/>
  <c r="W12" i="25" s="1"/>
  <c r="U12" i="25"/>
  <c r="T12" i="25"/>
  <c r="S12" i="25"/>
  <c r="R12" i="25"/>
  <c r="Q12" i="25"/>
  <c r="P12" i="25"/>
  <c r="O12" i="25"/>
  <c r="N12" i="25"/>
  <c r="M12" i="25"/>
  <c r="L12" i="25"/>
  <c r="K12" i="25"/>
  <c r="J12" i="25"/>
  <c r="I12" i="25"/>
  <c r="H12" i="25"/>
  <c r="G12" i="25"/>
  <c r="F12" i="25"/>
  <c r="E12" i="25"/>
  <c r="D12" i="25"/>
  <c r="V11" i="25"/>
  <c r="U11" i="25"/>
  <c r="U20" i="25" s="1"/>
  <c r="T11" i="25"/>
  <c r="S11" i="25"/>
  <c r="R11" i="25"/>
  <c r="Q11" i="25"/>
  <c r="P11" i="25"/>
  <c r="P20" i="25" s="1"/>
  <c r="O11" i="25"/>
  <c r="N11" i="25"/>
  <c r="M11" i="25"/>
  <c r="L11" i="25"/>
  <c r="K11" i="25"/>
  <c r="J11" i="25"/>
  <c r="I11" i="25"/>
  <c r="I19" i="25" s="1"/>
  <c r="H11" i="25"/>
  <c r="H20" i="25" s="1"/>
  <c r="G11" i="25"/>
  <c r="F11" i="25"/>
  <c r="F20" i="25" s="1"/>
  <c r="E11" i="25"/>
  <c r="E20" i="25" s="1"/>
  <c r="D11" i="25"/>
  <c r="D20" i="25" s="1"/>
  <c r="O14" i="56"/>
  <c r="O13" i="56"/>
  <c r="O12" i="56"/>
  <c r="O11" i="56"/>
  <c r="O10" i="56"/>
  <c r="O9" i="56"/>
  <c r="O8" i="56"/>
  <c r="O7" i="56"/>
  <c r="O6" i="56"/>
  <c r="O5" i="56"/>
  <c r="O4" i="56"/>
  <c r="O3" i="56"/>
  <c r="D2" i="56"/>
  <c r="E2" i="56" s="1"/>
  <c r="F2" i="56" s="1"/>
  <c r="G2" i="56" s="1"/>
  <c r="H2" i="56" s="1"/>
  <c r="I2" i="56" s="1"/>
  <c r="J2" i="56" s="1"/>
  <c r="K2" i="56" s="1"/>
  <c r="L2" i="56" s="1"/>
  <c r="M2" i="56" s="1"/>
  <c r="N2" i="56" s="1"/>
  <c r="I6" i="71"/>
  <c r="D6" i="71"/>
  <c r="I5" i="71"/>
  <c r="D5" i="71"/>
  <c r="I4" i="71"/>
  <c r="H4" i="71"/>
  <c r="G4" i="71"/>
  <c r="F4" i="71"/>
  <c r="E4" i="71"/>
  <c r="D4" i="71"/>
  <c r="C4" i="71"/>
  <c r="I3" i="71"/>
  <c r="H3" i="71"/>
  <c r="G3" i="71"/>
  <c r="F3" i="71"/>
  <c r="E3" i="71"/>
  <c r="D3" i="71"/>
  <c r="C3" i="71"/>
  <c r="I2" i="71"/>
  <c r="H2" i="71"/>
  <c r="G2" i="71"/>
  <c r="F2" i="71"/>
  <c r="E2" i="71"/>
  <c r="D2" i="71"/>
  <c r="C2" i="71"/>
  <c r="O10" i="50"/>
  <c r="N10" i="50"/>
  <c r="M10" i="50"/>
  <c r="L10" i="50"/>
  <c r="J9" i="50"/>
  <c r="I9" i="50"/>
  <c r="H9" i="50"/>
  <c r="G9" i="50"/>
  <c r="F9" i="50"/>
  <c r="E9" i="50"/>
  <c r="D9" i="50"/>
  <c r="C9" i="50"/>
  <c r="O8" i="50"/>
  <c r="N8" i="50"/>
  <c r="O7" i="50"/>
  <c r="N7" i="50"/>
  <c r="M7" i="50"/>
  <c r="L7" i="50"/>
  <c r="K7" i="50"/>
  <c r="J7" i="50"/>
  <c r="I7" i="50"/>
  <c r="H7" i="50"/>
  <c r="G7" i="50"/>
  <c r="F7" i="50"/>
  <c r="E7" i="50"/>
  <c r="D7" i="50"/>
  <c r="C7" i="50"/>
  <c r="K6" i="50"/>
  <c r="E6" i="50"/>
  <c r="D6" i="50"/>
  <c r="C6" i="50"/>
  <c r="E5" i="50"/>
  <c r="D5" i="50"/>
  <c r="C5" i="50"/>
  <c r="M4" i="50"/>
  <c r="E4" i="50"/>
  <c r="D4" i="50"/>
  <c r="C4" i="50"/>
  <c r="AC51" i="72"/>
  <c r="Z51" i="72"/>
  <c r="T51" i="72"/>
  <c r="AA46" i="72"/>
  <c r="AA51" i="72" s="1"/>
  <c r="Z46" i="72"/>
  <c r="Y46" i="72"/>
  <c r="Y51" i="72" s="1"/>
  <c r="X46" i="72"/>
  <c r="X51" i="72" s="1"/>
  <c r="W46" i="72"/>
  <c r="W51" i="72" s="1"/>
  <c r="V46" i="72"/>
  <c r="U46" i="72"/>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E30" i="72"/>
  <c r="AF30" i="72" s="1"/>
  <c r="AD30" i="72"/>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AD8" i="72"/>
  <c r="N24" i="35"/>
  <c r="M24" i="35"/>
  <c r="L24" i="35"/>
  <c r="K24" i="35"/>
  <c r="J24" i="35"/>
  <c r="I24" i="35"/>
  <c r="H24" i="35"/>
  <c r="G24" i="35"/>
  <c r="F24" i="35"/>
  <c r="E24" i="35"/>
  <c r="D24" i="35"/>
  <c r="C24" i="35"/>
  <c r="N23" i="35"/>
  <c r="M23" i="35"/>
  <c r="L23" i="35"/>
  <c r="K23" i="35"/>
  <c r="J23" i="35"/>
  <c r="I23" i="35"/>
  <c r="H23" i="35"/>
  <c r="G23" i="35"/>
  <c r="H25" i="55" s="1"/>
  <c r="F23" i="35"/>
  <c r="E23" i="35"/>
  <c r="F25" i="55" s="1"/>
  <c r="D23" i="35"/>
  <c r="C23" i="35"/>
  <c r="C22" i="35"/>
  <c r="D24" i="55" s="1"/>
  <c r="C20" i="35"/>
  <c r="C19" i="35"/>
  <c r="D21" i="55" s="1"/>
  <c r="N17" i="35"/>
  <c r="N16" i="35"/>
  <c r="M16" i="35"/>
  <c r="N15" i="35"/>
  <c r="M15" i="35"/>
  <c r="N14" i="35"/>
  <c r="M14" i="35"/>
  <c r="L14" i="35"/>
  <c r="K14" i="35"/>
  <c r="J14" i="35"/>
  <c r="I14" i="35"/>
  <c r="H14" i="35"/>
  <c r="G14" i="35"/>
  <c r="F14" i="35"/>
  <c r="E14" i="35"/>
  <c r="D14" i="35"/>
  <c r="C14" i="35"/>
  <c r="D16" i="55" s="1"/>
  <c r="N13" i="35"/>
  <c r="M13" i="35"/>
  <c r="L13" i="35"/>
  <c r="K13" i="35"/>
  <c r="J13" i="35"/>
  <c r="I13" i="35"/>
  <c r="H13" i="35"/>
  <c r="G13" i="35"/>
  <c r="H15" i="55" s="1"/>
  <c r="F13" i="35"/>
  <c r="E13" i="35"/>
  <c r="D13" i="35"/>
  <c r="C13" i="35"/>
  <c r="C12" i="35"/>
  <c r="D14" i="55" s="1"/>
  <c r="C11" i="35"/>
  <c r="D13" i="55" s="1"/>
  <c r="N9" i="35"/>
  <c r="N8" i="35"/>
  <c r="M8" i="35"/>
  <c r="L8" i="35"/>
  <c r="N7" i="35"/>
  <c r="M7" i="35"/>
  <c r="G7" i="35"/>
  <c r="N6" i="35"/>
  <c r="N5" i="35"/>
  <c r="C5" i="35"/>
  <c r="E4" i="35"/>
  <c r="D4" i="35"/>
  <c r="C4" i="35"/>
  <c r="D6" i="55" s="1"/>
  <c r="K3" i="35"/>
  <c r="J75" i="55"/>
  <c r="D75" i="55"/>
  <c r="K25" i="55"/>
  <c r="K101" i="55" s="1"/>
  <c r="J25" i="55"/>
  <c r="J101" i="55" s="1"/>
  <c r="I25" i="55"/>
  <c r="I101" i="55" s="1"/>
  <c r="G25" i="55"/>
  <c r="G101" i="55" s="1"/>
  <c r="E25" i="55"/>
  <c r="E101" i="55" s="1"/>
  <c r="D25" i="55"/>
  <c r="D101" i="55" s="1"/>
  <c r="C25" i="55"/>
  <c r="B25" i="55"/>
  <c r="C24" i="55"/>
  <c r="B24" i="55"/>
  <c r="C23" i="55"/>
  <c r="B23" i="55"/>
  <c r="D22" i="55"/>
  <c r="D98" i="55" s="1"/>
  <c r="C22" i="55"/>
  <c r="B22" i="55"/>
  <c r="C21" i="55"/>
  <c r="B21" i="55"/>
  <c r="C20" i="55"/>
  <c r="B20" i="55"/>
  <c r="C19" i="55"/>
  <c r="B19" i="55"/>
  <c r="C18" i="55"/>
  <c r="B18" i="55"/>
  <c r="C17" i="55"/>
  <c r="B17" i="55"/>
  <c r="K16" i="55"/>
  <c r="K92" i="55" s="1"/>
  <c r="J16" i="55"/>
  <c r="J92" i="55" s="1"/>
  <c r="I16" i="55"/>
  <c r="I92" i="55" s="1"/>
  <c r="H16" i="55"/>
  <c r="H92" i="55" s="1"/>
  <c r="G16" i="55"/>
  <c r="G92" i="55" s="1"/>
  <c r="F16" i="55"/>
  <c r="E16" i="55"/>
  <c r="E92" i="55" s="1"/>
  <c r="C16" i="55"/>
  <c r="B16" i="55"/>
  <c r="K15" i="55"/>
  <c r="K91" i="55" s="1"/>
  <c r="J15" i="55"/>
  <c r="J65" i="55" s="1"/>
  <c r="I15" i="55"/>
  <c r="I91" i="55" s="1"/>
  <c r="G15" i="55"/>
  <c r="G91" i="55" s="1"/>
  <c r="F15" i="55"/>
  <c r="E15" i="55"/>
  <c r="E91" i="55" s="1"/>
  <c r="D15" i="55"/>
  <c r="D91" i="55" s="1"/>
  <c r="C15" i="55"/>
  <c r="B15" i="55"/>
  <c r="C14" i="55"/>
  <c r="B14" i="55"/>
  <c r="C13" i="55"/>
  <c r="B13" i="55"/>
  <c r="C12" i="55"/>
  <c r="B12" i="55"/>
  <c r="C11" i="55"/>
  <c r="B11" i="55"/>
  <c r="C10" i="55"/>
  <c r="B10" i="55"/>
  <c r="H9" i="55"/>
  <c r="H85" i="55" s="1"/>
  <c r="C9" i="55"/>
  <c r="B9" i="55"/>
  <c r="C8" i="55"/>
  <c r="B8" i="55"/>
  <c r="D7" i="55"/>
  <c r="D83" i="55" s="1"/>
  <c r="C7" i="55"/>
  <c r="B7" i="55"/>
  <c r="F6" i="55"/>
  <c r="E6" i="55"/>
  <c r="E82" i="55" s="1"/>
  <c r="C6" i="55"/>
  <c r="B6" i="55"/>
  <c r="C5" i="55"/>
  <c r="B5" i="55"/>
  <c r="C4" i="55"/>
  <c r="B4" i="55"/>
  <c r="H3" i="55"/>
  <c r="G3" i="55"/>
  <c r="F3" i="55"/>
  <c r="E3" i="55"/>
  <c r="D3" i="55"/>
  <c r="C3" i="55"/>
  <c r="B3" i="55"/>
  <c r="G81" i="46"/>
  <c r="E81" i="46"/>
  <c r="F81" i="46" s="1"/>
  <c r="C81" i="46"/>
  <c r="G80" i="46"/>
  <c r="E80" i="46"/>
  <c r="F80" i="46" s="1"/>
  <c r="C80" i="46"/>
  <c r="G79" i="46"/>
  <c r="E79" i="46"/>
  <c r="F79" i="46" s="1"/>
  <c r="C79" i="46"/>
  <c r="G78" i="46"/>
  <c r="E78" i="46"/>
  <c r="F78" i="46" s="1"/>
  <c r="C78" i="46"/>
  <c r="E77" i="46"/>
  <c r="F77" i="46" s="1"/>
  <c r="G77" i="46" s="1"/>
  <c r="C77" i="46"/>
  <c r="E76" i="46"/>
  <c r="F76" i="46" s="1"/>
  <c r="G76" i="46" s="1"/>
  <c r="C76" i="46"/>
  <c r="E75" i="46"/>
  <c r="F75" i="46" s="1"/>
  <c r="G75" i="46" s="1"/>
  <c r="C75" i="46"/>
  <c r="G74" i="46"/>
  <c r="E74" i="46"/>
  <c r="F74" i="46" s="1"/>
  <c r="C74" i="46"/>
  <c r="G73" i="46"/>
  <c r="E73" i="46"/>
  <c r="F73" i="46" s="1"/>
  <c r="C73" i="46"/>
  <c r="G72" i="46"/>
  <c r="E72" i="46"/>
  <c r="F72" i="46" s="1"/>
  <c r="C72" i="46"/>
  <c r="G71" i="46"/>
  <c r="E71" i="46"/>
  <c r="F71" i="46" s="1"/>
  <c r="C71" i="46"/>
  <c r="G70" i="46"/>
  <c r="E70" i="46"/>
  <c r="F70" i="46" s="1"/>
  <c r="C70" i="46"/>
  <c r="E69" i="46"/>
  <c r="F69" i="46" s="1"/>
  <c r="G69" i="46" s="1"/>
  <c r="C69" i="46"/>
  <c r="E68" i="46"/>
  <c r="F68" i="46" s="1"/>
  <c r="G68" i="46" s="1"/>
  <c r="C68" i="46"/>
  <c r="E67" i="46"/>
  <c r="F67" i="46" s="1"/>
  <c r="G67" i="46" s="1"/>
  <c r="C67" i="46"/>
  <c r="G66" i="46"/>
  <c r="E66" i="46"/>
  <c r="F66" i="46" s="1"/>
  <c r="C66" i="46"/>
  <c r="G65" i="46"/>
  <c r="E65" i="46"/>
  <c r="F65" i="46" s="1"/>
  <c r="C65" i="46"/>
  <c r="G64" i="46"/>
  <c r="E64" i="46"/>
  <c r="F64" i="46" s="1"/>
  <c r="C64" i="46"/>
  <c r="G63" i="46"/>
  <c r="E63" i="46"/>
  <c r="F63" i="46" s="1"/>
  <c r="C63" i="46"/>
  <c r="G62" i="46"/>
  <c r="E62" i="46"/>
  <c r="F62" i="46" s="1"/>
  <c r="C62" i="46"/>
  <c r="E61" i="46"/>
  <c r="F61" i="46" s="1"/>
  <c r="G61" i="46" s="1"/>
  <c r="C61" i="46"/>
  <c r="E60" i="46"/>
  <c r="F60" i="46" s="1"/>
  <c r="G60" i="46" s="1"/>
  <c r="C60" i="46"/>
  <c r="E59" i="46"/>
  <c r="F59" i="46" s="1"/>
  <c r="G59" i="46" s="1"/>
  <c r="C59" i="46"/>
  <c r="G58" i="46"/>
  <c r="E58" i="46"/>
  <c r="F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G30" i="46"/>
  <c r="E30" i="46"/>
  <c r="F30" i="46" s="1"/>
  <c r="F29" i="46"/>
  <c r="G29" i="46" s="1"/>
  <c r="E29" i="46"/>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G13" i="46"/>
  <c r="F13" i="46"/>
  <c r="E13" i="46"/>
  <c r="C13" i="46"/>
  <c r="F12" i="46"/>
  <c r="G12" i="46" s="1"/>
  <c r="E12" i="46"/>
  <c r="C12" i="46"/>
  <c r="G11" i="46"/>
  <c r="F11" i="46"/>
  <c r="E11" i="46"/>
  <c r="C11" i="46"/>
  <c r="F10" i="46"/>
  <c r="G10" i="46" s="1"/>
  <c r="E10" i="46"/>
  <c r="C10" i="46"/>
  <c r="G9" i="46"/>
  <c r="F9" i="46"/>
  <c r="E9" i="46"/>
  <c r="C9" i="46"/>
  <c r="F8" i="46"/>
  <c r="G8" i="46" s="1"/>
  <c r="E8" i="46"/>
  <c r="C8" i="46"/>
  <c r="G7" i="46"/>
  <c r="F7" i="46"/>
  <c r="E7" i="46"/>
  <c r="C7" i="46"/>
  <c r="F6" i="46"/>
  <c r="G6" i="46" s="1"/>
  <c r="E6" i="46"/>
  <c r="C6" i="46"/>
  <c r="G5" i="46"/>
  <c r="F5" i="46"/>
  <c r="E5" i="46"/>
  <c r="C5" i="46"/>
  <c r="F4" i="46"/>
  <c r="G4" i="46" s="1"/>
  <c r="E4" i="46"/>
  <c r="C4" i="46"/>
  <c r="G3" i="46"/>
  <c r="F3" i="46"/>
  <c r="E3" i="46"/>
  <c r="C3" i="46"/>
  <c r="C2" i="46"/>
  <c r="R23" i="74"/>
  <c r="Q23" i="74"/>
  <c r="P23" i="74"/>
  <c r="O23" i="74"/>
  <c r="N23" i="74"/>
  <c r="T23" i="74"/>
  <c r="T23" i="25"/>
  <c r="S23" i="25"/>
  <c r="R23" i="25"/>
  <c r="Q23" i="25"/>
  <c r="U23" i="74"/>
  <c r="P23" i="25"/>
  <c r="S23" i="74"/>
  <c r="O23" i="25"/>
  <c r="M23" i="74"/>
  <c r="N23" i="25"/>
  <c r="M23" i="25"/>
  <c r="U23" i="25"/>
  <c r="V12" i="74" l="1"/>
  <c r="V17" i="74"/>
  <c r="W17" i="74" s="1"/>
  <c r="X17" i="74" s="1"/>
  <c r="Y17" i="74" s="1"/>
  <c r="Z17" i="74" s="1"/>
  <c r="AA17" i="74" s="1"/>
  <c r="AB17" i="74" s="1"/>
  <c r="AC17" i="74" s="1"/>
  <c r="H91" i="55"/>
  <c r="H65" i="55"/>
  <c r="D66" i="55"/>
  <c r="D92" i="55"/>
  <c r="H101" i="55"/>
  <c r="H75" i="55"/>
  <c r="D82" i="55"/>
  <c r="D56" i="55"/>
  <c r="D71" i="55"/>
  <c r="D97" i="55"/>
  <c r="D89" i="55"/>
  <c r="D63" i="55"/>
  <c r="D90" i="55"/>
  <c r="D64" i="55"/>
  <c r="D74" i="55"/>
  <c r="D100" i="55"/>
  <c r="R20" i="74"/>
  <c r="R19" i="74" s="1"/>
  <c r="AA12" i="30"/>
  <c r="Z12" i="30"/>
  <c r="AG12" i="30"/>
  <c r="Y12" i="30"/>
  <c r="AF12" i="30"/>
  <c r="X12" i="30"/>
  <c r="AC12" i="30"/>
  <c r="AE12" i="30"/>
  <c r="AD12" i="30"/>
  <c r="AB12" i="30"/>
  <c r="W12" i="30"/>
  <c r="H46" i="30"/>
  <c r="O185" i="65"/>
  <c r="AB95" i="26"/>
  <c r="AB94" i="26" s="1"/>
  <c r="O187" i="65"/>
  <c r="AB27" i="30"/>
  <c r="M191" i="65"/>
  <c r="Z40" i="75"/>
  <c r="Z32" i="59"/>
  <c r="Q33" i="75"/>
  <c r="Q38" i="75" s="1"/>
  <c r="Q23" i="75"/>
  <c r="Q25" i="59"/>
  <c r="Q30" i="59" s="1"/>
  <c r="J5" i="50" s="1"/>
  <c r="J66" i="55"/>
  <c r="D72" i="55"/>
  <c r="N20" i="25"/>
  <c r="J91" i="55"/>
  <c r="J20" i="74"/>
  <c r="J19" i="74"/>
  <c r="R39" i="38"/>
  <c r="M20" i="25"/>
  <c r="V16" i="74"/>
  <c r="W16" i="74" s="1"/>
  <c r="X16" i="74" s="1"/>
  <c r="Y16" i="74" s="1"/>
  <c r="Z16" i="74" s="1"/>
  <c r="AA16" i="74" s="1"/>
  <c r="AB16" i="74" s="1"/>
  <c r="AC16" i="74" s="1"/>
  <c r="H59" i="55"/>
  <c r="F101" i="55"/>
  <c r="F75" i="55"/>
  <c r="H14" i="75"/>
  <c r="C45" i="26"/>
  <c r="U14" i="59"/>
  <c r="V20" i="25"/>
  <c r="G20" i="25"/>
  <c r="G19" i="25"/>
  <c r="O20" i="25"/>
  <c r="O19" i="25"/>
  <c r="F91" i="55"/>
  <c r="F65" i="55"/>
  <c r="D57" i="55"/>
  <c r="D65" i="55"/>
  <c r="Q19" i="25"/>
  <c r="I14" i="75"/>
  <c r="I14" i="59"/>
  <c r="F19" i="74"/>
  <c r="N19" i="74"/>
  <c r="F82" i="55"/>
  <c r="F56" i="55"/>
  <c r="J20" i="25"/>
  <c r="W14" i="25"/>
  <c r="W13" i="25" s="1"/>
  <c r="X12" i="25"/>
  <c r="Q14" i="75"/>
  <c r="Q98" i="75" s="1"/>
  <c r="Q14" i="59"/>
  <c r="Q90" i="59" s="1"/>
  <c r="M13" i="74"/>
  <c r="V15" i="74"/>
  <c r="W15" i="74" s="1"/>
  <c r="X15" i="74" s="1"/>
  <c r="Y15" i="74" s="1"/>
  <c r="Z15" i="74" s="1"/>
  <c r="AA15" i="74" s="1"/>
  <c r="AB15" i="74" s="1"/>
  <c r="AC15" i="74" s="1"/>
  <c r="F92" i="55"/>
  <c r="F66" i="55"/>
  <c r="V51" i="72"/>
  <c r="U51" i="72"/>
  <c r="K19" i="25"/>
  <c r="J13" i="25"/>
  <c r="R13" i="25"/>
  <c r="R20" i="25" s="1"/>
  <c r="P19" i="74"/>
  <c r="K13" i="74"/>
  <c r="H66" i="55"/>
  <c r="AA47" i="20"/>
  <c r="H3" i="35"/>
  <c r="I5" i="55" s="1"/>
  <c r="D14" i="59"/>
  <c r="D14" i="75"/>
  <c r="L20" i="25"/>
  <c r="T20" i="25"/>
  <c r="K65" i="55"/>
  <c r="K66" i="55"/>
  <c r="K75" i="55"/>
  <c r="N3" i="35"/>
  <c r="E19" i="25"/>
  <c r="E14" i="75" s="1"/>
  <c r="M19" i="25"/>
  <c r="U19" i="25"/>
  <c r="U14" i="75" s="1"/>
  <c r="K20" i="74"/>
  <c r="S20" i="74"/>
  <c r="H19" i="74"/>
  <c r="F20" i="74"/>
  <c r="R26" i="20"/>
  <c r="F19" i="25"/>
  <c r="F14" i="75" s="1"/>
  <c r="K20" i="25"/>
  <c r="S20" i="25"/>
  <c r="U13" i="74"/>
  <c r="I19" i="74"/>
  <c r="Q19" i="74"/>
  <c r="AH34" i="26"/>
  <c r="M29" i="26"/>
  <c r="E56" i="55"/>
  <c r="E65" i="55"/>
  <c r="E66" i="55"/>
  <c r="E75" i="55"/>
  <c r="M20" i="74"/>
  <c r="M19" i="74" s="1"/>
  <c r="U20" i="74"/>
  <c r="AH19" i="26"/>
  <c r="D45" i="75"/>
  <c r="D46" i="75" s="1"/>
  <c r="D37" i="59"/>
  <c r="H19" i="25"/>
  <c r="H14" i="59" s="1"/>
  <c r="P19" i="25"/>
  <c r="P14" i="75" s="1"/>
  <c r="K19" i="74"/>
  <c r="S19" i="74"/>
  <c r="L20" i="74"/>
  <c r="L19" i="74" s="1"/>
  <c r="AH14" i="26"/>
  <c r="M79" i="26"/>
  <c r="AH16" i="26"/>
  <c r="S26" i="20"/>
  <c r="T26" i="20"/>
  <c r="G65" i="55"/>
  <c r="G66" i="55"/>
  <c r="G75" i="55"/>
  <c r="AE8" i="72"/>
  <c r="AF8" i="72" s="1"/>
  <c r="O20" i="74"/>
  <c r="O19" i="74" s="1"/>
  <c r="D19" i="74"/>
  <c r="N20" i="74"/>
  <c r="K75" i="26"/>
  <c r="L45" i="75"/>
  <c r="L46" i="75" s="1"/>
  <c r="L37" i="59"/>
  <c r="E18" i="49"/>
  <c r="E19" i="49" s="1"/>
  <c r="P20" i="74"/>
  <c r="W27" i="20"/>
  <c r="Y17" i="30"/>
  <c r="U37" i="59"/>
  <c r="U45" i="75"/>
  <c r="U28" i="49"/>
  <c r="U29" i="49" s="1"/>
  <c r="Q13" i="33"/>
  <c r="P13" i="33"/>
  <c r="S13" i="33"/>
  <c r="I65" i="55"/>
  <c r="I66" i="55"/>
  <c r="I75" i="55"/>
  <c r="M75" i="26"/>
  <c r="AH25" i="26"/>
  <c r="R94" i="26"/>
  <c r="Z94" i="26"/>
  <c r="H28" i="20"/>
  <c r="H27" i="20"/>
  <c r="P27" i="20"/>
  <c r="Q26" i="20" s="1"/>
  <c r="V37" i="59"/>
  <c r="V45" i="75"/>
  <c r="V28" i="49"/>
  <c r="C10" i="35" s="1"/>
  <c r="D12" i="55" s="1"/>
  <c r="R13" i="33"/>
  <c r="L75" i="26"/>
  <c r="E46" i="26"/>
  <c r="I27" i="20"/>
  <c r="H15" i="30"/>
  <c r="H13" i="30"/>
  <c r="H12" i="30" s="1"/>
  <c r="O29" i="30"/>
  <c r="F26" i="49"/>
  <c r="G17" i="75"/>
  <c r="G17" i="59"/>
  <c r="N15" i="30"/>
  <c r="N13" i="30"/>
  <c r="N12" i="30" s="1"/>
  <c r="M15" i="30"/>
  <c r="O28" i="49"/>
  <c r="F18" i="49"/>
  <c r="F19" i="49" s="1"/>
  <c r="F20" i="49" s="1"/>
  <c r="W26" i="49" s="1"/>
  <c r="G26" i="49"/>
  <c r="H17" i="75"/>
  <c r="H17" i="59"/>
  <c r="D23" i="33"/>
  <c r="E131" i="75"/>
  <c r="E132" i="75" s="1"/>
  <c r="E126" i="59"/>
  <c r="P17" i="75"/>
  <c r="E123" i="59"/>
  <c r="E124" i="59" s="1"/>
  <c r="AC123" i="48"/>
  <c r="AD123" i="48" s="1"/>
  <c r="AB22" i="48"/>
  <c r="AD18" i="70"/>
  <c r="AD26" i="70" s="1"/>
  <c r="AD49" i="70"/>
  <c r="AD20" i="70" s="1"/>
  <c r="AD27" i="70" s="1"/>
  <c r="S25" i="38"/>
  <c r="M24" i="38"/>
  <c r="C58" i="26"/>
  <c r="C53" i="26" s="1"/>
  <c r="W94" i="26"/>
  <c r="H37" i="59"/>
  <c r="H38" i="59" s="1"/>
  <c r="H45" i="75"/>
  <c r="P37" i="59"/>
  <c r="P38" i="59" s="1"/>
  <c r="P45" i="75"/>
  <c r="V12" i="49"/>
  <c r="P29" i="49"/>
  <c r="P17" i="59"/>
  <c r="M34" i="75"/>
  <c r="M24" i="75"/>
  <c r="E48" i="26"/>
  <c r="Y94" i="26"/>
  <c r="J12" i="30"/>
  <c r="J46" i="30"/>
  <c r="R46" i="30"/>
  <c r="I45" i="75"/>
  <c r="I37" i="59"/>
  <c r="I38" i="59" s="1"/>
  <c r="I40" i="59" s="1"/>
  <c r="I29" i="49"/>
  <c r="Q45" i="75"/>
  <c r="Q46" i="75" s="1"/>
  <c r="Q37" i="59"/>
  <c r="Q38" i="59" s="1"/>
  <c r="Q29" i="49"/>
  <c r="I18" i="49"/>
  <c r="I19" i="49" s="1"/>
  <c r="N26" i="49"/>
  <c r="F28" i="49"/>
  <c r="W13" i="33"/>
  <c r="W10" i="33" s="1"/>
  <c r="F134" i="75" s="1"/>
  <c r="V13" i="33"/>
  <c r="U13" i="33"/>
  <c r="T13" i="33"/>
  <c r="N34" i="75"/>
  <c r="N24" i="75"/>
  <c r="AH12" i="26"/>
  <c r="X94" i="26"/>
  <c r="H13" i="20"/>
  <c r="Y12" i="20"/>
  <c r="H49" i="20"/>
  <c r="K12" i="30"/>
  <c r="K46" i="30"/>
  <c r="J48" i="75"/>
  <c r="R45" i="75"/>
  <c r="R46" i="75" s="1"/>
  <c r="R48" i="75" s="1"/>
  <c r="R37" i="59"/>
  <c r="R38" i="59" s="1"/>
  <c r="R40" i="59" s="1"/>
  <c r="R28" i="49"/>
  <c r="R29" i="49" s="1"/>
  <c r="G12" i="49"/>
  <c r="G28" i="49" s="1"/>
  <c r="O12" i="49"/>
  <c r="D18" i="49" s="1"/>
  <c r="D19" i="49" s="1"/>
  <c r="O26" i="49"/>
  <c r="J79" i="59"/>
  <c r="J77" i="59"/>
  <c r="J26" i="59" s="1"/>
  <c r="J91" i="59" s="1"/>
  <c r="R79" i="59"/>
  <c r="R77" i="59"/>
  <c r="R26" i="59" s="1"/>
  <c r="E134" i="75"/>
  <c r="AE94" i="26"/>
  <c r="I47" i="20"/>
  <c r="I49" i="20" s="1"/>
  <c r="I13" i="20" s="1"/>
  <c r="K45" i="75"/>
  <c r="K46" i="75" s="1"/>
  <c r="K48" i="75" s="1"/>
  <c r="K37" i="59"/>
  <c r="S45" i="75"/>
  <c r="S46" i="75" s="1"/>
  <c r="S37" i="59"/>
  <c r="S38" i="59" s="1"/>
  <c r="S40" i="59" s="1"/>
  <c r="S28" i="49"/>
  <c r="S29" i="49" s="1"/>
  <c r="C18" i="49"/>
  <c r="C19" i="49" s="1"/>
  <c r="T45" i="75"/>
  <c r="T46" i="75" s="1"/>
  <c r="T28" i="49"/>
  <c r="T29" i="49"/>
  <c r="G30" i="59"/>
  <c r="J83" i="26"/>
  <c r="D47" i="26"/>
  <c r="D45" i="26" s="1"/>
  <c r="J77" i="26"/>
  <c r="J75" i="26" s="1"/>
  <c r="D48" i="26"/>
  <c r="N30" i="26"/>
  <c r="N27" i="20"/>
  <c r="N26" i="20" s="1"/>
  <c r="M12" i="30"/>
  <c r="D28" i="49"/>
  <c r="D29" i="49" s="1"/>
  <c r="L28" i="49"/>
  <c r="L29" i="49" s="1"/>
  <c r="E17" i="75"/>
  <c r="E17" i="59"/>
  <c r="M17" i="75"/>
  <c r="M17" i="59"/>
  <c r="U17" i="75"/>
  <c r="U17" i="59"/>
  <c r="E20" i="33"/>
  <c r="AF94" i="26"/>
  <c r="E26" i="49"/>
  <c r="M26" i="49"/>
  <c r="F17" i="75"/>
  <c r="F17" i="59"/>
  <c r="N17" i="75"/>
  <c r="N17" i="59"/>
  <c r="V17" i="75"/>
  <c r="V17" i="59"/>
  <c r="D125" i="59"/>
  <c r="D129" i="59" s="1"/>
  <c r="J17" i="59"/>
  <c r="K77" i="59"/>
  <c r="K26" i="59" s="1"/>
  <c r="K79" i="59"/>
  <c r="Z125" i="48"/>
  <c r="AA125" i="48" s="1"/>
  <c r="Y24" i="48"/>
  <c r="S94" i="26"/>
  <c r="O27" i="20"/>
  <c r="O26" i="20" s="1"/>
  <c r="I46" i="30"/>
  <c r="J28" i="49"/>
  <c r="J29" i="49" s="1"/>
  <c r="H30" i="59"/>
  <c r="H91" i="59"/>
  <c r="Q28" i="75"/>
  <c r="L9" i="48"/>
  <c r="H37" i="48"/>
  <c r="T9" i="48"/>
  <c r="H40" i="48"/>
  <c r="L111" i="48"/>
  <c r="T94" i="26"/>
  <c r="G18" i="49"/>
  <c r="G19" i="49" s="1"/>
  <c r="K28" i="49"/>
  <c r="K29" i="49" s="1"/>
  <c r="R17" i="59"/>
  <c r="K91" i="59"/>
  <c r="S124" i="48"/>
  <c r="S20" i="48"/>
  <c r="U94" i="26"/>
  <c r="N30" i="30"/>
  <c r="N29" i="30" s="1"/>
  <c r="H18" i="49"/>
  <c r="H19" i="49" s="1"/>
  <c r="H20" i="49" s="1"/>
  <c r="K17" i="75"/>
  <c r="K17" i="59"/>
  <c r="S17" i="75"/>
  <c r="S17" i="59"/>
  <c r="L91" i="59"/>
  <c r="K38" i="59"/>
  <c r="K40" i="59" s="1"/>
  <c r="S79" i="59"/>
  <c r="I46" i="75"/>
  <c r="H99" i="75"/>
  <c r="G130" i="75"/>
  <c r="I110" i="48"/>
  <c r="I9" i="48"/>
  <c r="Q110" i="48"/>
  <c r="Q9" i="48"/>
  <c r="G20" i="48"/>
  <c r="O20" i="48"/>
  <c r="V94" i="26"/>
  <c r="D17" i="75"/>
  <c r="D101" i="75" s="1"/>
  <c r="D39" i="75" s="1"/>
  <c r="D17" i="59"/>
  <c r="D93" i="59" s="1"/>
  <c r="D31" i="59" s="1"/>
  <c r="D134" i="75"/>
  <c r="D131" i="75"/>
  <c r="D132" i="75" s="1"/>
  <c r="D123" i="59"/>
  <c r="D124" i="59" s="1"/>
  <c r="L17" i="75"/>
  <c r="L17" i="59"/>
  <c r="T17" i="75"/>
  <c r="T17" i="59"/>
  <c r="F131" i="75"/>
  <c r="F132" i="75" s="1"/>
  <c r="E23" i="33"/>
  <c r="D38" i="59"/>
  <c r="L38" i="59"/>
  <c r="T38" i="59"/>
  <c r="L99" i="75"/>
  <c r="L28" i="75"/>
  <c r="F82" i="48"/>
  <c r="F67" i="48"/>
  <c r="M132" i="48"/>
  <c r="M123" i="48"/>
  <c r="V77" i="59"/>
  <c r="K99" i="75"/>
  <c r="K28" i="75"/>
  <c r="Q29" i="75"/>
  <c r="W105" i="75"/>
  <c r="J20" i="48"/>
  <c r="P114" i="48"/>
  <c r="P136" i="48"/>
  <c r="AB18" i="70"/>
  <c r="AB26" i="70" s="1"/>
  <c r="H5" i="71" s="1"/>
  <c r="AB49" i="70"/>
  <c r="AB20" i="70" s="1"/>
  <c r="AB27" i="70" s="1"/>
  <c r="H6" i="71" s="1"/>
  <c r="Y18" i="70"/>
  <c r="Y26" i="70" s="1"/>
  <c r="E5" i="71" s="1"/>
  <c r="Y49" i="70"/>
  <c r="Y20" i="70" s="1"/>
  <c r="Y27" i="70" s="1"/>
  <c r="E6" i="71" s="1"/>
  <c r="O79" i="59"/>
  <c r="O34" i="75"/>
  <c r="O24" i="75"/>
  <c r="M107" i="48"/>
  <c r="U77" i="59"/>
  <c r="U26" i="59" s="1"/>
  <c r="M77" i="59"/>
  <c r="M26" i="59" s="1"/>
  <c r="P79" i="59"/>
  <c r="L79" i="59"/>
  <c r="G38" i="48"/>
  <c r="G59" i="48" s="1"/>
  <c r="G66" i="48" s="1"/>
  <c r="H9" i="48"/>
  <c r="P109" i="48"/>
  <c r="I38" i="48"/>
  <c r="R20" i="48"/>
  <c r="O77" i="59"/>
  <c r="O26" i="59" s="1"/>
  <c r="Q79" i="59"/>
  <c r="M79" i="59"/>
  <c r="W97" i="59"/>
  <c r="H46" i="75"/>
  <c r="P46" i="75"/>
  <c r="L110" i="48"/>
  <c r="H39" i="48"/>
  <c r="Q27" i="75"/>
  <c r="Q26" i="75" s="1"/>
  <c r="I99" i="75"/>
  <c r="G99" i="75"/>
  <c r="G38" i="75"/>
  <c r="X16" i="77"/>
  <c r="X19" i="77" s="1"/>
  <c r="H109" i="48"/>
  <c r="J114" i="48"/>
  <c r="J132" i="48" s="1"/>
  <c r="J119" i="48"/>
  <c r="J137" i="48" s="1"/>
  <c r="J133" i="48"/>
  <c r="R114" i="48"/>
  <c r="R123" i="48" s="1"/>
  <c r="R119" i="48"/>
  <c r="R133" i="48"/>
  <c r="I134" i="48"/>
  <c r="I114" i="48"/>
  <c r="J134" i="48"/>
  <c r="Q134" i="48"/>
  <c r="Q114" i="48"/>
  <c r="H135" i="48"/>
  <c r="H114" i="48"/>
  <c r="G136" i="48"/>
  <c r="H136" i="48"/>
  <c r="O138" i="48"/>
  <c r="P138" i="48"/>
  <c r="I101" i="75"/>
  <c r="R85" i="75"/>
  <c r="U111" i="48"/>
  <c r="J123" i="48"/>
  <c r="I24" i="33"/>
  <c r="F38" i="75"/>
  <c r="U87" i="75"/>
  <c r="U85" i="75"/>
  <c r="I107" i="48"/>
  <c r="H38" i="48"/>
  <c r="K20" i="48"/>
  <c r="K123" i="48"/>
  <c r="G91" i="48"/>
  <c r="AC22" i="48"/>
  <c r="Z22" i="48"/>
  <c r="X22" i="48"/>
  <c r="U123" i="48"/>
  <c r="AA22" i="48"/>
  <c r="Y22" i="48"/>
  <c r="Q124" i="48"/>
  <c r="L77" i="59"/>
  <c r="L26" i="59" s="1"/>
  <c r="J85" i="75"/>
  <c r="T85" i="75"/>
  <c r="V87" i="75"/>
  <c r="V85" i="75"/>
  <c r="J107" i="48"/>
  <c r="J9" i="48"/>
  <c r="G37" i="48"/>
  <c r="G58" i="48" s="1"/>
  <c r="G65" i="48" s="1"/>
  <c r="O110" i="48"/>
  <c r="L20" i="48"/>
  <c r="T123" i="48"/>
  <c r="T20" i="48"/>
  <c r="G124" i="48"/>
  <c r="W23" i="48"/>
  <c r="W20" i="48" s="1"/>
  <c r="D20" i="35" s="1"/>
  <c r="E22" i="55" s="1"/>
  <c r="D133" i="75"/>
  <c r="D137" i="75" s="1"/>
  <c r="K107" i="48"/>
  <c r="H110" i="48"/>
  <c r="G39" i="48"/>
  <c r="G60" i="48" s="1"/>
  <c r="G67" i="48" s="1"/>
  <c r="J90" i="48" s="1"/>
  <c r="K90" i="48" s="1"/>
  <c r="L90" i="48" s="1"/>
  <c r="P110" i="48"/>
  <c r="I39" i="48"/>
  <c r="H111" i="48"/>
  <c r="G40" i="48"/>
  <c r="G61" i="48" s="1"/>
  <c r="G68" i="48" s="1"/>
  <c r="I40" i="48"/>
  <c r="P111" i="48"/>
  <c r="I137" i="48"/>
  <c r="I124" i="48"/>
  <c r="X23" i="48"/>
  <c r="Y124" i="48"/>
  <c r="N111" i="48"/>
  <c r="I91" i="48" s="1"/>
  <c r="J91" i="48" s="1"/>
  <c r="K91" i="48" s="1"/>
  <c r="L91" i="48" s="1"/>
  <c r="H157" i="48"/>
  <c r="U107" i="48"/>
  <c r="S132" i="48"/>
  <c r="L119" i="48"/>
  <c r="L114" i="48"/>
  <c r="L132" i="48" s="1"/>
  <c r="T119" i="48"/>
  <c r="T124" i="48" s="1"/>
  <c r="T114" i="48"/>
  <c r="T107" i="48" s="1"/>
  <c r="R136" i="48"/>
  <c r="N107" i="48"/>
  <c r="H88" i="48" s="1"/>
  <c r="I88" i="48" s="1"/>
  <c r="J88" i="48" s="1"/>
  <c r="K88" i="48" s="1"/>
  <c r="L88" i="48" s="1"/>
  <c r="N123" i="48"/>
  <c r="F124" i="48"/>
  <c r="F126" i="48"/>
  <c r="N126" i="48"/>
  <c r="G88" i="48"/>
  <c r="G89" i="48"/>
  <c r="K135" i="48"/>
  <c r="S135" i="48"/>
  <c r="N137" i="48"/>
  <c r="G134" i="48"/>
  <c r="H107" i="48"/>
  <c r="I37" i="48"/>
  <c r="I109" i="48"/>
  <c r="Q109" i="48"/>
  <c r="H124" i="48"/>
  <c r="G114" i="48"/>
  <c r="G132" i="48" s="1"/>
  <c r="G119" i="48"/>
  <c r="G137" i="48" s="1"/>
  <c r="O114" i="48"/>
  <c r="O107" i="48" s="1"/>
  <c r="O119" i="48"/>
  <c r="O137" i="48" s="1"/>
  <c r="N134" i="48"/>
  <c r="N114" i="48"/>
  <c r="N132" i="48" s="1"/>
  <c r="M9" i="48"/>
  <c r="R109" i="48"/>
  <c r="F20" i="48"/>
  <c r="I123" i="48"/>
  <c r="Q123" i="48"/>
  <c r="Q20" i="48"/>
  <c r="E91" i="48"/>
  <c r="T157" i="48"/>
  <c r="T145" i="48" s="1"/>
  <c r="U145" i="48" s="1"/>
  <c r="V145" i="48" s="1"/>
  <c r="W145" i="48" s="1"/>
  <c r="X145" i="48" s="1"/>
  <c r="Y145" i="48" s="1"/>
  <c r="Z145" i="48" s="1"/>
  <c r="AA145" i="48" s="1"/>
  <c r="AB145" i="48" s="1"/>
  <c r="AC145" i="48" s="1"/>
  <c r="AB157" i="48"/>
  <c r="H133" i="48"/>
  <c r="P133" i="48"/>
  <c r="N135" i="48"/>
  <c r="X24" i="48"/>
  <c r="W126" i="48"/>
  <c r="L134" i="48"/>
  <c r="P157" i="48"/>
  <c r="X157" i="48"/>
  <c r="AA48" i="70"/>
  <c r="N48" i="38"/>
  <c r="L56" i="38"/>
  <c r="I69" i="38"/>
  <c r="I66" i="38"/>
  <c r="I70" i="38"/>
  <c r="I27" i="76"/>
  <c r="J27" i="76" s="1"/>
  <c r="W49" i="70"/>
  <c r="W20" i="70" s="1"/>
  <c r="W27" i="70" s="1"/>
  <c r="C6" i="71" s="1"/>
  <c r="W18" i="70"/>
  <c r="W26" i="70" s="1"/>
  <c r="C5" i="71" s="1"/>
  <c r="AE49" i="70"/>
  <c r="AE20" i="70" s="1"/>
  <c r="AE27" i="70" s="1"/>
  <c r="AE18" i="70"/>
  <c r="AE26" i="70" s="1"/>
  <c r="O24" i="38"/>
  <c r="K69" i="38"/>
  <c r="K66" i="38"/>
  <c r="I36" i="76"/>
  <c r="J36" i="76" s="1"/>
  <c r="Q29" i="38"/>
  <c r="S17" i="38"/>
  <c r="L16" i="38"/>
  <c r="I32" i="76"/>
  <c r="J32" i="76" s="1"/>
  <c r="AC157" i="48"/>
  <c r="M133" i="48"/>
  <c r="Z18" i="70"/>
  <c r="Z26" i="70" s="1"/>
  <c r="F5" i="71" s="1"/>
  <c r="Z49" i="70"/>
  <c r="Z20" i="70" s="1"/>
  <c r="Z27" i="70" s="1"/>
  <c r="F6" i="71" s="1"/>
  <c r="N16" i="38"/>
  <c r="T40" i="38"/>
  <c r="P39" i="38"/>
  <c r="S30" i="38"/>
  <c r="T17" i="40"/>
  <c r="I31" i="76"/>
  <c r="J31" i="76" s="1"/>
  <c r="C4" i="21"/>
  <c r="I9" i="21"/>
  <c r="H9" i="21"/>
  <c r="G9" i="21"/>
  <c r="L5" i="21"/>
  <c r="K5" i="21"/>
  <c r="M5" i="21"/>
  <c r="J5" i="21"/>
  <c r="E8" i="5"/>
  <c r="E6" i="21"/>
  <c r="E24" i="21" s="1"/>
  <c r="O42" i="30" s="1"/>
  <c r="M23" i="38"/>
  <c r="O23" i="38" s="1"/>
  <c r="R37" i="38"/>
  <c r="O56" i="38"/>
  <c r="M56" i="38"/>
  <c r="M14" i="40"/>
  <c r="M17" i="40" s="1"/>
  <c r="C5" i="21"/>
  <c r="F16" i="5"/>
  <c r="E5" i="21"/>
  <c r="E13" i="21"/>
  <c r="E14" i="21" s="1"/>
  <c r="D13" i="21"/>
  <c r="D14" i="21" s="1"/>
  <c r="C13" i="21"/>
  <c r="P5" i="21"/>
  <c r="O5" i="21"/>
  <c r="N5" i="21"/>
  <c r="Q5" i="21"/>
  <c r="B16" i="5"/>
  <c r="F9" i="21"/>
  <c r="P56" i="38"/>
  <c r="L66" i="38"/>
  <c r="L67" i="38"/>
  <c r="L70" i="38" s="1"/>
  <c r="C6" i="21"/>
  <c r="C20" i="21" s="1"/>
  <c r="M38" i="30" s="1"/>
  <c r="C24" i="21"/>
  <c r="M42" i="30" s="1"/>
  <c r="I4" i="21"/>
  <c r="H4" i="21"/>
  <c r="F4" i="21"/>
  <c r="H16" i="5"/>
  <c r="M16" i="38"/>
  <c r="M21" i="38"/>
  <c r="N21" i="38" s="1"/>
  <c r="P38" i="38"/>
  <c r="M15" i="40"/>
  <c r="O17" i="40"/>
  <c r="I37" i="76"/>
  <c r="J37" i="76" s="1"/>
  <c r="H38" i="76"/>
  <c r="G39" i="76"/>
  <c r="H5" i="21"/>
  <c r="G5" i="21"/>
  <c r="F5" i="21"/>
  <c r="I5" i="21"/>
  <c r="L11" i="38"/>
  <c r="L13" i="38"/>
  <c r="N13" i="38" s="1"/>
  <c r="N25" i="38"/>
  <c r="P31" i="38"/>
  <c r="P35" i="38"/>
  <c r="Q38" i="38"/>
  <c r="R38" i="38" s="1"/>
  <c r="Q42" i="38"/>
  <c r="J65" i="38"/>
  <c r="N15" i="40"/>
  <c r="K16" i="40"/>
  <c r="P17" i="40"/>
  <c r="G30" i="76"/>
  <c r="H30" i="76" s="1"/>
  <c r="N7" i="21"/>
  <c r="Q7" i="21"/>
  <c r="P7" i="21"/>
  <c r="O7" i="21"/>
  <c r="U12" i="21"/>
  <c r="T12" i="21"/>
  <c r="S12" i="21"/>
  <c r="R12" i="21"/>
  <c r="G82" i="21" s="1"/>
  <c r="J16" i="5"/>
  <c r="D6" i="21"/>
  <c r="L15" i="38"/>
  <c r="N15" i="38" s="1"/>
  <c r="O27" i="38"/>
  <c r="Q27" i="38" s="1"/>
  <c r="K65" i="38"/>
  <c r="K70" i="38" s="1"/>
  <c r="O15" i="40"/>
  <c r="L16" i="40"/>
  <c r="T16" i="40"/>
  <c r="Q14" i="40"/>
  <c r="Q16" i="40" s="1"/>
  <c r="L17" i="40"/>
  <c r="U4" i="21"/>
  <c r="AE25" i="59" s="1"/>
  <c r="AE30" i="59" s="1"/>
  <c r="L16" i="35" s="1"/>
  <c r="T4" i="21"/>
  <c r="AD25" i="59" s="1"/>
  <c r="AD30" i="59" s="1"/>
  <c r="K16" i="35" s="1"/>
  <c r="S4" i="21"/>
  <c r="R4" i="21"/>
  <c r="U49" i="21"/>
  <c r="R17" i="6"/>
  <c r="H21" i="21"/>
  <c r="P15" i="40"/>
  <c r="J14" i="40"/>
  <c r="J17" i="40" s="1"/>
  <c r="R14" i="40"/>
  <c r="R15" i="40" s="1"/>
  <c r="F7" i="21"/>
  <c r="I7" i="21"/>
  <c r="G7" i="21"/>
  <c r="M12" i="21"/>
  <c r="L12" i="21"/>
  <c r="J12" i="21"/>
  <c r="K12" i="21"/>
  <c r="Q9" i="21"/>
  <c r="P9" i="21"/>
  <c r="O9" i="21"/>
  <c r="N9" i="21"/>
  <c r="T5" i="21"/>
  <c r="AD24" i="59" s="1"/>
  <c r="S5" i="21"/>
  <c r="U5" i="21"/>
  <c r="AE24" i="59" s="1"/>
  <c r="R5" i="21"/>
  <c r="K16" i="5"/>
  <c r="M16" i="5"/>
  <c r="G16" i="5"/>
  <c r="V49" i="21"/>
  <c r="S17" i="6"/>
  <c r="C77" i="21"/>
  <c r="N55" i="38"/>
  <c r="N56" i="38" s="1"/>
  <c r="N16" i="40"/>
  <c r="K17" i="40"/>
  <c r="K14" i="40"/>
  <c r="K15" i="40" s="1"/>
  <c r="S14" i="40"/>
  <c r="S15" i="40" s="1"/>
  <c r="I28" i="76"/>
  <c r="J28" i="76" s="1"/>
  <c r="D16" i="5"/>
  <c r="M4" i="21"/>
  <c r="L4" i="21"/>
  <c r="K4" i="2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H7" i="21"/>
  <c r="B47" i="76"/>
  <c r="H10" i="21"/>
  <c r="R39" i="26" s="1"/>
  <c r="R17" i="26" s="1"/>
  <c r="G10" i="21"/>
  <c r="Q39" i="26" s="1"/>
  <c r="Q17" i="26" s="1"/>
  <c r="F10" i="21"/>
  <c r="L23" i="21"/>
  <c r="V41" i="30" s="1"/>
  <c r="V24" i="30" s="1"/>
  <c r="K18" i="21"/>
  <c r="K23" i="21"/>
  <c r="U41" i="30" s="1"/>
  <c r="K20" i="21"/>
  <c r="U38" i="30" s="1"/>
  <c r="AD75" i="30" s="1"/>
  <c r="J18" i="21"/>
  <c r="K6" i="21"/>
  <c r="K24" i="21"/>
  <c r="J20" i="21"/>
  <c r="T38" i="30" s="1"/>
  <c r="J6" i="21"/>
  <c r="J24" i="21"/>
  <c r="M18" i="21"/>
  <c r="M23" i="21"/>
  <c r="W41" i="30" s="1"/>
  <c r="W24" i="30" s="1"/>
  <c r="L18" i="21"/>
  <c r="P10" i="21"/>
  <c r="Z39" i="26" s="1"/>
  <c r="Z17" i="26" s="1"/>
  <c r="O10" i="21"/>
  <c r="Y39" i="26" s="1"/>
  <c r="Y17" i="26" s="1"/>
  <c r="N10" i="21"/>
  <c r="S6" i="21"/>
  <c r="AC45" i="30" s="1"/>
  <c r="J7" i="35" s="1"/>
  <c r="K9" i="55" s="1"/>
  <c r="R6" i="21"/>
  <c r="C16" i="5"/>
  <c r="P3" i="21"/>
  <c r="E9" i="21"/>
  <c r="W9" i="21" s="1"/>
  <c r="L6" i="21"/>
  <c r="L24" i="21" s="1"/>
  <c r="I10" i="21"/>
  <c r="S39" i="26" s="1"/>
  <c r="S17" i="26" s="1"/>
  <c r="D81" i="21"/>
  <c r="F81" i="21"/>
  <c r="F12" i="21"/>
  <c r="I12" i="21"/>
  <c r="M7" i="21"/>
  <c r="L7" i="21"/>
  <c r="J7" i="21"/>
  <c r="O12" i="21"/>
  <c r="N12" i="21"/>
  <c r="Q12" i="21"/>
  <c r="P12" i="21"/>
  <c r="U7" i="21"/>
  <c r="T7" i="21"/>
  <c r="R7" i="21"/>
  <c r="G77" i="21" s="1"/>
  <c r="L16" i="5"/>
  <c r="I3" i="21"/>
  <c r="W3" i="21" s="1"/>
  <c r="Q3" i="21"/>
  <c r="V16" i="6"/>
  <c r="Q49" i="21"/>
  <c r="Q17" i="6"/>
  <c r="M6" i="21"/>
  <c r="J10" i="21"/>
  <c r="D8" i="21"/>
  <c r="I13" i="21"/>
  <c r="I14" i="21" s="1"/>
  <c r="H13" i="21"/>
  <c r="H14" i="21" s="1"/>
  <c r="G13" i="21"/>
  <c r="G14" i="21" s="1"/>
  <c r="F13" i="21"/>
  <c r="J3" i="21"/>
  <c r="R3" i="21"/>
  <c r="G12" i="21"/>
  <c r="M19" i="21"/>
  <c r="W37" i="30" s="1"/>
  <c r="W20" i="30" s="1"/>
  <c r="W15" i="30" s="1"/>
  <c r="L19" i="21"/>
  <c r="V37" i="30" s="1"/>
  <c r="V20" i="30" s="1"/>
  <c r="V15" i="30" s="1"/>
  <c r="K19" i="21"/>
  <c r="U37" i="30" s="1"/>
  <c r="J19" i="21"/>
  <c r="T37" i="30" s="1"/>
  <c r="M9" i="21"/>
  <c r="L9" i="21"/>
  <c r="K9" i="21"/>
  <c r="E79" i="21" s="1"/>
  <c r="U9" i="21"/>
  <c r="T9" i="21"/>
  <c r="AD37" i="26" s="1"/>
  <c r="S9" i="21"/>
  <c r="T6" i="21"/>
  <c r="AD45" i="30" s="1"/>
  <c r="K7" i="35" s="1"/>
  <c r="S7" i="21"/>
  <c r="Q10" i="21"/>
  <c r="AA39" i="26" s="1"/>
  <c r="AA17" i="26" s="1"/>
  <c r="H12" i="21"/>
  <c r="C81" i="21"/>
  <c r="W11" i="21"/>
  <c r="H19" i="21"/>
  <c r="R37" i="30" s="1"/>
  <c r="G19" i="21"/>
  <c r="Q37" i="30" s="1"/>
  <c r="I23" i="21"/>
  <c r="S41" i="30" s="1"/>
  <c r="S24" i="30" s="1"/>
  <c r="S15" i="30" s="1"/>
  <c r="I20" i="21"/>
  <c r="S38" i="30" s="1"/>
  <c r="H18" i="21"/>
  <c r="I6" i="21"/>
  <c r="I24" i="21"/>
  <c r="H23" i="21"/>
  <c r="R41" i="30" s="1"/>
  <c r="R24" i="30" s="1"/>
  <c r="R13" i="30" s="1"/>
  <c r="R12" i="30" s="1"/>
  <c r="H20" i="21"/>
  <c r="R38" i="30" s="1"/>
  <c r="H24" i="21"/>
  <c r="G6" i="21"/>
  <c r="G24" i="21"/>
  <c r="F6" i="21"/>
  <c r="F23" i="21" s="1"/>
  <c r="P41" i="30" s="1"/>
  <c r="P24" i="30" s="1"/>
  <c r="I19" i="21"/>
  <c r="S37" i="30" s="1"/>
  <c r="L10" i="21"/>
  <c r="V39" i="26" s="1"/>
  <c r="V17" i="26" s="1"/>
  <c r="K10" i="21"/>
  <c r="U39" i="26" s="1"/>
  <c r="U17" i="26" s="1"/>
  <c r="Q6" i="21"/>
  <c r="AA45" i="30" s="1"/>
  <c r="H7" i="35" s="1"/>
  <c r="I9" i="55" s="1"/>
  <c r="P23" i="21"/>
  <c r="P24" i="21"/>
  <c r="O23" i="21"/>
  <c r="O6" i="21"/>
  <c r="Y45" i="30" s="1"/>
  <c r="F7" i="35" s="1"/>
  <c r="G9" i="55" s="1"/>
  <c r="O24" i="21"/>
  <c r="N6" i="21"/>
  <c r="T10" i="21"/>
  <c r="AD39" i="26" s="1"/>
  <c r="AD17" i="26" s="1"/>
  <c r="S10" i="21"/>
  <c r="AC39" i="26" s="1"/>
  <c r="AC17" i="26" s="1"/>
  <c r="U6" i="21"/>
  <c r="AE45" i="30" s="1"/>
  <c r="L7" i="35" s="1"/>
  <c r="R9" i="21"/>
  <c r="R10" i="21"/>
  <c r="E81" i="21"/>
  <c r="G81" i="21"/>
  <c r="D5" i="21"/>
  <c r="D10" i="21"/>
  <c r="N39" i="26" s="1"/>
  <c r="D7" i="21"/>
  <c r="W7" i="21" s="1"/>
  <c r="D12" i="21"/>
  <c r="C82" i="21" s="1"/>
  <c r="D4" i="21"/>
  <c r="E7" i="21"/>
  <c r="E12" i="21"/>
  <c r="E4" i="21"/>
  <c r="K27" i="76" l="1"/>
  <c r="E98" i="55"/>
  <c r="E72" i="55"/>
  <c r="W37" i="59"/>
  <c r="W45" i="75"/>
  <c r="W29" i="49"/>
  <c r="W28" i="49"/>
  <c r="D11" i="35"/>
  <c r="U98" i="75"/>
  <c r="U27" i="75"/>
  <c r="U26" i="75" s="1"/>
  <c r="U29" i="75" s="1"/>
  <c r="R19" i="25"/>
  <c r="R14" i="59" s="1"/>
  <c r="R90" i="59" s="1"/>
  <c r="P15" i="30"/>
  <c r="P13" i="30"/>
  <c r="P12" i="30" s="1"/>
  <c r="H90" i="59"/>
  <c r="H89" i="59" s="1"/>
  <c r="H92" i="59" s="1"/>
  <c r="H93" i="59"/>
  <c r="P98" i="75"/>
  <c r="P27" i="75"/>
  <c r="F27" i="75"/>
  <c r="F26" i="75" s="1"/>
  <c r="F29" i="75" s="1"/>
  <c r="F98" i="75"/>
  <c r="F97" i="75" s="1"/>
  <c r="F100" i="75" s="1"/>
  <c r="F101" i="75"/>
  <c r="F39" i="75" s="1"/>
  <c r="E98" i="75"/>
  <c r="E97" i="75" s="1"/>
  <c r="E100" i="75" s="1"/>
  <c r="E27" i="75"/>
  <c r="E26" i="75" s="1"/>
  <c r="E29" i="75" s="1"/>
  <c r="E101" i="75"/>
  <c r="E39" i="75" s="1"/>
  <c r="N17" i="26"/>
  <c r="U38" i="21"/>
  <c r="M38" i="21"/>
  <c r="T38" i="21"/>
  <c r="S38" i="21"/>
  <c r="R38" i="21"/>
  <c r="Q38" i="21"/>
  <c r="P38" i="21"/>
  <c r="O38" i="21"/>
  <c r="V38" i="21"/>
  <c r="N38" i="21"/>
  <c r="W37" i="26"/>
  <c r="S15" i="21"/>
  <c r="AC38" i="26"/>
  <c r="D21" i="21"/>
  <c r="N45" i="30"/>
  <c r="O33" i="75"/>
  <c r="O38" i="75" s="1"/>
  <c r="O23" i="75"/>
  <c r="O28" i="75" s="1"/>
  <c r="O25" i="59"/>
  <c r="O30" i="59" s="1"/>
  <c r="H5" i="50" s="1"/>
  <c r="F75" i="21"/>
  <c r="X32" i="75"/>
  <c r="X24" i="59"/>
  <c r="K71" i="38"/>
  <c r="K73" i="38"/>
  <c r="U34" i="75"/>
  <c r="U24" i="75"/>
  <c r="I39" i="75"/>
  <c r="H43" i="48"/>
  <c r="H60" i="48"/>
  <c r="H67" i="48" s="1"/>
  <c r="F126" i="59"/>
  <c r="U47" i="20"/>
  <c r="N9" i="50"/>
  <c r="T47" i="20"/>
  <c r="M9" i="50"/>
  <c r="AB125" i="48"/>
  <c r="AA24" i="48"/>
  <c r="G20" i="33"/>
  <c r="N37" i="59"/>
  <c r="N38" i="59" s="1"/>
  <c r="N40" i="59" s="1"/>
  <c r="N45" i="75"/>
  <c r="N46" i="75" s="1"/>
  <c r="N29" i="49"/>
  <c r="R15" i="30"/>
  <c r="Y47" i="20"/>
  <c r="F3" i="35"/>
  <c r="G5" i="55" s="1"/>
  <c r="I28" i="20"/>
  <c r="L48" i="75"/>
  <c r="X14" i="25"/>
  <c r="X13" i="25" s="1"/>
  <c r="Y12" i="25"/>
  <c r="V16" i="75"/>
  <c r="V16" i="59"/>
  <c r="W20" i="25"/>
  <c r="C9" i="35"/>
  <c r="D11" i="55" s="1"/>
  <c r="H27" i="75"/>
  <c r="H26" i="75" s="1"/>
  <c r="H29" i="75" s="1"/>
  <c r="H98" i="75"/>
  <c r="H97" i="75" s="1"/>
  <c r="H100" i="75" s="1"/>
  <c r="F21" i="21"/>
  <c r="D76" i="21"/>
  <c r="P45" i="30"/>
  <c r="E80" i="21"/>
  <c r="T39" i="26"/>
  <c r="T17" i="26" s="1"/>
  <c r="V36" i="30"/>
  <c r="D74" i="21"/>
  <c r="P33" i="75"/>
  <c r="P38" i="75" s="1"/>
  <c r="P23" i="75"/>
  <c r="P28" i="75" s="1"/>
  <c r="P25" i="59"/>
  <c r="P30" i="59" s="1"/>
  <c r="I5" i="50" s="1"/>
  <c r="R132" i="48"/>
  <c r="R107" i="48"/>
  <c r="I85" i="55"/>
  <c r="I59" i="55"/>
  <c r="D83" i="21"/>
  <c r="F14" i="21"/>
  <c r="D80" i="21"/>
  <c r="P39" i="26"/>
  <c r="P17" i="26" s="1"/>
  <c r="S16" i="40"/>
  <c r="S25" i="59"/>
  <c r="S30" i="59" s="1"/>
  <c r="L5" i="50" s="1"/>
  <c r="S33" i="75"/>
  <c r="S38" i="75" s="1"/>
  <c r="S23" i="75"/>
  <c r="S28" i="75" s="1"/>
  <c r="K15" i="35"/>
  <c r="I44" i="48"/>
  <c r="I61" i="48"/>
  <c r="I68" i="48" s="1"/>
  <c r="J40" i="48"/>
  <c r="T24" i="75"/>
  <c r="T34" i="75"/>
  <c r="J124" i="48"/>
  <c r="O9" i="50"/>
  <c r="V47" i="20"/>
  <c r="C3" i="35"/>
  <c r="D5" i="55" s="1"/>
  <c r="AF47" i="20"/>
  <c r="M3" i="35"/>
  <c r="W13" i="30"/>
  <c r="I20" i="49"/>
  <c r="S13" i="30"/>
  <c r="S12" i="30" s="1"/>
  <c r="AE123" i="48"/>
  <c r="AD22" i="48"/>
  <c r="D88" i="55"/>
  <c r="D62" i="55"/>
  <c r="J20" i="49"/>
  <c r="U90" i="59"/>
  <c r="F14" i="59"/>
  <c r="P15" i="21"/>
  <c r="Z38" i="26"/>
  <c r="P48" i="38"/>
  <c r="J67" i="38"/>
  <c r="K35" i="21"/>
  <c r="G29" i="21"/>
  <c r="D19" i="21"/>
  <c r="N37" i="30" s="1"/>
  <c r="H59" i="48"/>
  <c r="H66" i="48" s="1"/>
  <c r="H42" i="48"/>
  <c r="F76" i="21"/>
  <c r="X45" i="30"/>
  <c r="E7" i="35" s="1"/>
  <c r="F9" i="55" s="1"/>
  <c r="F19" i="21"/>
  <c r="P37" i="30" s="1"/>
  <c r="T15" i="21"/>
  <c r="AD38" i="26"/>
  <c r="AD35" i="26" s="1"/>
  <c r="D75" i="21"/>
  <c r="P32" i="75"/>
  <c r="P99" i="75" s="1"/>
  <c r="P24" i="59"/>
  <c r="E21" i="21"/>
  <c r="O45" i="30"/>
  <c r="D82" i="21"/>
  <c r="S17" i="40"/>
  <c r="P29" i="21"/>
  <c r="D18" i="21"/>
  <c r="Q4" i="21"/>
  <c r="P4" i="21"/>
  <c r="W4" i="21" s="1"/>
  <c r="O4" i="21"/>
  <c r="N4" i="21"/>
  <c r="G21" i="21"/>
  <c r="Q45" i="30"/>
  <c r="AD13" i="26"/>
  <c r="H15" i="21"/>
  <c r="R38" i="26"/>
  <c r="K85" i="55"/>
  <c r="K59" i="55"/>
  <c r="U24" i="30"/>
  <c r="AD61" i="30" s="1"/>
  <c r="AD78" i="30"/>
  <c r="E74" i="21"/>
  <c r="T23" i="75"/>
  <c r="T28" i="75" s="1"/>
  <c r="T25" i="59"/>
  <c r="T33" i="75"/>
  <c r="T39" i="21"/>
  <c r="S39" i="21"/>
  <c r="R39" i="21"/>
  <c r="Q39" i="21"/>
  <c r="F79" i="21"/>
  <c r="P39" i="21"/>
  <c r="O39" i="21"/>
  <c r="V39" i="21"/>
  <c r="N39" i="21"/>
  <c r="U39" i="21"/>
  <c r="X37" i="26"/>
  <c r="M16" i="40"/>
  <c r="AC33" i="75"/>
  <c r="AC38" i="75" s="1"/>
  <c r="AC23" i="75"/>
  <c r="AC25" i="59"/>
  <c r="AC30" i="59" s="1"/>
  <c r="Q35" i="21"/>
  <c r="M35" i="21"/>
  <c r="N11" i="38"/>
  <c r="U29" i="21"/>
  <c r="I29" i="21"/>
  <c r="R32" i="75"/>
  <c r="R24" i="59"/>
  <c r="E20" i="21"/>
  <c r="O38" i="30" s="1"/>
  <c r="L71" i="38"/>
  <c r="Z32" i="75"/>
  <c r="Z24" i="59"/>
  <c r="N19" i="21"/>
  <c r="W12" i="21"/>
  <c r="S31" i="38"/>
  <c r="O30" i="38"/>
  <c r="Q30" i="38" s="1"/>
  <c r="Z24" i="48"/>
  <c r="I41" i="48"/>
  <c r="J37" i="48"/>
  <c r="I58" i="48"/>
  <c r="I65" i="48" s="1"/>
  <c r="L123" i="48"/>
  <c r="J34" i="75"/>
  <c r="J99" i="75" s="1"/>
  <c r="J24" i="75"/>
  <c r="J28" i="75" s="1"/>
  <c r="Y20" i="48"/>
  <c r="F20" i="35" s="1"/>
  <c r="G22" i="55" s="1"/>
  <c r="I132" i="48"/>
  <c r="K132" i="48"/>
  <c r="I59" i="48"/>
  <c r="I66" i="48" s="1"/>
  <c r="I42" i="48"/>
  <c r="J38" i="48"/>
  <c r="G90" i="48"/>
  <c r="X104" i="75"/>
  <c r="X106" i="75" s="1"/>
  <c r="X105" i="75" s="1"/>
  <c r="F90" i="48"/>
  <c r="H137" i="48"/>
  <c r="H61" i="48"/>
  <c r="H68" i="48" s="1"/>
  <c r="H44" i="48"/>
  <c r="N78" i="26"/>
  <c r="N15" i="26"/>
  <c r="N29" i="26"/>
  <c r="O30" i="26"/>
  <c r="O37" i="59"/>
  <c r="O38" i="59" s="1"/>
  <c r="O45" i="75"/>
  <c r="O46" i="75" s="1"/>
  <c r="O48" i="75" s="1"/>
  <c r="O29" i="49"/>
  <c r="X47" i="20"/>
  <c r="E3" i="35"/>
  <c r="F5" i="55" s="1"/>
  <c r="V29" i="49"/>
  <c r="Z47" i="20"/>
  <c r="G3" i="35"/>
  <c r="H5" i="55" s="1"/>
  <c r="M48" i="20"/>
  <c r="M49" i="20" s="1"/>
  <c r="F2" i="50"/>
  <c r="I90" i="59"/>
  <c r="I89" i="59" s="1"/>
  <c r="I92" i="59" s="1"/>
  <c r="I101" i="59" s="1"/>
  <c r="I29" i="59" s="1"/>
  <c r="I93" i="59"/>
  <c r="AA40" i="75"/>
  <c r="AA32" i="59"/>
  <c r="J30" i="76"/>
  <c r="I30" i="76"/>
  <c r="K29" i="21"/>
  <c r="D20" i="21"/>
  <c r="N38" i="30" s="1"/>
  <c r="P40" i="38"/>
  <c r="R40" i="38" s="1"/>
  <c r="T41" i="38"/>
  <c r="AE13" i="33"/>
  <c r="AD13" i="33"/>
  <c r="AC13" i="33"/>
  <c r="AB13" i="33"/>
  <c r="AG13" i="33"/>
  <c r="AF13" i="33"/>
  <c r="P132" i="48"/>
  <c r="P123" i="48"/>
  <c r="AC24" i="59"/>
  <c r="AC32" i="75"/>
  <c r="G15" i="21"/>
  <c r="Q38" i="26"/>
  <c r="R14" i="21"/>
  <c r="G83" i="21"/>
  <c r="V51" i="21"/>
  <c r="V50" i="21"/>
  <c r="P35" i="21"/>
  <c r="M29" i="21"/>
  <c r="W6" i="21"/>
  <c r="C76" i="21"/>
  <c r="C21" i="21"/>
  <c r="M39" i="30" s="1"/>
  <c r="M45" i="30"/>
  <c r="S34" i="21"/>
  <c r="K34" i="21"/>
  <c r="R34" i="21"/>
  <c r="J34" i="21"/>
  <c r="Q34" i="21"/>
  <c r="I34" i="21"/>
  <c r="P34" i="21"/>
  <c r="O34" i="21"/>
  <c r="V34" i="21"/>
  <c r="N34" i="21"/>
  <c r="U34" i="21"/>
  <c r="M34" i="21"/>
  <c r="T34" i="21"/>
  <c r="L34" i="21"/>
  <c r="S37" i="26"/>
  <c r="S18" i="38"/>
  <c r="L17" i="38"/>
  <c r="N17" i="38" s="1"/>
  <c r="G80" i="21"/>
  <c r="AB39" i="26"/>
  <c r="AB17" i="26" s="1"/>
  <c r="N33" i="75"/>
  <c r="N38" i="75" s="1"/>
  <c r="N23" i="75"/>
  <c r="N28" i="75" s="1"/>
  <c r="N25" i="59"/>
  <c r="N30" i="59" s="1"/>
  <c r="G5" i="50" s="1"/>
  <c r="R43" i="21"/>
  <c r="G79" i="21"/>
  <c r="V43" i="21"/>
  <c r="U43" i="21"/>
  <c r="T43" i="21"/>
  <c r="S43" i="21"/>
  <c r="AB37" i="26"/>
  <c r="G85" i="55"/>
  <c r="G59" i="55"/>
  <c r="F18" i="21"/>
  <c r="I21" i="21"/>
  <c r="S45" i="30"/>
  <c r="W10" i="21"/>
  <c r="I15" i="21"/>
  <c r="S38" i="26"/>
  <c r="F82" i="21"/>
  <c r="F80" i="21"/>
  <c r="X39" i="26"/>
  <c r="X17" i="26" s="1"/>
  <c r="E76" i="21"/>
  <c r="J21" i="21"/>
  <c r="T45" i="30"/>
  <c r="D47" i="76"/>
  <c r="B48" i="76"/>
  <c r="F83" i="21"/>
  <c r="N14" i="21"/>
  <c r="U23" i="75"/>
  <c r="U28" i="75" s="1"/>
  <c r="U33" i="75"/>
  <c r="U38" i="75" s="1"/>
  <c r="U25" i="59"/>
  <c r="U30" i="59" s="1"/>
  <c r="N5" i="50" s="1"/>
  <c r="T40" i="21"/>
  <c r="S40" i="21"/>
  <c r="R40" i="21"/>
  <c r="Q40" i="21"/>
  <c r="P40" i="21"/>
  <c r="O40" i="21"/>
  <c r="V40" i="21"/>
  <c r="U40" i="21"/>
  <c r="Y37" i="26"/>
  <c r="U35" i="21"/>
  <c r="J70" i="38"/>
  <c r="S24" i="59"/>
  <c r="S32" i="75"/>
  <c r="S99" i="75" s="1"/>
  <c r="F29" i="21"/>
  <c r="Q29" i="21"/>
  <c r="H39" i="76"/>
  <c r="G40" i="76"/>
  <c r="E23" i="21"/>
  <c r="O41" i="30" s="1"/>
  <c r="O24" i="30" s="1"/>
  <c r="C23" i="21"/>
  <c r="M41" i="30" s="1"/>
  <c r="L69" i="38"/>
  <c r="C14" i="21"/>
  <c r="C83" i="21"/>
  <c r="W13" i="21"/>
  <c r="E75" i="21"/>
  <c r="AA49" i="70"/>
  <c r="AA20" i="70" s="1"/>
  <c r="AA27" i="70" s="1"/>
  <c r="G6" i="71" s="1"/>
  <c r="AA18" i="70"/>
  <c r="AA26" i="70" s="1"/>
  <c r="G5" i="71" s="1"/>
  <c r="P107" i="48"/>
  <c r="X96" i="59"/>
  <c r="X98" i="59" s="1"/>
  <c r="X97" i="59" s="1"/>
  <c r="O30" i="73"/>
  <c r="O109" i="48"/>
  <c r="D20" i="49"/>
  <c r="Q40" i="59"/>
  <c r="R47" i="20"/>
  <c r="K9" i="50"/>
  <c r="V20" i="74"/>
  <c r="W20" i="74" s="1"/>
  <c r="X20" i="74" s="1"/>
  <c r="Y20" i="74" s="1"/>
  <c r="Z20" i="74" s="1"/>
  <c r="AA20" i="74" s="1"/>
  <c r="AB20" i="74" s="1"/>
  <c r="AC20" i="74" s="1"/>
  <c r="U19" i="74"/>
  <c r="T19" i="25"/>
  <c r="T14" i="59" s="1"/>
  <c r="T90" i="59" s="1"/>
  <c r="J19" i="25"/>
  <c r="J14" i="75" s="1"/>
  <c r="I98" i="75"/>
  <c r="I97" i="75" s="1"/>
  <c r="I100" i="75" s="1"/>
  <c r="I109" i="75" s="1"/>
  <c r="I37" i="75" s="1"/>
  <c r="I27" i="75"/>
  <c r="I26" i="75" s="1"/>
  <c r="I29" i="75" s="1"/>
  <c r="E47" i="26"/>
  <c r="E45" i="26" s="1"/>
  <c r="P25" i="21"/>
  <c r="Z43" i="30" s="1"/>
  <c r="Z41" i="30"/>
  <c r="Z24" i="30" s="1"/>
  <c r="E83" i="21"/>
  <c r="J14" i="21"/>
  <c r="V14" i="40"/>
  <c r="J15" i="40"/>
  <c r="L35" i="21"/>
  <c r="H29" i="21"/>
  <c r="Q33" i="21"/>
  <c r="I33" i="21"/>
  <c r="P33" i="21"/>
  <c r="H33" i="21"/>
  <c r="O33" i="21"/>
  <c r="V33" i="21"/>
  <c r="N33" i="21"/>
  <c r="U33" i="21"/>
  <c r="M33" i="21"/>
  <c r="T33" i="21"/>
  <c r="L33" i="21"/>
  <c r="S33" i="21"/>
  <c r="K33" i="21"/>
  <c r="R33" i="21"/>
  <c r="J33" i="21"/>
  <c r="R37" i="26"/>
  <c r="R35" i="26" s="1"/>
  <c r="N23" i="21"/>
  <c r="X41" i="30" s="1"/>
  <c r="X24" i="30" s="1"/>
  <c r="W36" i="30"/>
  <c r="G74" i="21"/>
  <c r="AB33" i="75"/>
  <c r="AB38" i="75" s="1"/>
  <c r="AB25" i="59"/>
  <c r="AB30" i="59" s="1"/>
  <c r="AB23" i="75"/>
  <c r="I90" i="48"/>
  <c r="O25" i="21"/>
  <c r="Y43" i="30" s="1"/>
  <c r="Y41" i="30"/>
  <c r="Y24" i="30" s="1"/>
  <c r="G20" i="21"/>
  <c r="Q38" i="30" s="1"/>
  <c r="R36" i="30"/>
  <c r="R36" i="21"/>
  <c r="Q36" i="21"/>
  <c r="P36" i="21"/>
  <c r="O36" i="21"/>
  <c r="V36" i="21"/>
  <c r="N36" i="21"/>
  <c r="U36" i="21"/>
  <c r="M36" i="21"/>
  <c r="T36" i="21"/>
  <c r="L36" i="21"/>
  <c r="S36" i="21"/>
  <c r="K36" i="21"/>
  <c r="U37" i="26"/>
  <c r="C80" i="21"/>
  <c r="C79" i="21"/>
  <c r="U36" i="30"/>
  <c r="AD73" i="30" s="1"/>
  <c r="V23" i="75"/>
  <c r="V25" i="59"/>
  <c r="V30" i="59" s="1"/>
  <c r="V33" i="75"/>
  <c r="V38" i="75" s="1"/>
  <c r="U41" i="21"/>
  <c r="T41" i="21"/>
  <c r="S41" i="21"/>
  <c r="R41" i="21"/>
  <c r="Q41" i="21"/>
  <c r="P41" i="21"/>
  <c r="V41" i="21"/>
  <c r="Z37" i="26"/>
  <c r="D77" i="21"/>
  <c r="J35" i="21"/>
  <c r="N35" i="21"/>
  <c r="N29" i="21"/>
  <c r="N28" i="21" s="1"/>
  <c r="X83" i="26" s="1"/>
  <c r="J29" i="21"/>
  <c r="I38" i="76"/>
  <c r="J38" i="76"/>
  <c r="E18" i="21"/>
  <c r="D24" i="21"/>
  <c r="N42" i="30" s="1"/>
  <c r="D15" i="21"/>
  <c r="N38" i="26"/>
  <c r="W24" i="59"/>
  <c r="W32" i="75"/>
  <c r="E16" i="5"/>
  <c r="I71" i="38"/>
  <c r="I73" i="38"/>
  <c r="O132" i="48"/>
  <c r="Y23" i="48"/>
  <c r="Z124" i="48"/>
  <c r="J39" i="48"/>
  <c r="I60" i="48"/>
  <c r="I67" i="48" s="1"/>
  <c r="I43" i="48"/>
  <c r="T109" i="48"/>
  <c r="F123" i="59"/>
  <c r="F124" i="59" s="1"/>
  <c r="S48" i="75"/>
  <c r="AE47" i="20"/>
  <c r="L3" i="35"/>
  <c r="Q48" i="75"/>
  <c r="S26" i="38"/>
  <c r="M26" i="38" s="1"/>
  <c r="O26" i="38" s="1"/>
  <c r="M25" i="38"/>
  <c r="O25" i="38" s="1"/>
  <c r="V13" i="30"/>
  <c r="V12" i="30" s="1"/>
  <c r="X27" i="20"/>
  <c r="D5" i="35"/>
  <c r="E7" i="55" s="1"/>
  <c r="L19" i="25"/>
  <c r="L14" i="59" s="1"/>
  <c r="L90" i="59" s="1"/>
  <c r="L89" i="59" s="1"/>
  <c r="L92" i="59" s="1"/>
  <c r="O14" i="75"/>
  <c r="O14" i="59"/>
  <c r="O90" i="59" s="1"/>
  <c r="P187" i="65"/>
  <c r="AC27" i="30"/>
  <c r="E14" i="59"/>
  <c r="Q30" i="21"/>
  <c r="I30" i="21"/>
  <c r="P30" i="21"/>
  <c r="H30" i="21"/>
  <c r="O30" i="21"/>
  <c r="G30" i="21"/>
  <c r="V30" i="21"/>
  <c r="N30" i="21"/>
  <c r="F30" i="21"/>
  <c r="U30" i="21"/>
  <c r="M30" i="21"/>
  <c r="E30" i="21"/>
  <c r="T30" i="21"/>
  <c r="L30" i="21"/>
  <c r="S30" i="21"/>
  <c r="K30" i="21"/>
  <c r="R30" i="21"/>
  <c r="J30" i="21"/>
  <c r="O37" i="26"/>
  <c r="G75" i="21"/>
  <c r="AB24" i="59"/>
  <c r="AB32" i="75"/>
  <c r="L29" i="21"/>
  <c r="L28" i="21" s="1"/>
  <c r="V24" i="59"/>
  <c r="V32" i="75"/>
  <c r="AD74" i="30"/>
  <c r="U20" i="30"/>
  <c r="T51" i="21"/>
  <c r="T50" i="21"/>
  <c r="V17" i="6"/>
  <c r="T36" i="30"/>
  <c r="O35" i="21"/>
  <c r="E29" i="21"/>
  <c r="E28" i="21" s="1"/>
  <c r="J16" i="40"/>
  <c r="W5" i="21"/>
  <c r="C75" i="21"/>
  <c r="M24" i="59"/>
  <c r="M32" i="75"/>
  <c r="Q23" i="21"/>
  <c r="V44" i="21"/>
  <c r="U44" i="21"/>
  <c r="T44" i="21"/>
  <c r="S44" i="21"/>
  <c r="AC37" i="26"/>
  <c r="G76" i="21"/>
  <c r="AB45" i="30"/>
  <c r="I7" i="35" s="1"/>
  <c r="J9" i="55" s="1"/>
  <c r="M15" i="21"/>
  <c r="W38" i="26"/>
  <c r="T35" i="21"/>
  <c r="Q32" i="75"/>
  <c r="Q99" i="75" s="1"/>
  <c r="Q24" i="59"/>
  <c r="Y32" i="75"/>
  <c r="Y24" i="59"/>
  <c r="F24" i="21"/>
  <c r="G23" i="21"/>
  <c r="Q41" i="30" s="1"/>
  <c r="Q24" i="30" s="1"/>
  <c r="O37" i="21"/>
  <c r="V37" i="21"/>
  <c r="N37" i="21"/>
  <c r="U37" i="21"/>
  <c r="M37" i="21"/>
  <c r="T37" i="21"/>
  <c r="L37" i="21"/>
  <c r="S37" i="21"/>
  <c r="R37" i="21"/>
  <c r="Q37" i="21"/>
  <c r="P37" i="21"/>
  <c r="V37" i="2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I48" i="21"/>
  <c r="P48" i="21"/>
  <c r="H48" i="21"/>
  <c r="E77" i="21"/>
  <c r="L21" i="21"/>
  <c r="V45" i="30"/>
  <c r="J23" i="21"/>
  <c r="T41" i="30" s="1"/>
  <c r="T24" i="30" s="1"/>
  <c r="L20" i="21"/>
  <c r="V38" i="30" s="1"/>
  <c r="K15" i="21"/>
  <c r="U38" i="26"/>
  <c r="O15" i="21"/>
  <c r="Y38" i="26"/>
  <c r="W33" i="75"/>
  <c r="W38" i="75" s="1"/>
  <c r="W23" i="75"/>
  <c r="W25" i="59"/>
  <c r="W30" i="59" s="1"/>
  <c r="Q15" i="40"/>
  <c r="V42" i="21"/>
  <c r="U42" i="21"/>
  <c r="T42" i="21"/>
  <c r="S42" i="21"/>
  <c r="R42" i="21"/>
  <c r="Q42" i="21"/>
  <c r="AA37" i="26"/>
  <c r="H22" i="21"/>
  <c r="R40" i="30" s="1"/>
  <c r="R39" i="30"/>
  <c r="R35" i="21"/>
  <c r="V35" i="21"/>
  <c r="D29" i="21"/>
  <c r="D28" i="21" s="1"/>
  <c r="V29" i="21"/>
  <c r="R29" i="21"/>
  <c r="C19" i="21"/>
  <c r="M37" i="30" s="1"/>
  <c r="C18" i="21"/>
  <c r="P31" i="21"/>
  <c r="H31" i="21"/>
  <c r="O31" i="21"/>
  <c r="G31" i="21"/>
  <c r="V31" i="21"/>
  <c r="N31" i="21"/>
  <c r="F31" i="21"/>
  <c r="U31" i="21"/>
  <c r="M31" i="21"/>
  <c r="T31" i="21"/>
  <c r="L31" i="21"/>
  <c r="S31" i="21"/>
  <c r="K31" i="21"/>
  <c r="D79" i="21"/>
  <c r="R31" i="21"/>
  <c r="J31" i="21"/>
  <c r="Q31" i="21"/>
  <c r="I31" i="21"/>
  <c r="P37" i="26"/>
  <c r="E15" i="21"/>
  <c r="O38" i="26"/>
  <c r="U24" i="59"/>
  <c r="U32" i="75"/>
  <c r="U99" i="75" s="1"/>
  <c r="C74" i="21"/>
  <c r="M33" i="75"/>
  <c r="M38" i="75" s="1"/>
  <c r="M23" i="75"/>
  <c r="M28" i="75" s="1"/>
  <c r="M25" i="59"/>
  <c r="M30" i="59" s="1"/>
  <c r="F5" i="50" s="1"/>
  <c r="L137" i="48"/>
  <c r="L124" i="48"/>
  <c r="O124" i="48"/>
  <c r="X20" i="48"/>
  <c r="E20" i="35" s="1"/>
  <c r="F22" i="55" s="1"/>
  <c r="L109" i="48"/>
  <c r="H132" i="48"/>
  <c r="H123" i="48"/>
  <c r="R137" i="48"/>
  <c r="S137" i="48"/>
  <c r="P48" i="75"/>
  <c r="K137" i="48"/>
  <c r="H101" i="75"/>
  <c r="O123" i="48"/>
  <c r="H58" i="48"/>
  <c r="H65" i="48" s="1"/>
  <c r="H41" i="48"/>
  <c r="S47" i="20"/>
  <c r="L9" i="50"/>
  <c r="M137" i="48"/>
  <c r="J40" i="59"/>
  <c r="F37" i="59"/>
  <c r="F38" i="59" s="1"/>
  <c r="F40" i="59" s="1"/>
  <c r="F45" i="75"/>
  <c r="F46" i="75" s="1"/>
  <c r="F29" i="49"/>
  <c r="E2" i="50"/>
  <c r="L48" i="20"/>
  <c r="L49" i="20" s="1"/>
  <c r="E20" i="49"/>
  <c r="K48" i="20"/>
  <c r="K49" i="20" s="1"/>
  <c r="D2" i="50"/>
  <c r="S14" i="59"/>
  <c r="S90" i="59" s="1"/>
  <c r="D98" i="75"/>
  <c r="D97" i="75" s="1"/>
  <c r="D100" i="75" s="1"/>
  <c r="D109" i="75" s="1"/>
  <c r="D37" i="75" s="1"/>
  <c r="D41" i="75" s="1"/>
  <c r="D27" i="75"/>
  <c r="D26" i="75" s="1"/>
  <c r="D29" i="75" s="1"/>
  <c r="AB46" i="72"/>
  <c r="AB51" i="72" s="1"/>
  <c r="P14" i="59"/>
  <c r="P90" i="59" s="1"/>
  <c r="M14" i="59"/>
  <c r="M90" i="59" s="1"/>
  <c r="M14" i="75"/>
  <c r="AB47" i="20"/>
  <c r="I3" i="35"/>
  <c r="J5" i="55" s="1"/>
  <c r="W11" i="30"/>
  <c r="P26" i="20"/>
  <c r="K14" i="75"/>
  <c r="K14" i="59"/>
  <c r="K90" i="59" s="1"/>
  <c r="K89" i="59" s="1"/>
  <c r="K92" i="59" s="1"/>
  <c r="D90" i="59"/>
  <c r="D89" i="59" s="1"/>
  <c r="D92" i="59" s="1"/>
  <c r="D101" i="59" s="1"/>
  <c r="D29" i="59" s="1"/>
  <c r="D33" i="59" s="1"/>
  <c r="S19" i="25"/>
  <c r="S14" i="75" s="1"/>
  <c r="G14" i="75"/>
  <c r="G14" i="59"/>
  <c r="P185" i="65"/>
  <c r="Q185" i="65" s="1"/>
  <c r="AC95" i="26"/>
  <c r="AC94" i="26" s="1"/>
  <c r="O32" i="75"/>
  <c r="O99" i="75" s="1"/>
  <c r="O24" i="59"/>
  <c r="V26" i="59"/>
  <c r="W77" i="59"/>
  <c r="M37" i="59"/>
  <c r="M38" i="59" s="1"/>
  <c r="M40" i="59" s="1"/>
  <c r="M45" i="75"/>
  <c r="M46" i="75" s="1"/>
  <c r="M48" i="75" s="1"/>
  <c r="M29" i="49"/>
  <c r="F47" i="49"/>
  <c r="G47" i="49" s="1"/>
  <c r="H47" i="49" s="1"/>
  <c r="I47" i="49" s="1"/>
  <c r="J48" i="20"/>
  <c r="J49" i="20" s="1"/>
  <c r="C2" i="50"/>
  <c r="W17" i="59"/>
  <c r="W17" i="75"/>
  <c r="X10" i="33"/>
  <c r="O31" i="73"/>
  <c r="D12" i="35"/>
  <c r="E14" i="55" s="1"/>
  <c r="P40" i="59"/>
  <c r="W47" i="20"/>
  <c r="D3" i="35"/>
  <c r="E5" i="55" s="1"/>
  <c r="N24" i="59"/>
  <c r="N32" i="75"/>
  <c r="N99" i="75" s="1"/>
  <c r="N24" i="21"/>
  <c r="Q24" i="21"/>
  <c r="F20" i="21"/>
  <c r="P38" i="30" s="1"/>
  <c r="G18" i="21"/>
  <c r="I18" i="21"/>
  <c r="M21" i="21"/>
  <c r="W45" i="30"/>
  <c r="D7" i="35" s="1"/>
  <c r="E9" i="55" s="1"/>
  <c r="M20" i="21"/>
  <c r="W38" i="30" s="1"/>
  <c r="K21" i="21"/>
  <c r="U45" i="30"/>
  <c r="M24" i="21"/>
  <c r="L15" i="21"/>
  <c r="V38" i="26"/>
  <c r="Q15" i="21"/>
  <c r="AA38" i="26"/>
  <c r="L15" i="35"/>
  <c r="E82" i="21"/>
  <c r="R17" i="40"/>
  <c r="U51" i="21"/>
  <c r="U50" i="21"/>
  <c r="Q17" i="40"/>
  <c r="F77" i="21"/>
  <c r="S35" i="21"/>
  <c r="T29" i="21"/>
  <c r="T28" i="21" s="1"/>
  <c r="AD83" i="26" s="1"/>
  <c r="O29" i="21"/>
  <c r="S29" i="21"/>
  <c r="R16" i="40"/>
  <c r="R33" i="75"/>
  <c r="R38" i="75" s="1"/>
  <c r="R23" i="75"/>
  <c r="R25" i="59"/>
  <c r="R30" i="59" s="1"/>
  <c r="K5" i="50" s="1"/>
  <c r="E19" i="21"/>
  <c r="O37" i="30" s="1"/>
  <c r="D23" i="21"/>
  <c r="N41" i="30" s="1"/>
  <c r="AA32" i="75"/>
  <c r="AA24" i="59"/>
  <c r="C78" i="21"/>
  <c r="P32" i="21"/>
  <c r="H32" i="21"/>
  <c r="O32" i="21"/>
  <c r="G32" i="21"/>
  <c r="V32" i="21"/>
  <c r="N32" i="21"/>
  <c r="U32" i="21"/>
  <c r="M32" i="21"/>
  <c r="T32" i="21"/>
  <c r="L32" i="21"/>
  <c r="S32" i="21"/>
  <c r="K32" i="21"/>
  <c r="R32" i="21"/>
  <c r="J32" i="21"/>
  <c r="Q32" i="21"/>
  <c r="I32" i="21"/>
  <c r="Q37" i="26"/>
  <c r="Q35" i="26" s="1"/>
  <c r="X126" i="48"/>
  <c r="W25" i="48"/>
  <c r="D22" i="35" s="1"/>
  <c r="E24" i="55" s="1"/>
  <c r="J109" i="48"/>
  <c r="W85" i="75"/>
  <c r="V34" i="75"/>
  <c r="V24" i="75"/>
  <c r="P137" i="48"/>
  <c r="R24" i="75"/>
  <c r="R34" i="75"/>
  <c r="Q132" i="48"/>
  <c r="Q107" i="48"/>
  <c r="R124" i="48"/>
  <c r="L40" i="59"/>
  <c r="G123" i="48"/>
  <c r="I48" i="75"/>
  <c r="G20" i="49"/>
  <c r="X26" i="49" s="1"/>
  <c r="L107" i="48"/>
  <c r="E37" i="59"/>
  <c r="E38" i="59" s="1"/>
  <c r="E40" i="59" s="1"/>
  <c r="E45" i="75"/>
  <c r="E46" i="75" s="1"/>
  <c r="E48" i="75" s="1"/>
  <c r="E29" i="49"/>
  <c r="Z12" i="20"/>
  <c r="F4" i="35"/>
  <c r="G6" i="55" s="1"/>
  <c r="G37" i="59"/>
  <c r="G38" i="59" s="1"/>
  <c r="H40" i="59" s="1"/>
  <c r="G45" i="75"/>
  <c r="G46" i="75" s="1"/>
  <c r="G48" i="75" s="1"/>
  <c r="G29" i="49"/>
  <c r="Y13" i="30"/>
  <c r="Y11" i="30" s="1"/>
  <c r="Y46" i="30" s="1"/>
  <c r="F6" i="35" s="1"/>
  <c r="G8" i="55" s="1"/>
  <c r="Y15" i="30"/>
  <c r="Z17" i="30"/>
  <c r="N19" i="25"/>
  <c r="N14" i="75" s="1"/>
  <c r="I81" i="55"/>
  <c r="I55" i="55"/>
  <c r="Q97" i="75"/>
  <c r="Q100" i="75" s="1"/>
  <c r="V19" i="25"/>
  <c r="W12" i="74"/>
  <c r="V14" i="74"/>
  <c r="V13" i="74" s="1"/>
  <c r="V11" i="74"/>
  <c r="V19" i="74" s="1"/>
  <c r="N98" i="75" l="1"/>
  <c r="N97" i="75" s="1"/>
  <c r="N100" i="75" s="1"/>
  <c r="N27" i="75"/>
  <c r="N26" i="75" s="1"/>
  <c r="N29" i="75" s="1"/>
  <c r="S98" i="75"/>
  <c r="S97" i="75" s="1"/>
  <c r="S100" i="75" s="1"/>
  <c r="S27" i="75"/>
  <c r="S26" i="75" s="1"/>
  <c r="S29" i="75" s="1"/>
  <c r="J98" i="75"/>
  <c r="J97" i="75" s="1"/>
  <c r="J100" i="75" s="1"/>
  <c r="J27" i="75"/>
  <c r="J26" i="75" s="1"/>
  <c r="J29" i="75" s="1"/>
  <c r="G84" i="55"/>
  <c r="G58" i="55"/>
  <c r="Y96" i="59"/>
  <c r="Y98" i="59" s="1"/>
  <c r="Y97" i="59" s="1"/>
  <c r="Y104" i="75"/>
  <c r="Y106" i="75" s="1"/>
  <c r="Y105" i="75"/>
  <c r="X37" i="59"/>
  <c r="X45" i="75"/>
  <c r="Y26" i="49"/>
  <c r="X28" i="49"/>
  <c r="E11" i="35"/>
  <c r="F13" i="55" s="1"/>
  <c r="G82" i="55"/>
  <c r="G56" i="55"/>
  <c r="G4" i="50"/>
  <c r="N91" i="59"/>
  <c r="G90" i="59"/>
  <c r="G89" i="59" s="1"/>
  <c r="G92" i="59" s="1"/>
  <c r="G101" i="59" s="1"/>
  <c r="G29" i="59" s="1"/>
  <c r="G93" i="59"/>
  <c r="G31" i="59" s="1"/>
  <c r="O98" i="75"/>
  <c r="O97" i="75" s="1"/>
  <c r="O100" i="75" s="1"/>
  <c r="O27" i="75"/>
  <c r="O26" i="75" s="1"/>
  <c r="O29" i="75" s="1"/>
  <c r="AB13" i="26"/>
  <c r="T30" i="59"/>
  <c r="M5" i="50" s="1"/>
  <c r="T91" i="59"/>
  <c r="T89" i="59" s="1"/>
  <c r="T92" i="59" s="1"/>
  <c r="O28" i="21"/>
  <c r="Y83" i="26" s="1"/>
  <c r="AD82" i="30"/>
  <c r="U46" i="30"/>
  <c r="AD83" i="30" s="1"/>
  <c r="N6" i="50"/>
  <c r="Q36" i="30"/>
  <c r="J55" i="55"/>
  <c r="J81" i="55"/>
  <c r="F48" i="75"/>
  <c r="J85" i="55"/>
  <c r="J59" i="55"/>
  <c r="M99" i="75"/>
  <c r="O4" i="50"/>
  <c r="C15" i="35"/>
  <c r="D17" i="55" s="1"/>
  <c r="V91" i="59"/>
  <c r="E90" i="59"/>
  <c r="E89" i="59" s="1"/>
  <c r="E92" i="59" s="1"/>
  <c r="E101" i="59" s="1"/>
  <c r="E29" i="59" s="1"/>
  <c r="E93" i="59"/>
  <c r="E31" i="59" s="1"/>
  <c r="L14" i="75"/>
  <c r="J43" i="48"/>
  <c r="W14" i="48" s="1"/>
  <c r="K39" i="48"/>
  <c r="J60" i="48"/>
  <c r="J67" i="48" s="1"/>
  <c r="D15" i="35"/>
  <c r="E17" i="55" s="1"/>
  <c r="J28" i="21"/>
  <c r="I16" i="35"/>
  <c r="J18" i="55" s="1"/>
  <c r="F28" i="21"/>
  <c r="T42" i="38"/>
  <c r="P41" i="38"/>
  <c r="R41" i="38" s="1"/>
  <c r="J93" i="59"/>
  <c r="I31" i="59"/>
  <c r="I33" i="59" s="1"/>
  <c r="J42" i="48"/>
  <c r="W12" i="48" s="1"/>
  <c r="K38" i="48"/>
  <c r="J59" i="48"/>
  <c r="J66" i="48" s="1"/>
  <c r="N25" i="21"/>
  <c r="X43" i="30" s="1"/>
  <c r="X37" i="30"/>
  <c r="X20" i="30" s="1"/>
  <c r="U28" i="21"/>
  <c r="AE83" i="26" s="1"/>
  <c r="J6" i="50"/>
  <c r="Q46" i="30"/>
  <c r="P28" i="21"/>
  <c r="Z83" i="26" s="1"/>
  <c r="F90" i="59"/>
  <c r="F89" i="59" s="1"/>
  <c r="F92" i="59" s="1"/>
  <c r="F101" i="59" s="1"/>
  <c r="F29" i="59" s="1"/>
  <c r="F93" i="59"/>
  <c r="F31" i="59" s="1"/>
  <c r="AF123" i="48"/>
  <c r="AE22" i="48"/>
  <c r="F15" i="21"/>
  <c r="D85" i="21" s="1"/>
  <c r="D84" i="21"/>
  <c r="P38" i="26"/>
  <c r="F22" i="21"/>
  <c r="P40" i="30" s="1"/>
  <c r="P39" i="30"/>
  <c r="D87" i="55"/>
  <c r="D61" i="55"/>
  <c r="N48" i="75"/>
  <c r="E109" i="75"/>
  <c r="E37" i="75" s="1"/>
  <c r="M46" i="38"/>
  <c r="M47" i="38" s="1"/>
  <c r="R14" i="75"/>
  <c r="K22" i="21"/>
  <c r="U40" i="30" s="1"/>
  <c r="AD77" i="30" s="1"/>
  <c r="U39" i="30"/>
  <c r="AD76" i="30" s="1"/>
  <c r="V103" i="75"/>
  <c r="U103" i="75"/>
  <c r="U102" i="75" s="1"/>
  <c r="H39" i="75"/>
  <c r="AA124" i="48"/>
  <c r="Z23" i="48"/>
  <c r="Z20" i="48" s="1"/>
  <c r="G20" i="35" s="1"/>
  <c r="H22" i="55" s="1"/>
  <c r="I22" i="21"/>
  <c r="S40" i="30" s="1"/>
  <c r="S39" i="30"/>
  <c r="G15" i="35"/>
  <c r="H17" i="55" s="1"/>
  <c r="G22" i="21"/>
  <c r="Q40" i="30" s="1"/>
  <c r="Q39" i="30"/>
  <c r="G28" i="21"/>
  <c r="D87" i="21"/>
  <c r="X20" i="25"/>
  <c r="X11" i="25" s="1"/>
  <c r="X19" i="25" s="1"/>
  <c r="E8" i="35" s="1"/>
  <c r="F10" i="55" s="1"/>
  <c r="D9" i="35"/>
  <c r="U95" i="59"/>
  <c r="U94" i="59" s="1"/>
  <c r="V95" i="59"/>
  <c r="H31" i="59"/>
  <c r="H33" i="59" s="1"/>
  <c r="F98" i="55"/>
  <c r="F72" i="55"/>
  <c r="C25" i="21"/>
  <c r="M43" i="30" s="1"/>
  <c r="M36" i="30"/>
  <c r="Q85" i="26"/>
  <c r="M98" i="75"/>
  <c r="M97" i="75" s="1"/>
  <c r="M100" i="75" s="1"/>
  <c r="M27" i="75"/>
  <c r="M26" i="75" s="1"/>
  <c r="M29" i="75" s="1"/>
  <c r="AA13" i="26"/>
  <c r="AA35" i="26"/>
  <c r="D16" i="35"/>
  <c r="E18" i="55" s="1"/>
  <c r="T13" i="30"/>
  <c r="T12" i="30" s="1"/>
  <c r="T15" i="30"/>
  <c r="AC35" i="26"/>
  <c r="AC13" i="26"/>
  <c r="Y27" i="20"/>
  <c r="E5" i="35"/>
  <c r="F7" i="55" s="1"/>
  <c r="N35" i="26"/>
  <c r="H25" i="21"/>
  <c r="E84" i="21"/>
  <c r="J15" i="21"/>
  <c r="E85" i="21" s="1"/>
  <c r="T38" i="26"/>
  <c r="T35" i="26" s="1"/>
  <c r="L4" i="50"/>
  <c r="S91" i="59"/>
  <c r="F25" i="21"/>
  <c r="P36" i="30"/>
  <c r="S19" i="38"/>
  <c r="L18" i="38"/>
  <c r="N18" i="38" s="1"/>
  <c r="M46" i="30"/>
  <c r="F6" i="50"/>
  <c r="J58" i="48"/>
  <c r="J65" i="48" s="1"/>
  <c r="K37" i="48"/>
  <c r="J41" i="48"/>
  <c r="W10" i="48" s="1"/>
  <c r="W11" i="25"/>
  <c r="W19" i="25" s="1"/>
  <c r="D8" i="35" s="1"/>
  <c r="E10" i="55" s="1"/>
  <c r="G6" i="50"/>
  <c r="N46" i="30"/>
  <c r="AH17" i="26"/>
  <c r="F109" i="75"/>
  <c r="F37" i="75" s="1"/>
  <c r="F41" i="75" s="1"/>
  <c r="H101" i="59"/>
  <c r="H29" i="59" s="1"/>
  <c r="U97" i="75"/>
  <c r="U100" i="75" s="1"/>
  <c r="X85" i="75"/>
  <c r="W34" i="75"/>
  <c r="W24" i="75"/>
  <c r="F15" i="35"/>
  <c r="G17" i="55" s="1"/>
  <c r="F4" i="50"/>
  <c r="M91" i="59"/>
  <c r="C15" i="21"/>
  <c r="C84" i="21"/>
  <c r="W14" i="21"/>
  <c r="N15" i="21"/>
  <c r="F85" i="21" s="1"/>
  <c r="F84" i="21"/>
  <c r="F87" i="21" s="1"/>
  <c r="X38" i="26"/>
  <c r="V15" i="75"/>
  <c r="V14" i="75" s="1"/>
  <c r="V15" i="59"/>
  <c r="V14" i="59" s="1"/>
  <c r="C8" i="35"/>
  <c r="D10" i="55" s="1"/>
  <c r="E100" i="55"/>
  <c r="E74" i="55"/>
  <c r="X17" i="59"/>
  <c r="Y10" i="33"/>
  <c r="X17" i="75"/>
  <c r="E12" i="35"/>
  <c r="F14" i="55" s="1"/>
  <c r="AC47" i="20"/>
  <c r="J3" i="35"/>
  <c r="K5" i="55" s="1"/>
  <c r="K98" i="75"/>
  <c r="K97" i="75" s="1"/>
  <c r="K100" i="75" s="1"/>
  <c r="K27" i="75"/>
  <c r="K26" i="75" s="1"/>
  <c r="K29" i="75" s="1"/>
  <c r="M89" i="59"/>
  <c r="M92" i="59" s="1"/>
  <c r="K13" i="20"/>
  <c r="K28" i="20"/>
  <c r="N4" i="50"/>
  <c r="U91" i="59"/>
  <c r="U89" i="59" s="1"/>
  <c r="U92" i="59" s="1"/>
  <c r="R28" i="21"/>
  <c r="AB83" i="26" s="1"/>
  <c r="W28" i="75"/>
  <c r="W26" i="75" s="1"/>
  <c r="O6" i="50"/>
  <c r="C7" i="35"/>
  <c r="D9" i="55" s="1"/>
  <c r="V46" i="30"/>
  <c r="C6" i="35" s="1"/>
  <c r="D8" i="55" s="1"/>
  <c r="U52" i="21"/>
  <c r="U47" i="21" s="1"/>
  <c r="AE85" i="26" s="1"/>
  <c r="M52" i="21"/>
  <c r="M47" i="21" s="1"/>
  <c r="W85" i="26" s="1"/>
  <c r="T52" i="21"/>
  <c r="T47" i="21" s="1"/>
  <c r="AD85" i="26" s="1"/>
  <c r="L52" i="21"/>
  <c r="L47" i="21" s="1"/>
  <c r="V85" i="26" s="1"/>
  <c r="S52" i="21"/>
  <c r="K52" i="21"/>
  <c r="D78" i="21"/>
  <c r="R52" i="21"/>
  <c r="J52" i="21"/>
  <c r="Q52" i="21"/>
  <c r="Q47" i="21" s="1"/>
  <c r="AA85" i="26" s="1"/>
  <c r="I52" i="21"/>
  <c r="P52" i="21"/>
  <c r="P47" i="21" s="1"/>
  <c r="Z85" i="26" s="1"/>
  <c r="H52" i="21"/>
  <c r="O52" i="21"/>
  <c r="O47" i="21" s="1"/>
  <c r="Y85" i="26" s="1"/>
  <c r="V52" i="21"/>
  <c r="V47" i="21" s="1"/>
  <c r="AF85" i="26" s="1"/>
  <c r="N52" i="21"/>
  <c r="W8" i="21"/>
  <c r="V35" i="26"/>
  <c r="V13" i="26"/>
  <c r="J4" i="50"/>
  <c r="Q91" i="59"/>
  <c r="Q89" i="59" s="1"/>
  <c r="Q92" i="59" s="1"/>
  <c r="I15" i="35"/>
  <c r="J17" i="55" s="1"/>
  <c r="Q187" i="65"/>
  <c r="AE27" i="30" s="1"/>
  <c r="AD27" i="30"/>
  <c r="E87" i="21"/>
  <c r="J14" i="59"/>
  <c r="J90" i="59" s="1"/>
  <c r="J89" i="59" s="1"/>
  <c r="J92" i="59" s="1"/>
  <c r="J101" i="59" s="1"/>
  <c r="J29" i="59" s="1"/>
  <c r="B49" i="76"/>
  <c r="D48" i="76"/>
  <c r="S35" i="26"/>
  <c r="G84" i="21"/>
  <c r="G87" i="21" s="1"/>
  <c r="R15" i="21"/>
  <c r="G85" i="21" s="1"/>
  <c r="AB38" i="26"/>
  <c r="AB35" i="26" s="1"/>
  <c r="K28" i="21"/>
  <c r="M28" i="20"/>
  <c r="M13" i="20"/>
  <c r="O40" i="59"/>
  <c r="F74" i="21"/>
  <c r="X33" i="75"/>
  <c r="X38" i="75" s="1"/>
  <c r="X23" i="75"/>
  <c r="X25" i="59"/>
  <c r="X30" i="59" s="1"/>
  <c r="O46" i="30"/>
  <c r="H6" i="50"/>
  <c r="J69" i="38"/>
  <c r="J66" i="38"/>
  <c r="L25" i="21"/>
  <c r="D22" i="21"/>
  <c r="N40" i="30" s="1"/>
  <c r="N39" i="30"/>
  <c r="AH39" i="26"/>
  <c r="AI16" i="26" s="1"/>
  <c r="E13" i="55"/>
  <c r="O32" i="73"/>
  <c r="E90" i="55"/>
  <c r="E64" i="55"/>
  <c r="S89" i="59"/>
  <c r="S92" i="59" s="1"/>
  <c r="I47" i="21"/>
  <c r="S85" i="26" s="1"/>
  <c r="E83" i="55"/>
  <c r="E57" i="55"/>
  <c r="X35" i="26"/>
  <c r="X13" i="26"/>
  <c r="G40" i="59"/>
  <c r="U38" i="59" s="1"/>
  <c r="V38" i="59" s="1"/>
  <c r="X25" i="48"/>
  <c r="E22" i="35" s="1"/>
  <c r="F24" i="55" s="1"/>
  <c r="Y126" i="48"/>
  <c r="R28" i="75"/>
  <c r="E85" i="55"/>
  <c r="E59" i="55"/>
  <c r="X77" i="59"/>
  <c r="W26" i="59"/>
  <c r="W91" i="59" s="1"/>
  <c r="V28" i="21"/>
  <c r="AF83" i="26" s="1"/>
  <c r="L22" i="21"/>
  <c r="V40" i="30" s="1"/>
  <c r="V39" i="30"/>
  <c r="J47" i="21"/>
  <c r="T85" i="26" s="1"/>
  <c r="AD57" i="30"/>
  <c r="U15" i="30"/>
  <c r="AD52" i="30" s="1"/>
  <c r="U13" i="30"/>
  <c r="U35" i="26"/>
  <c r="U13" i="26"/>
  <c r="O15" i="30"/>
  <c r="O13" i="30"/>
  <c r="O12" i="30" s="1"/>
  <c r="H55" i="55"/>
  <c r="H81" i="55"/>
  <c r="O78" i="26"/>
  <c r="O29" i="26"/>
  <c r="P30" i="26"/>
  <c r="O15" i="26"/>
  <c r="O20" i="26" s="1"/>
  <c r="O80" i="26" s="1"/>
  <c r="T38" i="75"/>
  <c r="T99" i="75"/>
  <c r="Y33" i="75"/>
  <c r="Y38" i="75" s="1"/>
  <c r="Y23" i="75"/>
  <c r="Y25" i="59"/>
  <c r="Y30" i="59" s="1"/>
  <c r="E22" i="21"/>
  <c r="O40" i="30" s="1"/>
  <c r="O39" i="30"/>
  <c r="F85" i="55"/>
  <c r="F59" i="55"/>
  <c r="J61" i="48"/>
  <c r="J68" i="48" s="1"/>
  <c r="J44" i="48"/>
  <c r="V16" i="48" s="1"/>
  <c r="K40" i="48"/>
  <c r="N14" i="59"/>
  <c r="N90" i="59" s="1"/>
  <c r="N89" i="59" s="1"/>
  <c r="N92" i="59" s="1"/>
  <c r="G81" i="55"/>
  <c r="G55" i="55"/>
  <c r="E15" i="35"/>
  <c r="F17" i="55" s="1"/>
  <c r="W10" i="26"/>
  <c r="D10" i="35"/>
  <c r="E12" i="55" s="1"/>
  <c r="M22" i="21"/>
  <c r="W40" i="30" s="1"/>
  <c r="W39" i="30"/>
  <c r="L28" i="20"/>
  <c r="L13" i="20"/>
  <c r="R47" i="21"/>
  <c r="AB85" i="26" s="1"/>
  <c r="M6" i="50"/>
  <c r="T46" i="30"/>
  <c r="K4" i="50"/>
  <c r="R91" i="59"/>
  <c r="R89" i="59" s="1"/>
  <c r="R92" i="59" s="1"/>
  <c r="J16" i="35"/>
  <c r="K18" i="55" s="1"/>
  <c r="Z33" i="75"/>
  <c r="Z38" i="75" s="1"/>
  <c r="Z23" i="75"/>
  <c r="Z25" i="59"/>
  <c r="Z30" i="59" s="1"/>
  <c r="Y14" i="25"/>
  <c r="Y13" i="25" s="1"/>
  <c r="Z12" i="25"/>
  <c r="AC125" i="48"/>
  <c r="AB24" i="48"/>
  <c r="I41" i="75"/>
  <c r="O35" i="26"/>
  <c r="AH37" i="26"/>
  <c r="AI13" i="26" s="1"/>
  <c r="O36" i="30"/>
  <c r="Y13" i="26"/>
  <c r="Y35" i="26"/>
  <c r="G98" i="55"/>
  <c r="G72" i="55"/>
  <c r="G27" i="75"/>
  <c r="G26" i="75" s="1"/>
  <c r="G29" i="75" s="1"/>
  <c r="G98" i="75"/>
  <c r="G97" i="75" s="1"/>
  <c r="G100" i="75" s="1"/>
  <c r="G109" i="75" s="1"/>
  <c r="G37" i="75" s="1"/>
  <c r="G101" i="75"/>
  <c r="G39" i="75" s="1"/>
  <c r="P35" i="26"/>
  <c r="K47" i="21"/>
  <c r="U85" i="26" s="1"/>
  <c r="O5" i="50"/>
  <c r="C16" i="35"/>
  <c r="D18" i="55" s="1"/>
  <c r="H28" i="21"/>
  <c r="T14" i="75"/>
  <c r="J39" i="76"/>
  <c r="K39" i="76" s="1"/>
  <c r="I39" i="76"/>
  <c r="J22" i="21"/>
  <c r="T39" i="30"/>
  <c r="M28" i="21"/>
  <c r="W83" i="26" s="1"/>
  <c r="S32" i="38"/>
  <c r="O31" i="38"/>
  <c r="Q31" i="38" s="1"/>
  <c r="R99" i="75"/>
  <c r="AA25" i="59"/>
  <c r="AA30" i="59" s="1"/>
  <c r="AA23" i="75"/>
  <c r="AA33" i="75"/>
  <c r="AA38" i="75" s="1"/>
  <c r="I4" i="50"/>
  <c r="P91" i="59"/>
  <c r="P89" i="59" s="1"/>
  <c r="P92" i="59" s="1"/>
  <c r="D55" i="55"/>
  <c r="D81" i="55"/>
  <c r="I6" i="50"/>
  <c r="P46" i="30"/>
  <c r="H109" i="75"/>
  <c r="H37" i="75" s="1"/>
  <c r="J101" i="75"/>
  <c r="E41" i="75"/>
  <c r="P26" i="75"/>
  <c r="P29" i="75" s="1"/>
  <c r="Z13" i="26"/>
  <c r="Z35" i="26"/>
  <c r="H40" i="76"/>
  <c r="G41" i="76"/>
  <c r="AA12" i="20"/>
  <c r="G4" i="35"/>
  <c r="H6" i="55" s="1"/>
  <c r="E81" i="55"/>
  <c r="E55" i="55"/>
  <c r="H48" i="75"/>
  <c r="W14" i="74"/>
  <c r="W13" i="74" s="1"/>
  <c r="W11" i="74"/>
  <c r="W19" i="74" s="1"/>
  <c r="X12" i="74"/>
  <c r="Z15" i="30"/>
  <c r="Z13" i="30"/>
  <c r="Z11" i="30" s="1"/>
  <c r="Z46" i="30" s="1"/>
  <c r="G6" i="35" s="1"/>
  <c r="H8" i="55" s="1"/>
  <c r="AA17" i="30"/>
  <c r="H15" i="35"/>
  <c r="I17" i="55" s="1"/>
  <c r="S28" i="21"/>
  <c r="AC83" i="26" s="1"/>
  <c r="I25" i="21"/>
  <c r="S36" i="30"/>
  <c r="J28" i="20"/>
  <c r="J13" i="20"/>
  <c r="H4" i="50"/>
  <c r="O91" i="59"/>
  <c r="O89" i="59" s="1"/>
  <c r="O92" i="59" s="1"/>
  <c r="W46" i="30"/>
  <c r="D6" i="35" s="1"/>
  <c r="E8" i="55" s="1"/>
  <c r="H47" i="21"/>
  <c r="R85" i="26" s="1"/>
  <c r="S47" i="21"/>
  <c r="AC85" i="26" s="1"/>
  <c r="N47" i="21"/>
  <c r="X85" i="26" s="1"/>
  <c r="Q15" i="30"/>
  <c r="Q13" i="30"/>
  <c r="Q12" i="30" s="1"/>
  <c r="Q25" i="21"/>
  <c r="AA43" i="30" s="1"/>
  <c r="AA41" i="30"/>
  <c r="AA24" i="30" s="1"/>
  <c r="V99" i="75"/>
  <c r="W99" i="75"/>
  <c r="V28" i="75"/>
  <c r="Q28" i="21"/>
  <c r="AA83" i="26" s="1"/>
  <c r="L6" i="50"/>
  <c r="S46" i="30"/>
  <c r="J15" i="35"/>
  <c r="K17" i="55" s="1"/>
  <c r="F81" i="55"/>
  <c r="F55" i="55"/>
  <c r="N20" i="26"/>
  <c r="N80" i="26" s="1"/>
  <c r="N75" i="26" s="1"/>
  <c r="I28" i="21"/>
  <c r="D25" i="21"/>
  <c r="N36" i="30"/>
  <c r="W35" i="26"/>
  <c r="W13" i="26"/>
  <c r="P97" i="75"/>
  <c r="P100" i="75" s="1"/>
  <c r="W38" i="59" l="1"/>
  <c r="C18" i="35"/>
  <c r="D20" i="55" s="1"/>
  <c r="F86" i="55"/>
  <c r="F60" i="55"/>
  <c r="N48" i="20"/>
  <c r="N49" i="20" s="1"/>
  <c r="G2" i="50"/>
  <c r="Z96" i="59"/>
  <c r="Z98" i="59" s="1"/>
  <c r="Z97" i="59" s="1"/>
  <c r="Z14" i="25"/>
  <c r="Z13" i="25" s="1"/>
  <c r="AA12" i="25"/>
  <c r="Y25" i="48"/>
  <c r="F22" i="35" s="1"/>
  <c r="G24" i="55" s="1"/>
  <c r="Z126" i="48"/>
  <c r="AB12" i="20"/>
  <c r="H4" i="35"/>
  <c r="I6" i="55" s="1"/>
  <c r="S43" i="30"/>
  <c r="I26" i="21"/>
  <c r="K101" i="75"/>
  <c r="J39" i="75"/>
  <c r="D94" i="55"/>
  <c r="D68" i="55"/>
  <c r="G16" i="35"/>
  <c r="H18" i="55" s="1"/>
  <c r="F93" i="55"/>
  <c r="F67" i="55"/>
  <c r="K81" i="55"/>
  <c r="K55" i="55"/>
  <c r="V27" i="75"/>
  <c r="V26" i="75" s="1"/>
  <c r="V29" i="75" s="1"/>
  <c r="V98" i="75"/>
  <c r="V97" i="75" s="1"/>
  <c r="V100" i="75" s="1"/>
  <c r="V42" i="75"/>
  <c r="X10" i="48"/>
  <c r="W9" i="48"/>
  <c r="D19" i="35" s="1"/>
  <c r="E21" i="55" s="1"/>
  <c r="O38" i="73"/>
  <c r="R43" i="30"/>
  <c r="H26" i="21"/>
  <c r="W47" i="21"/>
  <c r="F33" i="59"/>
  <c r="T43" i="38"/>
  <c r="P42" i="38"/>
  <c r="G33" i="59"/>
  <c r="H56" i="55"/>
  <c r="H82" i="55"/>
  <c r="E84" i="55"/>
  <c r="E58" i="55"/>
  <c r="H41" i="76"/>
  <c r="G42" i="76"/>
  <c r="X26" i="59"/>
  <c r="X91" i="59" s="1"/>
  <c r="Y77" i="59"/>
  <c r="E89" i="55"/>
  <c r="E63" i="55"/>
  <c r="V83" i="26"/>
  <c r="L37" i="48"/>
  <c r="K41" i="48"/>
  <c r="K58" i="48"/>
  <c r="K65" i="48" s="1"/>
  <c r="P43" i="30"/>
  <c r="F26" i="21"/>
  <c r="AH35" i="26"/>
  <c r="K25" i="21"/>
  <c r="K42" i="48"/>
  <c r="L38" i="48"/>
  <c r="K59" i="48"/>
  <c r="K66" i="48" s="1"/>
  <c r="K60" i="48"/>
  <c r="K67" i="48" s="1"/>
  <c r="L39" i="48"/>
  <c r="K43" i="48"/>
  <c r="X14" i="48" s="1"/>
  <c r="Y14" i="48" s="1"/>
  <c r="Z14" i="48" s="1"/>
  <c r="AA14" i="48" s="1"/>
  <c r="P78" i="26"/>
  <c r="P29" i="26"/>
  <c r="P15" i="26"/>
  <c r="Q30" i="26"/>
  <c r="M25" i="21"/>
  <c r="E16" i="35"/>
  <c r="F18" i="55" s="1"/>
  <c r="F90" i="55"/>
  <c r="F64" i="55"/>
  <c r="AH38" i="26"/>
  <c r="AI14" i="26" s="1"/>
  <c r="E11" i="55"/>
  <c r="O33" i="73"/>
  <c r="H72" i="55"/>
  <c r="H98" i="55"/>
  <c r="X12" i="48"/>
  <c r="Y12" i="48" s="1"/>
  <c r="Z12" i="48" s="1"/>
  <c r="AA12" i="48" s="1"/>
  <c r="O37" i="73"/>
  <c r="G25" i="21"/>
  <c r="F89" i="55"/>
  <c r="F63" i="55"/>
  <c r="Z104" i="75"/>
  <c r="Z106" i="75" s="1"/>
  <c r="Z105" i="75"/>
  <c r="J109" i="75"/>
  <c r="J37" i="75" s="1"/>
  <c r="K93" i="55"/>
  <c r="K67" i="55"/>
  <c r="AD125" i="48"/>
  <c r="AC24" i="48"/>
  <c r="I93" i="55"/>
  <c r="I67" i="55"/>
  <c r="U83" i="26"/>
  <c r="AH13" i="26"/>
  <c r="G93" i="55"/>
  <c r="G67" i="55"/>
  <c r="F83" i="55"/>
  <c r="F57" i="55"/>
  <c r="X14" i="75"/>
  <c r="X14" i="59"/>
  <c r="E9" i="35"/>
  <c r="F11" i="55" s="1"/>
  <c r="Y20" i="25"/>
  <c r="AB124" i="48"/>
  <c r="AA23" i="48"/>
  <c r="AA20" i="48" s="1"/>
  <c r="H20" i="35" s="1"/>
  <c r="I22" i="55" s="1"/>
  <c r="R98" i="75"/>
  <c r="R97" i="75" s="1"/>
  <c r="R100" i="75" s="1"/>
  <c r="R27" i="75"/>
  <c r="R26" i="75" s="1"/>
  <c r="R29" i="75" s="1"/>
  <c r="J68" i="55"/>
  <c r="J94" i="55"/>
  <c r="L98" i="75"/>
  <c r="L97" i="75" s="1"/>
  <c r="L100" i="75" s="1"/>
  <c r="L27" i="75"/>
  <c r="L26" i="75" s="1"/>
  <c r="L29" i="75" s="1"/>
  <c r="X10" i="26"/>
  <c r="E10" i="35"/>
  <c r="F12" i="55" s="1"/>
  <c r="J40" i="76"/>
  <c r="K40" i="76" s="1"/>
  <c r="I40" i="76"/>
  <c r="H16" i="35"/>
  <c r="I18" i="55" s="1"/>
  <c r="T40" i="30"/>
  <c r="J25" i="21"/>
  <c r="K94" i="55"/>
  <c r="K68" i="55"/>
  <c r="AB17" i="30"/>
  <c r="AA13" i="30"/>
  <c r="AA11" i="30" s="1"/>
  <c r="AA46" i="30" s="1"/>
  <c r="H6" i="35" s="1"/>
  <c r="I8" i="55" s="1"/>
  <c r="AA15" i="30"/>
  <c r="G41" i="75"/>
  <c r="E25" i="21"/>
  <c r="F16" i="35"/>
  <c r="G18" i="55" s="1"/>
  <c r="O75" i="26"/>
  <c r="D58" i="55"/>
  <c r="D84" i="55"/>
  <c r="Z27" i="20"/>
  <c r="F5" i="35"/>
  <c r="G7" i="55" s="1"/>
  <c r="W14" i="59"/>
  <c r="E33" i="59"/>
  <c r="X29" i="49"/>
  <c r="N43" i="30"/>
  <c r="D26" i="21"/>
  <c r="L40" i="48"/>
  <c r="K61" i="48"/>
  <c r="K68" i="48" s="1"/>
  <c r="K44" i="48"/>
  <c r="V43" i="30"/>
  <c r="L26" i="21"/>
  <c r="D85" i="55"/>
  <c r="D59" i="55"/>
  <c r="Y17" i="75"/>
  <c r="Z10" i="33"/>
  <c r="Y17" i="59"/>
  <c r="F12" i="35"/>
  <c r="G14" i="55" s="1"/>
  <c r="E86" i="55"/>
  <c r="E60" i="55"/>
  <c r="W14" i="75"/>
  <c r="H41" i="75"/>
  <c r="Y45" i="75"/>
  <c r="Y37" i="59"/>
  <c r="Z26" i="49"/>
  <c r="Y29" i="49"/>
  <c r="Y28" i="49"/>
  <c r="F11" i="35"/>
  <c r="G13" i="55" s="1"/>
  <c r="H84" i="55"/>
  <c r="H58" i="55"/>
  <c r="E88" i="55"/>
  <c r="E62" i="55"/>
  <c r="V111" i="48"/>
  <c r="W111" i="48" s="1"/>
  <c r="X111" i="48" s="1"/>
  <c r="Y111" i="48" s="1"/>
  <c r="Z111" i="48" s="1"/>
  <c r="AA111" i="48" s="1"/>
  <c r="AB111" i="48" s="1"/>
  <c r="AC111" i="48" s="1"/>
  <c r="AD111" i="48" s="1"/>
  <c r="AE111" i="48" s="1"/>
  <c r="AF111" i="48" s="1"/>
  <c r="AG111" i="48" s="1"/>
  <c r="W16" i="48"/>
  <c r="C21" i="35"/>
  <c r="D23" i="55" s="1"/>
  <c r="AD50" i="30"/>
  <c r="U12" i="30"/>
  <c r="AD49" i="30" s="1"/>
  <c r="F100" i="55"/>
  <c r="F74" i="55"/>
  <c r="J71" i="38"/>
  <c r="J73" i="38"/>
  <c r="J93" i="55"/>
  <c r="J67" i="55"/>
  <c r="D86" i="55"/>
  <c r="D60" i="55"/>
  <c r="C85" i="21"/>
  <c r="C87" i="21" s="1"/>
  <c r="W15" i="21"/>
  <c r="Y85" i="75"/>
  <c r="X34" i="75"/>
  <c r="X99" i="75" s="1"/>
  <c r="X24" i="75"/>
  <c r="V94" i="59"/>
  <c r="W95" i="59"/>
  <c r="H93" i="55"/>
  <c r="H67" i="55"/>
  <c r="X15" i="30"/>
  <c r="X13" i="30"/>
  <c r="X11" i="30" s="1"/>
  <c r="X46" i="30" s="1"/>
  <c r="E6" i="35" s="1"/>
  <c r="F8" i="55" s="1"/>
  <c r="K93" i="59"/>
  <c r="J31" i="59"/>
  <c r="J33" i="59" s="1"/>
  <c r="C3" i="50" s="1"/>
  <c r="E93" i="55"/>
  <c r="E67" i="55"/>
  <c r="U46" i="75"/>
  <c r="V46" i="75" s="1"/>
  <c r="W46" i="75" s="1"/>
  <c r="X46" i="75" s="1"/>
  <c r="Y46" i="75" s="1"/>
  <c r="Z46" i="75" s="1"/>
  <c r="AA46" i="75" s="1"/>
  <c r="AB46" i="75" s="1"/>
  <c r="AC46" i="75" s="1"/>
  <c r="T98" i="75"/>
  <c r="T97" i="75" s="1"/>
  <c r="T100" i="75" s="1"/>
  <c r="T27" i="75"/>
  <c r="T26" i="75" s="1"/>
  <c r="T29" i="75" s="1"/>
  <c r="X14" i="74"/>
  <c r="X13" i="74" s="1"/>
  <c r="X11" i="74" s="1"/>
  <c r="X19" i="74" s="1"/>
  <c r="Y12" i="74"/>
  <c r="S33" i="38"/>
  <c r="O32" i="38"/>
  <c r="Q32" i="38" s="1"/>
  <c r="B50" i="76"/>
  <c r="D50" i="76" s="1"/>
  <c r="G35" i="76" s="1"/>
  <c r="H35" i="76" s="1"/>
  <c r="D49" i="76"/>
  <c r="G34" i="76" s="1"/>
  <c r="H34" i="76" s="1"/>
  <c r="V90" i="59"/>
  <c r="V89" i="59" s="1"/>
  <c r="V92" i="59" s="1"/>
  <c r="V34" i="59"/>
  <c r="S20" i="38"/>
  <c r="L20" i="38" s="1"/>
  <c r="N20" i="38" s="1"/>
  <c r="L19" i="38"/>
  <c r="N19" i="38" s="1"/>
  <c r="N46" i="38" s="1"/>
  <c r="N47" i="38" s="1"/>
  <c r="E94" i="55"/>
  <c r="E68" i="55"/>
  <c r="V102" i="75"/>
  <c r="W103" i="75"/>
  <c r="AG123" i="48"/>
  <c r="AG22" i="48" s="1"/>
  <c r="AF22" i="48"/>
  <c r="D93" i="55"/>
  <c r="D67" i="55"/>
  <c r="I34" i="76" l="1"/>
  <c r="J34" i="76"/>
  <c r="AA97" i="59"/>
  <c r="AA96" i="59"/>
  <c r="AA98" i="59" s="1"/>
  <c r="F84" i="55"/>
  <c r="F58" i="55"/>
  <c r="F88" i="55"/>
  <c r="F62" i="55"/>
  <c r="P20" i="26"/>
  <c r="P80" i="26" s="1"/>
  <c r="P75" i="26" s="1"/>
  <c r="L41" i="48"/>
  <c r="L58" i="48"/>
  <c r="Z20" i="25"/>
  <c r="F9" i="35"/>
  <c r="G11" i="55" s="1"/>
  <c r="X28" i="75"/>
  <c r="X26" i="75" s="1"/>
  <c r="AA126" i="48"/>
  <c r="Z25" i="48"/>
  <c r="G22" i="35" s="1"/>
  <c r="H24" i="55" s="1"/>
  <c r="G89" i="55"/>
  <c r="G63" i="55"/>
  <c r="O43" i="30"/>
  <c r="E26" i="21"/>
  <c r="X103" i="75"/>
  <c r="W102" i="75"/>
  <c r="Z45" i="75"/>
  <c r="AA26" i="49"/>
  <c r="Z28" i="49"/>
  <c r="Z37" i="59"/>
  <c r="Z29" i="49"/>
  <c r="G11" i="35"/>
  <c r="H13" i="55" s="1"/>
  <c r="G90" i="55"/>
  <c r="G64" i="55"/>
  <c r="L46" i="38"/>
  <c r="L47" i="38" s="1"/>
  <c r="F87" i="55"/>
  <c r="F61" i="55"/>
  <c r="AE125" i="48"/>
  <c r="AD24" i="48"/>
  <c r="F94" i="55"/>
  <c r="F68" i="55"/>
  <c r="E97" i="55"/>
  <c r="E71" i="55"/>
  <c r="J41" i="75"/>
  <c r="G100" i="55"/>
  <c r="G74" i="55"/>
  <c r="D96" i="55"/>
  <c r="D70" i="55"/>
  <c r="O33" i="38"/>
  <c r="Q33" i="38" s="1"/>
  <c r="S34" i="38"/>
  <c r="I94" i="55"/>
  <c r="I68" i="55"/>
  <c r="E87" i="55"/>
  <c r="E61" i="55"/>
  <c r="L43" i="48"/>
  <c r="AB14" i="48" s="1"/>
  <c r="AC14" i="48" s="1"/>
  <c r="AD14" i="48" s="1"/>
  <c r="AE14" i="48" s="1"/>
  <c r="AF14" i="48" s="1"/>
  <c r="AG14" i="48" s="1"/>
  <c r="L60" i="48"/>
  <c r="G43" i="76"/>
  <c r="H42" i="76"/>
  <c r="R42" i="38"/>
  <c r="K39" i="75"/>
  <c r="L101" i="75"/>
  <c r="N13" i="20"/>
  <c r="N28" i="20"/>
  <c r="Y11" i="74"/>
  <c r="Y19" i="74" s="1"/>
  <c r="Z12" i="74"/>
  <c r="Y14" i="74"/>
  <c r="Y13" i="74" s="1"/>
  <c r="W94" i="59"/>
  <c r="X95" i="59"/>
  <c r="Z17" i="75"/>
  <c r="AA10" i="33"/>
  <c r="Z17" i="59"/>
  <c r="G12" i="35"/>
  <c r="H14" i="55" s="1"/>
  <c r="G94" i="55"/>
  <c r="G68" i="55"/>
  <c r="AC17" i="30"/>
  <c r="AB13" i="30"/>
  <c r="AB11" i="30" s="1"/>
  <c r="AB46" i="30" s="1"/>
  <c r="I6" i="35" s="1"/>
  <c r="J8" i="55" s="1"/>
  <c r="AB15" i="30"/>
  <c r="Q43" i="30"/>
  <c r="G26" i="21"/>
  <c r="W43" i="30"/>
  <c r="M26" i="21"/>
  <c r="J41" i="76"/>
  <c r="K41" i="76" s="1"/>
  <c r="I41" i="76"/>
  <c r="T44" i="38"/>
  <c r="P43" i="38"/>
  <c r="R43" i="38" s="1"/>
  <c r="I84" i="55"/>
  <c r="I58" i="55"/>
  <c r="Y10" i="48"/>
  <c r="X9" i="48"/>
  <c r="E19" i="35" s="1"/>
  <c r="F21" i="55" s="1"/>
  <c r="X38" i="59"/>
  <c r="D18" i="35"/>
  <c r="E20" i="55" s="1"/>
  <c r="K109" i="75"/>
  <c r="K37" i="75" s="1"/>
  <c r="H20" i="33"/>
  <c r="L44" i="48"/>
  <c r="L61" i="48"/>
  <c r="G83" i="55"/>
  <c r="G57" i="55"/>
  <c r="H68" i="55"/>
  <c r="H94" i="55"/>
  <c r="AA14" i="25"/>
  <c r="AA13" i="25" s="1"/>
  <c r="AB12" i="25"/>
  <c r="G123" i="59"/>
  <c r="G124" i="59" s="1"/>
  <c r="H2" i="50"/>
  <c r="O48" i="20"/>
  <c r="O49" i="20" s="1"/>
  <c r="L93" i="59"/>
  <c r="K31" i="59"/>
  <c r="K33" i="59" s="1"/>
  <c r="D3" i="50" s="1"/>
  <c r="K101" i="59"/>
  <c r="K29" i="59" s="1"/>
  <c r="AA27" i="20"/>
  <c r="G5" i="35"/>
  <c r="H7" i="55" s="1"/>
  <c r="Q29" i="26"/>
  <c r="R30" i="26"/>
  <c r="Q15" i="26"/>
  <c r="Q20" i="26" s="1"/>
  <c r="Q80" i="26" s="1"/>
  <c r="Q78" i="26"/>
  <c r="L59" i="48"/>
  <c r="L42" i="48"/>
  <c r="AB12" i="48" s="1"/>
  <c r="AC12" i="48" s="1"/>
  <c r="AD12" i="48" s="1"/>
  <c r="AE12" i="48" s="1"/>
  <c r="AF12" i="48" s="1"/>
  <c r="AG12" i="48" s="1"/>
  <c r="Z77" i="59"/>
  <c r="Y26" i="59"/>
  <c r="Y91" i="59" s="1"/>
  <c r="I82" i="55"/>
  <c r="I56" i="55"/>
  <c r="Y11" i="25"/>
  <c r="Y19" i="25" s="1"/>
  <c r="F8" i="35" s="1"/>
  <c r="G10" i="55" s="1"/>
  <c r="D99" i="55"/>
  <c r="D73" i="55"/>
  <c r="I98" i="55"/>
  <c r="I72" i="55"/>
  <c r="AA104" i="75"/>
  <c r="AA106" i="75" s="1"/>
  <c r="AA105" i="75"/>
  <c r="AC12" i="20"/>
  <c r="I4" i="35"/>
  <c r="J6" i="55" s="1"/>
  <c r="J35" i="76"/>
  <c r="I35" i="76"/>
  <c r="Z85" i="75"/>
  <c r="Y34" i="75"/>
  <c r="Y99" i="75" s="1"/>
  <c r="Y24" i="75"/>
  <c r="Y28" i="75" s="1"/>
  <c r="Y26" i="75" s="1"/>
  <c r="X16" i="48"/>
  <c r="D21" i="35"/>
  <c r="E23" i="55" s="1"/>
  <c r="Y10" i="26"/>
  <c r="F10" i="35"/>
  <c r="G12" i="55" s="1"/>
  <c r="T43" i="30"/>
  <c r="J26" i="21"/>
  <c r="AC124" i="48"/>
  <c r="AB23" i="48"/>
  <c r="AB20" i="48" s="1"/>
  <c r="I20" i="35" s="1"/>
  <c r="J22" i="55" s="1"/>
  <c r="U43" i="30"/>
  <c r="AD80" i="30" s="1"/>
  <c r="K26" i="21"/>
  <c r="G126" i="59"/>
  <c r="P48" i="20" l="1"/>
  <c r="P49" i="20" s="1"/>
  <c r="I2" i="50"/>
  <c r="H83" i="55"/>
  <c r="H57" i="55"/>
  <c r="AD124" i="48"/>
  <c r="AC23" i="48"/>
  <c r="AC20" i="48" s="1"/>
  <c r="J20" i="35" s="1"/>
  <c r="K22" i="55" s="1"/>
  <c r="G86" i="55"/>
  <c r="G60" i="55"/>
  <c r="AA17" i="75"/>
  <c r="AA17" i="59"/>
  <c r="AB10" i="33"/>
  <c r="H12" i="35"/>
  <c r="I14" i="55" s="1"/>
  <c r="G134" i="75"/>
  <c r="G131" i="75"/>
  <c r="G132" i="75" s="1"/>
  <c r="Y103" i="75"/>
  <c r="X102" i="75"/>
  <c r="AD12" i="20"/>
  <c r="J4" i="35"/>
  <c r="K6" i="55" s="1"/>
  <c r="M101" i="75"/>
  <c r="L39" i="75"/>
  <c r="H63" i="55"/>
  <c r="H89" i="55"/>
  <c r="G87" i="55"/>
  <c r="G61" i="55"/>
  <c r="M93" i="59"/>
  <c r="L31" i="59"/>
  <c r="L101" i="59"/>
  <c r="L29" i="59" s="1"/>
  <c r="P44" i="38"/>
  <c r="R44" i="38" s="1"/>
  <c r="T45" i="38"/>
  <c r="P45" i="38" s="1"/>
  <c r="X94" i="59"/>
  <c r="Y95" i="59"/>
  <c r="AE24" i="48"/>
  <c r="AF125" i="48"/>
  <c r="AA20" i="25"/>
  <c r="G9" i="35"/>
  <c r="H11" i="55" s="1"/>
  <c r="Z11" i="25"/>
  <c r="Z19" i="25" s="1"/>
  <c r="G8" i="35" s="1"/>
  <c r="H10" i="55" s="1"/>
  <c r="AB96" i="59"/>
  <c r="AB98" i="59" s="1"/>
  <c r="AB97" i="59" s="1"/>
  <c r="AA85" i="75"/>
  <c r="Z34" i="75"/>
  <c r="Z99" i="75" s="1"/>
  <c r="Z24" i="75"/>
  <c r="Z28" i="75" s="1"/>
  <c r="Z26" i="75" s="1"/>
  <c r="J84" i="55"/>
  <c r="J58" i="55"/>
  <c r="K41" i="75"/>
  <c r="O13" i="20"/>
  <c r="O28" i="20"/>
  <c r="E96" i="55"/>
  <c r="E70" i="55"/>
  <c r="AD17" i="30"/>
  <c r="AC15" i="30"/>
  <c r="AC13" i="30"/>
  <c r="AC11" i="30" s="1"/>
  <c r="AC46" i="30" s="1"/>
  <c r="J6" i="35" s="1"/>
  <c r="K8" i="55" s="1"/>
  <c r="Y14" i="59"/>
  <c r="R78" i="26"/>
  <c r="S30" i="26"/>
  <c r="R15" i="26"/>
  <c r="R20" i="26" s="1"/>
  <c r="R80" i="26" s="1"/>
  <c r="R29" i="26"/>
  <c r="AB104" i="75"/>
  <c r="AB106" i="75" s="1"/>
  <c r="AB105" i="75"/>
  <c r="G88" i="55"/>
  <c r="G62" i="55"/>
  <c r="AA77" i="59"/>
  <c r="Z26" i="59"/>
  <c r="Z91" i="59" s="1"/>
  <c r="Y38" i="59"/>
  <c r="E18" i="35"/>
  <c r="F20" i="55" s="1"/>
  <c r="Z10" i="26"/>
  <c r="G10" i="35"/>
  <c r="H12" i="55" s="1"/>
  <c r="Y14" i="75"/>
  <c r="F97" i="55"/>
  <c r="F71" i="55"/>
  <c r="AA12" i="74"/>
  <c r="Z14" i="74"/>
  <c r="Z13" i="74" s="1"/>
  <c r="Z11" i="74" s="1"/>
  <c r="Z19" i="74" s="1"/>
  <c r="I42" i="76"/>
  <c r="J42" i="76" s="1"/>
  <c r="K42" i="76" s="1"/>
  <c r="L109" i="75"/>
  <c r="L37" i="75" s="1"/>
  <c r="AA45" i="75"/>
  <c r="AA28" i="49"/>
  <c r="AA37" i="59"/>
  <c r="AB26" i="49"/>
  <c r="H11" i="35"/>
  <c r="I13" i="55" s="1"/>
  <c r="AA29" i="49"/>
  <c r="H74" i="55"/>
  <c r="H100" i="55"/>
  <c r="E99" i="55"/>
  <c r="E73" i="55"/>
  <c r="AB14" i="25"/>
  <c r="AB13" i="25" s="1"/>
  <c r="AC12" i="25"/>
  <c r="Y9" i="48"/>
  <c r="F19" i="35" s="1"/>
  <c r="G21" i="55" s="1"/>
  <c r="Z10" i="48"/>
  <c r="H64" i="55"/>
  <c r="H90" i="55"/>
  <c r="G44" i="76"/>
  <c r="H43" i="76"/>
  <c r="S35" i="38"/>
  <c r="O34" i="38"/>
  <c r="Q34" i="38" s="1"/>
  <c r="AA25" i="48"/>
  <c r="H22" i="35" s="1"/>
  <c r="I24" i="55" s="1"/>
  <c r="AB126" i="48"/>
  <c r="AB27" i="20"/>
  <c r="H5" i="35"/>
  <c r="I7" i="55" s="1"/>
  <c r="J98" i="55"/>
  <c r="J72" i="55"/>
  <c r="Y16" i="48"/>
  <c r="E21" i="35"/>
  <c r="F23" i="55" s="1"/>
  <c r="J82" i="55"/>
  <c r="J56" i="55"/>
  <c r="Q75" i="26"/>
  <c r="AC96" i="59" l="1"/>
  <c r="AC98" i="59" s="1"/>
  <c r="AC97" i="59" s="1"/>
  <c r="I100" i="55"/>
  <c r="I74" i="55"/>
  <c r="S36" i="38"/>
  <c r="O36" i="38" s="1"/>
  <c r="O35" i="38"/>
  <c r="Q35" i="38" s="1"/>
  <c r="AB37" i="59"/>
  <c r="AB45" i="75"/>
  <c r="AB28" i="49"/>
  <c r="AB29" i="49"/>
  <c r="AC26" i="49"/>
  <c r="I11" i="35"/>
  <c r="J13" i="55" s="1"/>
  <c r="F96" i="55"/>
  <c r="F70" i="55"/>
  <c r="AE17" i="30"/>
  <c r="AD15" i="30"/>
  <c r="AD13" i="30"/>
  <c r="AD11" i="30" s="1"/>
  <c r="AD46" i="30" s="1"/>
  <c r="K6" i="35" s="1"/>
  <c r="Z14" i="59"/>
  <c r="L41" i="75"/>
  <c r="K98" i="55"/>
  <c r="K72" i="55"/>
  <c r="I83" i="55"/>
  <c r="I57" i="55"/>
  <c r="AB12" i="74"/>
  <c r="AA14" i="74"/>
  <c r="AA13" i="74" s="1"/>
  <c r="AA11" i="74" s="1"/>
  <c r="AA19" i="74" s="1"/>
  <c r="Z14" i="75"/>
  <c r="L33" i="59"/>
  <c r="E3" i="50" s="1"/>
  <c r="N101" i="75"/>
  <c r="M39" i="75"/>
  <c r="M109" i="75"/>
  <c r="M37" i="75" s="1"/>
  <c r="AD23" i="48"/>
  <c r="AD20" i="48" s="1"/>
  <c r="K20" i="35" s="1"/>
  <c r="AE124" i="48"/>
  <c r="F99" i="55"/>
  <c r="F73" i="55"/>
  <c r="Z16" i="48"/>
  <c r="F21" i="35"/>
  <c r="G23" i="55" s="1"/>
  <c r="Q48" i="20"/>
  <c r="Q49" i="20" s="1"/>
  <c r="J2" i="50"/>
  <c r="AA10" i="26"/>
  <c r="H10" i="35"/>
  <c r="I12" i="55" s="1"/>
  <c r="AG125" i="48"/>
  <c r="AG24" i="48" s="1"/>
  <c r="AF24" i="48"/>
  <c r="M31" i="59"/>
  <c r="M33" i="59" s="1"/>
  <c r="F3" i="50" s="1"/>
  <c r="N93" i="59"/>
  <c r="M101" i="59"/>
  <c r="M29" i="59" s="1"/>
  <c r="K82" i="55"/>
  <c r="K56" i="55"/>
  <c r="I90" i="55"/>
  <c r="I64" i="55"/>
  <c r="AC27" i="20"/>
  <c r="I5" i="35"/>
  <c r="J7" i="55" s="1"/>
  <c r="T30" i="26"/>
  <c r="S15" i="26"/>
  <c r="S20" i="26" s="1"/>
  <c r="S80" i="26" s="1"/>
  <c r="S78" i="26"/>
  <c r="S75" i="26" s="1"/>
  <c r="S29" i="26"/>
  <c r="AB77" i="59"/>
  <c r="AA26" i="59"/>
  <c r="AA91" i="59" s="1"/>
  <c r="R75" i="26"/>
  <c r="K4" i="35"/>
  <c r="AE12" i="20"/>
  <c r="AB17" i="75"/>
  <c r="AB17" i="59"/>
  <c r="AC10" i="33"/>
  <c r="I12" i="35"/>
  <c r="J14" i="55" s="1"/>
  <c r="Z9" i="48"/>
  <c r="G19" i="35" s="1"/>
  <c r="H21" i="55" s="1"/>
  <c r="AA10" i="48"/>
  <c r="I43" i="76"/>
  <c r="J43" i="76" s="1"/>
  <c r="K43" i="76" s="1"/>
  <c r="Z38" i="59"/>
  <c r="F18" i="35"/>
  <c r="G20" i="55" s="1"/>
  <c r="H44" i="76"/>
  <c r="G45" i="76"/>
  <c r="AA34" i="75"/>
  <c r="AA99" i="75" s="1"/>
  <c r="AB85" i="75"/>
  <c r="AA24" i="75"/>
  <c r="AA28" i="75" s="1"/>
  <c r="AA26" i="75" s="1"/>
  <c r="Y94" i="59"/>
  <c r="Z95" i="59"/>
  <c r="H88" i="55"/>
  <c r="H62" i="55"/>
  <c r="H60" i="55"/>
  <c r="H86" i="55"/>
  <c r="P28" i="20"/>
  <c r="P13" i="20"/>
  <c r="AC126" i="48"/>
  <c r="AB25" i="48"/>
  <c r="I22" i="35" s="1"/>
  <c r="J24" i="55" s="1"/>
  <c r="K84" i="55"/>
  <c r="K58" i="55"/>
  <c r="R45" i="38"/>
  <c r="R46" i="38" s="1"/>
  <c r="R47" i="38" s="1"/>
  <c r="P46" i="38"/>
  <c r="P47" i="38" s="1"/>
  <c r="G97" i="55"/>
  <c r="G71" i="55"/>
  <c r="AC104" i="75"/>
  <c r="AC106" i="75" s="1"/>
  <c r="AC105" i="75"/>
  <c r="H87" i="55"/>
  <c r="H61" i="55"/>
  <c r="AC14" i="25"/>
  <c r="AC13" i="25" s="1"/>
  <c r="AD12" i="25"/>
  <c r="I89" i="55"/>
  <c r="I63" i="55"/>
  <c r="AB20" i="25"/>
  <c r="H9" i="35"/>
  <c r="I11" i="55" s="1"/>
  <c r="AA11" i="25"/>
  <c r="AA19" i="25" s="1"/>
  <c r="H8" i="35" s="1"/>
  <c r="I10" i="55" s="1"/>
  <c r="Y102" i="75"/>
  <c r="Z103" i="75"/>
  <c r="AD96" i="59" l="1"/>
  <c r="AD98" i="59" s="1"/>
  <c r="AD97" i="59" s="1"/>
  <c r="S48" i="20"/>
  <c r="S49" i="20" s="1"/>
  <c r="L2" i="50"/>
  <c r="I87" i="55"/>
  <c r="I61" i="55"/>
  <c r="AA14" i="59"/>
  <c r="AC85" i="75"/>
  <c r="AB34" i="75"/>
  <c r="AB99" i="75" s="1"/>
  <c r="AB24" i="75"/>
  <c r="AB28" i="75" s="1"/>
  <c r="AB26" i="75" s="1"/>
  <c r="AB10" i="48"/>
  <c r="AA9" i="48"/>
  <c r="H19" i="35" s="1"/>
  <c r="I21" i="55" s="1"/>
  <c r="J57" i="55"/>
  <c r="J83" i="55"/>
  <c r="N31" i="59"/>
  <c r="N33" i="59" s="1"/>
  <c r="G3" i="50" s="1"/>
  <c r="O93" i="59"/>
  <c r="N101" i="59"/>
  <c r="N29" i="59" s="1"/>
  <c r="G99" i="55"/>
  <c r="G73" i="55"/>
  <c r="N39" i="75"/>
  <c r="O101" i="75"/>
  <c r="N109" i="75"/>
  <c r="N37" i="75" s="1"/>
  <c r="AE15" i="30"/>
  <c r="AE13" i="30"/>
  <c r="AE11" i="30" s="1"/>
  <c r="AE46" i="30" s="1"/>
  <c r="L6" i="35" s="1"/>
  <c r="AF17" i="30"/>
  <c r="AD27" i="20"/>
  <c r="J5" i="35"/>
  <c r="K7" i="55" s="1"/>
  <c r="AA16" i="48"/>
  <c r="G21" i="35"/>
  <c r="H23" i="55" s="1"/>
  <c r="H71" i="55"/>
  <c r="H97" i="55"/>
  <c r="H45" i="76"/>
  <c r="G46" i="76"/>
  <c r="H46" i="76" s="1"/>
  <c r="Q36" i="38"/>
  <c r="Q46" i="38" s="1"/>
  <c r="Q47" i="38" s="1"/>
  <c r="O46" i="38"/>
  <c r="O47" i="38" s="1"/>
  <c r="AA14" i="75"/>
  <c r="R48" i="20"/>
  <c r="R49" i="20" s="1"/>
  <c r="K2" i="50"/>
  <c r="Z102" i="75"/>
  <c r="AA103" i="75"/>
  <c r="AD126" i="48"/>
  <c r="AC25" i="48"/>
  <c r="J22" i="35" s="1"/>
  <c r="K24" i="55" s="1"/>
  <c r="I44" i="76"/>
  <c r="J44" i="76" s="1"/>
  <c r="K44" i="76" s="1"/>
  <c r="AC17" i="75"/>
  <c r="AC17" i="59"/>
  <c r="AD10" i="33"/>
  <c r="J12" i="35"/>
  <c r="K14" i="55" s="1"/>
  <c r="AC77" i="59"/>
  <c r="AB26" i="59"/>
  <c r="AB91" i="59" s="1"/>
  <c r="J89" i="55"/>
  <c r="J63" i="55"/>
  <c r="I86" i="55"/>
  <c r="I60" i="55"/>
  <c r="AD104" i="75"/>
  <c r="AD106" i="75" s="1"/>
  <c r="AD105" i="75" s="1"/>
  <c r="J100" i="55"/>
  <c r="J74" i="55"/>
  <c r="J90" i="55"/>
  <c r="J64" i="55"/>
  <c r="AD14" i="25"/>
  <c r="AD13" i="25" s="1"/>
  <c r="AA95" i="59"/>
  <c r="Z94" i="59"/>
  <c r="G96" i="55"/>
  <c r="G70" i="55"/>
  <c r="I88" i="55"/>
  <c r="I62" i="55"/>
  <c r="AF124" i="48"/>
  <c r="AE23" i="48"/>
  <c r="AE20" i="48" s="1"/>
  <c r="L20" i="35" s="1"/>
  <c r="AC37" i="59"/>
  <c r="AC28" i="49"/>
  <c r="AC29" i="49" s="1"/>
  <c r="AC45" i="75"/>
  <c r="AD26" i="49"/>
  <c r="J11" i="35"/>
  <c r="K13" i="55" s="1"/>
  <c r="AA38" i="59"/>
  <c r="G18" i="35"/>
  <c r="H20" i="55" s="1"/>
  <c r="AB10" i="26"/>
  <c r="I10" i="35"/>
  <c r="J12" i="55" s="1"/>
  <c r="AC12" i="74"/>
  <c r="AB14" i="74"/>
  <c r="AB13" i="74" s="1"/>
  <c r="AB11" i="74" s="1"/>
  <c r="AB19" i="74" s="1"/>
  <c r="AC20" i="25"/>
  <c r="I9" i="35"/>
  <c r="J11" i="55" s="1"/>
  <c r="AB11" i="25"/>
  <c r="AB19" i="25" s="1"/>
  <c r="I8" i="35" s="1"/>
  <c r="J10" i="55" s="1"/>
  <c r="AF12" i="20"/>
  <c r="L4" i="35"/>
  <c r="U30" i="26"/>
  <c r="T15" i="26"/>
  <c r="T78" i="26"/>
  <c r="T29" i="26"/>
  <c r="Q28" i="20"/>
  <c r="Q13" i="20"/>
  <c r="M41" i="75"/>
  <c r="AE104" i="75" l="1"/>
  <c r="AE106" i="75" s="1"/>
  <c r="AE105" i="75" s="1"/>
  <c r="AE96" i="59"/>
  <c r="AE98" i="59" s="1"/>
  <c r="AE97" i="59"/>
  <c r="AG12" i="20"/>
  <c r="N4" i="35" s="1"/>
  <c r="M4" i="35"/>
  <c r="AC14" i="74"/>
  <c r="AC13" i="74" s="1"/>
  <c r="AC11" i="74"/>
  <c r="AC19" i="74" s="1"/>
  <c r="H99" i="55"/>
  <c r="H73" i="55"/>
  <c r="J60" i="55"/>
  <c r="J86" i="55"/>
  <c r="K100" i="55"/>
  <c r="K74" i="55"/>
  <c r="AB16" i="48"/>
  <c r="H21" i="35"/>
  <c r="I23" i="55" s="1"/>
  <c r="P101" i="75"/>
  <c r="O39" i="75"/>
  <c r="O41" i="75" s="1"/>
  <c r="O109" i="75"/>
  <c r="O37" i="75" s="1"/>
  <c r="AD28" i="49"/>
  <c r="K10" i="35" s="1"/>
  <c r="AE26" i="49"/>
  <c r="K11" i="35"/>
  <c r="AC10" i="26"/>
  <c r="J10" i="35"/>
  <c r="K12" i="55" s="1"/>
  <c r="AC26" i="59"/>
  <c r="AC91" i="59" s="1"/>
  <c r="AD77" i="59"/>
  <c r="AD25" i="48"/>
  <c r="K22" i="35" s="1"/>
  <c r="AE126" i="48"/>
  <c r="K83" i="55"/>
  <c r="K57" i="55"/>
  <c r="N41" i="75"/>
  <c r="D135" i="75"/>
  <c r="I97" i="55"/>
  <c r="I71" i="55"/>
  <c r="J61" i="55"/>
  <c r="J87" i="55"/>
  <c r="AD20" i="25"/>
  <c r="AD11" i="25" s="1"/>
  <c r="AD19" i="25" s="1"/>
  <c r="K8" i="35" s="1"/>
  <c r="J9" i="35"/>
  <c r="K11" i="55" s="1"/>
  <c r="AB95" i="59"/>
  <c r="AA94" i="59"/>
  <c r="K90" i="55"/>
  <c r="K64" i="55"/>
  <c r="AA102" i="75"/>
  <c r="AB103" i="75"/>
  <c r="AE27" i="20"/>
  <c r="K5" i="35"/>
  <c r="AB9" i="48"/>
  <c r="I19" i="35" s="1"/>
  <c r="J21" i="55" s="1"/>
  <c r="AC10" i="48"/>
  <c r="S13" i="20"/>
  <c r="S28" i="20"/>
  <c r="J88" i="55"/>
  <c r="J62" i="55"/>
  <c r="AB14" i="59"/>
  <c r="H96" i="55"/>
  <c r="H70" i="55"/>
  <c r="AE10" i="33"/>
  <c r="K12" i="35"/>
  <c r="I46" i="76"/>
  <c r="J46" i="76"/>
  <c r="T20" i="26"/>
  <c r="T80" i="26" s="1"/>
  <c r="T75" i="26" s="1"/>
  <c r="AB14" i="75"/>
  <c r="AB38" i="59"/>
  <c r="H18" i="35"/>
  <c r="I20" i="55" s="1"/>
  <c r="AG124" i="48"/>
  <c r="AG23" i="48" s="1"/>
  <c r="AG20" i="48" s="1"/>
  <c r="N20" i="35" s="1"/>
  <c r="AF23" i="48"/>
  <c r="AF20" i="48" s="1"/>
  <c r="M20" i="35" s="1"/>
  <c r="I45" i="76"/>
  <c r="J45" i="76"/>
  <c r="K45" i="76" s="1"/>
  <c r="AF15" i="30"/>
  <c r="AF13" i="30"/>
  <c r="AF11" i="30" s="1"/>
  <c r="AF46" i="30" s="1"/>
  <c r="M6" i="35" s="1"/>
  <c r="AG17" i="30"/>
  <c r="U78" i="26"/>
  <c r="V30" i="26"/>
  <c r="U15" i="26"/>
  <c r="U20" i="26" s="1"/>
  <c r="U80" i="26" s="1"/>
  <c r="U29" i="26"/>
  <c r="K89" i="55"/>
  <c r="K63" i="55"/>
  <c r="R13" i="20"/>
  <c r="R28" i="20"/>
  <c r="P93" i="59"/>
  <c r="O31" i="59"/>
  <c r="D127" i="59" s="1"/>
  <c r="O101" i="59"/>
  <c r="O29" i="59" s="1"/>
  <c r="AD85" i="75"/>
  <c r="AE85" i="75" s="1"/>
  <c r="AF85" i="75" s="1"/>
  <c r="AG85" i="75" s="1"/>
  <c r="AC34" i="75"/>
  <c r="AC99" i="75" s="1"/>
  <c r="AC24" i="75"/>
  <c r="AC28" i="75" s="1"/>
  <c r="AC26" i="75" s="1"/>
  <c r="AC11" i="25"/>
  <c r="AC19" i="25" s="1"/>
  <c r="J8" i="35" s="1"/>
  <c r="K10" i="55" s="1"/>
  <c r="T48" i="20" l="1"/>
  <c r="T49" i="20" s="1"/>
  <c r="M2" i="50"/>
  <c r="AF104" i="75"/>
  <c r="AF106" i="75" s="1"/>
  <c r="AF105" i="75" s="1"/>
  <c r="AF10" i="33"/>
  <c r="L12" i="35"/>
  <c r="AF126" i="48"/>
  <c r="AE25" i="48"/>
  <c r="L22" i="35" s="1"/>
  <c r="AC9" i="48"/>
  <c r="J19" i="35" s="1"/>
  <c r="K21" i="55" s="1"/>
  <c r="AD10" i="48"/>
  <c r="AD29" i="49"/>
  <c r="J97" i="55"/>
  <c r="J71" i="55"/>
  <c r="AD26" i="59"/>
  <c r="AD91" i="59" s="1"/>
  <c r="AE77" i="59"/>
  <c r="AF96" i="59"/>
  <c r="AF98" i="59" s="1"/>
  <c r="AF97" i="59" s="1"/>
  <c r="AC95" i="59"/>
  <c r="AB94" i="59"/>
  <c r="K86" i="55"/>
  <c r="K60" i="55"/>
  <c r="AE29" i="49"/>
  <c r="AF26" i="49"/>
  <c r="AE28" i="49"/>
  <c r="L10" i="35" s="1"/>
  <c r="L11" i="35"/>
  <c r="AF27" i="20"/>
  <c r="M5" i="35" s="1"/>
  <c r="L5" i="35"/>
  <c r="K87" i="55"/>
  <c r="K61" i="55"/>
  <c r="K88" i="55"/>
  <c r="K62" i="55"/>
  <c r="Q101" i="75"/>
  <c r="P39" i="75"/>
  <c r="P109" i="75"/>
  <c r="P37" i="75" s="1"/>
  <c r="V78" i="26"/>
  <c r="V15" i="26"/>
  <c r="V20" i="26" s="1"/>
  <c r="V29" i="26"/>
  <c r="W30" i="26"/>
  <c r="U75" i="26"/>
  <c r="AE20" i="25"/>
  <c r="K9" i="35"/>
  <c r="I99" i="55"/>
  <c r="I73" i="55"/>
  <c r="AC14" i="75"/>
  <c r="O33" i="59"/>
  <c r="H3" i="50" s="1"/>
  <c r="K46" i="76"/>
  <c r="K47" i="76" s="1"/>
  <c r="J47" i="76"/>
  <c r="P31" i="59"/>
  <c r="Q93" i="59"/>
  <c r="P101" i="59"/>
  <c r="P29" i="59" s="1"/>
  <c r="I96" i="55"/>
  <c r="I70" i="55"/>
  <c r="AG13" i="30"/>
  <c r="AG11" i="30" s="1"/>
  <c r="AG15" i="30"/>
  <c r="AC38" i="59"/>
  <c r="I18" i="35"/>
  <c r="J20" i="55" s="1"/>
  <c r="I20" i="33"/>
  <c r="AB102" i="75"/>
  <c r="AC103" i="75"/>
  <c r="AC14" i="59"/>
  <c r="AC16" i="48"/>
  <c r="I21" i="35"/>
  <c r="J23" i="55" s="1"/>
  <c r="AD16" i="48" l="1"/>
  <c r="J21" i="35"/>
  <c r="K23" i="55" s="1"/>
  <c r="W78" i="26"/>
  <c r="W29" i="26"/>
  <c r="X30" i="26"/>
  <c r="W15" i="26"/>
  <c r="W11" i="26" s="1"/>
  <c r="W9" i="26" s="1"/>
  <c r="AE26" i="59"/>
  <c r="AE91" i="59" s="1"/>
  <c r="AF77" i="59"/>
  <c r="AG126" i="48"/>
  <c r="AG25" i="48" s="1"/>
  <c r="N22" i="35" s="1"/>
  <c r="AF25" i="48"/>
  <c r="M22" i="35" s="1"/>
  <c r="U48" i="20"/>
  <c r="U49" i="20" s="1"/>
  <c r="N2" i="50"/>
  <c r="AC102" i="75"/>
  <c r="AD103" i="75"/>
  <c r="V80" i="26"/>
  <c r="W20" i="26"/>
  <c r="AG10" i="33"/>
  <c r="N12" i="35" s="1"/>
  <c r="M12" i="35"/>
  <c r="R93" i="59"/>
  <c r="Q31" i="59"/>
  <c r="Q101" i="59"/>
  <c r="Q29" i="59" s="1"/>
  <c r="V75" i="26"/>
  <c r="J96" i="55"/>
  <c r="J70" i="55"/>
  <c r="P33" i="59"/>
  <c r="I3" i="50" s="1"/>
  <c r="AC94" i="59"/>
  <c r="AD95" i="59"/>
  <c r="AD38" i="59"/>
  <c r="J18" i="35"/>
  <c r="K20" i="55" s="1"/>
  <c r="P41" i="75"/>
  <c r="AE10" i="48"/>
  <c r="AD9" i="48"/>
  <c r="K19" i="35" s="1"/>
  <c r="AG26" i="49"/>
  <c r="AF28" i="49"/>
  <c r="M10" i="35" s="1"/>
  <c r="AF29" i="49"/>
  <c r="M11" i="35"/>
  <c r="J73" i="55"/>
  <c r="J99" i="55"/>
  <c r="AF20" i="25"/>
  <c r="M9" i="35" s="1"/>
  <c r="L9" i="35"/>
  <c r="Q39" i="75"/>
  <c r="R101" i="75"/>
  <c r="Q109" i="75"/>
  <c r="Q37" i="75" s="1"/>
  <c r="K97" i="55"/>
  <c r="K71" i="55"/>
  <c r="T13" i="20"/>
  <c r="T28" i="20"/>
  <c r="K96" i="55" l="1"/>
  <c r="K70" i="55"/>
  <c r="AE38" i="59"/>
  <c r="K18" i="35"/>
  <c r="X78" i="26"/>
  <c r="X29" i="26"/>
  <c r="AH29" i="26" s="1"/>
  <c r="X15" i="26"/>
  <c r="AH30" i="26"/>
  <c r="AI15" i="26" s="1"/>
  <c r="S101" i="75"/>
  <c r="R39" i="75"/>
  <c r="R109" i="75"/>
  <c r="R37" i="75" s="1"/>
  <c r="AD94" i="59"/>
  <c r="AE95" i="59"/>
  <c r="Q33" i="59"/>
  <c r="J3" i="50" s="1"/>
  <c r="Q41" i="75"/>
  <c r="AG29" i="49"/>
  <c r="AG28" i="49"/>
  <c r="N10" i="35" s="1"/>
  <c r="N11" i="35"/>
  <c r="S93" i="59"/>
  <c r="R31" i="59"/>
  <c r="R101" i="59"/>
  <c r="R29" i="59" s="1"/>
  <c r="U13" i="20"/>
  <c r="U28" i="20"/>
  <c r="W75" i="26"/>
  <c r="V48" i="20"/>
  <c r="V49" i="20" s="1"/>
  <c r="O2" i="50"/>
  <c r="C2" i="35"/>
  <c r="D4" i="55" s="1"/>
  <c r="AF10" i="48"/>
  <c r="AE9" i="48"/>
  <c r="L19" i="35" s="1"/>
  <c r="AD102" i="75"/>
  <c r="AE103" i="75"/>
  <c r="W80" i="26"/>
  <c r="X20" i="26"/>
  <c r="AG77" i="59"/>
  <c r="AG26" i="59" s="1"/>
  <c r="AG91" i="59" s="1"/>
  <c r="AF26" i="59"/>
  <c r="AF91" i="59" s="1"/>
  <c r="K99" i="55"/>
  <c r="K73" i="55"/>
  <c r="AE16" i="48"/>
  <c r="K21" i="35"/>
  <c r="X11" i="26" l="1"/>
  <c r="X9" i="26" s="1"/>
  <c r="AH15" i="26"/>
  <c r="AE94" i="59"/>
  <c r="AF95" i="59"/>
  <c r="AF94" i="59" s="1"/>
  <c r="W48" i="20"/>
  <c r="W49" i="20" s="1"/>
  <c r="D2" i="35"/>
  <c r="E4" i="55" s="1"/>
  <c r="AF103" i="75"/>
  <c r="AF102" i="75" s="1"/>
  <c r="AE102" i="75"/>
  <c r="AG10" i="48"/>
  <c r="AG9" i="48" s="1"/>
  <c r="N19" i="35" s="1"/>
  <c r="AF9" i="48"/>
  <c r="M19" i="35" s="1"/>
  <c r="R33" i="59"/>
  <c r="K3" i="50" s="1"/>
  <c r="AF16" i="48"/>
  <c r="L21" i="35"/>
  <c r="D80" i="55"/>
  <c r="D54" i="55"/>
  <c r="T93" i="59"/>
  <c r="S31" i="59"/>
  <c r="S33" i="59" s="1"/>
  <c r="L3" i="50" s="1"/>
  <c r="S101" i="59"/>
  <c r="S29" i="59" s="1"/>
  <c r="L18" i="35"/>
  <c r="AF38" i="59"/>
  <c r="R41" i="75"/>
  <c r="X80" i="26"/>
  <c r="X75" i="26" s="1"/>
  <c r="Y20" i="26"/>
  <c r="V13" i="20"/>
  <c r="V28" i="20"/>
  <c r="T101" i="75"/>
  <c r="S39" i="75"/>
  <c r="S109" i="75"/>
  <c r="S37" i="75" s="1"/>
  <c r="X48" i="20" l="1"/>
  <c r="X49" i="20" s="1"/>
  <c r="E2" i="35"/>
  <c r="F4" i="55" s="1"/>
  <c r="E80" i="55"/>
  <c r="E54" i="55"/>
  <c r="AG16" i="48"/>
  <c r="N21" i="35" s="1"/>
  <c r="M21" i="35"/>
  <c r="W13" i="20"/>
  <c r="W28" i="20"/>
  <c r="S41" i="75"/>
  <c r="E135" i="75"/>
  <c r="E127" i="59"/>
  <c r="AG38" i="59"/>
  <c r="N18" i="35" s="1"/>
  <c r="M18" i="35"/>
  <c r="U101" i="75"/>
  <c r="T39" i="75"/>
  <c r="T109" i="75"/>
  <c r="T37" i="75" s="1"/>
  <c r="U93" i="59"/>
  <c r="T31" i="59"/>
  <c r="T101" i="59"/>
  <c r="T29" i="59" s="1"/>
  <c r="Y80" i="26"/>
  <c r="Y75" i="26" s="1"/>
  <c r="Z20" i="26"/>
  <c r="Y11" i="26"/>
  <c r="Y9" i="26" s="1"/>
  <c r="V101" i="75" l="1"/>
  <c r="U39" i="75"/>
  <c r="U109" i="75"/>
  <c r="U37" i="75" s="1"/>
  <c r="Y48" i="20"/>
  <c r="Y49" i="20" s="1"/>
  <c r="F2" i="35"/>
  <c r="G4" i="55" s="1"/>
  <c r="T33" i="59"/>
  <c r="M3" i="50" s="1"/>
  <c r="F80" i="55"/>
  <c r="F54" i="55"/>
  <c r="T41" i="75"/>
  <c r="Z80" i="26"/>
  <c r="Z75" i="26" s="1"/>
  <c r="AA20" i="26"/>
  <c r="Z11" i="26"/>
  <c r="Z9" i="26" s="1"/>
  <c r="U31" i="59"/>
  <c r="U33" i="59" s="1"/>
  <c r="N3" i="50" s="1"/>
  <c r="V93" i="59"/>
  <c r="U101" i="59"/>
  <c r="U29" i="59" s="1"/>
  <c r="X13" i="20"/>
  <c r="X28" i="20"/>
  <c r="G80" i="55" l="1"/>
  <c r="G54" i="55"/>
  <c r="Z48" i="20"/>
  <c r="Z49" i="20" s="1"/>
  <c r="G2" i="35"/>
  <c r="H4" i="55" s="1"/>
  <c r="Y13" i="20"/>
  <c r="Y28" i="20"/>
  <c r="V31" i="59"/>
  <c r="W93" i="59"/>
  <c r="V101" i="59"/>
  <c r="U41" i="75"/>
  <c r="AA80" i="26"/>
  <c r="AA75" i="26" s="1"/>
  <c r="AB20" i="26"/>
  <c r="AA11" i="26"/>
  <c r="AA9" i="26" s="1"/>
  <c r="V39" i="75"/>
  <c r="W101" i="75"/>
  <c r="V109" i="75"/>
  <c r="W109" i="75" l="1"/>
  <c r="V37" i="75"/>
  <c r="H80" i="55"/>
  <c r="H54" i="55"/>
  <c r="X93" i="59"/>
  <c r="W31" i="59"/>
  <c r="Z13" i="20"/>
  <c r="Z28" i="20"/>
  <c r="X101" i="75"/>
  <c r="W39" i="75"/>
  <c r="V43" i="75"/>
  <c r="V41" i="75"/>
  <c r="V52" i="75"/>
  <c r="F135" i="75"/>
  <c r="AB80" i="26"/>
  <c r="AB75" i="26" s="1"/>
  <c r="AC20" i="26"/>
  <c r="AB11" i="26"/>
  <c r="AB9" i="26" s="1"/>
  <c r="F127" i="59"/>
  <c r="AA48" i="20"/>
  <c r="AA49" i="20" s="1"/>
  <c r="H2" i="35"/>
  <c r="I4" i="55" s="1"/>
  <c r="V29" i="59"/>
  <c r="V33" i="59" s="1"/>
  <c r="W101" i="59"/>
  <c r="O3" i="50" l="1"/>
  <c r="C17" i="35"/>
  <c r="D19" i="55" s="1"/>
  <c r="AD20" i="26"/>
  <c r="AC80" i="26"/>
  <c r="AC75" i="26" s="1"/>
  <c r="AC11" i="26"/>
  <c r="AC9" i="26" s="1"/>
  <c r="W33" i="59"/>
  <c r="D17" i="35" s="1"/>
  <c r="E19" i="55" s="1"/>
  <c r="Y93" i="59"/>
  <c r="X31" i="59"/>
  <c r="AA13" i="20"/>
  <c r="AA28" i="20"/>
  <c r="V44" i="59"/>
  <c r="I80" i="55"/>
  <c r="I54" i="55"/>
  <c r="V35" i="59"/>
  <c r="AB48" i="20"/>
  <c r="AB49" i="20" s="1"/>
  <c r="I2" i="35"/>
  <c r="J4" i="55" s="1"/>
  <c r="W29" i="59"/>
  <c r="W12" i="59" s="1"/>
  <c r="F125" i="59" s="1"/>
  <c r="F129" i="59" s="1"/>
  <c r="X101" i="59"/>
  <c r="Y101" i="75"/>
  <c r="X39" i="75"/>
  <c r="X109" i="75"/>
  <c r="W37" i="75"/>
  <c r="W12" i="75" s="1"/>
  <c r="F133" i="75" s="1"/>
  <c r="F137" i="75" s="1"/>
  <c r="AB13" i="20" l="1"/>
  <c r="AB28" i="20"/>
  <c r="Z93" i="59"/>
  <c r="Y31" i="59"/>
  <c r="E95" i="55"/>
  <c r="E69" i="55"/>
  <c r="W41" i="75"/>
  <c r="Z101" i="75"/>
  <c r="Y39" i="75"/>
  <c r="AC48" i="20"/>
  <c r="AC49" i="20" s="1"/>
  <c r="J2" i="35"/>
  <c r="K4" i="55" s="1"/>
  <c r="AD80" i="26"/>
  <c r="AD75" i="26" s="1"/>
  <c r="AE20" i="26"/>
  <c r="AD11" i="26"/>
  <c r="AD9" i="26" s="1"/>
  <c r="Y109" i="75"/>
  <c r="X37" i="75"/>
  <c r="X41" i="75"/>
  <c r="X12" i="75"/>
  <c r="X29" i="59"/>
  <c r="X12" i="59" s="1"/>
  <c r="Y101" i="59"/>
  <c r="D95" i="55"/>
  <c r="D69" i="55"/>
  <c r="J80" i="55"/>
  <c r="J54" i="55"/>
  <c r="AE80" i="26" l="1"/>
  <c r="AE75" i="26" s="1"/>
  <c r="AF20" i="26"/>
  <c r="K80" i="55"/>
  <c r="K54" i="55"/>
  <c r="AA93" i="59"/>
  <c r="Z31" i="59"/>
  <c r="Z101" i="59"/>
  <c r="Y29" i="59"/>
  <c r="Y12" i="59" s="1"/>
  <c r="AC13" i="20"/>
  <c r="AC28" i="20"/>
  <c r="X33" i="59"/>
  <c r="E17" i="35" s="1"/>
  <c r="F19" i="55" s="1"/>
  <c r="AA101" i="75"/>
  <c r="Z39" i="75"/>
  <c r="AD48" i="20"/>
  <c r="AD49" i="20" s="1"/>
  <c r="K2" i="35"/>
  <c r="Z109" i="75"/>
  <c r="Y37" i="75"/>
  <c r="Y12" i="75" s="1"/>
  <c r="AA101" i="59" l="1"/>
  <c r="Z29" i="59"/>
  <c r="Z12" i="59" s="1"/>
  <c r="AB93" i="59"/>
  <c r="AA31" i="59"/>
  <c r="AF80" i="26"/>
  <c r="AF75" i="26" s="1"/>
  <c r="AG20" i="26"/>
  <c r="AG80" i="26" s="1"/>
  <c r="AG75" i="26" s="1"/>
  <c r="AE48" i="20"/>
  <c r="AE49" i="20" s="1"/>
  <c r="L2" i="35"/>
  <c r="F95" i="55"/>
  <c r="F69" i="55"/>
  <c r="Y41" i="75"/>
  <c r="AA109" i="75"/>
  <c r="Z37" i="75"/>
  <c r="Z12" i="75" s="1"/>
  <c r="AA39" i="75"/>
  <c r="AB101" i="75"/>
  <c r="Y33" i="59"/>
  <c r="F17" i="35" s="1"/>
  <c r="G19" i="55" s="1"/>
  <c r="AG48" i="20" l="1"/>
  <c r="AG49" i="20" s="1"/>
  <c r="N2" i="35"/>
  <c r="AB109" i="75"/>
  <c r="AA37" i="75"/>
  <c r="AA12" i="75" s="1"/>
  <c r="G133" i="75" s="1"/>
  <c r="G137" i="75" s="1"/>
  <c r="G95" i="55"/>
  <c r="G69" i="55"/>
  <c r="AC93" i="59"/>
  <c r="AB31" i="59"/>
  <c r="AA41" i="75"/>
  <c r="AB101" i="59"/>
  <c r="AA29" i="59"/>
  <c r="AA12" i="59" s="1"/>
  <c r="G125" i="59" s="1"/>
  <c r="G129" i="59" s="1"/>
  <c r="AC101" i="75"/>
  <c r="AB39" i="75"/>
  <c r="AF48" i="20"/>
  <c r="AF49" i="20" s="1"/>
  <c r="M2" i="35"/>
  <c r="G135" i="75"/>
  <c r="Z41" i="75"/>
  <c r="Z33" i="59"/>
  <c r="G17" i="35" s="1"/>
  <c r="H19" i="55" s="1"/>
  <c r="G127" i="59"/>
  <c r="AA33" i="59" l="1"/>
  <c r="H17" i="35" s="1"/>
  <c r="I19" i="55" s="1"/>
  <c r="AC101" i="59"/>
  <c r="AB29" i="59"/>
  <c r="AB12" i="59" s="1"/>
  <c r="H95" i="55"/>
  <c r="H69" i="55"/>
  <c r="AC109" i="75"/>
  <c r="AB37" i="75"/>
  <c r="AB12" i="75" s="1"/>
  <c r="AB41" i="75"/>
  <c r="AD101" i="75"/>
  <c r="AE101" i="75" s="1"/>
  <c r="AF101" i="75" s="1"/>
  <c r="AC39" i="75"/>
  <c r="AB33" i="59"/>
  <c r="I17" i="35" s="1"/>
  <c r="J19" i="55" s="1"/>
  <c r="AC31" i="59"/>
  <c r="AD93" i="59"/>
  <c r="AD109" i="75" l="1"/>
  <c r="AE109" i="75" s="1"/>
  <c r="AF109" i="75" s="1"/>
  <c r="AC37" i="75"/>
  <c r="AC12" i="75" s="1"/>
  <c r="AD31" i="59"/>
  <c r="AE93" i="59"/>
  <c r="J95" i="55"/>
  <c r="J69" i="55"/>
  <c r="AC41" i="75"/>
  <c r="AC29" i="59"/>
  <c r="AC12" i="59" s="1"/>
  <c r="AD101" i="59"/>
  <c r="I95" i="55"/>
  <c r="I69" i="55"/>
  <c r="AF93" i="59" l="1"/>
  <c r="AF31" i="59" s="1"/>
  <c r="AE31" i="59"/>
  <c r="AC33" i="59"/>
  <c r="J17" i="35" s="1"/>
  <c r="K19" i="55" s="1"/>
  <c r="AD29" i="59"/>
  <c r="AD33" i="59" s="1"/>
  <c r="K17" i="35" s="1"/>
  <c r="AE101" i="59"/>
  <c r="AE29" i="59" l="1"/>
  <c r="AF101" i="59"/>
  <c r="AF29" i="59" s="1"/>
  <c r="AE33" i="59"/>
  <c r="L17" i="35" s="1"/>
  <c r="K95" i="55"/>
  <c r="K69" i="55"/>
  <c r="AF33" i="59"/>
  <c r="M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9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9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9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9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9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9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9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9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9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9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9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9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9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9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9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9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9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9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9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2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<sst xmlns="http://schemas.openxmlformats.org/spreadsheetml/2006/main" count="5037" uniqueCount="2309">
  <si>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</si>
  <si>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</si>
  <si>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</si>
  <si>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</si>
  <si>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</si>
  <si>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</si>
  <si>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</si>
  <si>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</si>
  <si>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</si>
  <si>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</si>
  <si>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</si>
  <si>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</si>
  <si>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</si>
  <si>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</si>
  <si>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</si>
  <si>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</si>
  <si>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</si>
  <si>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</si>
  <si>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</si>
  <si>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</si>
  <si>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</si>
  <si>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</si>
  <si>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</si>
  <si>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</si>
  <si>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</si>
  <si>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</si>
  <si>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</si>
  <si>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</si>
  <si>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</si>
  <si>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</si>
  <si>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</si>
  <si>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</si>
  <si>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</si>
  <si>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</si>
  <si>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</si>
  <si>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</si>
  <si>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</si>
  <si>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</si>
  <si>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</si>
  <si>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</si>
  <si>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</si>
  <si>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</si>
  <si>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</si>
  <si>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</si>
  <si>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</si>
  <si>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</si>
  <si>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</si>
  <si>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</si>
  <si>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</si>
  <si>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</si>
  <si>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</si>
  <si>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</si>
  <si>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</si>
  <si>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</si>
  <si>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</si>
  <si>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</si>
  <si>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</si>
  <si>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</si>
  <si>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</si>
  <si>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</si>
  <si>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</si>
  <si>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</si>
  <si>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</si>
  <si>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</si>
  <si>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</si>
  <si>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</si>
  <si>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</si>
  <si>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</si>
  <si>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</si>
  <si>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</si>
  <si>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</si>
  <si>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</si>
  <si>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</si>
  <si>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</si>
  <si>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</si>
  <si>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</si>
  <si>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</si>
  <si>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</si>
  <si>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</si>
  <si>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</si>
  <si>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</si>
  <si>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</si>
  <si>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</si>
  <si>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</si>
  <si>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</si>
  <si>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</si>
  <si>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</si>
  <si>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</si>
  <si>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</si>
  <si>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</si>
  <si>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</si>
  <si>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</si>
  <si>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</si>
  <si>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</si>
  <si>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</si>
  <si>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</si>
  <si>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</si>
  <si>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</si>
  <si>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</si>
  <si>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</si>
  <si>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</si>
  <si>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</si>
  <si>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</si>
  <si>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</si>
  <si>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</si>
  <si>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</si>
  <si>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</si>
  <si>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</si>
  <si>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</si>
  <si>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</si>
  <si>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</si>
  <si>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</si>
  <si>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</si>
  <si>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</si>
  <si>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</si>
  <si>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</si>
  <si>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</si>
  <si>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</si>
  <si>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</si>
  <si>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</si>
  <si>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</si>
  <si>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</si>
  <si>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</si>
  <si>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</si>
  <si>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</si>
  <si>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</si>
  <si>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</si>
  <si>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</si>
  <si>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</si>
  <si>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</si>
  <si>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</si>
  <si>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</si>
  <si>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</si>
  <si>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</si>
  <si>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</si>
  <si>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</si>
  <si>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</si>
  <si>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</si>
  <si>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</si>
  <si>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</si>
  <si>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</si>
  <si>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</si>
  <si>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</si>
  <si>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</si>
  <si>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</si>
  <si>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</si>
  <si>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</si>
  <si>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</si>
  <si>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</si>
  <si>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</si>
  <si>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</si>
  <si>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</si>
  <si>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</si>
  <si>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</si>
  <si>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</si>
  <si>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</si>
  <si>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</si>
  <si>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</si>
  <si>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</si>
  <si>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</si>
  <si>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</si>
  <si>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</si>
  <si>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</si>
  <si>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</si>
  <si>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</si>
  <si>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</si>
  <si>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</si>
  <si>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</si>
  <si>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</si>
  <si>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</si>
  <si>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</si>
  <si>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</si>
  <si>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</si>
  <si>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</si>
  <si>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</si>
  <si>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</si>
  <si>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</si>
  <si>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</si>
  <si>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</si>
  <si>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</si>
  <si>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</si>
  <si>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</si>
  <si>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</si>
  <si>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</si>
  <si>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</si>
  <si>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</si>
  <si>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</si>
  <si>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</si>
  <si>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</si>
  <si>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</si>
  <si>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</si>
  <si>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</si>
  <si>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</si>
  <si>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</si>
  <si>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</si>
  <si>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</si>
  <si>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</si>
  <si>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</si>
  <si>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</si>
  <si>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</si>
  <si>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</si>
  <si>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</si>
  <si>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</si>
  <si>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</si>
  <si>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</si>
  <si>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</si>
  <si>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</si>
  <si>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</si>
  <si>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</si>
  <si>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</si>
  <si>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</si>
  <si>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</si>
  <si>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</si>
  <si>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</si>
  <si>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</si>
  <si>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</si>
  <si>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</si>
  <si>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</si>
  <si>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</si>
  <si>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</si>
  <si>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</si>
  <si>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</si>
  <si>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</si>
  <si>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</si>
  <si>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</si>
  <si>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</si>
  <si>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</si>
  <si>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</si>
  <si>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</si>
  <si>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</si>
  <si>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</si>
  <si>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</si>
  <si>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</si>
  <si>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</si>
  <si>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</si>
  <si>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</si>
  <si>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</si>
  <si>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</si>
  <si>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</si>
  <si>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</si>
  <si>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</si>
  <si>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</si>
  <si>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</si>
  <si>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</si>
  <si>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</si>
  <si>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</si>
  <si>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</si>
  <si>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</si>
  <si>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</si>
  <si>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</si>
  <si>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</si>
  <si>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</si>
  <si>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</si>
  <si>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</si>
  <si>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</si>
  <si>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</si>
  <si>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</si>
  <si>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</si>
  <si>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</si>
  <si>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</si>
  <si>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</si>
  <si>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</si>
  <si>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</si>
  <si>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</si>
  <si>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</si>
  <si>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</si>
  <si>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</si>
  <si>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</si>
  <si>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</si>
  <si>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</si>
  <si>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</si>
  <si>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</si>
  <si>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</si>
  <si>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</si>
  <si>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</si>
  <si>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</si>
  <si>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</si>
  <si>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</si>
  <si>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</si>
  <si>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</si>
  <si>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</si>
  <si>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</si>
  <si>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</si>
  <si>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</si>
  <si>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</si>
  <si>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</si>
  <si>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</si>
  <si>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</si>
  <si>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</si>
  <si>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</si>
  <si>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</si>
  <si>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</si>
  <si>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</si>
  <si>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</si>
  <si>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</si>
  <si>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</si>
  <si>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</si>
  <si>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</si>
  <si>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</si>
  <si>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</si>
  <si>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</si>
  <si>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</si>
  <si>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</si>
  <si>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</si>
  <si>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</si>
  <si>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</si>
  <si>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</si>
  <si>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</si>
  <si>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</si>
  <si>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</si>
  <si>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</si>
  <si>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</si>
  <si>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</si>
  <si>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</si>
  <si>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</si>
  <si>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</si>
  <si>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</si>
  <si>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</si>
  <si>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</si>
  <si>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</si>
  <si>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</si>
  <si>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</si>
  <si>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</si>
  <si>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</si>
  <si>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</si>
  <si>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</si>
  <si>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</si>
  <si>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</si>
  <si>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</si>
  <si>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</si>
  <si>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</si>
  <si>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</si>
  <si>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</si>
  <si>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</si>
  <si>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</si>
  <si>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</si>
  <si>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</si>
  <si>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</si>
  <si>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</si>
  <si>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</si>
  <si>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</si>
  <si>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</si>
  <si>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</si>
  <si>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</si>
  <si>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</si>
  <si>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</si>
  <si>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</si>
  <si>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</si>
  <si>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</si>
  <si>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</si>
  <si>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</si>
  <si>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</si>
  <si>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</si>
  <si>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</si>
  <si>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</si>
  <si>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</si>
  <si>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</si>
  <si>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</si>
  <si>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</si>
  <si>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</si>
  <si>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</si>
  <si>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</si>
  <si>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</si>
  <si>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</si>
  <si>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</si>
  <si>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</si>
  <si>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</si>
  <si>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</si>
  <si>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</si>
  <si>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</si>
  <si>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</si>
  <si>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</si>
  <si>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</si>
  <si>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</si>
  <si>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</si>
  <si>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</si>
  <si>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</si>
  <si>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</si>
  <si>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</si>
  <si>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</si>
  <si>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</si>
  <si>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</si>
  <si>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</si>
  <si>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</si>
  <si>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</si>
  <si>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</si>
  <si>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</si>
  <si>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</si>
  <si>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</si>
  <si>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</si>
  <si>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</si>
  <si>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</si>
  <si>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</si>
  <si>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</si>
  <si>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</si>
  <si>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</si>
  <si>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</si>
  <si>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</si>
  <si>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</si>
  <si>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</si>
  <si>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</si>
  <si>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</si>
  <si>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</si>
  <si>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</si>
  <si>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</si>
  <si>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</si>
  <si>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</si>
  <si>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</si>
  <si>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</si>
  <si>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</si>
  <si>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</si>
  <si>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</si>
  <si>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</si>
  <si>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</si>
  <si>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</si>
  <si>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</si>
  <si>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</si>
  <si>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</si>
  <si>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</si>
  <si>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</si>
  <si>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</si>
  <si>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</si>
  <si>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</si>
  <si>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</si>
  <si>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</si>
  <si>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</si>
  <si>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</si>
  <si>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</si>
  <si>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</si>
  <si>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</si>
  <si>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</si>
  <si>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</si>
  <si>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</si>
  <si>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</si>
  <si>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</si>
  <si>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</si>
  <si>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</si>
  <si>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</si>
  <si>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</si>
  <si>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</si>
  <si>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</si>
  <si>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</si>
  <si>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</si>
  <si>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</si>
  <si>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</si>
  <si>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</si>
  <si>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</si>
  <si>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</si>
  <si>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</si>
  <si>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</si>
  <si>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</si>
  <si>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</si>
  <si>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</si>
  <si>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</si>
  <si>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</si>
  <si>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</si>
  <si>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</si>
  <si>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</si>
  <si>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</si>
  <si>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</si>
  <si>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</si>
  <si>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</si>
  <si>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</si>
  <si>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</si>
  <si>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</si>
  <si>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</si>
  <si>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</si>
  <si>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</si>
  <si>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</si>
  <si>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</si>
  <si>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</si>
  <si>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</si>
  <si>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</si>
  <si>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</si>
  <si>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</si>
  <si>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</si>
  <si>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</si>
  <si>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</si>
  <si>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</si>
  <si>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</si>
  <si>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</si>
  <si>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</si>
  <si>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</si>
  <si>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</si>
  <si>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</si>
  <si>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</si>
  <si>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</si>
  <si>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</si>
  <si>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</si>
  <si>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</si>
  <si>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</si>
  <si>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</si>
  <si>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</si>
  <si>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</si>
  <si>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</si>
  <si>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</si>
  <si>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</si>
  <si>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</si>
  <si>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</si>
  <si>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</si>
  <si>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</si>
  <si>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</si>
  <si>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</si>
  <si>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</si>
  <si>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</si>
  <si>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</si>
  <si>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</si>
  <si>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</si>
  <si>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</si>
  <si>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</si>
  <si>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</si>
  <si>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</si>
  <si>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</si>
  <si>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</si>
  <si>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</si>
  <si>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</si>
  <si>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</si>
  <si>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</si>
  <si>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</si>
  <si>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</si>
  <si>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</si>
  <si>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</si>
  <si>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</si>
  <si>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</si>
  <si>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</si>
  <si>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</si>
  <si>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</si>
  <si>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</si>
  <si>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</si>
  <si>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</si>
  <si>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</si>
  <si>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</si>
  <si>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</si>
  <si>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</si>
  <si>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</si>
  <si>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</si>
  <si>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</si>
  <si>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</si>
  <si>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</si>
  <si>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</si>
  <si>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</si>
  <si>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</si>
  <si>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</si>
  <si>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</si>
  <si>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</si>
  <si>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</si>
  <si>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</si>
  <si>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</si>
  <si>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</si>
  <si>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</si>
  <si>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</si>
  <si>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</si>
  <si>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</si>
  <si>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</si>
  <si>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</si>
  <si>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</si>
  <si>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</si>
  <si>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</si>
  <si>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</si>
  <si>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</si>
  <si>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</si>
  <si>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</si>
  <si>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</si>
  <si>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</si>
  <si>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</si>
  <si>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</si>
  <si>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</si>
  <si>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</si>
  <si>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</si>
  <si>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</si>
  <si>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</si>
  <si>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</si>
  <si>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</si>
  <si>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</si>
  <si>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</si>
  <si>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</si>
  <si>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</si>
  <si>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</si>
  <si>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</si>
  <si>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</si>
  <si>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</si>
  <si>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</si>
  <si>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</si>
  <si>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</si>
  <si>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</si>
  <si>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</si>
  <si>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</si>
  <si>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</si>
  <si>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</si>
  <si>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</si>
  <si>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</si>
  <si>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</si>
  <si>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</si>
  <si>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</si>
  <si>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</si>
  <si>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</si>
  <si>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</si>
  <si>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</si>
  <si>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</si>
  <si>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</si>
  <si>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</si>
  <si>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</si>
  <si>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</si>
  <si>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</si>
  <si>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</si>
  <si>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</si>
  <si>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</si>
  <si>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</si>
  <si>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</si>
  <si>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</si>
  <si>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</si>
  <si>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</si>
  <si>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</si>
  <si>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</si>
  <si>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</si>
  <si>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</si>
  <si>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</si>
  <si>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</si>
  <si>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</si>
  <si>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</si>
  <si>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</si>
  <si>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</si>
  <si>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</si>
  <si>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</si>
  <si>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</si>
  <si>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</si>
  <si>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</si>
  <si>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</si>
  <si>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</si>
  <si>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</si>
  <si>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</si>
  <si>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</si>
  <si>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</si>
  <si>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</si>
  <si>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</si>
  <si>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</si>
  <si>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</si>
  <si>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</si>
  <si>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</si>
  <si>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</si>
  <si>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</si>
  <si>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</si>
  <si>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</si>
  <si>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</si>
  <si>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</si>
  <si>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</si>
  <si>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</si>
  <si>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</si>
  <si>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</si>
  <si>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</si>
  <si>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</si>
  <si>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</si>
  <si>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</si>
  <si>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</si>
  <si>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</si>
  <si>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</si>
  <si>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</si>
  <si>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</si>
  <si>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</si>
  <si>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</si>
  <si>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</si>
  <si>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</si>
  <si>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</si>
  <si>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</si>
  <si>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</si>
  <si>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</si>
  <si>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</si>
  <si>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</si>
  <si>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</si>
  <si>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</si>
  <si>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</si>
  <si>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</si>
  <si>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</si>
  <si>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</si>
  <si>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</si>
  <si>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</si>
  <si>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</si>
  <si>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</si>
  <si>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</si>
  <si>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</si>
  <si>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</si>
  <si>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</si>
  <si>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</si>
  <si>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</si>
  <si>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</si>
  <si>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</si>
  <si>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</si>
  <si>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</si>
  <si>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</si>
  <si>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</si>
  <si>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</si>
  <si>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</si>
  <si>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</si>
  <si>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</si>
  <si>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</si>
  <si>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</si>
  <si>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</si>
  <si>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</si>
  <si>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</si>
  <si>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</si>
  <si>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</si>
  <si>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</si>
  <si>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</si>
  <si>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</si>
  <si>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</si>
  <si>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</si>
  <si>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</si>
  <si>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</si>
  <si>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</si>
  <si>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</si>
  <si>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</si>
  <si>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</si>
  <si>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</si>
  <si>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</si>
  <si>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</si>
  <si>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</si>
  <si>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</si>
  <si>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</si>
  <si>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</si>
  <si>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</si>
  <si>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</si>
  <si>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</si>
  <si>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</si>
  <si>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</si>
  <si>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</si>
  <si>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</si>
  <si>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</si>
  <si>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</si>
  <si>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</si>
  <si>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</si>
  <si>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</si>
  <si>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</si>
  <si>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</si>
  <si>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</si>
  <si>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</si>
  <si>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</si>
  <si>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</si>
  <si>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</si>
  <si>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</si>
  <si>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</si>
  <si>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</si>
  <si>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</si>
  <si>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</si>
  <si>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</si>
  <si>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</si>
  <si>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</si>
  <si>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</si>
  <si>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</si>
  <si>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</si>
  <si>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</si>
  <si>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</si>
  <si>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</si>
  <si>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</si>
  <si>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</si>
  <si>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</si>
  <si>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</si>
  <si>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</si>
  <si>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</si>
  <si>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</si>
  <si>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</si>
  <si>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</si>
  <si>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</si>
  <si>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</si>
  <si>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</si>
  <si>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</si>
  <si>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</si>
  <si>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</si>
  <si>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</si>
  <si>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</si>
  <si>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</si>
  <si>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</si>
  <si>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</si>
  <si>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</si>
  <si>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</si>
  <si>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</si>
  <si>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</si>
  <si>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</si>
  <si>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</si>
  <si>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</si>
  <si>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</si>
  <si>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</si>
  <si>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</si>
  <si>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</si>
  <si>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</si>
  <si>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</si>
  <si>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</si>
  <si>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</si>
  <si>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</si>
  <si>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</si>
  <si>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</si>
  <si>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</si>
  <si>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</si>
  <si>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</si>
  <si>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</si>
  <si>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</si>
  <si>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</si>
  <si>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</si>
  <si>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</si>
  <si>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</si>
  <si>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</si>
  <si>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</si>
  <si>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</si>
  <si>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</si>
  <si>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</si>
  <si>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</si>
  <si>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</si>
  <si>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</si>
  <si>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</si>
  <si>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</si>
  <si>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</si>
  <si>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</si>
  <si>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</si>
  <si>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</si>
  <si>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</si>
  <si>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</si>
  <si>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</si>
  <si>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</si>
  <si>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</si>
  <si>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</si>
  <si>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</si>
  <si>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</si>
  <si>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</si>
  <si>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</si>
  <si>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</si>
  <si>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</si>
  <si>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</si>
  <si>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</si>
  <si>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</si>
  <si>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</si>
  <si>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</si>
  <si>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</si>
  <si>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</si>
  <si>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</si>
  <si>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</si>
  <si>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</si>
  <si>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</si>
  <si>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</si>
  <si>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</si>
  <si>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</si>
  <si>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</si>
  <si>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</si>
  <si>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</si>
  <si>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</si>
  <si>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</si>
  <si>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</si>
  <si>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</si>
  <si>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</si>
  <si>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</si>
  <si>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</si>
  <si>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</si>
  <si>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</si>
  <si>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</si>
  <si>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</si>
  <si>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</si>
  <si>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</si>
  <si>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</si>
  <si>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</si>
  <si>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</si>
  <si>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</si>
  <si>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</si>
  <si>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</si>
  <si>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</si>
  <si>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</si>
  <si>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</si>
  <si>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</si>
  <si>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</si>
  <si>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</si>
  <si>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</si>
  <si>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</si>
  <si>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</si>
  <si>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</si>
  <si>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</si>
  <si>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</si>
  <si>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</si>
  <si>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</si>
  <si>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</si>
  <si>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</si>
  <si>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</si>
  <si>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</si>
  <si>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</si>
  <si>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</si>
  <si>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</si>
  <si>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</si>
  <si>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</si>
  <si>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</si>
  <si>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</si>
  <si>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</si>
  <si>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</si>
  <si>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</si>
  <si>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</si>
  <si>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</si>
  <si>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</si>
  <si>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</si>
  <si>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</si>
  <si>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</si>
  <si>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</si>
  <si>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</si>
  <si>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</si>
  <si>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</si>
  <si>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</si>
  <si>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</si>
  <si>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</si>
  <si>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</si>
  <si>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</si>
  <si>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</si>
  <si>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</si>
  <si>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</si>
  <si>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</si>
  <si>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</si>
  <si>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</si>
  <si>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</si>
  <si>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</si>
  <si>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</si>
  <si>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</si>
  <si>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</si>
  <si>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</si>
  <si>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</si>
  <si>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</si>
  <si>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</si>
  <si>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</si>
  <si>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</si>
  <si>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</si>
  <si>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</si>
  <si>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</si>
  <si>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</si>
  <si>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</si>
  <si>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</si>
  <si>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</si>
  <si>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</si>
  <si>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</si>
  <si>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</si>
  <si>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</si>
  <si>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</si>
  <si>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</si>
  <si>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</si>
  <si>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</si>
  <si>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</si>
  <si>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</si>
  <si>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</si>
  <si>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</si>
  <si>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</si>
  <si>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</si>
  <si>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</si>
  <si>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</si>
  <si>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</si>
  <si>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</si>
  <si>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</si>
  <si>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</si>
  <si>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</si>
  <si>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</si>
  <si>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</si>
  <si>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</si>
  <si>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</si>
  <si>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</si>
  <si>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</si>
  <si>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</si>
  <si>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</si>
  <si>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</si>
  <si>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</si>
  <si>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</si>
  <si>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</si>
  <si>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</si>
  <si>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</si>
  <si>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</si>
  <si>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</si>
  <si>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</si>
  <si>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</si>
  <si>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</si>
  <si>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</si>
  <si>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</si>
  <si>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</si>
  <si>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</si>
  <si>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</si>
  <si>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</si>
  <si>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</si>
  <si>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</si>
  <si>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</si>
  <si>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</si>
  <si>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</si>
  <si>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</si>
  <si>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</si>
  <si>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</si>
  <si>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</si>
  <si>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</si>
  <si>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</si>
  <si>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</si>
  <si>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</si>
  <si>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</si>
  <si>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</si>
  <si>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</si>
  <si>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</si>
  <si>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</si>
  <si>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</si>
  <si>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</si>
  <si>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</si>
  <si>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</si>
  <si>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</si>
  <si>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</si>
  <si>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</si>
  <si>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</si>
  <si>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</si>
  <si>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</si>
  <si>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</si>
  <si>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</si>
  <si>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</si>
  <si>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</si>
  <si>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</si>
  <si>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</si>
  <si>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</si>
  <si>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</si>
  <si>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</si>
  <si>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</si>
  <si>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</si>
  <si>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</si>
  <si>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</si>
  <si>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</si>
  <si>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</si>
  <si>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</si>
  <si>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</si>
  <si>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</si>
  <si>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</si>
  <si>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</si>
  <si>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</si>
  <si>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</si>
  <si>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</si>
  <si>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</si>
  <si>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</si>
  <si>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</si>
  <si>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</si>
  <si>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</si>
  <si>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</si>
  <si>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</si>
  <si>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</si>
  <si>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</si>
  <si>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</si>
  <si>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</si>
  <si>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</si>
  <si>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</si>
  <si>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</si>
  <si>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</si>
  <si>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</si>
  <si>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</si>
  <si>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</si>
  <si>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</si>
  <si>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</si>
  <si>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</si>
  <si>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</si>
  <si>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</si>
  <si>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</si>
  <si>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</si>
  <si>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</si>
  <si>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</si>
  <si>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</si>
  <si>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</si>
  <si>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</si>
  <si>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</si>
  <si>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</si>
  <si>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</si>
  <si>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</si>
  <si>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</si>
  <si>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</si>
  <si>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</si>
  <si>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</si>
  <si>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</si>
  <si>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</si>
  <si>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</si>
  <si>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</si>
  <si>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</si>
  <si>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</si>
  <si>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</si>
  <si>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</si>
  <si>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</si>
  <si>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</si>
  <si>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</si>
  <si>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</si>
  <si>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</si>
  <si>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</si>
  <si>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</si>
  <si>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</si>
  <si>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</si>
  <si>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</si>
  <si>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</si>
  <si>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</si>
  <si>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</si>
  <si>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</si>
  <si>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</si>
  <si>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</si>
  <si>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</si>
  <si>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</si>
  <si>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</si>
  <si>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</si>
  <si>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</si>
  <si>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</si>
  <si>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</si>
  <si>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</si>
  <si>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</si>
  <si>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</si>
  <si>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</si>
  <si>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</si>
  <si>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</si>
  <si>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</si>
  <si>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</si>
  <si>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</si>
  <si>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</si>
  <si>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</si>
  <si>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</si>
  <si>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</si>
  <si>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</si>
  <si>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</si>
  <si>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</si>
  <si>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</si>
  <si>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</si>
  <si>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</si>
  <si>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</si>
  <si>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</si>
  <si>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</si>
  <si>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</si>
  <si>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</si>
  <si>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</si>
  <si>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</si>
  <si>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</si>
  <si>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</si>
  <si>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</si>
  <si>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</si>
  <si>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</si>
  <si>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</si>
  <si>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</si>
  <si>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</si>
  <si>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</si>
  <si>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</si>
  <si>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</si>
  <si>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</si>
  <si>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</si>
  <si>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</si>
  <si>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</si>
  <si>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</si>
  <si>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</si>
  <si>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</si>
  <si>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</si>
  <si>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</si>
  <si>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</si>
  <si>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</si>
  <si>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</si>
  <si>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</si>
  <si>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</si>
  <si>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</si>
  <si>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</si>
  <si>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</si>
  <si>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</si>
  <si>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</si>
  <si>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</si>
  <si>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</si>
  <si>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</si>
  <si>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</si>
  <si>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</si>
  <si>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</si>
  <si>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</si>
  <si>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</si>
  <si>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</si>
  <si>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</si>
  <si>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</si>
  <si>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</si>
  <si>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</si>
  <si>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</si>
  <si>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</si>
  <si>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</si>
  <si>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</si>
  <si>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</si>
  <si>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</si>
  <si>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</si>
  <si>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</si>
  <si>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</si>
  <si>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</si>
  <si>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</si>
  <si>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</si>
  <si>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</si>
  <si>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</si>
  <si>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</si>
  <si>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</si>
  <si>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</si>
  <si>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</si>
  <si>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</si>
  <si>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</si>
  <si>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</si>
  <si>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</si>
  <si>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</si>
  <si>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</si>
  <si>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</si>
  <si>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</si>
  <si>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</si>
  <si>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</si>
  <si>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</si>
  <si>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</si>
  <si>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</si>
  <si>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</si>
  <si>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</si>
  <si>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</si>
  <si>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</si>
  <si>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</si>
  <si>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</si>
  <si>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</si>
  <si>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</si>
  <si>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</si>
  <si>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</si>
  <si>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</si>
  <si>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</si>
  <si>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</si>
  <si>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</si>
  <si>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</si>
  <si>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</si>
  <si>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</si>
  <si>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</si>
  <si>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</si>
  <si>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</si>
  <si>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</si>
  <si>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</si>
  <si>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</si>
  <si>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</si>
  <si>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</si>
  <si>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</si>
  <si>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</si>
  <si>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</si>
  <si>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</si>
  <si>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</si>
  <si>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</si>
  <si>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</si>
  <si>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</si>
  <si>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</si>
  <si>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</si>
  <si>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</si>
  <si>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</si>
  <si>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</si>
  <si>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</si>
  <si>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</si>
  <si>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</si>
  <si>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</si>
  <si>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</si>
  <si>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</si>
  <si>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</si>
  <si>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</si>
  <si>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</si>
  <si>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</si>
  <si>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</si>
  <si>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</si>
  <si>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</si>
  <si>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</si>
  <si>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</si>
  <si>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</si>
  <si>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</si>
  <si>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</si>
  <si>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</si>
  <si>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</si>
  <si>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</si>
  <si>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</si>
  <si>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</si>
  <si>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</si>
  <si>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</si>
  <si>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</si>
  <si>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</si>
  <si>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</si>
  <si>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</si>
  <si>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</si>
  <si>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</si>
  <si>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</si>
  <si>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</si>
  <si>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</si>
  <si>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</si>
  <si>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</si>
  <si>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</si>
  <si>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</si>
  <si>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</si>
  <si>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</si>
  <si>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</si>
  <si>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</si>
  <si>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</si>
  <si>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</si>
  <si>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</si>
  <si>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</si>
  <si>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</si>
  <si>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</si>
  <si>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</si>
  <si>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</si>
  <si>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</si>
  <si>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</si>
  <si>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</si>
  <si>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</si>
  <si>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</si>
  <si>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</si>
  <si>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</si>
  <si>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</si>
  <si>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</si>
  <si>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</si>
  <si>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</si>
  <si>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</si>
  <si>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</si>
  <si>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</si>
  <si>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</si>
  <si>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</si>
  <si>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</si>
  <si>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</si>
  <si>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</si>
  <si>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</si>
  <si>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</si>
  <si>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</si>
  <si>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</si>
  <si>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</si>
  <si>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</si>
  <si>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</si>
  <si>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</si>
  <si>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</si>
  <si>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</si>
  <si>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</si>
  <si>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</si>
  <si>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</si>
  <si>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</si>
  <si>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</si>
  <si>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</si>
  <si>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</si>
  <si>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</si>
  <si>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</si>
  <si>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</si>
  <si>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</si>
  <si>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</si>
  <si>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</si>
  <si>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</si>
  <si>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</si>
  <si>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</si>
  <si>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</si>
  <si>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</si>
  <si>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</si>
  <si>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</si>
  <si>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</si>
  <si>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</si>
  <si>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</si>
  <si>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</si>
  <si>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</si>
  <si>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</si>
  <si>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</si>
  <si>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</si>
  <si>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</si>
  <si>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</si>
  <si>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</si>
  <si>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</si>
  <si>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</si>
  <si>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</si>
  <si>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</si>
  <si>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</si>
  <si>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</si>
  <si>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</si>
  <si>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</si>
  <si>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</si>
  <si>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</si>
  <si>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</si>
  <si>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</si>
  <si>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</si>
  <si>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</si>
  <si>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</si>
  <si>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</si>
  <si>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</si>
  <si>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</si>
  <si>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</si>
  <si>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</si>
  <si>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</si>
  <si>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</si>
  <si>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</si>
  <si>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</si>
  <si>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</si>
  <si>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</si>
  <si>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</si>
  <si>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</si>
  <si>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</si>
  <si>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</si>
  <si>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</si>
  <si>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</si>
  <si>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</si>
  <si>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</si>
  <si>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</si>
  <si>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</si>
  <si>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</si>
  <si>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</si>
  <si>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</si>
  <si>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</si>
  <si>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</si>
  <si>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</si>
  <si>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</si>
  <si>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</si>
  <si>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</si>
  <si>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</si>
  <si>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</si>
  <si>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</si>
  <si>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</si>
  <si>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</si>
  <si>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</si>
  <si>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</si>
  <si>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</si>
  <si>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</si>
  <si>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</si>
  <si>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</si>
  <si>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</si>
  <si>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</si>
  <si>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</si>
  <si>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</si>
  <si>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</si>
  <si>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</si>
  <si>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</si>
  <si>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</si>
  <si>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</si>
  <si>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</si>
  <si>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</si>
  <si>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</si>
  <si>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</si>
  <si>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</si>
  <si>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</si>
  <si>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</si>
  <si>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</si>
  <si>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</si>
  <si>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</si>
  <si>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</si>
  <si>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</si>
  <si>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</si>
  <si>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</si>
  <si>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</si>
  <si>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</si>
  <si>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</si>
  <si>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</si>
  <si>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</si>
  <si>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</si>
  <si>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</si>
  <si>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</si>
  <si>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</si>
  <si>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</si>
  <si>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</si>
  <si>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</si>
  <si>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</si>
  <si>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</si>
  <si>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</si>
  <si>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</si>
  <si>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</si>
  <si>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</si>
  <si>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</si>
  <si>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</si>
  <si>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</si>
  <si>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</si>
  <si>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</si>
  <si>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</si>
  <si>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</si>
  <si>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</si>
  <si>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</si>
  <si>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</si>
  <si>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</si>
  <si>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</si>
  <si>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</si>
  <si>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</si>
  <si>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</si>
  <si>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</si>
  <si>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</si>
  <si>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</si>
  <si>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</si>
  <si>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</si>
  <si>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</si>
  <si>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</si>
  <si>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</si>
  <si>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</si>
  <si>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</si>
  <si>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</si>
  <si>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</si>
  <si>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</si>
  <si>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</si>
  <si>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</si>
  <si>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</si>
  <si>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</si>
  <si>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</si>
  <si>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</si>
  <si>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</si>
  <si>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</si>
  <si>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</si>
  <si>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</si>
  <si>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</si>
  <si>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</si>
  <si>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</si>
  <si>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</si>
  <si>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</si>
  <si>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</si>
  <si>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</si>
  <si>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</si>
  <si>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</si>
  <si>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</si>
  <si>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</si>
  <si>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</si>
  <si>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</si>
  <si>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</si>
  <si>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</si>
  <si>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</si>
  <si>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</si>
  <si>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</si>
  <si>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</si>
  <si>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</si>
  <si>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</si>
  <si>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</si>
  <si>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</si>
  <si>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</si>
  <si>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</si>
  <si>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</si>
  <si>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</si>
  <si>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</si>
  <si>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</si>
  <si>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</si>
  <si>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</si>
  <si>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</si>
  <si>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</si>
  <si>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</si>
  <si>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</si>
  <si>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</si>
  <si>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</si>
  <si>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</si>
  <si>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</si>
  <si>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</si>
  <si>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</si>
  <si>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</si>
  <si>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</si>
  <si>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</si>
  <si>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</si>
  <si>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</si>
  <si>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</si>
  <si>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</si>
  <si>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</si>
  <si>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</si>
  <si>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</si>
  <si>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</si>
  <si>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</si>
  <si>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</si>
  <si>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</si>
  <si>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</si>
  <si>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</si>
  <si>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</si>
  <si>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</si>
  <si>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</si>
  <si>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</si>
  <si>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</si>
  <si>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</si>
  <si>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</si>
  <si>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</si>
  <si>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</si>
  <si>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</si>
  <si>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</si>
  <si>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</si>
  <si>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</si>
  <si>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</si>
  <si>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</si>
  <si>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</si>
  <si>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</si>
  <si>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</si>
  <si>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</si>
  <si>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</si>
  <si>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</si>
  <si>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</si>
  <si>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</si>
  <si>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</si>
  <si>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</si>
  <si>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</si>
  <si>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</si>
  <si>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</si>
  <si>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</si>
  <si>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</si>
  <si>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</si>
  <si>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</si>
  <si>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</si>
  <si>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</si>
  <si>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</si>
  <si>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</si>
  <si>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</si>
  <si>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</si>
  <si>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</si>
  <si>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</si>
  <si>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</si>
  <si>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</si>
  <si>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</si>
  <si>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</si>
  <si>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</si>
  <si>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</si>
  <si>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</si>
  <si>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</si>
  <si>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</si>
  <si>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</si>
  <si>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</si>
  <si>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</si>
  <si>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</si>
  <si>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</si>
  <si>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</si>
  <si>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</si>
  <si>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</si>
  <si>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</si>
  <si>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</si>
  <si>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</si>
  <si>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</si>
  <si>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</si>
  <si>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</si>
  <si>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</si>
  <si>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</si>
  <si>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</si>
  <si>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</si>
  <si>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</si>
  <si>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</si>
  <si>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</si>
  <si>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</si>
  <si>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</si>
  <si>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</si>
  <si>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</si>
  <si>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</si>
  <si>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</si>
  <si>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</si>
  <si>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</si>
  <si>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</si>
  <si>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</si>
  <si>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</si>
  <si>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</si>
  <si>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</si>
  <si>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</si>
  <si>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</si>
  <si>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</si>
  <si>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</si>
  <si>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</si>
  <si>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</si>
  <si>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</si>
  <si>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</si>
  <si>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</si>
  <si>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</si>
  <si>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</si>
  <si>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</si>
  <si>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</si>
  <si>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</si>
  <si>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</si>
  <si>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</si>
  <si>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</si>
  <si>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</si>
  <si>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</si>
  <si>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</si>
  <si>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</si>
  <si>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</si>
  <si>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</si>
  <si>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</si>
  <si>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</si>
  <si>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</si>
  <si>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</si>
  <si>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</si>
  <si>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</si>
  <si>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</si>
  <si>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</si>
  <si>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</si>
  <si>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</si>
  <si>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</si>
  <si>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</si>
  <si>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</si>
  <si>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</si>
  <si>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</si>
  <si>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</si>
  <si>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</si>
  <si>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</si>
  <si>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</si>
  <si>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</si>
  <si>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</si>
  <si>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</si>
  <si>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</si>
  <si>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</si>
  <si>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</si>
  <si>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</si>
  <si>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</si>
  <si>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</si>
  <si>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</si>
  <si>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</si>
  <si>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</si>
  <si>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</si>
  <si>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</si>
  <si>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</si>
  <si>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</si>
  <si>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</si>
  <si>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</si>
  <si>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</si>
  <si>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</si>
  <si>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</si>
  <si>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</si>
  <si>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</si>
  <si>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</si>
  <si>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</si>
  <si>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</si>
  <si>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</si>
  <si>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</si>
  <si>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</si>
  <si>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</si>
  <si>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</si>
  <si>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</si>
  <si>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</si>
  <si>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</si>
  <si>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</si>
  <si>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</si>
  <si>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</si>
  <si>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</si>
  <si>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</si>
  <si>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</si>
  <si>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</si>
  <si>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</si>
  <si>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</si>
  <si>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</si>
  <si>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</si>
  <si>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</si>
  <si>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</si>
  <si>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</si>
  <si>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</si>
  <si>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</si>
  <si>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</si>
  <si>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</si>
  <si>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</si>
  <si>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</si>
  <si>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</si>
  <si>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</si>
  <si>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</si>
  <si>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</si>
  <si>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</si>
  <si>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</si>
  <si>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</si>
  <si>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</si>
  <si>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</si>
  <si>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</si>
  <si>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</si>
  <si>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</si>
  <si>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</si>
  <si>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</si>
  <si>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</si>
  <si>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</si>
  <si>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</si>
  <si>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</si>
  <si>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</si>
  <si>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</si>
  <si>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</si>
  <si>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</si>
  <si>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</si>
  <si>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</si>
  <si>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</si>
  <si>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</si>
  <si>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</si>
  <si>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</si>
  <si>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</si>
  <si>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</si>
  <si>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</si>
  <si>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</si>
  <si>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</si>
  <si>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</si>
  <si>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</si>
  <si>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</si>
  <si>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</si>
  <si>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</si>
  <si>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</si>
  <si>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</si>
  <si>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</si>
  <si>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</si>
  <si>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</si>
  <si>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</si>
  <si>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</si>
  <si>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</si>
  <si>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</si>
  <si>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</si>
  <si>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</si>
  <si>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</si>
  <si>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</si>
  <si>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</si>
  <si>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</si>
  <si>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</si>
  <si>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</si>
  <si>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</si>
  <si>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</si>
  <si>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</si>
  <si>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</si>
  <si>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</si>
  <si>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</si>
  <si>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</si>
  <si>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</si>
  <si>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</si>
  <si>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</si>
  <si>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</si>
  <si>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</si>
  <si>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</si>
  <si>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</si>
  <si>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</si>
  <si>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</si>
  <si>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</si>
  <si>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</si>
  <si>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</si>
  <si>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</si>
  <si>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</si>
  <si>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</si>
  <si>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</si>
  <si>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</si>
  <si>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</si>
  <si>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</si>
  <si>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</si>
  <si>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</si>
  <si>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</si>
  <si>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</si>
  <si>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</si>
  <si>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</si>
  <si>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</si>
  <si>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</si>
  <si>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</si>
  <si>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</si>
  <si>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</si>
  <si>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</si>
  <si>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</si>
  <si>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</si>
  <si>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</si>
  <si>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</si>
  <si>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</si>
  <si>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</si>
  <si>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</si>
  <si>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</si>
  <si>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</si>
  <si>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</si>
  <si>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</si>
  <si>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</si>
  <si>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</si>
  <si>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</si>
  <si>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</si>
  <si>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</si>
  <si>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</si>
  <si>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</si>
  <si>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</si>
  <si>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</si>
  <si>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</si>
  <si>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</si>
  <si>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</si>
  <si>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</si>
  <si>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</si>
  <si>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</si>
  <si>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</si>
  <si>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</si>
  <si>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</si>
  <si>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</si>
  <si>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</si>
  <si>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</si>
  <si>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</si>
  <si>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</si>
  <si>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</si>
  <si>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</si>
  <si>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</si>
  <si>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</si>
  <si>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</si>
  <si>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</si>
  <si>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</si>
  <si>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</si>
  <si>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</si>
  <si>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</si>
  <si>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</si>
  <si>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</si>
  <si>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</si>
  <si>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</si>
  <si>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</si>
  <si>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</si>
  <si>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</si>
  <si>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</si>
  <si>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</si>
  <si>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</si>
  <si>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</si>
  <si>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</si>
  <si>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</si>
  <si>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</si>
  <si>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</si>
  <si>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</si>
  <si>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</si>
  <si>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</si>
  <si>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</si>
  <si>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</si>
  <si>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</si>
  <si>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</si>
  <si>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</si>
  <si>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</si>
  <si>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</si>
  <si>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</si>
  <si>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</si>
  <si>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</si>
  <si>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</si>
  <si>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</si>
  <si>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</si>
  <si>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</si>
  <si>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</si>
  <si>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</si>
  <si>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</si>
  <si>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</si>
  <si>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</si>
  <si>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</si>
  <si>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</si>
  <si>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</si>
  <si>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</si>
  <si>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</si>
  <si>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</si>
  <si>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</si>
  <si>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</si>
  <si>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</si>
  <si>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</si>
  <si>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</si>
  <si>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</si>
  <si>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</si>
  <si>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</si>
  <si>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</si>
  <si>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</si>
  <si>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</si>
  <si>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</si>
  <si>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</si>
  <si>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</si>
  <si>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</si>
  <si>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</si>
  <si>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</si>
  <si>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</si>
  <si>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</si>
  <si>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</si>
  <si>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</si>
  <si>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</si>
  <si>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</si>
  <si>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</si>
  <si>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</si>
  <si>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</si>
  <si>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</si>
  <si>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</si>
  <si>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</si>
  <si>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</si>
  <si>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</si>
  <si>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</si>
  <si>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</si>
  <si>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</si>
  <si>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</si>
  <si>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</si>
  <si>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</si>
  <si>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</si>
  <si>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</si>
  <si>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</si>
  <si>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</si>
  <si>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</si>
  <si>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</si>
  <si>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</si>
  <si>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</si>
  <si>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</si>
  <si>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</si>
  <si>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</si>
  <si>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</si>
  <si>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</si>
  <si>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</si>
  <si>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</si>
  <si>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</si>
  <si>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</si>
  <si>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</si>
  <si>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</si>
  <si>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</si>
  <si>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</si>
  <si>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</si>
  <si>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</si>
  <si>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</si>
  <si>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</si>
  <si>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</si>
  <si>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</si>
  <si>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</si>
  <si>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</si>
  <si>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</si>
  <si>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</si>
  <si>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</si>
  <si>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</si>
  <si>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</si>
  <si>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</si>
  <si>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</si>
  <si>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</si>
  <si>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</si>
  <si>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</si>
  <si>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</si>
  <si>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</si>
  <si>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</si>
  <si>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</si>
  <si>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</si>
  <si>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</si>
  <si>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</si>
  <si>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</si>
  <si>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</si>
  <si>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</si>
  <si>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</si>
  <si>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</si>
  <si>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</si>
  <si>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</si>
  <si>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</si>
  <si>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</si>
  <si>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</si>
  <si>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</si>
  <si>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</si>
  <si>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</si>
  <si>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</si>
  <si>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</si>
  <si>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</si>
  <si>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</si>
  <si>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</si>
  <si>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</si>
  <si>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</si>
  <si>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</si>
  <si>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</si>
  <si>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</si>
  <si>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50% from leg</t>
  </si>
  <si>
    <t>Equipment</t>
  </si>
  <si>
    <t>Smoothed Total</t>
  </si>
  <si>
    <t>2023 q2 first release</t>
  </si>
  <si>
    <t>2023 Q2 first revision</t>
  </si>
  <si>
    <t>2023 Q2 first release (July 2023)</t>
  </si>
  <si>
    <t>2023 Q2 first revisionm (August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</si>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</sst>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 numFmtId="177" formatCode="[$-409]mmm\-yy;@"/>
  </numFmts>
  <fonts count="75" x14ac:knownFonts="1">
    <font>
      <sz val="11"/>
      <color theme="1"/>
      <name val="Calibri"/>
      <family val="2"/>
      <scheme val="minor"/>
    </font>
    <font>
      <sz val="11"/>
      <color theme="1"/>
      <name val="Calibri"/>
      <family val="2"/>
    </font>
    <font>
      <sz val="11"/>
      <color theme="1"/>
      <name val="Arial"/>
      <family val="2"/>
    </font>
    <font>
      <b/>
      <sz val="11"/>
      <color theme="1"/>
      <name val="Calibri"/>
      <family val="2"/>
    </font>
    <font>
      <i/>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sz val="11"/>
      <color rgb="FF000000"/>
      <name val="Calibri"/>
      <family val="2"/>
      <scheme val="minor"/>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4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00B0F0"/>
        <bgColor indexed="64"/>
      </patternFill>
    </fill>
    <fill>
      <patternFill patternType="solid">
        <fgColor theme="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4">
    <border>
      <left/>
      <right/>
      <top/>
      <bottom/>
      <diagonal/>
    </border>
    <border>
      <left style="thin">
        <color indexed="64"/>
      </left>
      <right/>
      <top/>
      <bottom/>
      <diagonal/>
    </border>
    <border>
      <left/>
      <right style="thin">
        <color indexed="64"/>
      </right>
      <top style="thin">
        <color indexed="64"/>
      </top>
      <bottom/>
      <diagonal/>
    </border>
    <border>
      <left/>
      <right/>
      <top style="thin">
        <color auto="1"/>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hair">
        <color indexed="64"/>
      </top>
      <bottom/>
      <diagonal/>
    </border>
    <border>
      <left/>
      <right style="hair">
        <color auto="1"/>
      </right>
      <top style="hair">
        <color auto="1"/>
      </top>
      <bottom/>
      <diagonal/>
    </border>
    <border>
      <left/>
      <right/>
      <top/>
      <bottom style="hair">
        <color indexed="64"/>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78">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0" fontId="1" fillId="2" borderId="2"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6" xfId="0" applyFont="1" applyFill="1" applyBorder="1" applyAlignment="1">
      <alignment vertical="top"/>
    </xf>
    <xf numFmtId="0" fontId="1" fillId="2" borderId="1" xfId="0" applyFont="1" applyFill="1" applyBorder="1" applyAlignment="1">
      <alignment vertical="top"/>
    </xf>
    <xf numFmtId="0" fontId="3" fillId="2" borderId="5" xfId="0" applyFont="1" applyFill="1" applyBorder="1" applyAlignment="1">
      <alignment vertical="top"/>
    </xf>
    <xf numFmtId="0" fontId="3"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6"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3"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3" xfId="0" applyFont="1" applyBorder="1" applyAlignment="1">
      <alignment wrapText="1"/>
    </xf>
    <xf numFmtId="0" fontId="1" fillId="0" borderId="7" xfId="0" applyFont="1" applyBorder="1" applyAlignment="1">
      <alignment vertical="center" wrapText="1"/>
    </xf>
    <xf numFmtId="0" fontId="3" fillId="6" borderId="9" xfId="0" applyFont="1" applyFill="1" applyBorder="1" applyAlignment="1">
      <alignment horizontal="center" wrapText="1"/>
    </xf>
    <xf numFmtId="0" fontId="3" fillId="6" borderId="10" xfId="0" applyFont="1" applyFill="1" applyBorder="1" applyAlignment="1">
      <alignment horizontal="center" wrapText="1"/>
    </xf>
    <xf numFmtId="0" fontId="3" fillId="6" borderId="11" xfId="0" applyFont="1" applyFill="1" applyBorder="1" applyAlignment="1">
      <alignment horizontal="center" wrapText="1"/>
    </xf>
    <xf numFmtId="0" fontId="1" fillId="0" borderId="1" xfId="0" applyFont="1" applyBorder="1"/>
    <xf numFmtId="0" fontId="4" fillId="0" borderId="0" xfId="0" applyFont="1" applyAlignment="1">
      <alignment vertical="center" wrapText="1"/>
    </xf>
    <xf numFmtId="3" fontId="2" fillId="0" borderId="0" xfId="0" applyNumberFormat="1" applyFont="1" applyAlignment="1">
      <alignment horizontal="center" vertical="top" wrapText="1"/>
    </xf>
    <xf numFmtId="3" fontId="2" fillId="0" borderId="0" xfId="0" applyNumberFormat="1" applyFont="1" applyAlignment="1">
      <alignment horizontal="center" wrapText="1"/>
    </xf>
    <xf numFmtId="164" fontId="1" fillId="0" borderId="0" xfId="0" applyNumberFormat="1" applyFont="1" applyAlignment="1">
      <alignment horizontal="left"/>
    </xf>
    <xf numFmtId="165" fontId="2"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3"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3" xfId="0" applyFont="1" applyBorder="1" applyAlignment="1">
      <alignment horizontal="left"/>
    </xf>
    <xf numFmtId="165" fontId="1" fillId="0" borderId="0" xfId="0" applyNumberFormat="1" applyFont="1" applyAlignment="1">
      <alignment horizontal="left"/>
    </xf>
    <xf numFmtId="1" fontId="2"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167" fontId="1" fillId="0" borderId="0" xfId="0" applyNumberFormat="1" applyFont="1" applyAlignment="1">
      <alignment horizontal="center"/>
    </xf>
    <xf numFmtId="0" fontId="3" fillId="0" borderId="0" xfId="0" applyFont="1"/>
    <xf numFmtId="0" fontId="3" fillId="8" borderId="0" xfId="0" applyFont="1" applyFill="1" applyAlignment="1">
      <alignment horizontal="center"/>
    </xf>
    <xf numFmtId="1" fontId="1" fillId="0" borderId="15" xfId="0" applyNumberFormat="1" applyFont="1" applyBorder="1" applyAlignment="1">
      <alignment horizontal="center" vertical="top"/>
    </xf>
    <xf numFmtId="1" fontId="1" fillId="0" borderId="16"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3" fillId="0" borderId="17" xfId="0" applyNumberFormat="1" applyFont="1" applyBorder="1" applyAlignment="1">
      <alignment horizontal="right"/>
    </xf>
    <xf numFmtId="165" fontId="3" fillId="0" borderId="18" xfId="0" applyNumberFormat="1" applyFont="1" applyBorder="1" applyAlignment="1">
      <alignment horizontal="right"/>
    </xf>
    <xf numFmtId="165" fontId="1" fillId="0" borderId="18" xfId="0" applyNumberFormat="1" applyFont="1" applyBorder="1" applyAlignment="1">
      <alignment horizontal="right"/>
    </xf>
    <xf numFmtId="3" fontId="1" fillId="0" borderId="18" xfId="0" applyNumberFormat="1" applyFont="1" applyBorder="1" applyAlignment="1">
      <alignment horizontal="right"/>
    </xf>
    <xf numFmtId="3" fontId="1" fillId="0" borderId="19" xfId="0" applyNumberFormat="1" applyFont="1" applyBorder="1" applyAlignment="1">
      <alignment horizontal="right"/>
    </xf>
    <xf numFmtId="0" fontId="1" fillId="0" borderId="2"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20" xfId="0" applyNumberFormat="1" applyFont="1" applyBorder="1"/>
    <xf numFmtId="9" fontId="1" fillId="0" borderId="8" xfId="0" applyNumberFormat="1" applyFont="1" applyBorder="1"/>
    <xf numFmtId="1" fontId="1" fillId="9" borderId="15" xfId="0" applyNumberFormat="1" applyFont="1" applyFill="1" applyBorder="1" applyAlignment="1">
      <alignment horizontal="center"/>
    </xf>
    <xf numFmtId="0" fontId="1" fillId="9" borderId="0" xfId="0" applyFont="1" applyFill="1" applyAlignment="1">
      <alignment horizontal="left" indent="3"/>
    </xf>
    <xf numFmtId="165" fontId="1" fillId="9" borderId="18" xfId="0" applyNumberFormat="1" applyFont="1" applyFill="1" applyBorder="1" applyAlignment="1">
      <alignment horizontal="right"/>
    </xf>
    <xf numFmtId="165" fontId="1" fillId="9" borderId="0" xfId="0" applyNumberFormat="1" applyFont="1" applyFill="1" applyAlignment="1">
      <alignment horizontal="right"/>
    </xf>
    <xf numFmtId="168" fontId="13" fillId="0" borderId="0" xfId="0" applyNumberFormat="1" applyFont="1" applyAlignment="1">
      <alignment horizontal="center"/>
    </xf>
    <xf numFmtId="0" fontId="3"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2" fontId="1" fillId="9" borderId="4" xfId="0" applyNumberFormat="1" applyFont="1" applyFill="1" applyBorder="1"/>
    <xf numFmtId="165" fontId="3" fillId="0" borderId="21" xfId="0" applyNumberFormat="1" applyFont="1" applyBorder="1" applyAlignment="1">
      <alignment horizontal="right"/>
    </xf>
    <xf numFmtId="165" fontId="3" fillId="0" borderId="22" xfId="0" applyNumberFormat="1" applyFont="1" applyBorder="1" applyAlignment="1">
      <alignment horizontal="right"/>
    </xf>
    <xf numFmtId="165" fontId="3" fillId="0" borderId="0" xfId="0" applyNumberFormat="1" applyFont="1" applyAlignment="1">
      <alignment horizontal="right"/>
    </xf>
    <xf numFmtId="2" fontId="1" fillId="9" borderId="20" xfId="0" applyNumberFormat="1" applyFont="1" applyFill="1" applyBorder="1"/>
    <xf numFmtId="165" fontId="3" fillId="0" borderId="15" xfId="0" applyNumberFormat="1" applyFont="1" applyBorder="1" applyAlignment="1">
      <alignment horizontal="right"/>
    </xf>
    <xf numFmtId="165" fontId="1" fillId="0" borderId="0" xfId="0" applyNumberFormat="1" applyFont="1" applyAlignment="1">
      <alignment horizontal="right"/>
    </xf>
    <xf numFmtId="165" fontId="1" fillId="0" borderId="15" xfId="0" applyNumberFormat="1" applyFont="1" applyBorder="1" applyAlignment="1">
      <alignment horizontal="right"/>
    </xf>
    <xf numFmtId="3" fontId="1" fillId="0" borderId="0" xfId="0" applyNumberFormat="1" applyFont="1" applyAlignment="1">
      <alignment horizontal="right"/>
    </xf>
    <xf numFmtId="3" fontId="1" fillId="0" borderId="15" xfId="0" applyNumberFormat="1" applyFont="1" applyBorder="1" applyAlignment="1">
      <alignment horizontal="right"/>
    </xf>
    <xf numFmtId="3" fontId="1" fillId="0" borderId="23" xfId="0" applyNumberFormat="1" applyFont="1" applyBorder="1" applyAlignment="1">
      <alignment horizontal="right"/>
    </xf>
    <xf numFmtId="3" fontId="1" fillId="0" borderId="16" xfId="0" applyNumberFormat="1" applyFont="1" applyBorder="1" applyAlignment="1">
      <alignment horizontal="right"/>
    </xf>
    <xf numFmtId="168" fontId="1" fillId="0" borderId="24" xfId="0" applyNumberFormat="1" applyFont="1" applyBorder="1" applyAlignment="1">
      <alignment horizontal="center"/>
    </xf>
    <xf numFmtId="165" fontId="1" fillId="9" borderId="0" xfId="0" applyNumberFormat="1" applyFont="1" applyFill="1"/>
    <xf numFmtId="2" fontId="1" fillId="9" borderId="0" xfId="0" applyNumberFormat="1" applyFont="1" applyFill="1"/>
    <xf numFmtId="0" fontId="3" fillId="9" borderId="0" xfId="0" applyFont="1" applyFill="1" applyAlignment="1">
      <alignment horizontal="left" wrapText="1" indent="1"/>
    </xf>
    <xf numFmtId="165" fontId="3" fillId="9" borderId="18" xfId="0" applyNumberFormat="1" applyFont="1" applyFill="1" applyBorder="1" applyAlignment="1">
      <alignment horizontal="right"/>
    </xf>
    <xf numFmtId="165" fontId="3" fillId="9" borderId="0" xfId="0" applyNumberFormat="1" applyFont="1" applyFill="1" applyAlignment="1">
      <alignment horizontal="right"/>
    </xf>
    <xf numFmtId="0" fontId="3" fillId="9"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168" fontId="1" fillId="0" borderId="26" xfId="0" applyNumberFormat="1" applyFont="1" applyBorder="1" applyAlignment="1">
      <alignment horizontal="center"/>
    </xf>
    <xf numFmtId="0" fontId="3" fillId="0" borderId="0" xfId="0" applyFont="1" applyAlignment="1">
      <alignment horizontal="left" indent="1"/>
    </xf>
    <xf numFmtId="0" fontId="3"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3"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22" xfId="0" applyNumberFormat="1" applyFont="1" applyBorder="1" applyAlignment="1">
      <alignment horizontal="center"/>
    </xf>
    <xf numFmtId="1" fontId="1" fillId="0" borderId="15" xfId="0" applyNumberFormat="1" applyFont="1" applyBorder="1" applyAlignment="1">
      <alignment horizontal="center"/>
    </xf>
    <xf numFmtId="0" fontId="1" fillId="0" borderId="0" xfId="0" applyFont="1" applyAlignment="1">
      <alignment horizontal="center"/>
    </xf>
    <xf numFmtId="0" fontId="16" fillId="0" borderId="0" xfId="0" applyFont="1"/>
    <xf numFmtId="0" fontId="17" fillId="0" borderId="0" xfId="0" applyFont="1"/>
    <xf numFmtId="0" fontId="1" fillId="10"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wrapText="1"/>
    </xf>
    <xf numFmtId="0" fontId="2" fillId="10" borderId="5" xfId="0" applyFont="1" applyFill="1" applyBorder="1" applyAlignment="1">
      <alignment horizontal="center"/>
    </xf>
    <xf numFmtId="0" fontId="2" fillId="10" borderId="32" xfId="0" applyFont="1" applyFill="1" applyBorder="1" applyAlignment="1">
      <alignment horizontal="center"/>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 fillId="10" borderId="4" xfId="0" applyFont="1" applyFill="1" applyBorder="1" applyAlignment="1">
      <alignment horizontal="center"/>
    </xf>
    <xf numFmtId="0" fontId="22" fillId="0" borderId="34" xfId="0" applyFont="1" applyBorder="1" applyAlignment="1">
      <alignment horizontal="center" vertical="center"/>
    </xf>
    <xf numFmtId="0" fontId="2" fillId="12" borderId="0" xfId="0" applyFont="1" applyFill="1" applyAlignment="1">
      <alignment horizontal="center"/>
    </xf>
    <xf numFmtId="0" fontId="2" fillId="10"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6"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165" fontId="2" fillId="7" borderId="0" xfId="0" applyNumberFormat="1" applyFont="1" applyFill="1" applyAlignment="1">
      <alignment horizontal="center"/>
    </xf>
    <xf numFmtId="165" fontId="27" fillId="7" borderId="0" xfId="0" applyNumberFormat="1" applyFont="1" applyFill="1" applyAlignment="1">
      <alignment horizontal="center"/>
    </xf>
    <xf numFmtId="168" fontId="2" fillId="7" borderId="0" xfId="0" applyNumberFormat="1" applyFont="1" applyFill="1"/>
    <xf numFmtId="0" fontId="12" fillId="3" borderId="0" xfId="0" applyFont="1" applyFill="1" applyAlignment="1">
      <alignment horizontal="center"/>
    </xf>
    <xf numFmtId="0" fontId="12" fillId="0" borderId="0" xfId="0" applyFont="1" applyAlignment="1">
      <alignment horizontal="left" vertical="top" wrapText="1"/>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0" borderId="0" xfId="0" applyFont="1" applyAlignment="1">
      <alignment horizontal="center"/>
    </xf>
    <xf numFmtId="3" fontId="2" fillId="10" borderId="0" xfId="0" applyNumberFormat="1" applyFont="1" applyFill="1" applyAlignment="1">
      <alignment horizontal="center"/>
    </xf>
    <xf numFmtId="0" fontId="2" fillId="10" borderId="0" xfId="0" applyFont="1" applyFill="1" applyAlignment="1">
      <alignment horizontal="center" wrapText="1"/>
    </xf>
    <xf numFmtId="3" fontId="27" fillId="10" borderId="0" xfId="0" applyNumberFormat="1" applyFont="1" applyFill="1" applyAlignment="1">
      <alignment horizontal="center"/>
    </xf>
    <xf numFmtId="165" fontId="2" fillId="0" borderId="0" xfId="0" applyNumberFormat="1" applyFont="1" applyAlignment="1">
      <alignment horizontal="center"/>
    </xf>
    <xf numFmtId="168" fontId="2" fillId="0" borderId="0" xfId="0" applyNumberFormat="1" applyFont="1"/>
    <xf numFmtId="165" fontId="2" fillId="10" borderId="0" xfId="0" applyNumberFormat="1" applyFont="1" applyFill="1" applyAlignment="1">
      <alignment horizontal="center"/>
    </xf>
    <xf numFmtId="165" fontId="27" fillId="10" borderId="0" xfId="0" applyNumberFormat="1" applyFont="1" applyFill="1" applyAlignment="1">
      <alignment horizontal="center"/>
    </xf>
    <xf numFmtId="168" fontId="2" fillId="10" borderId="0" xfId="0" applyNumberFormat="1" applyFont="1" applyFill="1"/>
    <xf numFmtId="165" fontId="2" fillId="8" borderId="0" xfId="0" applyNumberFormat="1" applyFont="1" applyFill="1" applyAlignment="1">
      <alignment horizontal="center"/>
    </xf>
    <xf numFmtId="165" fontId="27" fillId="8" borderId="0" xfId="0" applyNumberFormat="1" applyFont="1" applyFill="1" applyAlignment="1">
      <alignment horizontal="center"/>
    </xf>
    <xf numFmtId="168" fontId="2" fillId="8" borderId="0" xfId="0" applyNumberFormat="1" applyFont="1" applyFill="1"/>
    <xf numFmtId="0" fontId="12" fillId="8" borderId="0" xfId="0" applyFont="1" applyFill="1" applyAlignment="1">
      <alignment horizontal="center"/>
    </xf>
    <xf numFmtId="0" fontId="2" fillId="10" borderId="5" xfId="0" applyFont="1" applyFill="1" applyBorder="1"/>
    <xf numFmtId="0" fontId="2" fillId="0" borderId="0" xfId="0" applyFont="1"/>
    <xf numFmtId="168" fontId="2" fillId="9" borderId="0" xfId="0" applyNumberFormat="1" applyFont="1" applyFill="1"/>
    <xf numFmtId="2" fontId="1" fillId="3" borderId="5" xfId="0" applyNumberFormat="1" applyFont="1" applyFill="1" applyBorder="1"/>
    <xf numFmtId="0" fontId="2" fillId="3" borderId="32" xfId="0" applyFont="1" applyFill="1" applyBorder="1"/>
    <xf numFmtId="0" fontId="2" fillId="3" borderId="32" xfId="0" applyFont="1" applyFill="1" applyBorder="1" applyAlignment="1">
      <alignment horizontal="center"/>
    </xf>
    <xf numFmtId="0" fontId="2" fillId="3" borderId="2"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wrapText="1"/>
    </xf>
    <xf numFmtId="0" fontId="2" fillId="0" borderId="0" xfId="0" applyFont="1" applyAlignment="1">
      <alignment horizontal="left" wrapText="1"/>
    </xf>
    <xf numFmtId="0" fontId="2" fillId="0" borderId="5" xfId="0" applyFont="1" applyBorder="1" applyAlignment="1">
      <alignment horizontal="left"/>
    </xf>
    <xf numFmtId="0" fontId="2" fillId="8" borderId="14" xfId="0" applyFont="1" applyFill="1" applyBorder="1" applyAlignment="1">
      <alignment horizontal="center"/>
    </xf>
    <xf numFmtId="3" fontId="2" fillId="0" borderId="0" xfId="0" applyNumberFormat="1" applyFont="1" applyAlignment="1">
      <alignment horizontal="center"/>
    </xf>
    <xf numFmtId="0" fontId="2"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2" fillId="0" borderId="0" xfId="0" applyNumberFormat="1" applyFont="1" applyAlignment="1">
      <alignment horizontal="center"/>
    </xf>
    <xf numFmtId="0" fontId="2" fillId="0" borderId="5" xfId="0" applyFont="1" applyBorder="1" applyAlignment="1">
      <alignment horizontal="center"/>
    </xf>
    <xf numFmtId="0" fontId="2" fillId="0" borderId="0" xfId="0" applyFont="1" applyAlignment="1">
      <alignment horizontal="left" vertical="top"/>
    </xf>
    <xf numFmtId="0" fontId="27" fillId="0" borderId="0" xfId="0" applyFont="1" applyAlignment="1">
      <alignment horizontal="left" wrapText="1"/>
    </xf>
    <xf numFmtId="0" fontId="1" fillId="3" borderId="6" xfId="0" applyFont="1" applyFill="1" applyBorder="1"/>
    <xf numFmtId="0" fontId="2" fillId="3" borderId="7" xfId="0" applyFont="1" applyFill="1" applyBorder="1"/>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8" borderId="2" xfId="0" applyFont="1" applyFill="1" applyBorder="1"/>
    <xf numFmtId="0" fontId="2" fillId="10" borderId="0" xfId="0" applyFont="1" applyFill="1"/>
    <xf numFmtId="165" fontId="27" fillId="0" borderId="1" xfId="0" applyNumberFormat="1" applyFont="1" applyBorder="1" applyAlignment="1">
      <alignment horizontal="center"/>
    </xf>
    <xf numFmtId="0" fontId="27" fillId="0" borderId="0" xfId="0" applyFont="1"/>
    <xf numFmtId="0" fontId="2" fillId="0" borderId="1" xfId="0" applyFont="1" applyBorder="1" applyAlignment="1">
      <alignment horizontal="left" vertical="top"/>
    </xf>
    <xf numFmtId="0" fontId="2" fillId="0" borderId="0" xfId="0" applyFont="1" applyAlignment="1">
      <alignment horizontal="left" indent="1"/>
    </xf>
    <xf numFmtId="3" fontId="2" fillId="0" borderId="0" xfId="0" applyNumberFormat="1" applyFont="1" applyAlignment="1">
      <alignment horizontal="right"/>
    </xf>
    <xf numFmtId="3" fontId="2" fillId="8" borderId="7" xfId="0" applyNumberFormat="1" applyFont="1" applyFill="1" applyBorder="1" applyAlignment="1">
      <alignment horizontal="center"/>
    </xf>
    <xf numFmtId="0" fontId="27" fillId="0" borderId="1" xfId="0" applyFont="1" applyBorder="1" applyAlignment="1">
      <alignment horizontal="left" wrapText="1"/>
    </xf>
    <xf numFmtId="0" fontId="2" fillId="8" borderId="6" xfId="0" applyFont="1" applyFill="1" applyBorder="1" applyAlignment="1">
      <alignment horizontal="center"/>
    </xf>
    <xf numFmtId="0" fontId="2" fillId="8" borderId="7" xfId="0" applyFont="1" applyFill="1" applyBorder="1" applyAlignment="1">
      <alignment horizontal="center"/>
    </xf>
    <xf numFmtId="0" fontId="2" fillId="8" borderId="8" xfId="0" applyFont="1" applyFill="1" applyBorder="1" applyAlignment="1">
      <alignment horizontal="center"/>
    </xf>
    <xf numFmtId="0" fontId="2" fillId="8" borderId="12" xfId="0" applyFont="1" applyFill="1" applyBorder="1" applyAlignment="1">
      <alignment horizontal="center"/>
    </xf>
    <xf numFmtId="0" fontId="2" fillId="0" borderId="3" xfId="0" applyFont="1" applyBorder="1" applyAlignment="1">
      <alignment horizontal="left"/>
    </xf>
    <xf numFmtId="0" fontId="2" fillId="0" borderId="1" xfId="0" applyFont="1" applyBorder="1" applyAlignment="1">
      <alignment horizontal="center" wrapText="1"/>
    </xf>
    <xf numFmtId="0" fontId="2" fillId="0" borderId="1" xfId="0" applyFont="1" applyBorder="1" applyAlignment="1">
      <alignment horizontal="center"/>
    </xf>
    <xf numFmtId="14" fontId="1" fillId="0" borderId="1" xfId="0" applyNumberFormat="1" applyFont="1" applyBorder="1"/>
    <xf numFmtId="14" fontId="1" fillId="0" borderId="6" xfId="0" applyNumberFormat="1" applyFont="1" applyBorder="1"/>
    <xf numFmtId="165" fontId="2" fillId="8" borderId="3" xfId="0" applyNumberFormat="1" applyFont="1" applyFill="1" applyBorder="1" applyAlignment="1">
      <alignment horizontal="center"/>
    </xf>
    <xf numFmtId="0" fontId="3" fillId="0" borderId="0" xfId="0" applyFont="1" applyAlignment="1">
      <alignment horizontal="center" wrapText="1"/>
    </xf>
    <xf numFmtId="169" fontId="1" fillId="0" borderId="0" xfId="0" applyNumberFormat="1" applyFont="1"/>
    <xf numFmtId="0" fontId="3" fillId="3" borderId="5" xfId="0" applyFont="1" applyFill="1" applyBorder="1" applyAlignment="1">
      <alignment horizontal="center" wrapText="1"/>
    </xf>
    <xf numFmtId="0" fontId="3" fillId="3" borderId="2" xfId="0" applyFont="1" applyFill="1" applyBorder="1" applyAlignment="1">
      <alignment wrapText="1"/>
    </xf>
    <xf numFmtId="0" fontId="2" fillId="0" borderId="0" xfId="0" applyFont="1" applyAlignment="1">
      <alignment wrapText="1"/>
    </xf>
    <xf numFmtId="0" fontId="2" fillId="0" borderId="1" xfId="0" applyFont="1" applyBorder="1"/>
    <xf numFmtId="0" fontId="2" fillId="10" borderId="8" xfId="0" applyFont="1" applyFill="1" applyBorder="1" applyAlignment="1">
      <alignment horizontal="center"/>
    </xf>
    <xf numFmtId="0" fontId="2" fillId="10" borderId="6" xfId="0" applyFont="1" applyFill="1" applyBorder="1" applyAlignment="1">
      <alignment horizontal="center"/>
    </xf>
    <xf numFmtId="0" fontId="2" fillId="10" borderId="7" xfId="0" applyFont="1" applyFill="1" applyBorder="1" applyAlignment="1">
      <alignment horizontal="center"/>
    </xf>
    <xf numFmtId="165" fontId="2" fillId="10" borderId="4" xfId="0" applyNumberFormat="1" applyFont="1" applyFill="1" applyBorder="1" applyAlignment="1">
      <alignment horizontal="center"/>
    </xf>
    <xf numFmtId="0" fontId="2" fillId="0" borderId="3" xfId="0" applyFont="1" applyBorder="1" applyAlignment="1">
      <alignment horizontal="center"/>
    </xf>
    <xf numFmtId="0" fontId="2" fillId="10" borderId="32" xfId="0" applyFont="1" applyFill="1" applyBorder="1"/>
    <xf numFmtId="165" fontId="2" fillId="8" borderId="32" xfId="0" applyNumberFormat="1" applyFont="1" applyFill="1" applyBorder="1" applyAlignment="1">
      <alignment horizontal="center"/>
    </xf>
    <xf numFmtId="0" fontId="2" fillId="8" borderId="32" xfId="0" applyFont="1" applyFill="1" applyBorder="1"/>
    <xf numFmtId="0" fontId="2" fillId="8" borderId="3" xfId="0" applyFont="1" applyFill="1" applyBorder="1" applyAlignment="1">
      <alignment horizontal="center"/>
    </xf>
    <xf numFmtId="165" fontId="2" fillId="8" borderId="2" xfId="0" applyNumberFormat="1" applyFont="1" applyFill="1" applyBorder="1" applyAlignment="1">
      <alignment horizontal="center"/>
    </xf>
    <xf numFmtId="0" fontId="2" fillId="10" borderId="2" xfId="0" applyFont="1" applyFill="1" applyBorder="1"/>
    <xf numFmtId="0" fontId="2" fillId="3" borderId="0" xfId="0" applyFont="1" applyFill="1"/>
    <xf numFmtId="0" fontId="2" fillId="3" borderId="0" xfId="0" applyFont="1" applyFill="1" applyAlignment="1">
      <alignment horizontal="center"/>
    </xf>
    <xf numFmtId="165" fontId="27" fillId="8" borderId="4" xfId="0" applyNumberFormat="1" applyFont="1" applyFill="1" applyBorder="1" applyAlignment="1">
      <alignment horizontal="center"/>
    </xf>
    <xf numFmtId="3" fontId="27" fillId="10" borderId="4" xfId="0" applyNumberFormat="1" applyFont="1" applyFill="1" applyBorder="1" applyAlignment="1">
      <alignment horizontal="center"/>
    </xf>
    <xf numFmtId="0" fontId="2" fillId="10" borderId="4" xfId="0" applyFont="1" applyFill="1" applyBorder="1" applyAlignment="1">
      <alignment horizontal="center" wrapText="1"/>
    </xf>
    <xf numFmtId="165" fontId="2" fillId="8" borderId="4" xfId="0" applyNumberFormat="1" applyFont="1" applyFill="1" applyBorder="1" applyAlignment="1">
      <alignment horizontal="center"/>
    </xf>
    <xf numFmtId="3" fontId="2" fillId="10" borderId="4" xfId="0" applyNumberFormat="1" applyFont="1" applyFill="1" applyBorder="1" applyAlignment="1">
      <alignment horizontal="center"/>
    </xf>
    <xf numFmtId="0" fontId="2" fillId="0" borderId="39" xfId="0" applyFont="1" applyBorder="1"/>
    <xf numFmtId="0" fontId="2" fillId="0" borderId="40" xfId="0" applyFont="1" applyBorder="1" applyAlignment="1">
      <alignment horizontal="center"/>
    </xf>
    <xf numFmtId="0" fontId="2" fillId="0" borderId="39" xfId="0" applyFont="1" applyBorder="1" applyAlignment="1">
      <alignment horizontal="center"/>
    </xf>
    <xf numFmtId="165" fontId="2" fillId="0" borderId="39" xfId="0" applyNumberFormat="1" applyFont="1" applyBorder="1" applyAlignment="1">
      <alignment horizontal="center"/>
    </xf>
    <xf numFmtId="0" fontId="2" fillId="0" borderId="32" xfId="0" applyFont="1" applyBorder="1" applyAlignment="1">
      <alignment horizontal="center"/>
    </xf>
    <xf numFmtId="2" fontId="1" fillId="3" borderId="0" xfId="0" applyNumberFormat="1" applyFont="1" applyFill="1"/>
    <xf numFmtId="0" fontId="1" fillId="3" borderId="0" xfId="0" applyFont="1" applyFill="1"/>
    <xf numFmtId="4" fontId="2" fillId="0" borderId="4" xfId="0" applyNumberFormat="1" applyFont="1" applyBorder="1" applyAlignment="1">
      <alignment horizontal="center"/>
    </xf>
    <xf numFmtId="168" fontId="2" fillId="8" borderId="39" xfId="0" applyNumberFormat="1" applyFont="1" applyFill="1" applyBorder="1"/>
    <xf numFmtId="168" fontId="2" fillId="8" borderId="41" xfId="0" applyNumberFormat="1" applyFont="1" applyFill="1" applyBorder="1"/>
    <xf numFmtId="165" fontId="2" fillId="7" borderId="0" xfId="0" applyNumberFormat="1" applyFont="1" applyFill="1" applyAlignment="1">
      <alignment horizontal="center" wrapText="1"/>
    </xf>
    <xf numFmtId="0" fontId="2" fillId="8" borderId="0" xfId="0" applyFont="1" applyFill="1" applyAlignment="1">
      <alignment horizontal="center"/>
    </xf>
    <xf numFmtId="165" fontId="2" fillId="8" borderId="0" xfId="0" applyNumberFormat="1" applyFont="1" applyFill="1" applyAlignment="1">
      <alignment horizontal="center" wrapText="1"/>
    </xf>
    <xf numFmtId="165" fontId="2" fillId="14" borderId="0" xfId="0" applyNumberFormat="1" applyFont="1" applyFill="1" applyAlignment="1">
      <alignment horizontal="center" wrapText="1"/>
    </xf>
    <xf numFmtId="165" fontId="2" fillId="14" borderId="0" xfId="0" applyNumberFormat="1" applyFont="1" applyFill="1" applyAlignment="1">
      <alignment horizontal="center" vertical="top" wrapText="1"/>
    </xf>
    <xf numFmtId="1" fontId="2" fillId="10" borderId="0" xfId="0" applyNumberFormat="1" applyFont="1" applyFill="1" applyAlignment="1">
      <alignment horizontal="center" wrapText="1"/>
    </xf>
    <xf numFmtId="3" fontId="2" fillId="10" borderId="0" xfId="0" applyNumberFormat="1" applyFont="1" applyFill="1" applyAlignment="1">
      <alignment horizontal="center" wrapText="1"/>
    </xf>
    <xf numFmtId="1" fontId="2" fillId="10" borderId="0" xfId="0" applyNumberFormat="1" applyFont="1" applyFill="1" applyAlignment="1">
      <alignment horizontal="center"/>
    </xf>
    <xf numFmtId="3" fontId="2" fillId="9" borderId="0" xfId="0" applyNumberFormat="1" applyFont="1" applyFill="1" applyAlignment="1">
      <alignment horizontal="center" wrapText="1"/>
    </xf>
    <xf numFmtId="3" fontId="2" fillId="10" borderId="0" xfId="0" applyNumberFormat="1" applyFont="1" applyFill="1" applyAlignment="1">
      <alignment horizontal="center" vertical="top" wrapText="1"/>
    </xf>
    <xf numFmtId="3" fontId="2" fillId="8" borderId="0" xfId="0" applyNumberFormat="1" applyFont="1" applyFill="1" applyAlignment="1">
      <alignment horizontal="center"/>
    </xf>
    <xf numFmtId="3" fontId="2" fillId="8" borderId="0" xfId="0" applyNumberFormat="1" applyFont="1" applyFill="1" applyAlignment="1">
      <alignment horizontal="center" wrapText="1"/>
    </xf>
    <xf numFmtId="0" fontId="2" fillId="10" borderId="5" xfId="0" applyFont="1" applyFill="1" applyBorder="1" applyAlignment="1">
      <alignment wrapText="1"/>
    </xf>
    <xf numFmtId="0" fontId="2" fillId="10" borderId="32" xfId="0" applyFont="1" applyFill="1" applyBorder="1" applyAlignment="1">
      <alignment wrapText="1"/>
    </xf>
    <xf numFmtId="0" fontId="2" fillId="8" borderId="32" xfId="0" applyFont="1" applyFill="1" applyBorder="1" applyAlignment="1">
      <alignment wrapText="1"/>
    </xf>
    <xf numFmtId="0" fontId="2" fillId="8" borderId="2"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2" fillId="8" borderId="14" xfId="0" applyFont="1" applyFill="1" applyBorder="1"/>
    <xf numFmtId="3" fontId="2" fillId="8" borderId="12" xfId="0" applyNumberFormat="1" applyFont="1" applyFill="1" applyBorder="1" applyAlignment="1">
      <alignment horizontal="center"/>
    </xf>
    <xf numFmtId="0" fontId="2" fillId="0" borderId="0" xfId="0" applyFont="1" applyAlignment="1">
      <alignment horizontal="left" vertical="top" wrapText="1" indent="2"/>
    </xf>
    <xf numFmtId="3" fontId="2"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2" fillId="8" borderId="32" xfId="0" applyNumberFormat="1" applyFont="1" applyFill="1" applyBorder="1" applyAlignment="1">
      <alignment horizontal="center" wrapText="1"/>
    </xf>
    <xf numFmtId="168" fontId="2" fillId="8" borderId="0" xfId="0" applyNumberFormat="1" applyFont="1" applyFill="1" applyAlignment="1">
      <alignment horizontal="center" wrapText="1"/>
    </xf>
    <xf numFmtId="0" fontId="2"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2" fillId="0" borderId="0" xfId="0" applyNumberFormat="1" applyFont="1" applyAlignment="1">
      <alignment horizontal="center" wrapText="1"/>
    </xf>
    <xf numFmtId="165" fontId="2" fillId="9"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2" fillId="9" borderId="0" xfId="0" applyNumberFormat="1" applyFont="1" applyFill="1" applyAlignment="1">
      <alignment horizontal="center" wrapText="1"/>
    </xf>
    <xf numFmtId="165" fontId="2" fillId="2" borderId="0" xfId="0" applyNumberFormat="1" applyFont="1" applyFill="1" applyAlignment="1">
      <alignment horizontal="center" wrapText="1"/>
    </xf>
    <xf numFmtId="165" fontId="27" fillId="0" borderId="32" xfId="0" applyNumberFormat="1" applyFont="1" applyBorder="1" applyAlignment="1">
      <alignment horizontal="center"/>
    </xf>
    <xf numFmtId="2" fontId="2" fillId="0" borderId="7" xfId="0" applyNumberFormat="1" applyFont="1" applyBorder="1"/>
    <xf numFmtId="0" fontId="2" fillId="0" borderId="5" xfId="0" applyFont="1" applyBorder="1" applyAlignment="1">
      <alignment horizontal="left" wrapText="1"/>
    </xf>
    <xf numFmtId="0" fontId="2" fillId="0" borderId="5" xfId="0" applyFont="1" applyBorder="1" applyAlignment="1">
      <alignment horizontal="center" wrapText="1"/>
    </xf>
    <xf numFmtId="0" fontId="2" fillId="0" borderId="32" xfId="0" applyFont="1" applyBorder="1" applyAlignment="1">
      <alignment horizontal="center" wrapText="1"/>
    </xf>
    <xf numFmtId="165" fontId="2" fillId="0" borderId="32" xfId="0" applyNumberFormat="1" applyFont="1" applyBorder="1" applyAlignment="1">
      <alignment horizontal="center" wrapText="1"/>
    </xf>
    <xf numFmtId="165" fontId="2" fillId="0" borderId="2" xfId="0" applyNumberFormat="1" applyFont="1" applyBorder="1" applyAlignment="1">
      <alignment horizontal="center" wrapText="1"/>
    </xf>
    <xf numFmtId="165" fontId="2" fillId="10" borderId="0" xfId="0" applyNumberFormat="1" applyFont="1" applyFill="1" applyAlignment="1">
      <alignment horizontal="center" wrapText="1"/>
    </xf>
    <xf numFmtId="3" fontId="2" fillId="0" borderId="4" xfId="0" applyNumberFormat="1" applyFont="1" applyBorder="1" applyAlignment="1">
      <alignment horizontal="center" wrapText="1"/>
    </xf>
    <xf numFmtId="165" fontId="2" fillId="0" borderId="4" xfId="0" applyNumberFormat="1" applyFont="1" applyBorder="1" applyAlignment="1">
      <alignment horizontal="center" wrapText="1"/>
    </xf>
    <xf numFmtId="0" fontId="2" fillId="0" borderId="6" xfId="0" applyFont="1" applyBorder="1"/>
    <xf numFmtId="0" fontId="2" fillId="0" borderId="7" xfId="0" applyFont="1" applyBorder="1"/>
    <xf numFmtId="3" fontId="2" fillId="0" borderId="1" xfId="0" applyNumberFormat="1" applyFont="1" applyBorder="1" applyAlignment="1">
      <alignment horizontal="center" vertical="top" wrapText="1"/>
    </xf>
    <xf numFmtId="2" fontId="2" fillId="8" borderId="7" xfId="0" applyNumberFormat="1" applyFont="1" applyFill="1" applyBorder="1"/>
    <xf numFmtId="165" fontId="27" fillId="8" borderId="32" xfId="0" applyNumberFormat="1" applyFont="1" applyFill="1" applyBorder="1" applyAlignment="1">
      <alignment horizontal="center"/>
    </xf>
    <xf numFmtId="2" fontId="2" fillId="8" borderId="8" xfId="0" applyNumberFormat="1" applyFont="1" applyFill="1" applyBorder="1"/>
    <xf numFmtId="0" fontId="2" fillId="0" borderId="1" xfId="0" applyFont="1" applyBorder="1" applyAlignment="1">
      <alignment horizontal="left" vertical="top" wrapText="1" indent="2"/>
    </xf>
    <xf numFmtId="3" fontId="2" fillId="0" borderId="4" xfId="0" applyNumberFormat="1" applyFont="1" applyBorder="1" applyAlignment="1">
      <alignment horizontal="center"/>
    </xf>
    <xf numFmtId="3" fontId="2" fillId="10" borderId="7" xfId="0" applyNumberFormat="1" applyFont="1" applyFill="1" applyBorder="1" applyAlignment="1">
      <alignment horizontal="center" vertical="top" wrapText="1"/>
    </xf>
    <xf numFmtId="1" fontId="2" fillId="0" borderId="5" xfId="0" applyNumberFormat="1" applyFont="1" applyBorder="1" applyAlignment="1">
      <alignment horizontal="center"/>
    </xf>
    <xf numFmtId="1" fontId="2" fillId="0" borderId="32" xfId="0" applyNumberFormat="1" applyFont="1" applyBorder="1" applyAlignment="1">
      <alignment horizontal="center"/>
    </xf>
    <xf numFmtId="1" fontId="2" fillId="10" borderId="32" xfId="0" applyNumberFormat="1" applyFont="1" applyFill="1" applyBorder="1" applyAlignment="1">
      <alignment horizontal="center"/>
    </xf>
    <xf numFmtId="0" fontId="27" fillId="0" borderId="0" xfId="0" applyFont="1" applyAlignment="1">
      <alignment horizontal="left"/>
    </xf>
    <xf numFmtId="0" fontId="27" fillId="0" borderId="5" xfId="0" applyFont="1" applyBorder="1" applyAlignment="1">
      <alignment horizontal="left"/>
    </xf>
    <xf numFmtId="0" fontId="27" fillId="0" borderId="32" xfId="0" applyFont="1" applyBorder="1" applyAlignment="1">
      <alignment horizontal="left"/>
    </xf>
    <xf numFmtId="1" fontId="2" fillId="0" borderId="1" xfId="0" applyNumberFormat="1" applyFont="1" applyBorder="1" applyAlignment="1">
      <alignment horizontal="center" wrapText="1"/>
    </xf>
    <xf numFmtId="165" fontId="2" fillId="0" borderId="3" xfId="0" applyNumberFormat="1" applyFont="1" applyBorder="1" applyAlignment="1">
      <alignment horizontal="center" wrapText="1"/>
    </xf>
    <xf numFmtId="165" fontId="2" fillId="15" borderId="0" xfId="0" applyNumberFormat="1" applyFont="1" applyFill="1" applyAlignment="1">
      <alignment horizontal="center" wrapText="1"/>
    </xf>
    <xf numFmtId="165" fontId="2" fillId="0" borderId="0" xfId="0" applyNumberFormat="1" applyFont="1" applyAlignment="1">
      <alignment vertical="top" wrapText="1"/>
    </xf>
    <xf numFmtId="0" fontId="2" fillId="0" borderId="6" xfId="0" applyFont="1" applyBorder="1" applyAlignment="1">
      <alignment horizontal="left" vertical="top" wrapText="1" indent="2"/>
    </xf>
    <xf numFmtId="0" fontId="2" fillId="0" borderId="4" xfId="0" applyFont="1" applyBorder="1" applyAlignment="1">
      <alignment vertical="top" wrapText="1"/>
    </xf>
    <xf numFmtId="0" fontId="2" fillId="0" borderId="1" xfId="0" applyFont="1" applyBorder="1" applyAlignment="1">
      <alignment horizontal="left" wrapText="1" indent="4"/>
    </xf>
    <xf numFmtId="0" fontId="12" fillId="0" borderId="0" xfId="0" applyFont="1" applyAlignment="1">
      <alignment horizontal="left" wrapText="1"/>
    </xf>
    <xf numFmtId="3" fontId="2" fillId="0" borderId="0" xfId="0" applyNumberFormat="1" applyFont="1" applyAlignment="1">
      <alignment horizontal="center" vertical="top"/>
    </xf>
    <xf numFmtId="170" fontId="2" fillId="0" borderId="0" xfId="0" applyNumberFormat="1" applyFont="1" applyAlignment="1">
      <alignment horizontal="center" vertical="top" wrapText="1"/>
    </xf>
    <xf numFmtId="3" fontId="2" fillId="0" borderId="8" xfId="0" applyNumberFormat="1" applyFont="1" applyBorder="1" applyAlignment="1">
      <alignment horizontal="center" wrapText="1"/>
    </xf>
    <xf numFmtId="0" fontId="2" fillId="0" borderId="42" xfId="0" applyFont="1" applyBorder="1" applyAlignment="1">
      <alignment wrapText="1"/>
    </xf>
    <xf numFmtId="0" fontId="2" fillId="0" borderId="38" xfId="0" applyFont="1" applyBorder="1"/>
    <xf numFmtId="3" fontId="2" fillId="0" borderId="0" xfId="0" applyNumberFormat="1" applyFont="1" applyAlignment="1">
      <alignment horizontal="left" vertical="top"/>
    </xf>
    <xf numFmtId="3" fontId="2" fillId="0" borderId="0" xfId="0" applyNumberFormat="1" applyFont="1" applyAlignment="1">
      <alignment vertical="top" wrapText="1"/>
    </xf>
    <xf numFmtId="3" fontId="2" fillId="0" borderId="2" xfId="0" applyNumberFormat="1" applyFont="1" applyBorder="1" applyAlignment="1">
      <alignment horizontal="center"/>
    </xf>
    <xf numFmtId="3" fontId="2" fillId="0" borderId="6" xfId="0" applyNumberFormat="1" applyFont="1" applyBorder="1" applyAlignment="1">
      <alignment horizontal="center" vertical="top" wrapText="1"/>
    </xf>
    <xf numFmtId="0" fontId="2" fillId="0" borderId="0" xfId="0" applyFont="1" applyAlignment="1">
      <alignment horizontal="left" wrapText="1" indent="2"/>
    </xf>
    <xf numFmtId="3" fontId="2" fillId="0" borderId="7" xfId="0" applyNumberFormat="1" applyFont="1" applyBorder="1" applyAlignment="1">
      <alignment horizontal="center" vertical="top" wrapText="1"/>
    </xf>
    <xf numFmtId="0" fontId="2" fillId="0" borderId="0" xfId="0" applyFont="1" applyAlignment="1">
      <alignment horizontal="left" wrapText="1" indent="4"/>
    </xf>
    <xf numFmtId="0" fontId="2" fillId="0" borderId="4" xfId="0" applyFont="1" applyBorder="1" applyAlignment="1">
      <alignment wrapText="1"/>
    </xf>
    <xf numFmtId="0" fontId="2" fillId="0" borderId="6" xfId="0" applyFont="1" applyBorder="1" applyAlignment="1">
      <alignment horizontal="left" wrapText="1" indent="4"/>
    </xf>
    <xf numFmtId="3" fontId="28" fillId="0" borderId="0" xfId="0" applyNumberFormat="1" applyFont="1" applyAlignment="1">
      <alignment horizontal="center" wrapText="1"/>
    </xf>
    <xf numFmtId="3" fontId="2" fillId="0" borderId="7" xfId="0" applyNumberFormat="1" applyFont="1" applyBorder="1" applyAlignment="1">
      <alignment horizontal="center" wrapText="1"/>
    </xf>
    <xf numFmtId="168" fontId="2" fillId="0" borderId="1" xfId="0" applyNumberFormat="1" applyFont="1" applyBorder="1" applyAlignment="1">
      <alignment horizontal="center" wrapText="1"/>
    </xf>
    <xf numFmtId="168" fontId="2" fillId="0" borderId="6" xfId="0" applyNumberFormat="1" applyFont="1" applyBorder="1" applyAlignment="1">
      <alignment horizontal="center" wrapText="1"/>
    </xf>
    <xf numFmtId="0" fontId="29" fillId="0" borderId="0" xfId="0" applyFont="1"/>
    <xf numFmtId="165" fontId="2" fillId="8" borderId="7" xfId="0" applyNumberFormat="1" applyFont="1" applyFill="1" applyBorder="1" applyAlignment="1">
      <alignment horizontal="center" wrapText="1"/>
    </xf>
    <xf numFmtId="0" fontId="12" fillId="0" borderId="0" xfId="0" applyFont="1" applyAlignment="1">
      <alignment wrapText="1"/>
    </xf>
    <xf numFmtId="3" fontId="2" fillId="0" borderId="0" xfId="0" applyNumberFormat="1" applyFont="1" applyAlignment="1">
      <alignment horizontal="left" vertical="top" wrapText="1"/>
    </xf>
    <xf numFmtId="168" fontId="2" fillId="0" borderId="0" xfId="0" applyNumberFormat="1" applyFont="1" applyAlignment="1">
      <alignment horizontal="center" wrapText="1"/>
    </xf>
    <xf numFmtId="165" fontId="2" fillId="0" borderId="7" xfId="0" applyNumberFormat="1" applyFont="1" applyBorder="1" applyAlignment="1">
      <alignment horizontal="center" wrapText="1"/>
    </xf>
    <xf numFmtId="165" fontId="2"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2" fillId="0" borderId="13" xfId="0" applyNumberFormat="1" applyFont="1" applyBorder="1" applyAlignment="1">
      <alignment horizontal="center" wrapText="1"/>
    </xf>
    <xf numFmtId="168" fontId="2" fillId="0" borderId="13" xfId="0" applyNumberFormat="1" applyFont="1" applyBorder="1" applyAlignment="1">
      <alignment horizontal="center" wrapText="1"/>
    </xf>
    <xf numFmtId="3" fontId="2" fillId="0" borderId="12" xfId="0" applyNumberFormat="1" applyFont="1" applyBorder="1" applyAlignment="1">
      <alignment horizontal="center" vertical="top"/>
    </xf>
    <xf numFmtId="0" fontId="12" fillId="0" borderId="0" xfId="0" applyFont="1" applyAlignment="1">
      <alignment horizontal="center" vertical="center" wrapText="1"/>
    </xf>
    <xf numFmtId="165" fontId="2" fillId="0" borderId="8" xfId="0" applyNumberFormat="1" applyFont="1" applyBorder="1" applyAlignment="1">
      <alignment horizontal="center" wrapText="1"/>
    </xf>
    <xf numFmtId="3" fontId="2" fillId="0" borderId="8" xfId="0" applyNumberFormat="1" applyFont="1" applyBorder="1" applyAlignment="1">
      <alignment horizontal="center"/>
    </xf>
    <xf numFmtId="165" fontId="2" fillId="8" borderId="3"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2" fillId="0" borderId="3" xfId="0" applyNumberFormat="1" applyFont="1" applyBorder="1" applyAlignment="1">
      <alignment horizontal="center" wrapText="1"/>
    </xf>
    <xf numFmtId="165" fontId="2" fillId="14" borderId="7" xfId="0" applyNumberFormat="1" applyFont="1" applyFill="1" applyBorder="1" applyAlignment="1">
      <alignment horizontal="center" wrapText="1"/>
    </xf>
    <xf numFmtId="0" fontId="2" fillId="0" borderId="1" xfId="0" applyFont="1" applyBorder="1" applyAlignment="1">
      <alignment horizontal="left" wrapText="1" indent="2"/>
    </xf>
    <xf numFmtId="3" fontId="2" fillId="0" borderId="3" xfId="0" applyNumberFormat="1" applyFont="1" applyBorder="1" applyAlignment="1">
      <alignment horizontal="center" vertical="top" wrapText="1"/>
    </xf>
    <xf numFmtId="0" fontId="2" fillId="0" borderId="3" xfId="0" applyFont="1" applyBorder="1" applyAlignment="1">
      <alignment horizontal="center" wrapText="1"/>
    </xf>
    <xf numFmtId="0" fontId="2"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2" fillId="0" borderId="1" xfId="0" applyFont="1" applyBorder="1" applyAlignment="1">
      <alignment vertical="top" wrapText="1"/>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12" fillId="0" borderId="1" xfId="0" applyFont="1" applyBorder="1" applyAlignment="1">
      <alignment horizontal="left" wrapText="1"/>
    </xf>
    <xf numFmtId="3" fontId="2" fillId="0" borderId="5" xfId="0" applyNumberFormat="1" applyFont="1" applyBorder="1" applyAlignment="1">
      <alignment horizontal="center" vertical="top" wrapText="1"/>
    </xf>
    <xf numFmtId="168" fontId="2" fillId="0" borderId="4" xfId="0" applyNumberFormat="1" applyFont="1" applyBorder="1" applyAlignment="1">
      <alignment horizontal="center" wrapText="1"/>
    </xf>
    <xf numFmtId="3" fontId="2" fillId="0" borderId="1" xfId="0" applyNumberFormat="1" applyFont="1" applyBorder="1" applyAlignment="1">
      <alignment horizontal="center" wrapText="1"/>
    </xf>
    <xf numFmtId="0" fontId="27" fillId="0" borderId="1" xfId="0" applyFont="1" applyBorder="1" applyAlignment="1">
      <alignment wrapText="1"/>
    </xf>
    <xf numFmtId="165" fontId="2" fillId="0" borderId="1" xfId="0" applyNumberFormat="1" applyFont="1" applyBorder="1" applyAlignment="1">
      <alignment horizontal="center" vertical="top" wrapText="1"/>
    </xf>
    <xf numFmtId="0" fontId="2" fillId="0" borderId="8" xfId="0" applyFont="1" applyBorder="1"/>
    <xf numFmtId="0" fontId="2" fillId="8" borderId="4" xfId="0" applyFont="1" applyFill="1" applyBorder="1" applyAlignment="1">
      <alignment horizontal="center"/>
    </xf>
    <xf numFmtId="0" fontId="2" fillId="8" borderId="1" xfId="0" applyFont="1" applyFill="1" applyBorder="1" applyAlignment="1">
      <alignment horizontal="center"/>
    </xf>
    <xf numFmtId="1" fontId="2" fillId="0" borderId="0" xfId="0" applyNumberFormat="1" applyFont="1"/>
    <xf numFmtId="1" fontId="2" fillId="8" borderId="0" xfId="0" applyNumberFormat="1" applyFont="1" applyFill="1"/>
    <xf numFmtId="168" fontId="2"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2" fillId="7" borderId="0" xfId="0" applyNumberFormat="1" applyFont="1" applyFill="1"/>
    <xf numFmtId="3" fontId="27" fillId="7" borderId="0" xfId="0" applyNumberFormat="1" applyFont="1" applyFill="1" applyAlignment="1">
      <alignment horizontal="center"/>
    </xf>
    <xf numFmtId="0" fontId="2" fillId="10" borderId="5" xfId="0" applyFont="1" applyFill="1" applyBorder="1" applyAlignment="1">
      <alignment horizontal="center" vertical="center"/>
    </xf>
    <xf numFmtId="1" fontId="2" fillId="8" borderId="0" xfId="0" applyNumberFormat="1" applyFont="1" applyFill="1" applyAlignment="1">
      <alignment horizontal="center" vertical="center"/>
    </xf>
    <xf numFmtId="168" fontId="2" fillId="8" borderId="0" xfId="0" applyNumberFormat="1" applyFont="1" applyFill="1" applyAlignment="1">
      <alignment horizontal="center" vertical="center"/>
    </xf>
    <xf numFmtId="3" fontId="2" fillId="8" borderId="0" xfId="0" applyNumberFormat="1" applyFont="1" applyFill="1" applyAlignment="1">
      <alignment horizontal="center" vertical="center"/>
    </xf>
    <xf numFmtId="1" fontId="27" fillId="8" borderId="0" xfId="0" applyNumberFormat="1" applyFont="1" applyFill="1" applyAlignment="1">
      <alignment horizontal="center" vertical="center"/>
    </xf>
    <xf numFmtId="17" fontId="12" fillId="3" borderId="43" xfId="0" applyNumberFormat="1" applyFont="1" applyFill="1" applyBorder="1" applyAlignment="1">
      <alignment horizontal="left" wrapText="1"/>
    </xf>
    <xf numFmtId="165" fontId="2" fillId="9" borderId="0" xfId="0" applyNumberFormat="1" applyFont="1" applyFill="1" applyAlignment="1">
      <alignment horizontal="center"/>
    </xf>
    <xf numFmtId="0" fontId="2" fillId="10" borderId="0" xfId="0" applyFont="1" applyFill="1" applyAlignment="1">
      <alignment horizontal="center" vertical="center"/>
    </xf>
    <xf numFmtId="168" fontId="2" fillId="0" borderId="0" xfId="0" applyNumberFormat="1" applyFont="1" applyAlignment="1">
      <alignment horizontal="center" vertical="center"/>
    </xf>
    <xf numFmtId="3" fontId="2" fillId="0" borderId="0" xfId="0" applyNumberFormat="1" applyFont="1" applyAlignment="1">
      <alignment horizontal="center" vertical="center"/>
    </xf>
    <xf numFmtId="2" fontId="2" fillId="10" borderId="0" xfId="0" applyNumberFormat="1" applyFont="1" applyFill="1" applyAlignment="1">
      <alignment horizontal="center"/>
    </xf>
    <xf numFmtId="3" fontId="27" fillId="8" borderId="0" xfId="0" applyNumberFormat="1" applyFont="1" applyFill="1" applyAlignment="1">
      <alignment horizontal="center"/>
    </xf>
    <xf numFmtId="0" fontId="2" fillId="0" borderId="1" xfId="0" applyFont="1" applyBorder="1" applyAlignment="1">
      <alignment horizontal="left"/>
    </xf>
    <xf numFmtId="0" fontId="1" fillId="0" borderId="32" xfId="0" applyFont="1" applyBorder="1"/>
    <xf numFmtId="3" fontId="2"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2" xfId="0" applyFont="1" applyBorder="1"/>
    <xf numFmtId="0" fontId="23" fillId="0" borderId="4" xfId="0" applyFont="1" applyBorder="1"/>
    <xf numFmtId="0" fontId="23" fillId="0" borderId="8" xfId="0" applyFont="1" applyBorder="1"/>
    <xf numFmtId="165" fontId="2" fillId="0" borderId="3" xfId="0" applyNumberFormat="1" applyFont="1" applyBorder="1" applyAlignment="1">
      <alignment horizontal="center"/>
    </xf>
    <xf numFmtId="165" fontId="2" fillId="0" borderId="7" xfId="0" applyNumberFormat="1" applyFont="1" applyBorder="1" applyAlignment="1">
      <alignment horizontal="center"/>
    </xf>
    <xf numFmtId="0" fontId="2" fillId="0" borderId="0" xfId="0" applyFont="1" applyAlignment="1">
      <alignment horizontal="center" vertical="center" wrapText="1"/>
    </xf>
    <xf numFmtId="165" fontId="2" fillId="0" borderId="0" xfId="0" applyNumberFormat="1" applyFont="1" applyAlignment="1">
      <alignment horizontal="center" vertical="center"/>
    </xf>
    <xf numFmtId="168" fontId="2" fillId="10" borderId="0" xfId="0" applyNumberFormat="1" applyFont="1" applyFill="1" applyAlignment="1">
      <alignment horizontal="center" vertical="center"/>
    </xf>
    <xf numFmtId="0" fontId="30" fillId="0" borderId="5" xfId="0" applyFont="1" applyBorder="1" applyAlignment="1">
      <alignment horizontal="center" vertical="center" wrapText="1"/>
    </xf>
    <xf numFmtId="0" fontId="2" fillId="0" borderId="32" xfId="0" applyFont="1" applyBorder="1" applyAlignment="1">
      <alignment horizontal="center" vertical="center"/>
    </xf>
    <xf numFmtId="3" fontId="2" fillId="0" borderId="32" xfId="0" applyNumberFormat="1" applyFont="1" applyBorder="1" applyAlignment="1">
      <alignment horizontal="center" vertical="center"/>
    </xf>
    <xf numFmtId="2" fontId="2" fillId="0" borderId="0" xfId="0" applyNumberFormat="1" applyFont="1" applyAlignment="1">
      <alignment horizontal="center"/>
    </xf>
    <xf numFmtId="165" fontId="2" fillId="0" borderId="32" xfId="0" applyNumberFormat="1" applyFont="1" applyBorder="1" applyAlignment="1">
      <alignment horizontal="center"/>
    </xf>
    <xf numFmtId="0" fontId="2" fillId="0" borderId="0" xfId="0" applyFont="1" applyAlignment="1">
      <alignment horizontal="left"/>
    </xf>
    <xf numFmtId="3" fontId="2" fillId="10" borderId="32" xfId="0" applyNumberFormat="1" applyFont="1" applyFill="1" applyBorder="1" applyAlignment="1">
      <alignment horizontal="center"/>
    </xf>
    <xf numFmtId="0" fontId="30" fillId="0" borderId="1" xfId="0" applyFont="1" applyBorder="1" applyAlignment="1">
      <alignment horizontal="center" vertical="center" wrapText="1"/>
    </xf>
    <xf numFmtId="0" fontId="2" fillId="10" borderId="1" xfId="0" applyFont="1" applyFill="1" applyBorder="1" applyAlignment="1">
      <alignment horizontal="center" vertical="center"/>
    </xf>
    <xf numFmtId="0" fontId="2" fillId="10" borderId="4" xfId="0" applyFont="1" applyFill="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3" fontId="2" fillId="8" borderId="7" xfId="0" applyNumberFormat="1" applyFont="1" applyFill="1" applyBorder="1" applyAlignment="1">
      <alignment horizontal="center" vertical="center"/>
    </xf>
    <xf numFmtId="3" fontId="2" fillId="10" borderId="7" xfId="0" applyNumberFormat="1" applyFont="1" applyFill="1" applyBorder="1" applyAlignment="1">
      <alignment horizontal="center" vertical="center"/>
    </xf>
    <xf numFmtId="3" fontId="2" fillId="0" borderId="7"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32" xfId="0" applyFont="1" applyBorder="1" applyAlignment="1">
      <alignment horizontal="left"/>
    </xf>
    <xf numFmtId="165" fontId="2" fillId="2" borderId="32" xfId="0" applyNumberFormat="1" applyFont="1" applyFill="1" applyBorder="1" applyAlignment="1">
      <alignment horizontal="center"/>
    </xf>
    <xf numFmtId="0" fontId="2" fillId="0" borderId="3" xfId="0" applyFont="1" applyBorder="1"/>
    <xf numFmtId="168" fontId="12" fillId="0" borderId="0" xfId="0" applyNumberFormat="1" applyFont="1"/>
    <xf numFmtId="171" fontId="2"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2" fillId="0" borderId="7" xfId="0" applyNumberFormat="1" applyFont="1" applyBorder="1" applyAlignment="1">
      <alignment horizontal="center"/>
    </xf>
    <xf numFmtId="165" fontId="2" fillId="0" borderId="0" xfId="0" applyNumberFormat="1" applyFont="1"/>
    <xf numFmtId="0" fontId="12" fillId="3" borderId="5" xfId="0" applyFont="1" applyFill="1" applyBorder="1" applyAlignment="1">
      <alignment horizontal="left" wrapText="1"/>
    </xf>
    <xf numFmtId="0" fontId="2" fillId="0" borderId="5" xfId="0" applyFont="1" applyBorder="1" applyAlignment="1">
      <alignment wrapText="1"/>
    </xf>
    <xf numFmtId="0" fontId="2" fillId="0" borderId="6" xfId="0" applyFont="1" applyBorder="1" applyAlignment="1">
      <alignment vertical="top"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23" fillId="7" borderId="0" xfId="0" applyFont="1" applyFill="1"/>
    <xf numFmtId="0" fontId="4" fillId="7" borderId="0" xfId="0" applyFont="1" applyFill="1"/>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2" fillId="8" borderId="5" xfId="0" applyFont="1" applyFill="1" applyBorder="1"/>
    <xf numFmtId="1" fontId="2" fillId="9"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8" borderId="32" xfId="0" applyFont="1" applyFill="1" applyBorder="1"/>
    <xf numFmtId="0" fontId="1" fillId="8" borderId="0" xfId="0" applyFont="1" applyFill="1"/>
    <xf numFmtId="3" fontId="27" fillId="8" borderId="0" xfId="0" applyNumberFormat="1" applyFont="1" applyFill="1" applyAlignment="1">
      <alignment horizontal="center" wrapText="1"/>
    </xf>
    <xf numFmtId="3" fontId="2"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8" borderId="0" xfId="0" applyFont="1" applyFill="1"/>
    <xf numFmtId="3" fontId="2" fillId="8" borderId="32" xfId="0" applyNumberFormat="1" applyFont="1" applyFill="1" applyBorder="1" applyAlignment="1">
      <alignment horizontal="center" wrapText="1"/>
    </xf>
    <xf numFmtId="1" fontId="2"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9" borderId="0" xfId="0" applyNumberFormat="1" applyFont="1" applyFill="1"/>
    <xf numFmtId="3" fontId="27" fillId="9"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2"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2" fillId="0" borderId="6" xfId="0" applyFont="1" applyBorder="1" applyAlignment="1">
      <alignment wrapText="1"/>
    </xf>
    <xf numFmtId="0" fontId="2" fillId="0" borderId="7" xfId="0" applyFont="1" applyBorder="1" applyAlignment="1">
      <alignment wrapText="1"/>
    </xf>
    <xf numFmtId="170" fontId="2"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2" fillId="0" borderId="7" xfId="0" applyNumberFormat="1" applyFont="1" applyBorder="1" applyAlignment="1">
      <alignment horizontal="center" wrapText="1"/>
    </xf>
    <xf numFmtId="3" fontId="2"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2" fillId="0" borderId="32" xfId="0" applyNumberFormat="1" applyFont="1" applyBorder="1" applyAlignment="1">
      <alignment horizontal="center" wrapText="1"/>
    </xf>
    <xf numFmtId="1" fontId="2" fillId="10" borderId="32" xfId="0" applyNumberFormat="1" applyFont="1" applyFill="1" applyBorder="1" applyAlignment="1">
      <alignment horizontal="center" wrapText="1"/>
    </xf>
    <xf numFmtId="0" fontId="27" fillId="0" borderId="6" xfId="0" applyFont="1" applyBorder="1"/>
    <xf numFmtId="0" fontId="27" fillId="0" borderId="7" xfId="0" applyFont="1" applyBorder="1"/>
    <xf numFmtId="3" fontId="1" fillId="8" borderId="0" xfId="0" applyNumberFormat="1" applyFont="1" applyFill="1"/>
    <xf numFmtId="1" fontId="27" fillId="0" borderId="0" xfId="0" applyNumberFormat="1" applyFont="1" applyAlignment="1">
      <alignment horizontal="center"/>
    </xf>
    <xf numFmtId="1" fontId="27" fillId="8" borderId="7" xfId="0" applyNumberFormat="1" applyFont="1" applyFill="1" applyBorder="1" applyAlignment="1">
      <alignment horizontal="center"/>
    </xf>
    <xf numFmtId="0" fontId="32" fillId="0" borderId="1" xfId="0" applyFont="1" applyBorder="1" applyAlignment="1">
      <alignment horizontal="left" indent="5"/>
    </xf>
    <xf numFmtId="0" fontId="2" fillId="0" borderId="1" xfId="0" applyFont="1" applyBorder="1" applyAlignment="1">
      <alignment horizontal="left" vertical="top" wrapText="1" indent="5"/>
    </xf>
    <xf numFmtId="0" fontId="4" fillId="0" borderId="0" xfId="0" applyFont="1"/>
    <xf numFmtId="3" fontId="2" fillId="8" borderId="3" xfId="0" applyNumberFormat="1" applyFont="1" applyFill="1" applyBorder="1" applyAlignment="1">
      <alignment horizontal="center" wrapText="1"/>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8" borderId="3" xfId="0" applyFont="1" applyFill="1" applyBorder="1"/>
    <xf numFmtId="168" fontId="27" fillId="8" borderId="0" xfId="0" applyNumberFormat="1" applyFont="1" applyFill="1" applyAlignment="1">
      <alignment horizontal="center"/>
    </xf>
    <xf numFmtId="168" fontId="2" fillId="0" borderId="0" xfId="0" applyNumberFormat="1" applyFont="1" applyAlignment="1">
      <alignment horizontal="center"/>
    </xf>
    <xf numFmtId="168" fontId="2" fillId="10" borderId="0" xfId="0" applyNumberFormat="1" applyFont="1" applyFill="1" applyAlignment="1">
      <alignment horizontal="center"/>
    </xf>
    <xf numFmtId="169" fontId="2" fillId="0" borderId="0" xfId="0" applyNumberFormat="1" applyFont="1" applyAlignment="1">
      <alignment horizontal="center"/>
    </xf>
    <xf numFmtId="168" fontId="2" fillId="9" borderId="32" xfId="0" applyNumberFormat="1" applyFont="1" applyFill="1" applyBorder="1" applyAlignment="1">
      <alignment horizontal="center"/>
    </xf>
    <xf numFmtId="168" fontId="27" fillId="0" borderId="0" xfId="0" applyNumberFormat="1" applyFont="1" applyAlignment="1">
      <alignment horizontal="center"/>
    </xf>
    <xf numFmtId="0" fontId="2" fillId="10" borderId="3" xfId="0" applyFont="1" applyFill="1" applyBorder="1"/>
    <xf numFmtId="3" fontId="2" fillId="10" borderId="7" xfId="0" applyNumberFormat="1" applyFont="1" applyFill="1" applyBorder="1" applyAlignment="1">
      <alignment horizontal="center"/>
    </xf>
    <xf numFmtId="169" fontId="2" fillId="16" borderId="7" xfId="0" applyNumberFormat="1" applyFont="1" applyFill="1" applyBorder="1" applyAlignment="1">
      <alignment horizontal="center"/>
    </xf>
    <xf numFmtId="168" fontId="27" fillId="8" borderId="32" xfId="0" applyNumberFormat="1" applyFont="1" applyFill="1" applyBorder="1" applyAlignment="1">
      <alignment horizontal="center"/>
    </xf>
    <xf numFmtId="168" fontId="27" fillId="10" borderId="0" xfId="0" applyNumberFormat="1" applyFont="1" applyFill="1" applyAlignment="1">
      <alignment horizontal="center"/>
    </xf>
    <xf numFmtId="168" fontId="2" fillId="10" borderId="3" xfId="0" applyNumberFormat="1" applyFont="1" applyFill="1" applyBorder="1" applyAlignment="1">
      <alignment horizontal="center"/>
    </xf>
    <xf numFmtId="168" fontId="27" fillId="10" borderId="3" xfId="0" applyNumberFormat="1" applyFont="1" applyFill="1" applyBorder="1" applyAlignment="1">
      <alignment horizontal="center"/>
    </xf>
    <xf numFmtId="0" fontId="2" fillId="0" borderId="5" xfId="0" applyFont="1" applyBorder="1"/>
    <xf numFmtId="0" fontId="2" fillId="0" borderId="7" xfId="0" applyFont="1" applyBorder="1" applyAlignment="1">
      <alignment horizontal="center"/>
    </xf>
    <xf numFmtId="0" fontId="2" fillId="13" borderId="32" xfId="0" applyFont="1" applyFill="1" applyBorder="1" applyAlignment="1">
      <alignment horizontal="center"/>
    </xf>
    <xf numFmtId="0" fontId="2" fillId="13" borderId="2" xfId="0" applyFont="1" applyFill="1" applyBorder="1" applyAlignment="1">
      <alignment horizontal="center"/>
    </xf>
    <xf numFmtId="0" fontId="12" fillId="13" borderId="5" xfId="0" applyFont="1" applyFill="1" applyBorder="1"/>
    <xf numFmtId="168" fontId="27" fillId="15" borderId="3" xfId="0" applyNumberFormat="1" applyFont="1" applyFill="1" applyBorder="1" applyAlignment="1">
      <alignment horizontal="center"/>
    </xf>
    <xf numFmtId="0" fontId="23" fillId="15" borderId="0" xfId="0" applyFont="1" applyFill="1"/>
    <xf numFmtId="168" fontId="2" fillId="0" borderId="7" xfId="0" applyNumberFormat="1"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168" fontId="2" fillId="0" borderId="5" xfId="0" applyNumberFormat="1" applyFont="1" applyBorder="1" applyAlignment="1">
      <alignment horizontal="center"/>
    </xf>
    <xf numFmtId="168" fontId="2" fillId="0" borderId="32" xfId="0" applyNumberFormat="1" applyFont="1" applyBorder="1" applyAlignment="1">
      <alignment horizontal="center"/>
    </xf>
    <xf numFmtId="168" fontId="2" fillId="10" borderId="32" xfId="0" applyNumberFormat="1" applyFont="1" applyFill="1" applyBorder="1" applyAlignment="1">
      <alignment horizontal="center"/>
    </xf>
    <xf numFmtId="169" fontId="2" fillId="10" borderId="7" xfId="0" applyNumberFormat="1" applyFont="1" applyFill="1" applyBorder="1" applyAlignment="1">
      <alignment horizontal="center"/>
    </xf>
    <xf numFmtId="168" fontId="27" fillId="0" borderId="5" xfId="0" applyNumberFormat="1" applyFont="1" applyBorder="1" applyAlignment="1">
      <alignment horizontal="center"/>
    </xf>
    <xf numFmtId="168" fontId="27" fillId="0" borderId="32" xfId="0" applyNumberFormat="1" applyFont="1" applyBorder="1" applyAlignment="1">
      <alignment horizontal="center"/>
    </xf>
    <xf numFmtId="168" fontId="27" fillId="10" borderId="32" xfId="0" applyNumberFormat="1" applyFont="1" applyFill="1" applyBorder="1" applyAlignment="1">
      <alignment horizontal="center"/>
    </xf>
    <xf numFmtId="169" fontId="2" fillId="0" borderId="4" xfId="0" applyNumberFormat="1" applyFont="1" applyBorder="1" applyAlignment="1">
      <alignment horizontal="center"/>
    </xf>
    <xf numFmtId="168" fontId="1" fillId="0" borderId="0" xfId="0" applyNumberFormat="1" applyFont="1"/>
    <xf numFmtId="169" fontId="2" fillId="0" borderId="7" xfId="0" applyNumberFormat="1" applyFont="1" applyBorder="1" applyAlignment="1">
      <alignment horizontal="center"/>
    </xf>
    <xf numFmtId="0" fontId="27" fillId="0" borderId="1" xfId="0" applyFont="1" applyBorder="1"/>
    <xf numFmtId="172" fontId="2" fillId="0" borderId="0" xfId="0" applyNumberFormat="1" applyFont="1"/>
    <xf numFmtId="169" fontId="2"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2" fillId="8" borderId="7" xfId="0" applyNumberFormat="1" applyFont="1" applyFill="1" applyBorder="1" applyAlignment="1">
      <alignment horizontal="center"/>
    </xf>
    <xf numFmtId="168" fontId="27" fillId="8" borderId="3" xfId="0" applyNumberFormat="1" applyFont="1" applyFill="1" applyBorder="1" applyAlignment="1">
      <alignment horizontal="center"/>
    </xf>
    <xf numFmtId="0" fontId="27" fillId="0" borderId="5" xfId="0" applyFont="1" applyBorder="1"/>
    <xf numFmtId="0" fontId="27" fillId="0" borderId="3" xfId="0" applyFont="1" applyBorder="1"/>
    <xf numFmtId="168" fontId="27" fillId="0" borderId="1" xfId="0" applyNumberFormat="1" applyFont="1" applyBorder="1" applyAlignment="1">
      <alignment horizontal="center"/>
    </xf>
    <xf numFmtId="168" fontId="2" fillId="0" borderId="1" xfId="0" applyNumberFormat="1" applyFont="1" applyBorder="1" applyAlignment="1">
      <alignment horizontal="center"/>
    </xf>
    <xf numFmtId="168" fontId="2" fillId="0" borderId="6" xfId="0" applyNumberFormat="1" applyFont="1" applyBorder="1" applyAlignment="1">
      <alignment horizontal="center"/>
    </xf>
    <xf numFmtId="0" fontId="35" fillId="0" borderId="1" xfId="0" applyFont="1" applyBorder="1" applyAlignment="1">
      <alignment horizontal="left" wrapText="1"/>
    </xf>
    <xf numFmtId="169" fontId="2" fillId="0" borderId="6" xfId="0" applyNumberFormat="1" applyFont="1" applyBorder="1" applyAlignment="1">
      <alignment horizontal="center"/>
    </xf>
    <xf numFmtId="0" fontId="12" fillId="0" borderId="0" xfId="0" applyFont="1" applyAlignment="1">
      <alignment vertical="top" wrapText="1"/>
    </xf>
    <xf numFmtId="169" fontId="2" fillId="0" borderId="8" xfId="0" applyNumberFormat="1" applyFont="1" applyBorder="1" applyAlignment="1">
      <alignment horizontal="center"/>
    </xf>
    <xf numFmtId="169" fontId="2" fillId="8" borderId="7" xfId="0" applyNumberFormat="1" applyFont="1" applyFill="1" applyBorder="1" applyAlignment="1">
      <alignment horizontal="center"/>
    </xf>
    <xf numFmtId="168" fontId="2" fillId="12" borderId="0" xfId="0" applyNumberFormat="1" applyFont="1" applyFill="1" applyAlignment="1">
      <alignment horizontal="center" wrapText="1"/>
    </xf>
    <xf numFmtId="168" fontId="2" fillId="10" borderId="0" xfId="0" applyNumberFormat="1" applyFont="1" applyFill="1" applyAlignment="1">
      <alignment horizontal="center" wrapText="1"/>
    </xf>
    <xf numFmtId="0" fontId="27" fillId="0" borderId="1" xfId="0" applyFont="1" applyBorder="1" applyAlignment="1">
      <alignment horizontal="left"/>
    </xf>
    <xf numFmtId="169" fontId="2" fillId="15" borderId="7" xfId="0" applyNumberFormat="1" applyFont="1" applyFill="1" applyBorder="1" applyAlignment="1">
      <alignment horizontal="center"/>
    </xf>
    <xf numFmtId="2" fontId="2" fillId="0" borderId="0" xfId="0" applyNumberFormat="1" applyFont="1"/>
    <xf numFmtId="2" fontId="2" fillId="0" borderId="0" xfId="0" applyNumberFormat="1" applyFont="1" applyAlignment="1">
      <alignment horizontal="right"/>
    </xf>
    <xf numFmtId="2" fontId="2" fillId="0" borderId="3" xfId="0" applyNumberFormat="1" applyFont="1" applyBorder="1"/>
    <xf numFmtId="2" fontId="2" fillId="0" borderId="3" xfId="0" applyNumberFormat="1" applyFont="1" applyBorder="1" applyAlignment="1">
      <alignment horizontal="right"/>
    </xf>
    <xf numFmtId="0" fontId="12" fillId="0" borderId="14" xfId="0" applyFont="1" applyBorder="1"/>
    <xf numFmtId="0" fontId="12" fillId="0" borderId="13" xfId="0" applyFont="1" applyBorder="1"/>
    <xf numFmtId="0" fontId="2" fillId="0" borderId="13" xfId="0" applyFont="1" applyBorder="1" applyAlignment="1">
      <alignment horizontal="right"/>
    </xf>
    <xf numFmtId="0" fontId="2" fillId="0" borderId="12" xfId="0" applyFont="1" applyBorder="1"/>
    <xf numFmtId="168" fontId="2" fillId="17" borderId="0" xfId="0" applyNumberFormat="1" applyFont="1" applyFill="1" applyAlignment="1">
      <alignment horizontal="center"/>
    </xf>
    <xf numFmtId="168" fontId="2" fillId="17" borderId="0" xfId="0" applyNumberFormat="1" applyFont="1" applyFill="1" applyAlignment="1">
      <alignment horizontal="center" wrapText="1"/>
    </xf>
    <xf numFmtId="169" fontId="2" fillId="18" borderId="7" xfId="0" applyNumberFormat="1" applyFont="1" applyFill="1" applyBorder="1" applyAlignment="1">
      <alignment horizontal="center"/>
    </xf>
    <xf numFmtId="0" fontId="1" fillId="17" borderId="0" xfId="0" applyFont="1" applyFill="1"/>
    <xf numFmtId="0" fontId="2" fillId="0" borderId="0" xfId="0" applyFont="1" applyAlignment="1">
      <alignment horizontal="left" indent="4"/>
    </xf>
    <xf numFmtId="169" fontId="2" fillId="0" borderId="7" xfId="0" applyNumberFormat="1" applyFont="1" applyBorder="1"/>
    <xf numFmtId="0" fontId="2" fillId="0" borderId="6" xfId="0" applyFont="1" applyBorder="1" applyAlignment="1">
      <alignment horizontal="left" indent="4"/>
    </xf>
    <xf numFmtId="3" fontId="37" fillId="0" borderId="0" xfId="0" applyNumberFormat="1" applyFont="1"/>
    <xf numFmtId="0" fontId="2" fillId="0" borderId="4" xfId="0" applyFont="1" applyBorder="1"/>
    <xf numFmtId="173" fontId="2" fillId="0" borderId="0" xfId="0" applyNumberFormat="1" applyFont="1"/>
    <xf numFmtId="0" fontId="2" fillId="19" borderId="5" xfId="0" applyFont="1" applyFill="1" applyBorder="1"/>
    <xf numFmtId="0" fontId="2" fillId="19" borderId="3" xfId="0" applyFont="1" applyFill="1" applyBorder="1"/>
    <xf numFmtId="0" fontId="2" fillId="19" borderId="2" xfId="0" applyFont="1" applyFill="1" applyBorder="1"/>
    <xf numFmtId="0" fontId="2" fillId="17" borderId="1" xfId="0" applyFont="1" applyFill="1" applyBorder="1" applyAlignment="1">
      <alignment horizontal="left" vertical="top" wrapText="1" indent="3"/>
    </xf>
    <xf numFmtId="168" fontId="2" fillId="17" borderId="1" xfId="0" applyNumberFormat="1" applyFont="1" applyFill="1" applyBorder="1" applyAlignment="1">
      <alignment horizontal="center"/>
    </xf>
    <xf numFmtId="0" fontId="2" fillId="0" borderId="13" xfId="0" applyFont="1" applyBorder="1"/>
    <xf numFmtId="3" fontId="2" fillId="0" borderId="3" xfId="0" applyNumberFormat="1" applyFont="1" applyBorder="1" applyAlignment="1">
      <alignment horizontal="right"/>
    </xf>
    <xf numFmtId="0" fontId="27" fillId="0" borderId="0" xfId="0" applyFont="1" applyAlignment="1">
      <alignment horizontal="center"/>
    </xf>
    <xf numFmtId="10" fontId="2"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7" borderId="32"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2" fillId="17" borderId="3" xfId="0" applyNumberFormat="1" applyFont="1" applyFill="1" applyBorder="1"/>
    <xf numFmtId="10" fontId="2" fillId="17" borderId="5" xfId="0" applyNumberFormat="1" applyFont="1" applyFill="1" applyBorder="1"/>
    <xf numFmtId="10" fontId="2" fillId="17" borderId="3" xfId="0" applyNumberFormat="1" applyFont="1" applyFill="1" applyBorder="1" applyAlignment="1">
      <alignment horizontal="center"/>
    </xf>
    <xf numFmtId="10" fontId="1" fillId="17" borderId="3" xfId="0" applyNumberFormat="1" applyFont="1" applyFill="1" applyBorder="1" applyAlignment="1">
      <alignment horizontal="center"/>
    </xf>
    <xf numFmtId="0" fontId="27" fillId="17" borderId="0" xfId="0" applyFont="1" applyFill="1"/>
    <xf numFmtId="0" fontId="27" fillId="17" borderId="1" xfId="0" applyFont="1" applyFill="1" applyBorder="1"/>
    <xf numFmtId="0" fontId="27" fillId="17" borderId="0" xfId="0" applyFont="1" applyFill="1" applyAlignment="1">
      <alignment horizontal="center"/>
    </xf>
    <xf numFmtId="0" fontId="27" fillId="17" borderId="7" xfId="0" applyFont="1" applyFill="1" applyBorder="1"/>
    <xf numFmtId="0" fontId="27" fillId="17" borderId="6" xfId="0" applyFont="1" applyFill="1" applyBorder="1"/>
    <xf numFmtId="0" fontId="2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27" fillId="0" borderId="7" xfId="0" applyFont="1" applyBorder="1" applyAlignment="1">
      <alignment horizontal="center"/>
    </xf>
    <xf numFmtId="10" fontId="2" fillId="0" borderId="3" xfId="0" applyNumberFormat="1" applyFont="1" applyBorder="1"/>
    <xf numFmtId="10" fontId="2" fillId="0" borderId="5" xfId="0" applyNumberFormat="1" applyFont="1" applyBorder="1"/>
    <xf numFmtId="10" fontId="2" fillId="0" borderId="3" xfId="0" applyNumberFormat="1" applyFont="1" applyBorder="1" applyAlignment="1">
      <alignment horizontal="center"/>
    </xf>
    <xf numFmtId="1" fontId="1" fillId="0" borderId="7" xfId="0" applyNumberFormat="1" applyFont="1" applyBorder="1" applyAlignment="1">
      <alignment horizontal="center"/>
    </xf>
    <xf numFmtId="168" fontId="2" fillId="20" borderId="0" xfId="0" applyNumberFormat="1" applyFont="1" applyFill="1" applyAlignment="1">
      <alignment horizontal="center"/>
    </xf>
    <xf numFmtId="168" fontId="27" fillId="21" borderId="0" xfId="0" applyNumberFormat="1" applyFont="1" applyFill="1" applyAlignment="1">
      <alignment horizontal="center"/>
    </xf>
    <xf numFmtId="0" fontId="38" fillId="0" borderId="1" xfId="0" applyFont="1" applyBorder="1" applyAlignment="1">
      <alignment horizontal="left" wrapText="1" indent="1"/>
    </xf>
    <xf numFmtId="0" fontId="38" fillId="0" borderId="1" xfId="0" applyFont="1" applyBorder="1" applyAlignment="1">
      <alignment horizontal="left" indent="1"/>
    </xf>
    <xf numFmtId="0" fontId="2" fillId="0" borderId="1" xfId="0" applyFont="1" applyBorder="1" applyAlignment="1">
      <alignment horizontal="left" indent="2"/>
    </xf>
    <xf numFmtId="0" fontId="39" fillId="0" borderId="1" xfId="0" applyFont="1" applyBorder="1" applyAlignment="1">
      <alignment horizontal="left" indent="1"/>
    </xf>
    <xf numFmtId="0" fontId="2" fillId="22" borderId="1" xfId="0" applyFont="1" applyFill="1" applyBorder="1" applyAlignment="1">
      <alignment horizontal="left"/>
    </xf>
    <xf numFmtId="0" fontId="2" fillId="22" borderId="5" xfId="0" applyFont="1" applyFill="1" applyBorder="1"/>
    <xf numFmtId="168" fontId="2" fillId="8" borderId="0" xfId="0" applyNumberFormat="1" applyFont="1" applyFill="1" applyAlignment="1">
      <alignment horizontal="center"/>
    </xf>
    <xf numFmtId="0" fontId="2" fillId="7" borderId="0" xfId="0" applyFont="1" applyFill="1" applyAlignment="1">
      <alignment horizontal="left" wrapText="1" indent="1"/>
    </xf>
    <xf numFmtId="168" fontId="2" fillId="7" borderId="0" xfId="0" applyNumberFormat="1" applyFont="1" applyFill="1" applyAlignment="1">
      <alignment horizontal="center"/>
    </xf>
    <xf numFmtId="168" fontId="12" fillId="8" borderId="0" xfId="0" applyNumberFormat="1" applyFont="1" applyFill="1" applyAlignment="1">
      <alignment horizontal="center"/>
    </xf>
    <xf numFmtId="168" fontId="27" fillId="7" borderId="0" xfId="0" applyNumberFormat="1" applyFont="1" applyFill="1" applyAlignment="1">
      <alignment horizontal="center"/>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2" fillId="8" borderId="0" xfId="0" applyFont="1" applyFill="1"/>
    <xf numFmtId="168" fontId="2" fillId="9" borderId="0" xfId="0" applyNumberFormat="1" applyFont="1" applyFill="1" applyAlignment="1">
      <alignment horizontal="center"/>
    </xf>
    <xf numFmtId="168" fontId="12" fillId="0" borderId="0" xfId="0" applyNumberFormat="1" applyFont="1" applyAlignment="1">
      <alignment horizontal="center"/>
    </xf>
    <xf numFmtId="0" fontId="2" fillId="0" borderId="0" xfId="0" applyFont="1" applyAlignment="1">
      <alignment horizontal="left" wrapText="1" indent="1"/>
    </xf>
    <xf numFmtId="0" fontId="2" fillId="0" borderId="0" xfId="0" applyFont="1" applyAlignment="1">
      <alignment horizontal="right"/>
    </xf>
    <xf numFmtId="1" fontId="2" fillId="10" borderId="0" xfId="0" applyNumberFormat="1" applyFont="1" applyFill="1"/>
    <xf numFmtId="1" fontId="2" fillId="3" borderId="0" xfId="0" applyNumberFormat="1" applyFont="1" applyFill="1"/>
    <xf numFmtId="167" fontId="2" fillId="10" borderId="23" xfId="0" applyNumberFormat="1" applyFont="1" applyFill="1" applyBorder="1"/>
    <xf numFmtId="167" fontId="2" fillId="0" borderId="0" xfId="0" applyNumberFormat="1" applyFont="1"/>
    <xf numFmtId="167" fontId="2" fillId="0" borderId="23" xfId="0" applyNumberFormat="1" applyFont="1" applyBorder="1"/>
    <xf numFmtId="168" fontId="2" fillId="8" borderId="32" xfId="0" applyNumberFormat="1" applyFont="1" applyFill="1" applyBorder="1" applyAlignment="1">
      <alignment horizontal="center"/>
    </xf>
    <xf numFmtId="1" fontId="2" fillId="10" borderId="3" xfId="0" applyNumberFormat="1" applyFont="1" applyFill="1" applyBorder="1" applyAlignment="1">
      <alignment horizontal="center"/>
    </xf>
    <xf numFmtId="168" fontId="2" fillId="8" borderId="8" xfId="0" applyNumberFormat="1" applyFont="1" applyFill="1" applyBorder="1" applyAlignment="1">
      <alignment horizontal="center"/>
    </xf>
    <xf numFmtId="168" fontId="27" fillId="8" borderId="4" xfId="0" applyNumberFormat="1" applyFont="1" applyFill="1" applyBorder="1" applyAlignment="1">
      <alignment horizontal="center"/>
    </xf>
    <xf numFmtId="0" fontId="12" fillId="10" borderId="5" xfId="0" applyFont="1" applyFill="1" applyBorder="1" applyAlignment="1">
      <alignment horizontal="centerContinuous" vertical="center"/>
    </xf>
    <xf numFmtId="0" fontId="12" fillId="10" borderId="2"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7" fillId="0" borderId="7" xfId="0" applyNumberFormat="1" applyFont="1" applyBorder="1" applyAlignment="1">
      <alignment horizontal="center"/>
    </xf>
    <xf numFmtId="1" fontId="2" fillId="8" borderId="3" xfId="0" applyNumberFormat="1" applyFont="1" applyFill="1" applyBorder="1"/>
    <xf numFmtId="0" fontId="2" fillId="0" borderId="17" xfId="0" applyFont="1" applyBorder="1"/>
    <xf numFmtId="0" fontId="2" fillId="0" borderId="21" xfId="0" applyFont="1" applyBorder="1"/>
    <xf numFmtId="1" fontId="2" fillId="8" borderId="21" xfId="0" applyNumberFormat="1" applyFont="1" applyFill="1" applyBorder="1"/>
    <xf numFmtId="0" fontId="2" fillId="0" borderId="18" xfId="0" applyFont="1" applyBorder="1" applyAlignment="1">
      <alignment horizontal="left" wrapText="1" indent="1"/>
    </xf>
    <xf numFmtId="0" fontId="2" fillId="0" borderId="18" xfId="0" applyFont="1" applyBorder="1" applyAlignment="1">
      <alignment horizontal="left" wrapText="1" indent="2"/>
    </xf>
    <xf numFmtId="0" fontId="2" fillId="0" borderId="19" xfId="0" applyFont="1" applyBorder="1" applyAlignment="1">
      <alignment horizontal="left" wrapText="1" indent="2"/>
    </xf>
    <xf numFmtId="0" fontId="2" fillId="0" borderId="23" xfId="0" applyFont="1" applyBorder="1"/>
    <xf numFmtId="1" fontId="2" fillId="0" borderId="45" xfId="0" applyNumberFormat="1" applyFont="1" applyBorder="1"/>
    <xf numFmtId="1" fontId="2" fillId="0" borderId="21" xfId="0" applyNumberFormat="1" applyFont="1" applyBorder="1"/>
    <xf numFmtId="1" fontId="2" fillId="3" borderId="21" xfId="0" applyNumberFormat="1" applyFont="1" applyFill="1" applyBorder="1"/>
    <xf numFmtId="1" fontId="2" fillId="23" borderId="21" xfId="0" applyNumberFormat="1" applyFont="1" applyFill="1" applyBorder="1"/>
    <xf numFmtId="1" fontId="2" fillId="23" borderId="0" xfId="0" applyNumberFormat="1" applyFont="1" applyFill="1"/>
    <xf numFmtId="1" fontId="2" fillId="0" borderId="46" xfId="0" applyNumberFormat="1" applyFont="1" applyBorder="1"/>
    <xf numFmtId="1" fontId="2" fillId="0" borderId="23" xfId="0" applyNumberFormat="1" applyFont="1" applyBorder="1"/>
    <xf numFmtId="1" fontId="2" fillId="3" borderId="23" xfId="0" applyNumberFormat="1" applyFont="1" applyFill="1" applyBorder="1"/>
    <xf numFmtId="1" fontId="2" fillId="23" borderId="23" xfId="0" applyNumberFormat="1" applyFont="1" applyFill="1" applyBorder="1"/>
    <xf numFmtId="1" fontId="2" fillId="8" borderId="23" xfId="0" applyNumberFormat="1" applyFont="1" applyFill="1" applyBorder="1"/>
    <xf numFmtId="1" fontId="2" fillId="10" borderId="23" xfId="0" applyNumberFormat="1" applyFont="1" applyFill="1" applyBorder="1"/>
    <xf numFmtId="167" fontId="2" fillId="8" borderId="23" xfId="0" applyNumberFormat="1" applyFont="1" applyFill="1" applyBorder="1"/>
    <xf numFmtId="1" fontId="2" fillId="0" borderId="1" xfId="0" applyNumberFormat="1" applyFont="1" applyBorder="1"/>
    <xf numFmtId="0" fontId="2" fillId="0" borderId="6" xfId="0" applyFont="1" applyBorder="1" applyAlignment="1">
      <alignment horizontal="right"/>
    </xf>
    <xf numFmtId="0" fontId="2" fillId="0" borderId="32" xfId="0" applyFont="1" applyBorder="1"/>
    <xf numFmtId="1" fontId="2" fillId="0" borderId="32" xfId="0" applyNumberFormat="1" applyFont="1" applyBorder="1"/>
    <xf numFmtId="168" fontId="2" fillId="0" borderId="2" xfId="0" applyNumberFormat="1" applyFont="1" applyBorder="1"/>
    <xf numFmtId="0" fontId="2" fillId="0" borderId="6" xfId="0" applyFont="1" applyBorder="1" applyAlignment="1">
      <alignment horizontal="center"/>
    </xf>
    <xf numFmtId="3" fontId="2" fillId="0" borderId="0" xfId="0" applyNumberFormat="1" applyFont="1"/>
    <xf numFmtId="168" fontId="2" fillId="8" borderId="4" xfId="0" applyNumberFormat="1"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2" fillId="8" borderId="3" xfId="0" applyNumberFormat="1" applyFont="1" applyFill="1" applyBorder="1" applyAlignment="1">
      <alignment horizontal="center"/>
    </xf>
    <xf numFmtId="3" fontId="2" fillId="0" borderId="3" xfId="0" applyNumberFormat="1" applyFont="1" applyBorder="1"/>
    <xf numFmtId="3" fontId="2" fillId="0" borderId="2" xfId="0" applyNumberFormat="1" applyFont="1" applyBorder="1"/>
    <xf numFmtId="3" fontId="2" fillId="0" borderId="1" xfId="0" applyNumberFormat="1" applyFont="1" applyBorder="1"/>
    <xf numFmtId="0" fontId="2" fillId="0" borderId="42" xfId="0" applyFont="1" applyBorder="1"/>
    <xf numFmtId="0" fontId="2"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2" fillId="9" borderId="7" xfId="0" applyNumberFormat="1" applyFont="1" applyFill="1" applyBorder="1"/>
    <xf numFmtId="4" fontId="2" fillId="0" borderId="0" xfId="0" applyNumberFormat="1" applyFont="1"/>
    <xf numFmtId="0" fontId="2" fillId="8" borderId="4" xfId="0" applyFont="1" applyFill="1" applyBorder="1"/>
    <xf numFmtId="3" fontId="2" fillId="0" borderId="4" xfId="0" applyNumberFormat="1" applyFont="1" applyBorder="1"/>
    <xf numFmtId="169" fontId="2" fillId="9" borderId="8" xfId="0" applyNumberFormat="1" applyFont="1" applyFill="1" applyBorder="1"/>
    <xf numFmtId="3" fontId="2" fillId="0" borderId="5" xfId="0" applyNumberFormat="1" applyFont="1" applyBorder="1"/>
    <xf numFmtId="1" fontId="2" fillId="8" borderId="32" xfId="0" applyNumberFormat="1" applyFont="1" applyFill="1" applyBorder="1"/>
    <xf numFmtId="0" fontId="2" fillId="22" borderId="1" xfId="0" applyFont="1" applyFill="1" applyBorder="1" applyAlignment="1">
      <alignment horizontal="left" wrapText="1"/>
    </xf>
    <xf numFmtId="0" fontId="2"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23" fillId="0" borderId="5" xfId="0" applyFont="1" applyBorder="1"/>
    <xf numFmtId="0" fontId="23" fillId="0" borderId="1" xfId="0" applyFont="1" applyBorder="1" applyAlignment="1">
      <alignment horizontal="left" indent="1"/>
    </xf>
    <xf numFmtId="0" fontId="23" fillId="0" borderId="0" xfId="0" applyFont="1" applyAlignment="1">
      <alignment horizontal="left" indent="1"/>
    </xf>
    <xf numFmtId="0" fontId="23" fillId="0" borderId="4" xfId="0" applyFont="1" applyBorder="1" applyAlignment="1">
      <alignment horizontal="left" indent="1"/>
    </xf>
    <xf numFmtId="0" fontId="23" fillId="0" borderId="1" xfId="0" applyFont="1" applyBorder="1" applyAlignment="1">
      <alignment horizontal="left"/>
    </xf>
    <xf numFmtId="0" fontId="23" fillId="0" borderId="6" xfId="0" applyFont="1" applyBorder="1" applyAlignment="1">
      <alignment horizontal="left"/>
    </xf>
    <xf numFmtId="0" fontId="23" fillId="0" borderId="5" xfId="0" applyFont="1" applyBorder="1" applyAlignment="1">
      <alignment horizontal="left"/>
    </xf>
    <xf numFmtId="0" fontId="40" fillId="0" borderId="0" xfId="0" applyFont="1"/>
    <xf numFmtId="0" fontId="40" fillId="24" borderId="0" xfId="0" applyFont="1" applyFill="1" applyAlignment="1">
      <alignment horizontal="center"/>
    </xf>
    <xf numFmtId="2" fontId="40" fillId="0" borderId="0" xfId="0" applyNumberFormat="1" applyFont="1"/>
    <xf numFmtId="2" fontId="40" fillId="7" borderId="0" xfId="0" applyNumberFormat="1" applyFont="1" applyFill="1"/>
    <xf numFmtId="168" fontId="27" fillId="0" borderId="0" xfId="0" applyNumberFormat="1" applyFont="1" applyAlignment="1">
      <alignment horizontal="center" vertical="top" wrapText="1"/>
    </xf>
    <xf numFmtId="1" fontId="2" fillId="0" borderId="0" xfId="0" applyNumberFormat="1" applyFont="1" applyAlignment="1">
      <alignment horizontal="center" vertical="top" wrapText="1"/>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 fontId="2" fillId="0" borderId="0" xfId="0" applyNumberFormat="1" applyFont="1" applyAlignment="1">
      <alignment horizontal="center" vertical="center"/>
    </xf>
    <xf numFmtId="1" fontId="2" fillId="0" borderId="32" xfId="0" applyNumberFormat="1" applyFont="1" applyBorder="1" applyAlignment="1">
      <alignment horizontal="center" vertical="center"/>
    </xf>
    <xf numFmtId="168" fontId="2"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2" fillId="10" borderId="0" xfId="0" applyNumberFormat="1" applyFont="1" applyFill="1" applyAlignment="1">
      <alignment horizontal="center" vertical="top" wrapText="1"/>
    </xf>
    <xf numFmtId="1" fontId="27" fillId="8" borderId="0" xfId="0" applyNumberFormat="1" applyFont="1" applyFill="1" applyAlignment="1">
      <alignment horizontal="center" vertical="top" wrapText="1"/>
    </xf>
    <xf numFmtId="1" fontId="2" fillId="8" borderId="0" xfId="0" applyNumberFormat="1" applyFont="1" applyFill="1" applyAlignment="1">
      <alignment horizontal="center" vertical="top" wrapText="1"/>
    </xf>
    <xf numFmtId="168" fontId="27" fillId="25" borderId="7" xfId="0" applyNumberFormat="1" applyFont="1" applyFill="1" applyBorder="1" applyAlignment="1">
      <alignment horizontal="center" vertical="top" wrapText="1"/>
    </xf>
    <xf numFmtId="168" fontId="27" fillId="14" borderId="0" xfId="0" applyNumberFormat="1" applyFont="1" applyFill="1" applyAlignment="1">
      <alignment horizontal="center" vertical="top" wrapText="1"/>
    </xf>
    <xf numFmtId="168" fontId="2" fillId="15" borderId="0" xfId="0" applyNumberFormat="1" applyFont="1" applyFill="1" applyAlignment="1">
      <alignment horizontal="center" vertical="top" wrapText="1"/>
    </xf>
    <xf numFmtId="1" fontId="2" fillId="0" borderId="23" xfId="0" applyNumberFormat="1" applyFont="1" applyBorder="1" applyAlignment="1">
      <alignment horizontal="center" vertical="top" wrapText="1"/>
    </xf>
    <xf numFmtId="168" fontId="28" fillId="8" borderId="7" xfId="0" applyNumberFormat="1" applyFont="1" applyFill="1" applyBorder="1" applyAlignment="1">
      <alignment horizontal="center"/>
    </xf>
    <xf numFmtId="1" fontId="28" fillId="8" borderId="0" xfId="0" applyNumberFormat="1" applyFont="1" applyFill="1" applyAlignment="1">
      <alignment horizontal="center" vertical="top" wrapText="1"/>
    </xf>
    <xf numFmtId="167" fontId="2" fillId="10" borderId="0" xfId="0" applyNumberFormat="1" applyFont="1" applyFill="1" applyAlignment="1">
      <alignment horizontal="center"/>
    </xf>
    <xf numFmtId="167" fontId="2" fillId="8" borderId="0" xfId="0" applyNumberFormat="1" applyFont="1" applyFill="1" applyAlignment="1">
      <alignment horizontal="center"/>
    </xf>
    <xf numFmtId="167" fontId="2" fillId="0" borderId="0" xfId="0" applyNumberFormat="1" applyFont="1" applyAlignment="1">
      <alignment horizontal="center"/>
    </xf>
    <xf numFmtId="167" fontId="2" fillId="25" borderId="8" xfId="0" applyNumberFormat="1" applyFont="1" applyFill="1" applyBorder="1" applyAlignment="1">
      <alignment horizontal="center"/>
    </xf>
    <xf numFmtId="167" fontId="28" fillId="8" borderId="7" xfId="0" applyNumberFormat="1" applyFont="1" applyFill="1" applyBorder="1" applyAlignment="1">
      <alignment horizontal="center"/>
    </xf>
    <xf numFmtId="1" fontId="2" fillId="22" borderId="3" xfId="0" applyNumberFormat="1" applyFont="1" applyFill="1" applyBorder="1" applyAlignment="1">
      <alignment horizontal="center"/>
    </xf>
    <xf numFmtId="1" fontId="2" fillId="22" borderId="0" xfId="0" applyNumberFormat="1" applyFont="1" applyFill="1" applyAlignment="1">
      <alignment horizontal="center"/>
    </xf>
    <xf numFmtId="1" fontId="2" fillId="22" borderId="7" xfId="0" applyNumberFormat="1" applyFont="1" applyFill="1" applyBorder="1" applyAlignment="1">
      <alignment horizontal="center"/>
    </xf>
    <xf numFmtId="167" fontId="2" fillId="22" borderId="3" xfId="0" applyNumberFormat="1" applyFont="1" applyFill="1" applyBorder="1" applyAlignment="1">
      <alignment horizontal="center"/>
    </xf>
    <xf numFmtId="167" fontId="2" fillId="22" borderId="0" xfId="0" applyNumberFormat="1" applyFont="1" applyFill="1" applyAlignment="1">
      <alignment horizontal="center"/>
    </xf>
    <xf numFmtId="167" fontId="2" fillId="22" borderId="7" xfId="0" applyNumberFormat="1" applyFont="1" applyFill="1" applyBorder="1" applyAlignment="1">
      <alignment horizontal="center"/>
    </xf>
    <xf numFmtId="168" fontId="2" fillId="8" borderId="32" xfId="0" applyNumberFormat="1" applyFont="1" applyFill="1" applyBorder="1" applyAlignment="1">
      <alignment horizontal="right" vertical="top" wrapText="1"/>
    </xf>
    <xf numFmtId="168" fontId="2" fillId="0" borderId="0" xfId="0" applyNumberFormat="1" applyFont="1" applyAlignment="1">
      <alignment horizontal="right" vertical="top" wrapText="1"/>
    </xf>
    <xf numFmtId="0" fontId="2" fillId="0" borderId="1" xfId="0" applyFont="1" applyBorder="1" applyAlignment="1">
      <alignment horizontal="left" indent="1"/>
    </xf>
    <xf numFmtId="0" fontId="2" fillId="0" borderId="2" xfId="0" applyFont="1" applyBorder="1" applyAlignment="1">
      <alignment horizontal="center"/>
    </xf>
    <xf numFmtId="1" fontId="2" fillId="0" borderId="7" xfId="0" applyNumberFormat="1" applyFont="1" applyBorder="1"/>
    <xf numFmtId="1" fontId="2" fillId="8" borderId="7" xfId="0" applyNumberFormat="1" applyFont="1" applyFill="1" applyBorder="1"/>
    <xf numFmtId="1" fontId="42" fillId="0" borderId="0" xfId="0" applyNumberFormat="1" applyFont="1" applyAlignment="1">
      <alignment horizontal="center"/>
    </xf>
    <xf numFmtId="174" fontId="42" fillId="0" borderId="0" xfId="0" applyNumberFormat="1" applyFont="1"/>
    <xf numFmtId="0" fontId="42" fillId="0" borderId="0" xfId="0" applyFont="1" applyAlignment="1">
      <alignment horizontal="left" indent="2"/>
    </xf>
    <xf numFmtId="175" fontId="42" fillId="0" borderId="0" xfId="0" applyNumberFormat="1" applyFont="1" applyAlignment="1">
      <alignment horizontal="center"/>
    </xf>
    <xf numFmtId="1" fontId="12" fillId="0" borderId="0" xfId="0" applyNumberFormat="1" applyFont="1" applyAlignment="1">
      <alignment horizontal="center"/>
    </xf>
    <xf numFmtId="174" fontId="42" fillId="14" borderId="3" xfId="0" applyNumberFormat="1" applyFont="1" applyFill="1" applyBorder="1" applyAlignment="1">
      <alignment horizontal="center"/>
    </xf>
    <xf numFmtId="168" fontId="2"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3" xfId="0" applyFont="1" applyFill="1" applyBorder="1" applyAlignment="1">
      <alignment horizontal="center"/>
    </xf>
    <xf numFmtId="0" fontId="12" fillId="14" borderId="2" xfId="0" applyFont="1" applyFill="1" applyBorder="1" applyAlignment="1">
      <alignment horizontal="center"/>
    </xf>
    <xf numFmtId="0" fontId="32" fillId="0" borderId="1" xfId="0" applyFont="1" applyBorder="1"/>
    <xf numFmtId="174" fontId="42" fillId="14" borderId="2" xfId="0" applyNumberFormat="1" applyFont="1" applyFill="1" applyBorder="1" applyAlignment="1">
      <alignment horizontal="center"/>
    </xf>
    <xf numFmtId="174" fontId="42" fillId="14" borderId="38" xfId="0" applyNumberFormat="1" applyFont="1" applyFill="1" applyBorder="1" applyAlignment="1">
      <alignment horizontal="center"/>
    </xf>
    <xf numFmtId="174" fontId="42" fillId="14"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6" xfId="0" applyFont="1" applyBorder="1" applyAlignment="1">
      <alignment horizontal="left" indent="1"/>
    </xf>
    <xf numFmtId="167" fontId="2" fillId="0" borderId="0" xfId="0" applyNumberFormat="1" applyFont="1" applyAlignment="1">
      <alignment vertical="center" wrapText="1"/>
    </xf>
    <xf numFmtId="167" fontId="2" fillId="0" borderId="1" xfId="0" applyNumberFormat="1" applyFont="1" applyBorder="1" applyAlignment="1">
      <alignment vertical="center" wrapText="1"/>
    </xf>
    <xf numFmtId="0" fontId="2" fillId="0" borderId="1" xfId="0" applyFont="1" applyBorder="1" applyAlignment="1">
      <alignment horizontal="left" indent="4"/>
    </xf>
    <xf numFmtId="1" fontId="2" fillId="8" borderId="3"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6" xfId="0" applyNumberFormat="1" applyFont="1" applyBorder="1" applyAlignment="1">
      <alignment horizontal="center" vertical="top" wrapText="1"/>
    </xf>
    <xf numFmtId="0" fontId="12" fillId="0" borderId="48" xfId="0" applyFont="1" applyBorder="1" applyAlignment="1">
      <alignment horizontal="left" indent="1"/>
    </xf>
    <xf numFmtId="0" fontId="2" fillId="0" borderId="5" xfId="0" applyFont="1" applyBorder="1" applyAlignment="1">
      <alignment horizontal="left" indent="2"/>
    </xf>
    <xf numFmtId="0" fontId="2"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7" borderId="1" xfId="0" applyFont="1" applyFill="1" applyBorder="1"/>
    <xf numFmtId="0" fontId="1" fillId="17" borderId="6" xfId="0" applyFont="1" applyFill="1" applyBorder="1"/>
    <xf numFmtId="168" fontId="2" fillId="0" borderId="0" xfId="0" applyNumberFormat="1" applyFont="1" applyAlignment="1">
      <alignment horizontal="center" vertical="top" wrapText="1"/>
    </xf>
    <xf numFmtId="167" fontId="2" fillId="0" borderId="4" xfId="0" applyNumberFormat="1" applyFont="1" applyBorder="1" applyAlignment="1">
      <alignment horizontal="center"/>
    </xf>
    <xf numFmtId="1" fontId="2" fillId="0" borderId="0" xfId="0" applyNumberFormat="1" applyFont="1" applyAlignment="1">
      <alignment horizontal="center"/>
    </xf>
    <xf numFmtId="0" fontId="42" fillId="0" borderId="5" xfId="0" applyFont="1" applyBorder="1" applyAlignment="1">
      <alignment horizontal="left"/>
    </xf>
    <xf numFmtId="1" fontId="2" fillId="8" borderId="23" xfId="0" applyNumberFormat="1" applyFont="1" applyFill="1" applyBorder="1" applyAlignment="1">
      <alignment horizontal="center" vertical="top" wrapText="1"/>
    </xf>
    <xf numFmtId="168" fontId="2" fillId="0" borderId="5" xfId="0" applyNumberFormat="1" applyFont="1" applyBorder="1" applyAlignment="1">
      <alignment horizontal="right" vertical="top" wrapText="1"/>
    </xf>
    <xf numFmtId="168" fontId="2" fillId="0" borderId="3" xfId="0" applyNumberFormat="1" applyFont="1" applyBorder="1" applyAlignment="1">
      <alignment horizontal="right" vertical="top" wrapText="1"/>
    </xf>
    <xf numFmtId="168" fontId="2" fillId="8" borderId="3" xfId="0" applyNumberFormat="1" applyFont="1" applyFill="1" applyBorder="1" applyAlignment="1">
      <alignment horizontal="right" vertical="top" wrapText="1"/>
    </xf>
    <xf numFmtId="168" fontId="2" fillId="0" borderId="23" xfId="0" applyNumberFormat="1" applyFont="1" applyBorder="1" applyAlignment="1">
      <alignment horizontal="center" vertical="top" wrapText="1"/>
    </xf>
    <xf numFmtId="168" fontId="2"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5" xfId="0" applyFont="1" applyBorder="1" applyAlignment="1">
      <alignment horizontal="left" vertical="top" wrapText="1"/>
    </xf>
    <xf numFmtId="168" fontId="27" fillId="0" borderId="7" xfId="0" applyNumberFormat="1" applyFont="1" applyBorder="1" applyAlignment="1">
      <alignment horizontal="center" vertical="top" wrapText="1"/>
    </xf>
    <xf numFmtId="168" fontId="43" fillId="8" borderId="7" xfId="0" applyNumberFormat="1" applyFont="1" applyFill="1" applyBorder="1" applyAlignment="1">
      <alignment horizontal="center"/>
    </xf>
    <xf numFmtId="168" fontId="27" fillId="25" borderId="8" xfId="0" applyNumberFormat="1" applyFont="1" applyFill="1" applyBorder="1" applyAlignment="1">
      <alignment horizontal="center" vertical="top" wrapText="1"/>
    </xf>
    <xf numFmtId="1" fontId="2" fillId="0" borderId="3" xfId="0" applyNumberFormat="1" applyFont="1" applyBorder="1" applyAlignment="1">
      <alignment horizontal="center"/>
    </xf>
    <xf numFmtId="167" fontId="2" fillId="10" borderId="8" xfId="0" applyNumberFormat="1" applyFont="1" applyFill="1" applyBorder="1" applyAlignment="1">
      <alignment horizontal="center"/>
    </xf>
    <xf numFmtId="0" fontId="2" fillId="17" borderId="1" xfId="0" applyFont="1" applyFill="1" applyBorder="1" applyAlignment="1">
      <alignment horizontal="left" indent="2"/>
    </xf>
    <xf numFmtId="0" fontId="1" fillId="17" borderId="4" xfId="0" applyFont="1" applyFill="1" applyBorder="1"/>
    <xf numFmtId="167" fontId="2" fillId="17" borderId="0" xfId="0" applyNumberFormat="1" applyFont="1" applyFill="1" applyAlignment="1">
      <alignment horizontal="center"/>
    </xf>
    <xf numFmtId="0" fontId="2" fillId="17" borderId="0" xfId="0" applyFont="1" applyFill="1" applyAlignment="1">
      <alignment horizontal="center"/>
    </xf>
    <xf numFmtId="0" fontId="2" fillId="17" borderId="1" xfId="0" applyFont="1" applyFill="1" applyBorder="1" applyAlignment="1">
      <alignment horizontal="left" indent="4"/>
    </xf>
    <xf numFmtId="0" fontId="2" fillId="17" borderId="4" xfId="0" applyFont="1" applyFill="1" applyBorder="1"/>
    <xf numFmtId="0" fontId="2" fillId="17" borderId="6" xfId="0" applyFont="1" applyFill="1" applyBorder="1" applyAlignment="1">
      <alignment horizontal="left" indent="2"/>
    </xf>
    <xf numFmtId="0" fontId="2" fillId="17" borderId="8" xfId="0" applyFont="1" applyFill="1" applyBorder="1"/>
    <xf numFmtId="167" fontId="2" fillId="17" borderId="7" xfId="0" applyNumberFormat="1" applyFont="1" applyFill="1" applyBorder="1" applyAlignment="1">
      <alignment horizontal="center"/>
    </xf>
    <xf numFmtId="0" fontId="2" fillId="17" borderId="7" xfId="0" applyFont="1" applyFill="1" applyBorder="1" applyAlignment="1">
      <alignment horizontal="center"/>
    </xf>
    <xf numFmtId="0" fontId="2" fillId="17" borderId="5" xfId="0" applyFont="1" applyFill="1" applyBorder="1" applyAlignment="1">
      <alignment horizontal="left" indent="2"/>
    </xf>
    <xf numFmtId="169" fontId="2" fillId="17" borderId="3" xfId="0" applyNumberFormat="1" applyFont="1" applyFill="1" applyBorder="1"/>
    <xf numFmtId="1" fontId="2" fillId="17" borderId="5" xfId="0" applyNumberFormat="1" applyFont="1" applyFill="1" applyBorder="1" applyAlignment="1">
      <alignment horizontal="center"/>
    </xf>
    <xf numFmtId="1" fontId="2" fillId="17" borderId="32" xfId="0" applyNumberFormat="1" applyFont="1" applyFill="1" applyBorder="1" applyAlignment="1">
      <alignment horizontal="center"/>
    </xf>
    <xf numFmtId="1" fontId="2" fillId="17" borderId="2" xfId="0" applyNumberFormat="1" applyFont="1" applyFill="1" applyBorder="1" applyAlignment="1">
      <alignment horizontal="center"/>
    </xf>
    <xf numFmtId="169" fontId="2" fillId="17" borderId="0" xfId="0" applyNumberFormat="1" applyFont="1" applyFill="1"/>
    <xf numFmtId="1" fontId="2" fillId="17" borderId="1" xfId="0" applyNumberFormat="1" applyFont="1" applyFill="1" applyBorder="1" applyAlignment="1">
      <alignment horizontal="center"/>
    </xf>
    <xf numFmtId="1" fontId="2" fillId="17" borderId="0" xfId="0" applyNumberFormat="1" applyFont="1" applyFill="1" applyAlignment="1">
      <alignment horizontal="center"/>
    </xf>
    <xf numFmtId="1" fontId="2" fillId="17" borderId="4" xfId="0" applyNumberFormat="1" applyFont="1" applyFill="1" applyBorder="1" applyAlignment="1">
      <alignment horizontal="center"/>
    </xf>
    <xf numFmtId="0" fontId="2" fillId="17" borderId="1" xfId="0" applyFont="1" applyFill="1" applyBorder="1" applyAlignment="1">
      <alignment horizontal="center" wrapText="1"/>
    </xf>
    <xf numFmtId="169" fontId="2" fillId="17" borderId="0" xfId="0" applyNumberFormat="1" applyFont="1" applyFill="1" applyAlignment="1">
      <alignment horizontal="center"/>
    </xf>
    <xf numFmtId="0" fontId="2" fillId="17" borderId="1" xfId="0" applyFont="1" applyFill="1" applyBorder="1" applyAlignment="1">
      <alignment horizontal="center"/>
    </xf>
    <xf numFmtId="169" fontId="2" fillId="17" borderId="1" xfId="0" applyNumberFormat="1" applyFont="1" applyFill="1" applyBorder="1" applyAlignment="1">
      <alignment horizontal="center"/>
    </xf>
    <xf numFmtId="0" fontId="2" fillId="17" borderId="6" xfId="0" applyFont="1" applyFill="1" applyBorder="1" applyAlignment="1">
      <alignment horizontal="center"/>
    </xf>
    <xf numFmtId="169" fontId="2" fillId="17" borderId="7" xfId="0" applyNumberFormat="1" applyFont="1" applyFill="1" applyBorder="1" applyAlignment="1">
      <alignment horizontal="center"/>
    </xf>
    <xf numFmtId="169" fontId="2" fillId="17" borderId="6" xfId="0" applyNumberFormat="1" applyFont="1" applyFill="1" applyBorder="1" applyAlignment="1">
      <alignment horizontal="center"/>
    </xf>
    <xf numFmtId="1" fontId="2" fillId="17" borderId="7" xfId="0" applyNumberFormat="1" applyFont="1" applyFill="1" applyBorder="1" applyAlignment="1">
      <alignment horizontal="center"/>
    </xf>
    <xf numFmtId="1" fontId="2" fillId="17" borderId="8" xfId="0" applyNumberFormat="1" applyFont="1" applyFill="1" applyBorder="1" applyAlignment="1">
      <alignment horizontal="center"/>
    </xf>
    <xf numFmtId="0" fontId="1" fillId="17" borderId="5" xfId="0" applyFont="1" applyFill="1" applyBorder="1"/>
    <xf numFmtId="167" fontId="2" fillId="17" borderId="32" xfId="0" applyNumberFormat="1" applyFont="1" applyFill="1" applyBorder="1" applyAlignment="1">
      <alignment horizontal="center"/>
    </xf>
    <xf numFmtId="167" fontId="2" fillId="17" borderId="2" xfId="0" applyNumberFormat="1" applyFont="1" applyFill="1" applyBorder="1" applyAlignment="1">
      <alignment horizontal="center"/>
    </xf>
    <xf numFmtId="167" fontId="2" fillId="17" borderId="4" xfId="0" applyNumberFormat="1" applyFont="1" applyFill="1" applyBorder="1" applyAlignment="1">
      <alignment horizontal="center"/>
    </xf>
    <xf numFmtId="167" fontId="2" fillId="17" borderId="8" xfId="0" applyNumberFormat="1" applyFont="1" applyFill="1" applyBorder="1" applyAlignment="1">
      <alignment horizontal="center"/>
    </xf>
    <xf numFmtId="0" fontId="2" fillId="8" borderId="13" xfId="0" applyFont="1" applyFill="1" applyBorder="1" applyAlignment="1">
      <alignment horizontal="center"/>
    </xf>
    <xf numFmtId="0" fontId="12" fillId="0" borderId="1" xfId="0" applyFont="1" applyBorder="1"/>
    <xf numFmtId="0" fontId="12" fillId="0" borderId="5" xfId="0" applyFont="1" applyBorder="1"/>
    <xf numFmtId="0" fontId="42" fillId="0" borderId="5" xfId="0" applyFont="1" applyBorder="1" applyAlignment="1">
      <alignment wrapText="1"/>
    </xf>
    <xf numFmtId="174" fontId="42" fillId="0" borderId="32" xfId="0" applyNumberFormat="1" applyFont="1" applyBorder="1" applyAlignment="1">
      <alignment horizontal="center"/>
    </xf>
    <xf numFmtId="174" fontId="42" fillId="0" borderId="2" xfId="0" applyNumberFormat="1" applyFont="1" applyBorder="1" applyAlignment="1">
      <alignment horizontal="center"/>
    </xf>
    <xf numFmtId="174" fontId="42" fillId="8" borderId="32" xfId="0" applyNumberFormat="1" applyFont="1" applyFill="1" applyBorder="1" applyAlignment="1">
      <alignment horizontal="center"/>
    </xf>
    <xf numFmtId="174" fontId="42" fillId="8" borderId="2" xfId="0" applyNumberFormat="1" applyFont="1" applyFill="1" applyBorder="1" applyAlignment="1">
      <alignment horizontal="center"/>
    </xf>
    <xf numFmtId="1" fontId="32" fillId="0" borderId="0" xfId="0" applyNumberFormat="1" applyFont="1" applyAlignment="1">
      <alignment horizontal="center"/>
    </xf>
    <xf numFmtId="0" fontId="32" fillId="0" borderId="5" xfId="0" applyFont="1" applyBorder="1" applyAlignment="1">
      <alignment wrapText="1"/>
    </xf>
    <xf numFmtId="1" fontId="32" fillId="0" borderId="32" xfId="0" applyNumberFormat="1" applyFont="1" applyBorder="1" applyAlignment="1">
      <alignment horizontal="center"/>
    </xf>
    <xf numFmtId="0" fontId="32" fillId="0" borderId="6" xfId="0" applyFont="1" applyBorder="1"/>
    <xf numFmtId="1" fontId="32" fillId="0" borderId="7" xfId="0" applyNumberFormat="1" applyFont="1" applyBorder="1" applyAlignment="1">
      <alignment horizontal="center"/>
    </xf>
    <xf numFmtId="37" fontId="2" fillId="0" borderId="0" xfId="0" applyNumberFormat="1" applyFont="1" applyAlignment="1">
      <alignment horizontal="center" wrapText="1"/>
    </xf>
    <xf numFmtId="37" fontId="2" fillId="0" borderId="1" xfId="0" applyNumberFormat="1" applyFont="1" applyBorder="1" applyAlignment="1">
      <alignment horizontal="center" wrapText="1"/>
    </xf>
    <xf numFmtId="37" fontId="2" fillId="0" borderId="4" xfId="0" applyNumberFormat="1" applyFont="1" applyBorder="1" applyAlignment="1">
      <alignment horizontal="center" wrapText="1"/>
    </xf>
    <xf numFmtId="174" fontId="42" fillId="14" borderId="32" xfId="0" applyNumberFormat="1" applyFont="1" applyFill="1" applyBorder="1" applyAlignment="1">
      <alignment horizontal="center"/>
    </xf>
    <xf numFmtId="1" fontId="2" fillId="0" borderId="7" xfId="0" applyNumberFormat="1" applyFont="1" applyBorder="1" applyAlignment="1">
      <alignment horizontal="center" vertical="center"/>
    </xf>
    <xf numFmtId="169" fontId="2" fillId="0" borderId="32" xfId="0" applyNumberFormat="1" applyFont="1" applyBorder="1"/>
    <xf numFmtId="168" fontId="27" fillId="0" borderId="0" xfId="0" applyNumberFormat="1" applyFont="1"/>
    <xf numFmtId="1" fontId="2" fillId="8" borderId="0" xfId="0" applyNumberFormat="1" applyFont="1" applyFill="1" applyAlignment="1">
      <alignment horizontal="center"/>
    </xf>
    <xf numFmtId="1" fontId="2" fillId="8" borderId="2" xfId="0" applyNumberFormat="1" applyFont="1" applyFill="1" applyBorder="1" applyAlignment="1">
      <alignment horizontal="center"/>
    </xf>
    <xf numFmtId="1" fontId="2" fillId="8" borderId="32" xfId="0" applyNumberFormat="1" applyFont="1" applyFill="1" applyBorder="1" applyAlignment="1">
      <alignment horizontal="center"/>
    </xf>
    <xf numFmtId="174" fontId="42" fillId="0" borderId="38" xfId="0" applyNumberFormat="1" applyFont="1" applyBorder="1" applyAlignment="1">
      <alignment horizontal="center"/>
    </xf>
    <xf numFmtId="168" fontId="2" fillId="0" borderId="1" xfId="0" applyNumberFormat="1" applyFont="1" applyBorder="1" applyAlignment="1">
      <alignment horizontal="center" vertical="top" wrapText="1"/>
    </xf>
    <xf numFmtId="174" fontId="42" fillId="0" borderId="42" xfId="0" applyNumberFormat="1" applyFont="1" applyBorder="1" applyAlignment="1">
      <alignment horizontal="center"/>
    </xf>
    <xf numFmtId="174" fontId="42" fillId="0" borderId="5" xfId="0" applyNumberFormat="1" applyFont="1" applyBorder="1" applyAlignment="1">
      <alignment horizontal="center"/>
    </xf>
    <xf numFmtId="174" fontId="42" fillId="0" borderId="3" xfId="0" applyNumberFormat="1" applyFont="1" applyBorder="1" applyAlignment="1">
      <alignment horizontal="center"/>
    </xf>
    <xf numFmtId="9" fontId="2" fillId="0" borderId="0" xfId="0" applyNumberFormat="1" applyFont="1"/>
    <xf numFmtId="9" fontId="2" fillId="0" borderId="4" xfId="0" applyNumberFormat="1" applyFont="1" applyBorder="1"/>
    <xf numFmtId="10" fontId="2" fillId="0" borderId="0" xfId="0" applyNumberFormat="1" applyFont="1"/>
    <xf numFmtId="0" fontId="2" fillId="0" borderId="6" xfId="0" applyFont="1" applyBorder="1" applyAlignment="1">
      <alignment horizontal="left" indent="1"/>
    </xf>
    <xf numFmtId="9" fontId="2" fillId="0" borderId="7" xfId="0" applyNumberFormat="1" applyFont="1" applyBorder="1"/>
    <xf numFmtId="9" fontId="2" fillId="0" borderId="8" xfId="0" applyNumberFormat="1" applyFont="1" applyBorder="1"/>
    <xf numFmtId="2" fontId="2" fillId="0" borderId="1" xfId="0" applyNumberFormat="1" applyFont="1" applyBorder="1" applyAlignment="1">
      <alignment horizontal="center"/>
    </xf>
    <xf numFmtId="2" fontId="2" fillId="0" borderId="6" xfId="0" applyNumberFormat="1" applyFont="1" applyBorder="1" applyAlignment="1">
      <alignment horizontal="center"/>
    </xf>
    <xf numFmtId="2" fontId="2" fillId="0" borderId="7" xfId="0" applyNumberFormat="1" applyFont="1" applyBorder="1" applyAlignment="1">
      <alignment horizontal="center"/>
    </xf>
    <xf numFmtId="167" fontId="2" fillId="0" borderId="6" xfId="0" applyNumberFormat="1" applyFont="1" applyBorder="1" applyAlignment="1">
      <alignment horizontal="center"/>
    </xf>
    <xf numFmtId="167" fontId="2" fillId="0" borderId="7" xfId="0" applyNumberFormat="1" applyFont="1" applyBorder="1" applyAlignment="1">
      <alignment horizontal="center"/>
    </xf>
    <xf numFmtId="167" fontId="2" fillId="0" borderId="8" xfId="0" applyNumberFormat="1" applyFont="1" applyBorder="1" applyAlignment="1">
      <alignment horizontal="center"/>
    </xf>
    <xf numFmtId="1" fontId="2" fillId="8" borderId="4" xfId="0" applyNumberFormat="1" applyFont="1" applyFill="1" applyBorder="1" applyAlignment="1">
      <alignment horizontal="center"/>
    </xf>
    <xf numFmtId="1" fontId="2" fillId="0" borderId="1" xfId="0" applyNumberFormat="1" applyFont="1" applyBorder="1" applyAlignment="1">
      <alignment horizontal="center"/>
    </xf>
    <xf numFmtId="1" fontId="2" fillId="0" borderId="4" xfId="0" applyNumberFormat="1" applyFont="1" applyBorder="1" applyAlignment="1">
      <alignment horizontal="center"/>
    </xf>
    <xf numFmtId="167" fontId="2" fillId="0" borderId="2" xfId="0" applyNumberFormat="1" applyFont="1" applyBorder="1" applyAlignment="1">
      <alignment horizontal="center"/>
    </xf>
    <xf numFmtId="167" fontId="2" fillId="0" borderId="3" xfId="0" applyNumberFormat="1" applyFont="1" applyBorder="1" applyAlignment="1">
      <alignment horizontal="center"/>
    </xf>
    <xf numFmtId="167" fontId="2" fillId="8" borderId="3" xfId="0" applyNumberFormat="1" applyFont="1" applyFill="1" applyBorder="1" applyAlignment="1">
      <alignment horizontal="center"/>
    </xf>
    <xf numFmtId="167" fontId="2" fillId="8" borderId="2" xfId="0" applyNumberFormat="1" applyFont="1" applyFill="1" applyBorder="1" applyAlignment="1">
      <alignment horizontal="center"/>
    </xf>
    <xf numFmtId="167" fontId="2" fillId="8" borderId="4" xfId="0" applyNumberFormat="1" applyFont="1" applyFill="1" applyBorder="1" applyAlignment="1">
      <alignment horizontal="center"/>
    </xf>
    <xf numFmtId="167" fontId="2" fillId="8" borderId="7" xfId="0" applyNumberFormat="1" applyFont="1" applyFill="1" applyBorder="1" applyAlignment="1">
      <alignment horizontal="center"/>
    </xf>
    <xf numFmtId="167" fontId="2" fillId="8" borderId="8" xfId="0" applyNumberFormat="1" applyFont="1" applyFill="1" applyBorder="1" applyAlignment="1">
      <alignment horizontal="center"/>
    </xf>
    <xf numFmtId="167" fontId="2" fillId="10" borderId="4" xfId="0" applyNumberFormat="1" applyFont="1" applyFill="1" applyBorder="1" applyAlignment="1">
      <alignment horizontal="center"/>
    </xf>
    <xf numFmtId="167" fontId="2" fillId="10" borderId="7" xfId="0" applyNumberFormat="1" applyFont="1" applyFill="1" applyBorder="1" applyAlignment="1">
      <alignment horizontal="center"/>
    </xf>
    <xf numFmtId="1" fontId="2" fillId="0" borderId="7" xfId="0" applyNumberFormat="1" applyFont="1" applyBorder="1" applyAlignment="1">
      <alignment horizontal="center"/>
    </xf>
    <xf numFmtId="167" fontId="2" fillId="0" borderId="1" xfId="0" applyNumberFormat="1" applyFont="1" applyBorder="1" applyAlignment="1">
      <alignment horizontal="center"/>
    </xf>
    <xf numFmtId="1" fontId="2" fillId="8" borderId="7" xfId="0" applyNumberFormat="1" applyFont="1" applyFill="1" applyBorder="1" applyAlignment="1">
      <alignment horizontal="center"/>
    </xf>
    <xf numFmtId="1" fontId="2" fillId="8"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2" fillId="0" borderId="5" xfId="0" applyNumberFormat="1" applyFont="1" applyBorder="1" applyAlignment="1">
      <alignment horizontal="center"/>
    </xf>
    <xf numFmtId="2" fontId="2" fillId="0" borderId="3" xfId="0" applyNumberFormat="1" applyFont="1" applyBorder="1" applyAlignment="1">
      <alignment horizontal="center"/>
    </xf>
    <xf numFmtId="2" fontId="2" fillId="0" borderId="2" xfId="0" applyNumberFormat="1" applyFont="1" applyBorder="1" applyAlignment="1">
      <alignment horizontal="center"/>
    </xf>
    <xf numFmtId="167" fontId="2" fillId="0" borderId="5"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2" fillId="0" borderId="23" xfId="0" applyNumberFormat="1" applyFont="1" applyBorder="1" applyAlignment="1">
      <alignment horizontal="center" vertical="top" wrapText="1"/>
    </xf>
    <xf numFmtId="174" fontId="32" fillId="0" borderId="0" xfId="0" applyNumberFormat="1" applyFont="1" applyAlignment="1">
      <alignment horizontal="center"/>
    </xf>
    <xf numFmtId="0" fontId="2" fillId="0" borderId="5" xfId="0" applyFont="1" applyBorder="1" applyAlignment="1">
      <alignment horizontal="left" indent="1"/>
    </xf>
    <xf numFmtId="0" fontId="42" fillId="0" borderId="1" xfId="0" applyFont="1" applyBorder="1" applyAlignment="1">
      <alignment horizontal="left" wrapText="1"/>
    </xf>
    <xf numFmtId="0" fontId="44" fillId="0" borderId="0" xfId="0" applyFont="1"/>
    <xf numFmtId="0" fontId="32" fillId="0" borderId="0" xfId="0" applyFont="1"/>
    <xf numFmtId="0" fontId="42" fillId="0" borderId="0" xfId="0" applyFont="1"/>
    <xf numFmtId="0" fontId="45"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6" xfId="0" applyFont="1" applyBorder="1" applyAlignment="1">
      <alignment horizontal="left" vertical="top" wrapText="1"/>
    </xf>
    <xf numFmtId="0" fontId="12" fillId="0" borderId="48" xfId="0" applyFont="1" applyBorder="1"/>
    <xf numFmtId="0" fontId="2" fillId="0" borderId="12" xfId="0" applyFont="1" applyBorder="1" applyAlignment="1">
      <alignment horizontal="left" indent="1"/>
    </xf>
    <xf numFmtId="0" fontId="2"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2" fillId="0" borderId="34" xfId="0" applyFont="1" applyBorder="1"/>
    <xf numFmtId="168" fontId="27" fillId="0" borderId="0" xfId="0" applyNumberFormat="1" applyFont="1" applyAlignment="1">
      <alignment horizontal="right" vertical="top" wrapText="1"/>
    </xf>
    <xf numFmtId="174" fontId="42" fillId="0" borderId="0" xfId="0" applyNumberFormat="1" applyFont="1" applyAlignment="1">
      <alignment horizontal="center"/>
    </xf>
    <xf numFmtId="0" fontId="27" fillId="0" borderId="8" xfId="0" applyFont="1" applyBorder="1" applyAlignment="1">
      <alignment horizontal="center"/>
    </xf>
    <xf numFmtId="10" fontId="46" fillId="0" borderId="0" xfId="0" applyNumberFormat="1" applyFont="1" applyAlignment="1">
      <alignment horizontal="center"/>
    </xf>
    <xf numFmtId="10" fontId="46" fillId="9" borderId="0" xfId="0" applyNumberFormat="1" applyFont="1" applyFill="1" applyAlignment="1">
      <alignment horizontal="center"/>
    </xf>
    <xf numFmtId="0" fontId="4" fillId="0" borderId="0" xfId="0" applyFont="1" applyAlignment="1">
      <alignment horizontal="left"/>
    </xf>
    <xf numFmtId="10" fontId="46" fillId="10" borderId="0" xfId="0" applyNumberFormat="1" applyFont="1" applyFill="1" applyAlignment="1">
      <alignment horizontal="center"/>
    </xf>
    <xf numFmtId="0" fontId="2" fillId="0" borderId="0" xfId="0" applyFont="1" applyAlignment="1">
      <alignment vertical="top"/>
    </xf>
    <xf numFmtId="10" fontId="46" fillId="0" borderId="2" xfId="0" applyNumberFormat="1" applyFont="1" applyBorder="1" applyAlignment="1">
      <alignment horizontal="center"/>
    </xf>
    <xf numFmtId="10" fontId="46" fillId="10" borderId="3" xfId="0" applyNumberFormat="1" applyFont="1" applyFill="1" applyBorder="1" applyAlignment="1">
      <alignment horizontal="center"/>
    </xf>
    <xf numFmtId="10" fontId="46" fillId="0" borderId="32" xfId="0" applyNumberFormat="1" applyFont="1" applyBorder="1" applyAlignment="1">
      <alignment horizontal="center"/>
    </xf>
    <xf numFmtId="0" fontId="1" fillId="0" borderId="5" xfId="0" applyFont="1" applyBorder="1"/>
    <xf numFmtId="0" fontId="4" fillId="17" borderId="4" xfId="0" applyFont="1" applyFill="1" applyBorder="1" applyAlignment="1">
      <alignment horizontal="left"/>
    </xf>
    <xf numFmtId="0" fontId="4" fillId="17" borderId="8" xfId="0" applyFont="1" applyFill="1" applyBorder="1" applyAlignment="1">
      <alignment horizontal="left"/>
    </xf>
    <xf numFmtId="10" fontId="46" fillId="17" borderId="7" xfId="0" applyNumberFormat="1" applyFont="1" applyFill="1" applyBorder="1" applyAlignment="1">
      <alignment horizontal="center"/>
    </xf>
    <xf numFmtId="10" fontId="46" fillId="17" borderId="8" xfId="0" applyNumberFormat="1" applyFont="1" applyFill="1" applyBorder="1" applyAlignment="1">
      <alignment horizontal="center"/>
    </xf>
    <xf numFmtId="10" fontId="1" fillId="0" borderId="5" xfId="0" applyNumberFormat="1" applyFont="1" applyBorder="1"/>
    <xf numFmtId="0" fontId="4" fillId="0" borderId="2" xfId="0" applyFont="1" applyBorder="1" applyAlignment="1">
      <alignment horizontal="left"/>
    </xf>
    <xf numFmtId="0" fontId="4" fillId="0" borderId="8" xfId="0" applyFont="1" applyBorder="1" applyAlignment="1">
      <alignment horizontal="left"/>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10" fontId="46" fillId="0" borderId="51" xfId="0" applyNumberFormat="1" applyFont="1" applyBorder="1" applyAlignment="1">
      <alignment horizontal="center"/>
    </xf>
    <xf numFmtId="0" fontId="1" fillId="0" borderId="50" xfId="0" applyFont="1" applyBorder="1"/>
    <xf numFmtId="10" fontId="1" fillId="0" borderId="6" xfId="0" applyNumberFormat="1" applyFont="1" applyBorder="1"/>
    <xf numFmtId="0" fontId="12" fillId="0" borderId="32" xfId="0" applyFont="1" applyBorder="1" applyAlignment="1">
      <alignment vertical="center" wrapText="1"/>
    </xf>
    <xf numFmtId="0" fontId="1" fillId="0" borderId="3" xfId="0" applyFont="1" applyBorder="1"/>
    <xf numFmtId="10" fontId="46" fillId="10" borderId="7" xfId="0" applyNumberFormat="1" applyFont="1" applyFill="1" applyBorder="1" applyAlignment="1">
      <alignment horizontal="center"/>
    </xf>
    <xf numFmtId="10" fontId="46" fillId="0" borderId="5" xfId="0" applyNumberFormat="1" applyFont="1" applyBorder="1" applyAlignment="1">
      <alignment horizontal="center"/>
    </xf>
    <xf numFmtId="10" fontId="46" fillId="10" borderId="32"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2" xfId="0" applyNumberFormat="1" applyFont="1" applyBorder="1" applyAlignment="1">
      <alignment horizontal="center"/>
    </xf>
    <xf numFmtId="167" fontId="3" fillId="0" borderId="0" xfId="0" applyNumberFormat="1" applyFont="1" applyAlignment="1">
      <alignment wrapText="1"/>
    </xf>
    <xf numFmtId="0" fontId="4" fillId="0" borderId="3" xfId="0" applyFont="1" applyBorder="1" applyAlignment="1">
      <alignment horizontal="left"/>
    </xf>
    <xf numFmtId="0" fontId="4" fillId="0" borderId="7" xfId="0" applyFont="1" applyBorder="1" applyAlignment="1">
      <alignment horizontal="left"/>
    </xf>
    <xf numFmtId="176" fontId="1" fillId="0" borderId="0" xfId="0" applyNumberFormat="1" applyFont="1"/>
    <xf numFmtId="10" fontId="46" fillId="0" borderId="3"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6"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3"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5" xfId="0" applyFont="1" applyBorder="1" applyAlignment="1">
      <alignment vertical="center" wrapText="1"/>
    </xf>
    <xf numFmtId="0" fontId="47" fillId="0" borderId="5" xfId="0" applyFont="1" applyBorder="1" applyAlignment="1">
      <alignment wrapText="1"/>
    </xf>
    <xf numFmtId="0" fontId="47" fillId="0" borderId="2" xfId="0" applyFont="1" applyBorder="1" applyAlignment="1">
      <alignment wrapText="1"/>
    </xf>
    <xf numFmtId="0" fontId="47" fillId="0" borderId="38" xfId="0" applyFont="1" applyBorder="1" applyAlignment="1">
      <alignment wrapText="1"/>
    </xf>
    <xf numFmtId="0" fontId="47" fillId="0" borderId="43" xfId="0" applyFont="1" applyBorder="1" applyAlignment="1">
      <alignment wrapText="1"/>
    </xf>
    <xf numFmtId="10" fontId="46" fillId="17" borderId="0" xfId="0" applyNumberFormat="1" applyFont="1" applyFill="1" applyAlignment="1">
      <alignment horizontal="center"/>
    </xf>
    <xf numFmtId="10" fontId="46" fillId="17" borderId="4" xfId="0" applyNumberFormat="1" applyFont="1" applyFill="1" applyBorder="1" applyAlignment="1">
      <alignment horizontal="center"/>
    </xf>
    <xf numFmtId="10" fontId="1" fillId="17" borderId="1" xfId="0" applyNumberFormat="1" applyFont="1" applyFill="1" applyBorder="1"/>
    <xf numFmtId="3" fontId="2" fillId="0" borderId="1" xfId="0" applyNumberFormat="1" applyFont="1" applyBorder="1" applyAlignment="1">
      <alignment horizontal="center"/>
    </xf>
    <xf numFmtId="3" fontId="2" fillId="0" borderId="5" xfId="0" applyNumberFormat="1" applyFont="1" applyBorder="1" applyAlignment="1">
      <alignment horizontal="center"/>
    </xf>
    <xf numFmtId="3" fontId="2" fillId="0" borderId="0" xfId="0" applyNumberFormat="1" applyFont="1" applyAlignment="1">
      <alignment wrapText="1"/>
    </xf>
    <xf numFmtId="0" fontId="11" fillId="0" borderId="0" xfId="0" applyFont="1"/>
    <xf numFmtId="167" fontId="2" fillId="0" borderId="0" xfId="0" applyNumberFormat="1" applyFont="1" applyAlignment="1">
      <alignment horizontal="left"/>
    </xf>
    <xf numFmtId="14" fontId="2" fillId="0" borderId="0" xfId="0" applyNumberFormat="1" applyFont="1" applyAlignment="1">
      <alignment horizontal="center"/>
    </xf>
    <xf numFmtId="14" fontId="2" fillId="10" borderId="13" xfId="0" applyNumberFormat="1" applyFont="1" applyFill="1" applyBorder="1" applyAlignment="1">
      <alignment horizontal="right"/>
    </xf>
    <xf numFmtId="14" fontId="2" fillId="10" borderId="12" xfId="0" applyNumberFormat="1" applyFont="1" applyFill="1" applyBorder="1" applyAlignment="1">
      <alignment horizontal="right"/>
    </xf>
    <xf numFmtId="2" fontId="2" fillId="0" borderId="4" xfId="0" applyNumberFormat="1" applyFont="1" applyBorder="1" applyAlignment="1">
      <alignment horizontal="center"/>
    </xf>
    <xf numFmtId="2" fontId="2" fillId="0" borderId="8" xfId="0" applyNumberFormat="1" applyFont="1" applyBorder="1" applyAlignment="1">
      <alignment horizontal="center"/>
    </xf>
    <xf numFmtId="0" fontId="2" fillId="10" borderId="6" xfId="0" applyFont="1" applyFill="1" applyBorder="1" applyAlignment="1">
      <alignment horizontal="center" wrapText="1"/>
    </xf>
    <xf numFmtId="0" fontId="2" fillId="10" borderId="7" xfId="0" applyFont="1" applyFill="1" applyBorder="1" applyAlignment="1">
      <alignment horizontal="center" wrapText="1"/>
    </xf>
    <xf numFmtId="0" fontId="2" fillId="8" borderId="12" xfId="0" applyFont="1" applyFill="1" applyBorder="1" applyAlignment="1">
      <alignment horizontal="center" wrapText="1"/>
    </xf>
    <xf numFmtId="3" fontId="2" fillId="0" borderId="3" xfId="0" applyNumberFormat="1" applyFont="1" applyBorder="1" applyAlignment="1">
      <alignment horizontal="center"/>
    </xf>
    <xf numFmtId="0" fontId="2" fillId="10" borderId="48" xfId="0" applyFont="1" applyFill="1" applyBorder="1" applyAlignment="1">
      <alignment horizontal="center" wrapText="1"/>
    </xf>
    <xf numFmtId="0" fontId="2" fillId="10" borderId="43" xfId="0" applyFont="1" applyFill="1" applyBorder="1" applyAlignment="1">
      <alignment horizontal="center" wrapText="1"/>
    </xf>
    <xf numFmtId="14" fontId="2" fillId="10"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10" borderId="2"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2" xfId="0" applyNumberFormat="1" applyFont="1" applyFill="1" applyBorder="1" applyAlignment="1">
      <alignment horizontal="center"/>
    </xf>
    <xf numFmtId="0" fontId="1" fillId="0" borderId="5" xfId="0" applyFont="1" applyBorder="1" applyAlignment="1">
      <alignment horizontal="left" wrapText="1" indent="2"/>
    </xf>
    <xf numFmtId="0" fontId="1" fillId="0" borderId="32" xfId="0" applyFont="1" applyBorder="1" applyAlignment="1">
      <alignment horizontal="left" wrapText="1" indent="2"/>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6"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3"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4" fillId="0" borderId="5" xfId="0" applyFont="1" applyBorder="1" applyAlignment="1">
      <alignment horizontal="left" wrapText="1" indent="2"/>
    </xf>
    <xf numFmtId="0" fontId="1" fillId="10" borderId="7" xfId="0" applyFont="1" applyFill="1" applyBorder="1" applyAlignment="1">
      <alignment horizontal="center"/>
    </xf>
    <xf numFmtId="0" fontId="27" fillId="10" borderId="4" xfId="0" applyFont="1" applyFill="1" applyBorder="1" applyAlignment="1">
      <alignment horizontal="center"/>
    </xf>
    <xf numFmtId="0" fontId="1" fillId="0" borderId="1" xfId="0" applyFont="1" applyBorder="1" applyAlignment="1">
      <alignment horizontal="center"/>
    </xf>
    <xf numFmtId="0" fontId="27" fillId="8" borderId="7" xfId="0" applyFont="1" applyFill="1" applyBorder="1" applyAlignment="1">
      <alignment horizontal="center"/>
    </xf>
    <xf numFmtId="0" fontId="27" fillId="8" borderId="8" xfId="0" applyFont="1" applyFill="1" applyBorder="1" applyAlignment="1">
      <alignment horizontal="center"/>
    </xf>
    <xf numFmtId="0" fontId="1" fillId="0" borderId="12" xfId="0" applyFont="1" applyBorder="1" applyAlignment="1">
      <alignment horizontal="left"/>
    </xf>
    <xf numFmtId="0" fontId="1" fillId="10" borderId="6"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7" fillId="8" borderId="0" xfId="0" applyFont="1" applyFill="1" applyAlignment="1">
      <alignment horizontal="center"/>
    </xf>
    <xf numFmtId="0" fontId="27" fillId="8" borderId="4" xfId="0" applyFont="1" applyFill="1" applyBorder="1" applyAlignment="1">
      <alignment horizontal="center"/>
    </xf>
    <xf numFmtId="0" fontId="27" fillId="10" borderId="0" xfId="0" applyFont="1" applyFill="1" applyAlignment="1">
      <alignment horizontal="center"/>
    </xf>
    <xf numFmtId="2" fontId="14" fillId="7" borderId="0" xfId="0" applyNumberFormat="1" applyFont="1" applyFill="1"/>
    <xf numFmtId="14" fontId="23" fillId="0" borderId="0" xfId="0" applyNumberFormat="1" applyFont="1"/>
    <xf numFmtId="0" fontId="23" fillId="0" borderId="0" xfId="0" applyFont="1" applyAlignment="1">
      <alignment wrapText="1"/>
    </xf>
    <xf numFmtId="0" fontId="23" fillId="26" borderId="0" xfId="0" applyFont="1" applyFill="1" applyAlignment="1">
      <alignment wrapText="1"/>
    </xf>
    <xf numFmtId="0" fontId="23" fillId="26" borderId="0" xfId="0" applyFont="1" applyFill="1"/>
    <xf numFmtId="0" fontId="23" fillId="0" borderId="0" xfId="0" applyFont="1" applyAlignment="1">
      <alignment vertical="center" wrapText="1"/>
    </xf>
    <xf numFmtId="0" fontId="23" fillId="26" borderId="0" xfId="0" applyFont="1" applyFill="1" applyAlignment="1">
      <alignment horizontal="center" wrapText="1"/>
    </xf>
    <xf numFmtId="177" fontId="23" fillId="0" borderId="0" xfId="0" applyNumberFormat="1" applyFont="1"/>
    <xf numFmtId="0" fontId="23" fillId="26" borderId="0" xfId="0" applyFont="1" applyFill="1" applyAlignment="1">
      <alignment horizontal="center"/>
    </xf>
    <xf numFmtId="2" fontId="23" fillId="26" borderId="0" xfId="0" applyNumberFormat="1" applyFont="1" applyFill="1"/>
    <xf numFmtId="2" fontId="23" fillId="0" borderId="0" xfId="0" applyNumberFormat="1" applyFont="1"/>
    <xf numFmtId="0" fontId="46" fillId="0" borderId="0" xfId="0" applyFont="1"/>
    <xf numFmtId="166" fontId="23" fillId="0" borderId="0" xfId="0" applyNumberFormat="1" applyFont="1"/>
    <xf numFmtId="169" fontId="23" fillId="0" borderId="0" xfId="0" applyNumberFormat="1" applyFont="1"/>
    <xf numFmtId="169" fontId="46" fillId="0" borderId="0" xfId="0" applyNumberFormat="1" applyFont="1"/>
    <xf numFmtId="0" fontId="2" fillId="0" borderId="0" xfId="0" applyFont="1" applyAlignment="1">
      <alignment vertical="center"/>
    </xf>
    <xf numFmtId="0" fontId="2" fillId="0" borderId="0" xfId="0" applyFont="1" applyAlignment="1">
      <alignment horizontal="right" vertical="center"/>
    </xf>
    <xf numFmtId="0" fontId="2" fillId="0" borderId="7" xfId="0" applyFont="1" applyBorder="1" applyAlignment="1">
      <alignment vertical="center"/>
    </xf>
    <xf numFmtId="0" fontId="2" fillId="0" borderId="7" xfId="0" applyFont="1" applyBorder="1" applyAlignment="1">
      <alignment horizontal="right" vertical="center"/>
    </xf>
    <xf numFmtId="0" fontId="50" fillId="0" borderId="0" xfId="0" applyFont="1" applyAlignment="1">
      <alignment vertical="center"/>
    </xf>
    <xf numFmtId="0" fontId="11" fillId="0" borderId="0" xfId="0" applyFont="1" applyAlignment="1">
      <alignment horizontal="left"/>
    </xf>
    <xf numFmtId="165" fontId="2" fillId="0" borderId="0" xfId="0" applyNumberFormat="1" applyFont="1" applyAlignment="1">
      <alignment horizontal="right"/>
    </xf>
    <xf numFmtId="3" fontId="2" fillId="0" borderId="7" xfId="0" applyNumberFormat="1" applyFont="1" applyBorder="1"/>
    <xf numFmtId="1" fontId="2" fillId="0" borderId="0" xfId="0" applyNumberFormat="1" applyFont="1" applyAlignment="1">
      <alignment horizontal="right"/>
    </xf>
    <xf numFmtId="0" fontId="2" fillId="0" borderId="7" xfId="0" applyFont="1" applyBorder="1" applyAlignment="1">
      <alignment horizontal="right"/>
    </xf>
    <xf numFmtId="3" fontId="2" fillId="0" borderId="7" xfId="0" applyNumberFormat="1" applyFont="1" applyBorder="1" applyAlignment="1">
      <alignment horizontal="right"/>
    </xf>
    <xf numFmtId="0" fontId="51" fillId="0" borderId="0" xfId="0" applyFont="1" applyAlignment="1">
      <alignment horizontal="left"/>
    </xf>
    <xf numFmtId="0" fontId="51" fillId="0" borderId="0" xfId="0" applyFont="1" applyAlignment="1">
      <alignment horizontal="center" wrapText="1"/>
    </xf>
    <xf numFmtId="1" fontId="52" fillId="0" borderId="52" xfId="0" applyNumberFormat="1" applyFont="1" applyBorder="1" applyAlignment="1">
      <alignment horizontal="center" vertical="top"/>
    </xf>
    <xf numFmtId="0" fontId="51" fillId="28" borderId="52" xfId="0" applyFont="1" applyFill="1" applyBorder="1" applyAlignment="1">
      <alignment horizontal="center" vertical="top"/>
    </xf>
    <xf numFmtId="0" fontId="51" fillId="0" borderId="0" xfId="0" applyFont="1" applyAlignment="1">
      <alignment horizontal="center"/>
    </xf>
    <xf numFmtId="0" fontId="51" fillId="0" borderId="0" xfId="0" applyFont="1" applyAlignment="1">
      <alignment horizontal="left" wrapText="1"/>
    </xf>
    <xf numFmtId="0" fontId="52" fillId="0" borderId="0" xfId="0" applyFont="1" applyAlignment="1">
      <alignment horizontal="left" vertical="top"/>
    </xf>
    <xf numFmtId="0" fontId="52" fillId="0" borderId="0" xfId="0" applyFont="1" applyAlignment="1">
      <alignment horizontal="center" vertical="top" wrapText="1"/>
    </xf>
    <xf numFmtId="1" fontId="52" fillId="7" borderId="0" xfId="0" applyNumberFormat="1" applyFont="1" applyFill="1" applyAlignment="1">
      <alignment horizontal="center" vertical="top"/>
    </xf>
    <xf numFmtId="0" fontId="51" fillId="7" borderId="0" xfId="0" applyFont="1" applyFill="1" applyAlignment="1">
      <alignment horizontal="center" vertical="top"/>
    </xf>
    <xf numFmtId="0" fontId="51" fillId="7" borderId="0" xfId="0" applyFont="1" applyFill="1" applyAlignment="1">
      <alignment horizontal="left" vertical="top" wrapText="1"/>
    </xf>
    <xf numFmtId="0" fontId="51" fillId="0" borderId="0" xfId="0" applyFont="1" applyAlignment="1">
      <alignment horizontal="left" vertical="top" wrapText="1"/>
    </xf>
    <xf numFmtId="0" fontId="52" fillId="0" borderId="38" xfId="0" applyFont="1" applyBorder="1" applyAlignment="1">
      <alignment horizontal="left" vertical="top"/>
    </xf>
    <xf numFmtId="0" fontId="52" fillId="0" borderId="38" xfId="0" applyFont="1" applyBorder="1" applyAlignment="1">
      <alignment horizontal="center" vertical="top" wrapText="1"/>
    </xf>
    <xf numFmtId="1" fontId="52" fillId="3" borderId="38" xfId="0" applyNumberFormat="1" applyFont="1" applyFill="1" applyBorder="1" applyAlignment="1">
      <alignment horizontal="center" vertical="top"/>
    </xf>
    <xf numFmtId="3" fontId="52" fillId="3" borderId="38" xfId="0" applyNumberFormat="1" applyFont="1" applyFill="1" applyBorder="1" applyAlignment="1">
      <alignment horizontal="center" vertical="top"/>
    </xf>
    <xf numFmtId="0" fontId="51" fillId="3" borderId="38" xfId="0" applyFont="1" applyFill="1" applyBorder="1" applyAlignment="1">
      <alignment horizontal="center" vertical="top"/>
    </xf>
    <xf numFmtId="0" fontId="51" fillId="0" borderId="38" xfId="0" applyFont="1" applyBorder="1" applyAlignment="1">
      <alignment horizontal="left" vertical="top" wrapText="1"/>
    </xf>
    <xf numFmtId="0" fontId="52" fillId="0" borderId="3" xfId="0" applyFont="1" applyBorder="1" applyAlignment="1">
      <alignment horizontal="left" vertical="top"/>
    </xf>
    <xf numFmtId="0" fontId="52" fillId="0" borderId="3" xfId="0" applyFont="1" applyBorder="1" applyAlignment="1">
      <alignment horizontal="center" vertical="top" wrapText="1"/>
    </xf>
    <xf numFmtId="3" fontId="53" fillId="0" borderId="0" xfId="0" applyNumberFormat="1" applyFont="1" applyAlignment="1">
      <alignment vertical="top"/>
    </xf>
    <xf numFmtId="0" fontId="52" fillId="7" borderId="3" xfId="0" applyFont="1" applyFill="1" applyBorder="1" applyAlignment="1">
      <alignment horizontal="center" vertical="top"/>
    </xf>
    <xf numFmtId="0" fontId="51" fillId="0" borderId="3" xfId="0" applyFont="1" applyBorder="1" applyAlignment="1">
      <alignment horizontal="left" vertical="top" wrapText="1"/>
    </xf>
    <xf numFmtId="0" fontId="51" fillId="0" borderId="0" xfId="0" applyFont="1" applyAlignment="1">
      <alignment horizontal="left" vertical="top"/>
    </xf>
    <xf numFmtId="0" fontId="51" fillId="0" borderId="0" xfId="0" applyFont="1" applyAlignment="1">
      <alignment horizontal="center" vertical="top" wrapText="1"/>
    </xf>
    <xf numFmtId="3" fontId="52" fillId="7" borderId="0" xfId="0" applyNumberFormat="1" applyFont="1" applyFill="1" applyAlignment="1">
      <alignment horizontal="center" vertical="top"/>
    </xf>
    <xf numFmtId="0" fontId="52" fillId="7" borderId="0" xfId="0" applyFont="1" applyFill="1" applyAlignment="1">
      <alignment horizontal="center" vertical="top"/>
    </xf>
    <xf numFmtId="1" fontId="51" fillId="7" borderId="0" xfId="0" applyNumberFormat="1" applyFont="1" applyFill="1" applyAlignment="1">
      <alignment horizontal="center" vertical="top"/>
    </xf>
    <xf numFmtId="0" fontId="51" fillId="0" borderId="0" xfId="0" applyFont="1" applyAlignment="1">
      <alignment horizontal="center" vertical="top"/>
    </xf>
    <xf numFmtId="1" fontId="51" fillId="7" borderId="0" xfId="0" applyNumberFormat="1" applyFont="1" applyFill="1" applyAlignment="1">
      <alignment horizontal="center"/>
    </xf>
    <xf numFmtId="1" fontId="51" fillId="7" borderId="0" xfId="0" applyNumberFormat="1" applyFont="1" applyFill="1" applyAlignment="1">
      <alignment horizontal="center" vertical="center"/>
    </xf>
    <xf numFmtId="1" fontId="52" fillId="7" borderId="0" xfId="0" applyNumberFormat="1" applyFont="1" applyFill="1" applyAlignment="1">
      <alignment horizontal="center" vertical="center"/>
    </xf>
    <xf numFmtId="0" fontId="51" fillId="0" borderId="0" xfId="0" applyFont="1" applyAlignment="1">
      <alignment horizontal="left" vertical="center"/>
    </xf>
    <xf numFmtId="0" fontId="51" fillId="0" borderId="0" xfId="0" applyFont="1" applyAlignment="1">
      <alignment horizontal="center" vertical="center" wrapText="1"/>
    </xf>
    <xf numFmtId="0" fontId="52" fillId="0" borderId="0" xfId="0" applyFont="1" applyAlignment="1">
      <alignment horizontal="left" vertical="top" wrapText="1"/>
    </xf>
    <xf numFmtId="1" fontId="52" fillId="7" borderId="3" xfId="0" applyNumberFormat="1" applyFont="1" applyFill="1" applyBorder="1" applyAlignment="1">
      <alignment horizontal="center" vertical="top"/>
    </xf>
    <xf numFmtId="3" fontId="52" fillId="7" borderId="3" xfId="0" applyNumberFormat="1" applyFont="1" applyFill="1" applyBorder="1" applyAlignment="1">
      <alignment horizontal="center" vertical="top"/>
    </xf>
    <xf numFmtId="0" fontId="51" fillId="7" borderId="3" xfId="0" applyFont="1" applyFill="1" applyBorder="1" applyAlignment="1">
      <alignment horizontal="center" vertical="top"/>
    </xf>
    <xf numFmtId="0" fontId="15" fillId="7" borderId="3" xfId="0" applyFont="1" applyFill="1" applyBorder="1" applyAlignment="1">
      <alignment horizontal="left" vertical="top" wrapText="1"/>
    </xf>
    <xf numFmtId="0" fontId="52" fillId="28" borderId="0" xfId="0" applyFont="1" applyFill="1" applyAlignment="1">
      <alignment horizontal="center"/>
    </xf>
    <xf numFmtId="0" fontId="51" fillId="28" borderId="0" xfId="0" applyFont="1" applyFill="1" applyAlignment="1">
      <alignment horizontal="left" wrapText="1"/>
    </xf>
    <xf numFmtId="1" fontId="52" fillId="29" borderId="0" xfId="0" applyNumberFormat="1" applyFont="1" applyFill="1" applyAlignment="1">
      <alignment horizontal="center" vertical="top"/>
    </xf>
    <xf numFmtId="3" fontId="52" fillId="29" borderId="0" xfId="0" applyNumberFormat="1" applyFont="1" applyFill="1" applyAlignment="1">
      <alignment horizontal="center" vertical="top"/>
    </xf>
    <xf numFmtId="0" fontId="51" fillId="29" borderId="0" xfId="0" applyFont="1" applyFill="1" applyAlignment="1">
      <alignment horizontal="center" vertical="top"/>
    </xf>
    <xf numFmtId="0" fontId="51" fillId="29" borderId="0" xfId="0" applyFont="1" applyFill="1" applyAlignment="1">
      <alignment horizontal="left" vertical="top" wrapText="1"/>
    </xf>
    <xf numFmtId="1" fontId="51" fillId="30" borderId="0" xfId="0" applyNumberFormat="1" applyFont="1" applyFill="1" applyAlignment="1">
      <alignment horizontal="center" vertical="top"/>
    </xf>
    <xf numFmtId="0" fontId="51" fillId="30" borderId="0" xfId="0" applyFont="1" applyFill="1" applyAlignment="1">
      <alignment horizontal="center" vertical="top"/>
    </xf>
    <xf numFmtId="0" fontId="51" fillId="30" borderId="0" xfId="0" applyFont="1" applyFill="1" applyAlignment="1">
      <alignment horizontal="left" vertical="top" wrapText="1"/>
    </xf>
    <xf numFmtId="1" fontId="51" fillId="30" borderId="0" xfId="0" applyNumberFormat="1" applyFont="1" applyFill="1" applyAlignment="1">
      <alignment horizontal="center"/>
    </xf>
    <xf numFmtId="1" fontId="52" fillId="30" borderId="0" xfId="0" applyNumberFormat="1" applyFont="1" applyFill="1" applyAlignment="1">
      <alignment horizontal="center" vertical="top"/>
    </xf>
    <xf numFmtId="3" fontId="52" fillId="30" borderId="0" xfId="0" applyNumberFormat="1" applyFont="1" applyFill="1" applyAlignment="1">
      <alignment horizontal="center" vertical="top"/>
    </xf>
    <xf numFmtId="1" fontId="52" fillId="31" borderId="0" xfId="0" applyNumberFormat="1" applyFont="1" applyFill="1" applyAlignment="1">
      <alignment horizontal="center" vertical="top"/>
    </xf>
    <xf numFmtId="0" fontId="51" fillId="31" borderId="0" xfId="0" applyFont="1" applyFill="1" applyAlignment="1">
      <alignment horizontal="center" vertical="top"/>
    </xf>
    <xf numFmtId="3" fontId="52" fillId="31" borderId="0" xfId="0" applyNumberFormat="1" applyFont="1" applyFill="1" applyAlignment="1">
      <alignment horizontal="center" vertical="top"/>
    </xf>
    <xf numFmtId="0" fontId="52" fillId="31" borderId="0" xfId="0" applyFont="1" applyFill="1" applyAlignment="1">
      <alignment horizontal="center" vertical="top"/>
    </xf>
    <xf numFmtId="0" fontId="52" fillId="32" borderId="0" xfId="0" applyFont="1" applyFill="1" applyAlignment="1">
      <alignment horizontal="left" vertical="top"/>
    </xf>
    <xf numFmtId="0" fontId="52" fillId="32" borderId="0" xfId="0" applyFont="1" applyFill="1" applyAlignment="1">
      <alignment horizontal="center" vertical="top" wrapText="1"/>
    </xf>
    <xf numFmtId="0" fontId="51" fillId="32" borderId="0" xfId="0" applyFont="1" applyFill="1" applyAlignment="1">
      <alignment horizontal="left" vertical="top" wrapText="1"/>
    </xf>
    <xf numFmtId="1" fontId="52" fillId="31" borderId="42" xfId="0" applyNumberFormat="1" applyFont="1" applyFill="1" applyBorder="1" applyAlignment="1">
      <alignment horizontal="center" vertical="top"/>
    </xf>
    <xf numFmtId="1" fontId="52" fillId="31" borderId="38" xfId="0" applyNumberFormat="1" applyFont="1" applyFill="1" applyBorder="1" applyAlignment="1">
      <alignment horizontal="center" vertical="top"/>
    </xf>
    <xf numFmtId="3" fontId="52" fillId="31" borderId="38" xfId="0" applyNumberFormat="1" applyFont="1" applyFill="1" applyBorder="1" applyAlignment="1">
      <alignment horizontal="center" vertical="top"/>
    </xf>
    <xf numFmtId="0" fontId="51" fillId="31" borderId="43" xfId="0" applyFont="1" applyFill="1" applyBorder="1" applyAlignment="1">
      <alignment horizontal="center" vertical="top" wrapText="1"/>
    </xf>
    <xf numFmtId="1" fontId="52" fillId="10" borderId="0" xfId="0" applyNumberFormat="1" applyFont="1" applyFill="1" applyAlignment="1">
      <alignment horizontal="center" vertical="top"/>
    </xf>
    <xf numFmtId="1" fontId="51" fillId="10" borderId="0" xfId="0" applyNumberFormat="1" applyFont="1" applyFill="1" applyAlignment="1">
      <alignment horizontal="center" vertical="top"/>
    </xf>
    <xf numFmtId="1" fontId="53" fillId="0" borderId="0" xfId="0" applyNumberFormat="1" applyFont="1" applyAlignment="1">
      <alignment horizontal="center" vertical="top"/>
    </xf>
    <xf numFmtId="0" fontId="54" fillId="28" borderId="0" xfId="0" applyFont="1" applyFill="1" applyAlignment="1">
      <alignment vertical="top"/>
    </xf>
    <xf numFmtId="0" fontId="52" fillId="7" borderId="32" xfId="0" applyFont="1" applyFill="1" applyBorder="1" applyAlignment="1">
      <alignment horizontal="center" vertical="top"/>
    </xf>
    <xf numFmtId="0" fontId="51" fillId="7" borderId="32" xfId="0" applyFont="1" applyFill="1" applyBorder="1" applyAlignment="1">
      <alignment horizontal="center" vertical="top"/>
    </xf>
    <xf numFmtId="0" fontId="51" fillId="31" borderId="0" xfId="0" applyFont="1" applyFill="1" applyAlignment="1">
      <alignment horizontal="center" vertical="top" wrapText="1"/>
    </xf>
    <xf numFmtId="0" fontId="52" fillId="10" borderId="0" xfId="0" applyFont="1" applyFill="1" applyAlignment="1">
      <alignment horizontal="center" vertical="top"/>
    </xf>
    <xf numFmtId="0" fontId="15" fillId="0" borderId="0" xfId="0" applyFont="1" applyAlignment="1">
      <alignment horizontal="left" vertical="top" wrapText="1"/>
    </xf>
    <xf numFmtId="1" fontId="52" fillId="33" borderId="0" xfId="0" applyNumberFormat="1" applyFont="1" applyFill="1" applyAlignment="1">
      <alignment horizontal="center" vertical="top"/>
    </xf>
    <xf numFmtId="3" fontId="52" fillId="33" borderId="0" xfId="0" applyNumberFormat="1" applyFont="1" applyFill="1" applyAlignment="1">
      <alignment horizontal="center" vertical="top"/>
    </xf>
    <xf numFmtId="0" fontId="52" fillId="0" borderId="0" xfId="0" applyFont="1" applyAlignment="1">
      <alignment horizontal="center" vertical="top"/>
    </xf>
    <xf numFmtId="0" fontId="51" fillId="33" borderId="0" xfId="0" applyFont="1" applyFill="1" applyAlignment="1">
      <alignment horizontal="left" vertical="top" wrapText="1"/>
    </xf>
    <xf numFmtId="0" fontId="51" fillId="33" borderId="0" xfId="0" applyFont="1" applyFill="1" applyAlignment="1">
      <alignment horizontal="center" vertical="top"/>
    </xf>
    <xf numFmtId="0" fontId="52" fillId="33" borderId="0" xfId="0" applyFont="1" applyFill="1" applyAlignment="1">
      <alignment horizontal="center" vertical="top"/>
    </xf>
    <xf numFmtId="0" fontId="55" fillId="33" borderId="0" xfId="0" applyFont="1" applyFill="1" applyAlignment="1">
      <alignment horizontal="left" vertical="top" wrapText="1"/>
    </xf>
    <xf numFmtId="1" fontId="53" fillId="0" borderId="52" xfId="0" applyNumberFormat="1" applyFont="1" applyBorder="1" applyAlignment="1">
      <alignment vertical="top"/>
    </xf>
    <xf numFmtId="1" fontId="53" fillId="0" borderId="52" xfId="0" applyNumberFormat="1" applyFont="1" applyBorder="1" applyAlignment="1">
      <alignment horizontal="right" vertical="top"/>
    </xf>
    <xf numFmtId="0" fontId="54" fillId="28" borderId="52"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53" fillId="0" borderId="0" xfId="0" applyNumberFormat="1" applyFont="1" applyAlignment="1">
      <alignment vertical="top"/>
    </xf>
    <xf numFmtId="1" fontId="53" fillId="0" borderId="0" xfId="0" applyNumberFormat="1" applyFont="1" applyAlignment="1">
      <alignment horizontal="right" vertical="top"/>
    </xf>
    <xf numFmtId="0" fontId="54" fillId="28" borderId="7" xfId="0" applyFont="1" applyFill="1" applyBorder="1" applyAlignment="1">
      <alignment vertical="top"/>
    </xf>
    <xf numFmtId="1" fontId="56" fillId="0" borderId="0" xfId="0" applyNumberFormat="1" applyFont="1"/>
    <xf numFmtId="1" fontId="51" fillId="33" borderId="0" xfId="0" applyNumberFormat="1" applyFont="1" applyFill="1" applyAlignment="1">
      <alignment horizontal="center"/>
    </xf>
    <xf numFmtId="0" fontId="52" fillId="28" borderId="0" xfId="0" applyFont="1" applyFill="1" applyAlignment="1">
      <alignment horizontal="center" vertical="center"/>
    </xf>
    <xf numFmtId="0" fontId="51" fillId="28" borderId="0" xfId="0" applyFont="1" applyFill="1" applyAlignment="1">
      <alignment horizontal="left" vertical="center" wrapText="1"/>
    </xf>
    <xf numFmtId="1" fontId="52" fillId="6" borderId="0" xfId="0" applyNumberFormat="1" applyFont="1" applyFill="1" applyAlignment="1">
      <alignment horizontal="center" vertical="top"/>
    </xf>
    <xf numFmtId="0" fontId="51" fillId="6" borderId="0" xfId="0" applyFont="1" applyFill="1" applyAlignment="1">
      <alignment horizontal="center" vertical="top"/>
    </xf>
    <xf numFmtId="0" fontId="56" fillId="0" borderId="0" xfId="0" applyFont="1"/>
    <xf numFmtId="0" fontId="3" fillId="7" borderId="0" xfId="0" applyFont="1" applyFill="1" applyAlignment="1">
      <alignment horizontal="left"/>
    </xf>
    <xf numFmtId="0" fontId="3" fillId="6" borderId="0" xfId="0" applyFont="1" applyFill="1" applyAlignment="1">
      <alignment horizontal="left"/>
    </xf>
    <xf numFmtId="0" fontId="3" fillId="8" borderId="0" xfId="0" applyFont="1" applyFill="1" applyAlignment="1">
      <alignment horizontal="left"/>
    </xf>
    <xf numFmtId="0" fontId="3" fillId="34" borderId="0" xfId="0" applyFont="1" applyFill="1" applyAlignment="1">
      <alignment horizontal="left"/>
    </xf>
    <xf numFmtId="0" fontId="3" fillId="31" borderId="0" xfId="0" applyFont="1" applyFill="1" applyAlignment="1">
      <alignment horizontal="left"/>
    </xf>
    <xf numFmtId="0" fontId="3" fillId="3" borderId="0" xfId="0" applyFont="1" applyFill="1" applyAlignment="1">
      <alignment horizontal="left"/>
    </xf>
    <xf numFmtId="169" fontId="56" fillId="0" borderId="0" xfId="0" applyNumberFormat="1" applyFont="1"/>
    <xf numFmtId="2" fontId="56" fillId="0" borderId="0" xfId="0" applyNumberFormat="1" applyFont="1"/>
    <xf numFmtId="0" fontId="57" fillId="0" borderId="0" xfId="0" applyFont="1"/>
    <xf numFmtId="0" fontId="2" fillId="2" borderId="0" xfId="0" applyFont="1" applyFill="1" applyAlignment="1">
      <alignment horizontal="left" indent="2"/>
    </xf>
    <xf numFmtId="0" fontId="2" fillId="2" borderId="0" xfId="0" applyFont="1" applyFill="1" applyAlignment="1">
      <alignment horizontal="right"/>
    </xf>
    <xf numFmtId="0" fontId="58" fillId="0" borderId="0" xfId="0" applyFont="1" applyAlignment="1">
      <alignment horizontal="left" vertical="top"/>
    </xf>
    <xf numFmtId="0" fontId="12" fillId="0" borderId="0" xfId="0" applyFont="1" applyAlignment="1">
      <alignment horizontal="left"/>
    </xf>
    <xf numFmtId="0" fontId="59" fillId="0" borderId="0" xfId="0" applyFont="1"/>
    <xf numFmtId="0" fontId="12" fillId="35" borderId="0" xfId="0" applyFont="1" applyFill="1"/>
    <xf numFmtId="0" fontId="12" fillId="35" borderId="0" xfId="0" applyFont="1" applyFill="1" applyAlignment="1">
      <alignment horizontal="left"/>
    </xf>
    <xf numFmtId="0" fontId="2" fillId="35" borderId="0" xfId="0" applyFont="1" applyFill="1" applyAlignment="1">
      <alignment horizontal="left" indent="2"/>
    </xf>
    <xf numFmtId="0" fontId="2" fillId="35" borderId="0" xfId="0" applyFont="1" applyFill="1" applyAlignment="1">
      <alignment horizontal="right"/>
    </xf>
    <xf numFmtId="0" fontId="60" fillId="0" borderId="0" xfId="0" applyFont="1" applyAlignment="1">
      <alignment horizontal="right" vertical="top"/>
    </xf>
    <xf numFmtId="3" fontId="46" fillId="0" borderId="0" xfId="0" applyNumberFormat="1" applyFont="1"/>
    <xf numFmtId="3" fontId="61" fillId="0" borderId="0" xfId="0" applyNumberFormat="1" applyFont="1" applyAlignment="1">
      <alignment horizontal="right" vertical="top"/>
    </xf>
    <xf numFmtId="0" fontId="62" fillId="37" borderId="0" xfId="0" applyFont="1" applyFill="1" applyAlignment="1">
      <alignment horizontal="right"/>
    </xf>
    <xf numFmtId="0" fontId="63" fillId="0" borderId="0" xfId="0" applyFont="1"/>
    <xf numFmtId="0" fontId="52" fillId="0" borderId="0" xfId="0" applyFont="1" applyAlignment="1">
      <alignment horizontal="right"/>
    </xf>
    <xf numFmtId="165" fontId="64" fillId="0" borderId="0" xfId="0" applyNumberFormat="1" applyFont="1" applyAlignment="1">
      <alignment horizontal="right" vertical="top"/>
    </xf>
    <xf numFmtId="165" fontId="62" fillId="37" borderId="0" xfId="0" applyNumberFormat="1" applyFont="1" applyFill="1" applyAlignment="1">
      <alignment horizontal="right"/>
    </xf>
    <xf numFmtId="3" fontId="7" fillId="0" borderId="0" xfId="0" applyNumberFormat="1" applyFont="1"/>
    <xf numFmtId="0" fontId="7" fillId="0" borderId="0" xfId="0" applyFont="1"/>
    <xf numFmtId="165" fontId="52" fillId="0" borderId="0" xfId="0" applyNumberFormat="1" applyFont="1" applyAlignment="1">
      <alignment horizontal="right"/>
    </xf>
    <xf numFmtId="3" fontId="52" fillId="0" borderId="0" xfId="0" applyNumberFormat="1" applyFont="1" applyAlignment="1">
      <alignment horizontal="right"/>
    </xf>
    <xf numFmtId="0" fontId="7" fillId="38" borderId="0" xfId="0" applyFont="1" applyFill="1" applyAlignment="1">
      <alignment wrapText="1"/>
    </xf>
    <xf numFmtId="0" fontId="8" fillId="38" borderId="0" xfId="0" applyFont="1" applyFill="1" applyAlignment="1">
      <alignment vertical="top"/>
    </xf>
    <xf numFmtId="0" fontId="7" fillId="38" borderId="0" xfId="0" applyFont="1" applyFill="1" applyAlignment="1">
      <alignment horizontal="right"/>
    </xf>
    <xf numFmtId="0" fontId="7" fillId="38" borderId="0" xfId="0" applyFont="1" applyFill="1"/>
    <xf numFmtId="168" fontId="7" fillId="38" borderId="0" xfId="0" applyNumberFormat="1" applyFont="1" applyFill="1" applyAlignment="1">
      <alignment horizontal="center"/>
    </xf>
    <xf numFmtId="0" fontId="1" fillId="38" borderId="0" xfId="0" applyFont="1" applyFill="1" applyAlignment="1">
      <alignment wrapText="1"/>
    </xf>
    <xf numFmtId="170" fontId="7" fillId="0" borderId="0" xfId="0" applyNumberFormat="1" applyFont="1" applyAlignment="1">
      <alignment horizontal="right"/>
    </xf>
    <xf numFmtId="0" fontId="65" fillId="38" borderId="0" xfId="0" applyFont="1" applyFill="1" applyAlignment="1">
      <alignment horizontal="center" wrapText="1"/>
    </xf>
    <xf numFmtId="0" fontId="7" fillId="38"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9" borderId="0" xfId="0" applyFont="1" applyFill="1" applyAlignment="1">
      <alignment horizontal="center" wrapText="1"/>
    </xf>
    <xf numFmtId="0" fontId="8" fillId="40" borderId="0" xfId="0" applyFont="1" applyFill="1" applyAlignment="1">
      <alignment vertical="top"/>
    </xf>
    <xf numFmtId="0" fontId="46" fillId="40" borderId="0" xfId="0" applyFont="1" applyFill="1"/>
    <xf numFmtId="0" fontId="7" fillId="40" borderId="0" xfId="0" applyFont="1" applyFill="1"/>
    <xf numFmtId="0" fontId="66" fillId="40" borderId="0" xfId="0" applyFont="1" applyFill="1"/>
    <xf numFmtId="0" fontId="7" fillId="40" borderId="0" xfId="0" applyFont="1" applyFill="1" applyAlignment="1">
      <alignment horizontal="right"/>
    </xf>
    <xf numFmtId="0" fontId="1" fillId="40"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40" borderId="0" xfId="0" applyFont="1" applyFill="1" applyAlignment="1">
      <alignment vertical="top" wrapText="1"/>
    </xf>
    <xf numFmtId="0" fontId="8" fillId="38" borderId="0" xfId="0" applyFont="1" applyFill="1" applyAlignment="1">
      <alignment wrapText="1"/>
    </xf>
    <xf numFmtId="0" fontId="66"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1" borderId="0" xfId="0" applyFont="1" applyFill="1" applyAlignment="1">
      <alignment wrapText="1"/>
    </xf>
    <xf numFmtId="0" fontId="7" fillId="42" borderId="0" xfId="0" applyFont="1" applyFill="1" applyAlignment="1">
      <alignment horizontal="center" wrapText="1"/>
    </xf>
    <xf numFmtId="0" fontId="46" fillId="9" borderId="0" xfId="0" applyFont="1" applyFill="1" applyAlignment="1">
      <alignment horizontal="right"/>
    </xf>
    <xf numFmtId="0" fontId="7" fillId="9" borderId="0" xfId="0" applyFont="1" applyFill="1" applyAlignment="1">
      <alignment horizontal="right"/>
    </xf>
    <xf numFmtId="0" fontId="62" fillId="0" borderId="0" xfId="0" applyFont="1"/>
    <xf numFmtId="170" fontId="60"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45" borderId="0" xfId="0" applyFont="1" applyFill="1" applyAlignment="1">
      <alignment wrapText="1"/>
    </xf>
    <xf numFmtId="0" fontId="1" fillId="45" borderId="0" xfId="0" applyFont="1" applyFill="1"/>
    <xf numFmtId="0" fontId="46"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5" fillId="0" borderId="0" xfId="0" applyFont="1" applyAlignment="1">
      <alignment horizontal="center" wrapText="1"/>
    </xf>
    <xf numFmtId="0" fontId="7" fillId="14" borderId="0" xfId="0" applyFont="1" applyFill="1"/>
    <xf numFmtId="0" fontId="32" fillId="7" borderId="1" xfId="0" applyFont="1" applyFill="1" applyBorder="1" applyAlignment="1">
      <alignment horizontal="left" indent="2"/>
    </xf>
    <xf numFmtId="0" fontId="67"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3"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3" xfId="0" applyFont="1" applyBorder="1" applyAlignment="1">
      <alignment horizontal="left" wrapText="1"/>
    </xf>
    <xf numFmtId="0" fontId="7" fillId="0" borderId="2" xfId="0" applyFont="1" applyBorder="1" applyAlignment="1">
      <alignment horizontal="left" wrapText="1"/>
    </xf>
    <xf numFmtId="0" fontId="3" fillId="3" borderId="0" xfId="0" applyFont="1" applyFill="1" applyAlignment="1">
      <alignment horizontal="center"/>
    </xf>
    <xf numFmtId="168" fontId="13" fillId="0" borderId="0" xfId="0" applyNumberFormat="1" applyFont="1" applyAlignment="1">
      <alignment horizontal="center"/>
    </xf>
    <xf numFmtId="0" fontId="15" fillId="0" borderId="0" xfId="0" applyFont="1" applyAlignment="1">
      <alignment horizontal="left" wrapText="1"/>
    </xf>
    <xf numFmtId="0" fontId="1" fillId="0" borderId="0" xfId="0" applyFont="1" applyAlignment="1">
      <alignment horizontal="left" wrapText="1"/>
    </xf>
    <xf numFmtId="0" fontId="15" fillId="0" borderId="0" xfId="0" applyFont="1" applyAlignment="1">
      <alignment horizontal="left" vertical="center" wrapText="1"/>
    </xf>
    <xf numFmtId="0" fontId="1" fillId="0" borderId="0" xfId="0" applyFont="1" applyAlignment="1">
      <alignment horizontal="left" vertical="center" wrapText="1"/>
    </xf>
    <xf numFmtId="0" fontId="3" fillId="0" borderId="0" xfId="0" applyFont="1" applyAlignment="1">
      <alignment horizontal="center"/>
    </xf>
    <xf numFmtId="0" fontId="3" fillId="0" borderId="30" xfId="0" applyFont="1" applyBorder="1" applyAlignment="1">
      <alignment horizontal="center"/>
    </xf>
    <xf numFmtId="1" fontId="1" fillId="0" borderId="31"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22" xfId="0" applyNumberFormat="1" applyFont="1" applyBorder="1" applyAlignment="1">
      <alignment horizontal="center" vertical="center"/>
    </xf>
    <xf numFmtId="168" fontId="1" fillId="0" borderId="15" xfId="0" applyNumberFormat="1" applyFont="1" applyBorder="1" applyAlignment="1">
      <alignment horizontal="center" vertical="center"/>
    </xf>
    <xf numFmtId="168" fontId="1" fillId="0" borderId="16" xfId="0" applyNumberFormat="1" applyFont="1" applyBorder="1" applyAlignment="1">
      <alignment horizontal="center" vertical="center"/>
    </xf>
    <xf numFmtId="168" fontId="1" fillId="0" borderId="21"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0" fontId="19" fillId="0" borderId="0" xfId="0" applyFont="1"/>
    <xf numFmtId="0" fontId="17" fillId="0" borderId="0" xfId="0" applyFont="1"/>
    <xf numFmtId="0" fontId="20" fillId="0" borderId="0" xfId="0" applyFont="1"/>
    <xf numFmtId="0" fontId="1" fillId="10" borderId="0" xfId="0" applyFont="1" applyFill="1" applyAlignment="1">
      <alignment horizontal="center"/>
    </xf>
    <xf numFmtId="0" fontId="21" fillId="0" borderId="0" xfId="0" applyFont="1" applyAlignment="1">
      <alignment wrapText="1"/>
    </xf>
    <xf numFmtId="0" fontId="1" fillId="0" borderId="0" xfId="0" applyFont="1"/>
    <xf numFmtId="0" fontId="4" fillId="0" borderId="0" xfId="0" applyFont="1" applyAlignment="1">
      <alignment wrapText="1"/>
    </xf>
    <xf numFmtId="0" fontId="22" fillId="0" borderId="33" xfId="0" applyFont="1" applyBorder="1" applyAlignment="1">
      <alignment horizontal="center" vertical="center"/>
    </xf>
    <xf numFmtId="0" fontId="22" fillId="11" borderId="33" xfId="0" applyFont="1" applyFill="1" applyBorder="1" applyAlignment="1">
      <alignment horizontal="center" vertical="center"/>
    </xf>
    <xf numFmtId="0" fontId="23" fillId="0" borderId="0" xfId="0" applyFont="1" applyAlignment="1">
      <alignment horizontal="center"/>
    </xf>
    <xf numFmtId="0" fontId="2" fillId="10" borderId="5" xfId="0" applyFont="1" applyFill="1" applyBorder="1" applyAlignment="1">
      <alignment horizontal="center"/>
    </xf>
    <xf numFmtId="0" fontId="2" fillId="10" borderId="32" xfId="0" applyFont="1" applyFill="1" applyBorder="1" applyAlignment="1">
      <alignment horizontal="center"/>
    </xf>
    <xf numFmtId="0" fontId="18"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4" xfId="0" applyFont="1" applyFill="1" applyBorder="1" applyAlignment="1">
      <alignment horizontal="center"/>
    </xf>
    <xf numFmtId="0" fontId="12" fillId="10" borderId="5" xfId="0" applyFont="1" applyFill="1" applyBorder="1" applyAlignment="1">
      <alignment horizontal="center"/>
    </xf>
    <xf numFmtId="0" fontId="12" fillId="10" borderId="2"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6" xfId="0" applyFont="1" applyFill="1" applyBorder="1" applyAlignment="1">
      <alignment horizontal="center"/>
    </xf>
    <xf numFmtId="0" fontId="12" fillId="10" borderId="8" xfId="0" applyFont="1" applyFill="1" applyBorder="1" applyAlignment="1">
      <alignment horizontal="center"/>
    </xf>
    <xf numFmtId="0" fontId="2" fillId="8" borderId="5" xfId="0" applyFont="1" applyFill="1" applyBorder="1" applyAlignment="1">
      <alignment horizontal="center"/>
    </xf>
    <xf numFmtId="0" fontId="2" fillId="8" borderId="32" xfId="0" applyFont="1" applyFill="1" applyBorder="1" applyAlignment="1">
      <alignment horizontal="center"/>
    </xf>
    <xf numFmtId="0" fontId="2" fillId="8" borderId="2" xfId="0" applyFont="1" applyFill="1" applyBorder="1" applyAlignment="1">
      <alignment horizontal="center"/>
    </xf>
    <xf numFmtId="0" fontId="2" fillId="10" borderId="3" xfId="0" applyFont="1" applyFill="1" applyBorder="1" applyAlignment="1">
      <alignment horizontal="center"/>
    </xf>
    <xf numFmtId="0" fontId="2" fillId="10" borderId="2" xfId="0" applyFont="1" applyFill="1" applyBorder="1" applyAlignment="1">
      <alignment horizontal="center"/>
    </xf>
    <xf numFmtId="0" fontId="2" fillId="10" borderId="0" xfId="0" applyFont="1" applyFill="1" applyAlignment="1">
      <alignment horizontal="right"/>
    </xf>
    <xf numFmtId="0" fontId="12" fillId="8" borderId="5" xfId="0" applyFont="1" applyFill="1" applyBorder="1" applyAlignment="1">
      <alignment horizontal="center"/>
    </xf>
    <xf numFmtId="0" fontId="12" fillId="8" borderId="32" xfId="0" applyFont="1" applyFill="1" applyBorder="1" applyAlignment="1">
      <alignment horizontal="center"/>
    </xf>
    <xf numFmtId="0" fontId="12" fillId="8" borderId="38" xfId="0" applyFont="1" applyFill="1" applyBorder="1" applyAlignment="1">
      <alignment horizontal="center"/>
    </xf>
    <xf numFmtId="0" fontId="12" fillId="8" borderId="2" xfId="0" applyFont="1" applyFill="1" applyBorder="1" applyAlignment="1">
      <alignment horizontal="center"/>
    </xf>
    <xf numFmtId="0" fontId="12" fillId="10" borderId="7" xfId="0" applyFont="1" applyFill="1" applyBorder="1" applyAlignment="1">
      <alignment horizontal="center"/>
    </xf>
    <xf numFmtId="0" fontId="12" fillId="10" borderId="0" xfId="0" applyFont="1" applyFill="1" applyAlignment="1">
      <alignment horizontal="center"/>
    </xf>
    <xf numFmtId="0" fontId="2" fillId="8" borderId="3"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2" fillId="10" borderId="5" xfId="0" applyFont="1" applyFill="1" applyBorder="1" applyAlignment="1">
      <alignment horizontal="right"/>
    </xf>
    <xf numFmtId="0" fontId="2" fillId="10" borderId="32" xfId="0" applyFont="1" applyFill="1" applyBorder="1" applyAlignment="1">
      <alignment horizontal="right"/>
    </xf>
    <xf numFmtId="0" fontId="2" fillId="3" borderId="14" xfId="0" applyFont="1" applyFill="1" applyBorder="1" applyAlignment="1">
      <alignment horizontal="center" wrapText="1"/>
    </xf>
    <xf numFmtId="0" fontId="2" fillId="3" borderId="4" xfId="0" applyFont="1" applyFill="1" applyBorder="1" applyAlignment="1">
      <alignment horizontal="center" wrapText="1"/>
    </xf>
    <xf numFmtId="0" fontId="2" fillId="3" borderId="8" xfId="0" applyFont="1" applyFill="1" applyBorder="1" applyAlignment="1">
      <alignment horizontal="center" wrapText="1"/>
    </xf>
    <xf numFmtId="0" fontId="2" fillId="3" borderId="2"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3"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2" fillId="0" borderId="0" xfId="0" applyFont="1" applyAlignment="1">
      <alignment horizontal="center"/>
    </xf>
    <xf numFmtId="0" fontId="2" fillId="0" borderId="4" xfId="0" applyFont="1" applyBorder="1" applyAlignment="1">
      <alignment horizontal="center" wrapText="1"/>
    </xf>
    <xf numFmtId="0" fontId="12" fillId="8" borderId="6"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0" borderId="5"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0" xfId="0" applyFont="1" applyFill="1" applyAlignment="1">
      <alignment horizontal="center" vertical="center"/>
    </xf>
    <xf numFmtId="0" fontId="12" fillId="0" borderId="0" xfId="0" applyFont="1" applyAlignment="1">
      <alignment horizontal="left" wrapText="1"/>
    </xf>
    <xf numFmtId="0" fontId="12" fillId="10" borderId="3" xfId="0" applyFont="1" applyFill="1" applyBorder="1" applyAlignment="1">
      <alignment horizontal="center"/>
    </xf>
    <xf numFmtId="0" fontId="12" fillId="0" borderId="5" xfId="0" applyFont="1" applyBorder="1" applyAlignment="1">
      <alignment horizontal="center" vertical="top" wrapText="1"/>
    </xf>
    <xf numFmtId="0" fontId="12" fillId="0" borderId="3"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2" xfId="0" applyFont="1" applyFill="1" applyBorder="1" applyAlignment="1">
      <alignment horizontal="center"/>
    </xf>
    <xf numFmtId="0" fontId="34" fillId="0" borderId="0" xfId="0" applyFont="1" applyAlignment="1">
      <alignment horizontal="left" vertical="top" wrapText="1"/>
    </xf>
    <xf numFmtId="0" fontId="12" fillId="0" borderId="0" xfId="0" applyFont="1" applyAlignment="1">
      <alignment horizontal="center" vertical="top"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13" borderId="1" xfId="0" applyFont="1" applyFill="1" applyBorder="1" applyAlignment="1">
      <alignment horizontal="left" wrapText="1" indent="3"/>
    </xf>
    <xf numFmtId="0" fontId="2" fillId="13" borderId="0" xfId="0" applyFont="1" applyFill="1" applyAlignment="1">
      <alignment horizontal="left" wrapText="1" indent="3"/>
    </xf>
    <xf numFmtId="0" fontId="2" fillId="13" borderId="4" xfId="0" applyFont="1" applyFill="1" applyBorder="1" applyAlignment="1">
      <alignment horizontal="left" wrapText="1" indent="3"/>
    </xf>
    <xf numFmtId="0" fontId="2" fillId="0" borderId="1" xfId="0" applyFont="1" applyBorder="1" applyAlignment="1">
      <alignment horizontal="left" wrapText="1" indent="3"/>
    </xf>
    <xf numFmtId="0" fontId="2" fillId="0" borderId="0" xfId="0" applyFont="1" applyAlignment="1">
      <alignment horizontal="left" wrapText="1" indent="3"/>
    </xf>
    <xf numFmtId="0" fontId="2" fillId="0" borderId="4" xfId="0" applyFont="1" applyBorder="1" applyAlignment="1">
      <alignment horizontal="left" wrapText="1" indent="3"/>
    </xf>
    <xf numFmtId="0" fontId="2" fillId="0" borderId="1" xfId="0" applyFont="1" applyBorder="1" applyAlignment="1">
      <alignment horizontal="left" wrapText="1"/>
    </xf>
    <xf numFmtId="0" fontId="2" fillId="0" borderId="0" xfId="0" applyFont="1" applyAlignment="1">
      <alignment horizontal="left" wrapText="1"/>
    </xf>
    <xf numFmtId="0" fontId="2" fillId="0" borderId="4" xfId="0" applyFont="1" applyBorder="1" applyAlignment="1">
      <alignment horizontal="left" wrapText="1"/>
    </xf>
    <xf numFmtId="0" fontId="2" fillId="13" borderId="1" xfId="0" applyFont="1" applyFill="1" applyBorder="1" applyAlignment="1">
      <alignment horizontal="left" vertical="top" wrapText="1" indent="3"/>
    </xf>
    <xf numFmtId="0" fontId="2" fillId="13" borderId="0" xfId="0" applyFont="1" applyFill="1" applyAlignment="1">
      <alignment horizontal="left" vertical="top" wrapText="1" indent="3"/>
    </xf>
    <xf numFmtId="0" fontId="2" fillId="13" borderId="4" xfId="0" applyFont="1" applyFill="1" applyBorder="1" applyAlignment="1">
      <alignment horizontal="left" vertical="top" wrapText="1" indent="3"/>
    </xf>
    <xf numFmtId="0" fontId="2" fillId="0" borderId="5" xfId="0" applyFont="1" applyBorder="1" applyAlignment="1">
      <alignment horizontal="left" wrapText="1" indent="3"/>
    </xf>
    <xf numFmtId="0" fontId="2" fillId="0" borderId="3" xfId="0" applyFont="1" applyBorder="1" applyAlignment="1">
      <alignment horizontal="left" wrapText="1" indent="3"/>
    </xf>
    <xf numFmtId="0" fontId="2" fillId="0" borderId="2" xfId="0" applyFont="1" applyBorder="1" applyAlignment="1">
      <alignment horizontal="left" wrapText="1" indent="3"/>
    </xf>
    <xf numFmtId="0" fontId="36" fillId="0" borderId="0" xfId="0" applyFont="1" applyAlignment="1">
      <alignment horizontal="left" vertical="top" wrapText="1"/>
    </xf>
    <xf numFmtId="0" fontId="2" fillId="10" borderId="3" xfId="0" applyFont="1" applyFill="1" applyBorder="1" applyAlignment="1">
      <alignment horizontal="right"/>
    </xf>
    <xf numFmtId="0" fontId="12" fillId="10" borderId="43" xfId="0" applyFont="1" applyFill="1" applyBorder="1" applyAlignment="1">
      <alignment horizontal="center"/>
    </xf>
    <xf numFmtId="0" fontId="12" fillId="13" borderId="0" xfId="0" applyFont="1" applyFill="1" applyAlignment="1">
      <alignment horizontal="center"/>
    </xf>
    <xf numFmtId="0" fontId="23" fillId="0" borderId="0" xfId="0" applyFont="1" applyAlignment="1">
      <alignment horizontal="center" wrapText="1"/>
    </xf>
    <xf numFmtId="0" fontId="12" fillId="0" borderId="5" xfId="0" applyFont="1" applyBorder="1" applyAlignment="1">
      <alignment horizontal="center"/>
    </xf>
    <xf numFmtId="0" fontId="12" fillId="0" borderId="3" xfId="0" applyFont="1" applyBorder="1" applyAlignment="1">
      <alignment horizontal="center"/>
    </xf>
    <xf numFmtId="0" fontId="2" fillId="0" borderId="7" xfId="0" applyFont="1" applyBorder="1" applyAlignment="1">
      <alignment horizontal="left" vertical="top" wrapText="1"/>
    </xf>
    <xf numFmtId="0" fontId="12" fillId="10" borderId="5" xfId="0" applyFont="1" applyFill="1" applyBorder="1" applyAlignment="1">
      <alignment horizontal="center" wrapText="1"/>
    </xf>
    <xf numFmtId="0" fontId="12" fillId="10" borderId="2"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0" borderId="5" xfId="0" applyFont="1" applyBorder="1" applyAlignment="1">
      <alignment horizontal="left"/>
    </xf>
    <xf numFmtId="0" fontId="12" fillId="0" borderId="3" xfId="0" applyFont="1" applyBorder="1" applyAlignment="1">
      <alignment horizontal="left"/>
    </xf>
    <xf numFmtId="0" fontId="12" fillId="0" borderId="2"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6" xfId="0" applyFont="1" applyBorder="1" applyAlignment="1">
      <alignment horizontal="center"/>
    </xf>
    <xf numFmtId="0" fontId="12" fillId="0" borderId="8" xfId="0" applyFont="1" applyBorder="1" applyAlignment="1">
      <alignment horizontal="center"/>
    </xf>
    <xf numFmtId="0" fontId="12" fillId="10" borderId="6" xfId="0" applyFont="1" applyFill="1" applyBorder="1" applyAlignment="1">
      <alignment horizontal="center" wrapText="1"/>
    </xf>
    <xf numFmtId="0" fontId="12" fillId="10" borderId="7" xfId="0" applyFont="1" applyFill="1" applyBorder="1" applyAlignment="1">
      <alignment horizontal="center" wrapText="1"/>
    </xf>
    <xf numFmtId="0" fontId="12" fillId="10" borderId="8" xfId="0" applyFont="1" applyFill="1" applyBorder="1" applyAlignment="1">
      <alignment horizontal="center" wrapText="1"/>
    </xf>
    <xf numFmtId="0" fontId="41" fillId="0" borderId="7" xfId="0" applyFont="1" applyBorder="1" applyAlignment="1">
      <alignment horizontal="center"/>
    </xf>
    <xf numFmtId="0" fontId="41" fillId="0" borderId="0" xfId="0" applyFont="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27" fillId="0" borderId="7" xfId="0" applyFont="1" applyBorder="1" applyAlignment="1">
      <alignment horizontal="left" vertical="top" wrapText="1"/>
    </xf>
    <xf numFmtId="0" fontId="27" fillId="0" borderId="6"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17" borderId="6" xfId="0" applyFont="1" applyFill="1" applyBorder="1" applyAlignment="1">
      <alignment horizontal="center"/>
    </xf>
    <xf numFmtId="0" fontId="4" fillId="17" borderId="7" xfId="0" applyFont="1" applyFill="1" applyBorder="1" applyAlignment="1">
      <alignment horizontal="center"/>
    </xf>
    <xf numFmtId="0" fontId="4" fillId="17" borderId="8" xfId="0" applyFont="1" applyFill="1" applyBorder="1" applyAlignment="1">
      <alignment horizontal="center"/>
    </xf>
    <xf numFmtId="0" fontId="1" fillId="0" borderId="0" xfId="0" applyFont="1" applyAlignment="1">
      <alignment horizontal="left" vertical="top" wrapText="1"/>
    </xf>
    <xf numFmtId="0" fontId="3" fillId="10" borderId="5" xfId="0" applyFont="1" applyFill="1" applyBorder="1" applyAlignment="1">
      <alignment horizontal="center" wrapText="1"/>
    </xf>
    <xf numFmtId="0" fontId="3" fillId="10" borderId="3" xfId="0" applyFont="1" applyFill="1" applyBorder="1" applyAlignment="1">
      <alignment horizontal="center" wrapText="1"/>
    </xf>
    <xf numFmtId="0" fontId="3" fillId="10" borderId="1" xfId="0" applyFont="1" applyFill="1" applyBorder="1" applyAlignment="1">
      <alignment horizontal="center" wrapText="1"/>
    </xf>
    <xf numFmtId="0" fontId="3" fillId="10" borderId="0" xfId="0" applyFont="1" applyFill="1" applyAlignment="1">
      <alignment horizontal="center" wrapText="1"/>
    </xf>
    <xf numFmtId="0" fontId="1" fillId="10" borderId="5" xfId="0" applyFont="1" applyFill="1" applyBorder="1" applyAlignment="1">
      <alignment horizontal="center"/>
    </xf>
    <xf numFmtId="0" fontId="1" fillId="10" borderId="3" xfId="0" applyFont="1" applyFill="1" applyBorder="1" applyAlignment="1">
      <alignment horizontal="center"/>
    </xf>
    <xf numFmtId="0" fontId="1" fillId="10" borderId="5" xfId="0" applyFont="1" applyFill="1" applyBorder="1" applyAlignment="1">
      <alignment horizontal="center" wrapText="1"/>
    </xf>
    <xf numFmtId="0" fontId="1" fillId="10" borderId="3" xfId="0" applyFont="1" applyFill="1" applyBorder="1" applyAlignment="1">
      <alignment horizontal="center" wrapText="1"/>
    </xf>
    <xf numFmtId="0" fontId="1" fillId="10" borderId="2" xfId="0" applyFont="1" applyFill="1" applyBorder="1" applyAlignment="1">
      <alignment horizontal="center" wrapText="1"/>
    </xf>
    <xf numFmtId="0" fontId="49" fillId="10" borderId="5" xfId="0" applyFont="1" applyFill="1" applyBorder="1" applyAlignment="1">
      <alignment horizontal="center"/>
    </xf>
    <xf numFmtId="0" fontId="49" fillId="10" borderId="3" xfId="0" applyFont="1" applyFill="1" applyBorder="1" applyAlignment="1">
      <alignment horizontal="center"/>
    </xf>
    <xf numFmtId="0" fontId="49" fillId="10" borderId="2" xfId="0" applyFont="1" applyFill="1" applyBorder="1" applyAlignment="1">
      <alignment horizontal="center"/>
    </xf>
    <xf numFmtId="0" fontId="1" fillId="10" borderId="32" xfId="0" applyFont="1" applyFill="1" applyBorder="1" applyAlignment="1">
      <alignment horizontal="center"/>
    </xf>
    <xf numFmtId="0" fontId="1" fillId="10" borderId="2"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0" borderId="0" xfId="0" applyFont="1" applyAlignment="1">
      <alignment horizontal="center"/>
    </xf>
    <xf numFmtId="0" fontId="23" fillId="27" borderId="0" xfId="0" applyFont="1" applyFill="1" applyAlignment="1">
      <alignment horizontal="center"/>
    </xf>
    <xf numFmtId="0" fontId="2"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2" fillId="0" borderId="7" xfId="0" applyFont="1" applyBorder="1" applyAlignment="1">
      <alignment horizontal="center"/>
    </xf>
    <xf numFmtId="0" fontId="2" fillId="0" borderId="0" xfId="0" applyFont="1" applyAlignment="1">
      <alignment vertical="center" wrapText="1"/>
    </xf>
    <xf numFmtId="0" fontId="2" fillId="0" borderId="0" xfId="0" applyFont="1" applyAlignment="1">
      <alignment vertical="center"/>
    </xf>
    <xf numFmtId="0" fontId="2" fillId="9" borderId="0" xfId="0" applyFont="1" applyFill="1" applyAlignment="1">
      <alignment horizontal="left" vertical="top" wrapText="1"/>
    </xf>
    <xf numFmtId="1" fontId="53" fillId="0" borderId="53" xfId="0" applyNumberFormat="1" applyFont="1" applyBorder="1" applyAlignment="1">
      <alignment horizontal="center" vertical="top"/>
    </xf>
    <xf numFmtId="1" fontId="53" fillId="0" borderId="0" xfId="0" applyNumberFormat="1" applyFont="1" applyAlignment="1">
      <alignment horizontal="center" vertical="top"/>
    </xf>
    <xf numFmtId="1" fontId="53" fillId="0" borderId="42" xfId="0" applyNumberFormat="1" applyFont="1" applyBorder="1" applyAlignment="1">
      <alignment horizontal="center" vertical="top"/>
    </xf>
    <xf numFmtId="1" fontId="53" fillId="0" borderId="38" xfId="0" applyNumberFormat="1" applyFont="1" applyBorder="1" applyAlignment="1">
      <alignment horizontal="center" vertical="top"/>
    </xf>
    <xf numFmtId="1" fontId="53" fillId="0" borderId="43" xfId="0" applyNumberFormat="1" applyFont="1" applyBorder="1" applyAlignment="1">
      <alignment horizontal="center" vertical="top"/>
    </xf>
    <xf numFmtId="0" fontId="12" fillId="36" borderId="0" xfId="0" applyFont="1" applyFill="1" applyAlignment="1">
      <alignment horizontal="center"/>
    </xf>
    <xf numFmtId="0" fontId="7" fillId="0" borderId="0" xfId="0" applyFont="1" applyAlignment="1">
      <alignment horizontal="center" wrapText="1"/>
    </xf>
    <xf numFmtId="0" fontId="7" fillId="41" borderId="0" xfId="0" applyFont="1" applyFill="1" applyAlignment="1">
      <alignment wrapText="1"/>
    </xf>
    <xf numFmtId="0" fontId="1" fillId="0" borderId="0" xfId="0" applyFont="1" applyAlignment="1">
      <alignment wrapText="1"/>
    </xf>
    <xf numFmtId="0" fontId="7" fillId="43" borderId="0" xfId="0" applyFont="1" applyFill="1" applyAlignment="1">
      <alignment horizontal="center" wrapText="1"/>
    </xf>
    <xf numFmtId="0" fontId="1" fillId="9" borderId="0" xfId="0" applyFont="1" applyFill="1" applyAlignment="1">
      <alignment horizontal="center" wrapText="1"/>
    </xf>
    <xf numFmtId="0" fontId="7" fillId="42" borderId="0" xfId="0" applyFont="1" applyFill="1" applyAlignment="1">
      <alignment horizontal="center" wrapText="1"/>
    </xf>
    <xf numFmtId="0" fontId="7" fillId="44"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95250</xdr:colOff>
      <xdr:row>0</xdr:row>
      <xdr:rowOff>114300</xdr:rowOff>
    </xdr:from>
    <xdr:to>
      <xdr:col>15</xdr:col>
      <xdr:colOff>647700</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95250</xdr:colOff>
      <xdr:row>2</xdr:row>
      <xdr:rowOff>114300</xdr:rowOff>
    </xdr:from>
    <xdr:to>
      <xdr:col>15</xdr:col>
      <xdr:colOff>647700</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203927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79400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34380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251735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385937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71612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462366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205055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281255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356374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157028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443174</xdr:rowOff>
    </xdr:from>
    <xdr:to>
      <xdr:col>5</xdr:col>
      <xdr:colOff>609600</xdr:colOff>
      <xdr:row>49</xdr:row>
      <xdr:rowOff>365970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90420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119273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251806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222689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51568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186772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24366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195262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177006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61913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195263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76200</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152400</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152400</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50</xdr:row>
      <xdr:rowOff>76200</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285750</xdr:rowOff>
    </xdr:from>
    <xdr:to>
      <xdr:col>5</xdr:col>
      <xdr:colOff>609600</xdr:colOff>
      <xdr:row>53</xdr:row>
      <xdr:rowOff>152400</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0</xdr:rowOff>
    </xdr:from>
    <xdr:to>
      <xdr:col>5</xdr:col>
      <xdr:colOff>609600</xdr:colOff>
      <xdr:row>55</xdr:row>
      <xdr:rowOff>19050</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38100</xdr:rowOff>
    </xdr:from>
    <xdr:to>
      <xdr:col>5</xdr:col>
      <xdr:colOff>609600</xdr:colOff>
      <xdr:row>58</xdr:row>
      <xdr:rowOff>171450</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171450</xdr:rowOff>
    </xdr:from>
    <xdr:to>
      <xdr:col>5</xdr:col>
      <xdr:colOff>609600</xdr:colOff>
      <xdr:row>62</xdr:row>
      <xdr:rowOff>171450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38100</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76200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120</xdr:row>
      <xdr:rowOff>76200</xdr:rowOff>
    </xdr:from>
    <xdr:to>
      <xdr:col>22</xdr:col>
      <xdr:colOff>647700</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14</xdr:row>
      <xdr:rowOff>95250</xdr:rowOff>
    </xdr:from>
    <xdr:to>
      <xdr:col>24</xdr:col>
      <xdr:colOff>57150</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23</xdr:row>
      <xdr:rowOff>95250</xdr:rowOff>
    </xdr:from>
    <xdr:to>
      <xdr:col>24</xdr:col>
      <xdr:colOff>57150</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133350</xdr:colOff>
      <xdr:row>124</xdr:row>
      <xdr:rowOff>95250</xdr:rowOff>
    </xdr:from>
    <xdr:to>
      <xdr:col>24</xdr:col>
      <xdr:colOff>57150</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52</xdr:row>
      <xdr:rowOff>114300</xdr:rowOff>
    </xdr:from>
    <xdr:to>
      <xdr:col>3</xdr:col>
      <xdr:colOff>495300</xdr:colOff>
      <xdr:row>55</xdr:row>
      <xdr:rowOff>19050</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285750</xdr:rowOff>
    </xdr:from>
    <xdr:to>
      <xdr:col>3</xdr:col>
      <xdr:colOff>495300</xdr:colOff>
      <xdr:row>56</xdr:row>
      <xdr:rowOff>38100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54</xdr:row>
      <xdr:rowOff>266700</xdr:rowOff>
    </xdr:from>
    <xdr:to>
      <xdr:col>3</xdr:col>
      <xdr:colOff>495300</xdr:colOff>
      <xdr:row>57</xdr:row>
      <xdr:rowOff>38100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266700</xdr:rowOff>
    </xdr:from>
    <xdr:to>
      <xdr:col>3</xdr:col>
      <xdr:colOff>495300</xdr:colOff>
      <xdr:row>58</xdr:row>
      <xdr:rowOff>38100</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56</xdr:row>
      <xdr:rowOff>266700</xdr:rowOff>
    </xdr:from>
    <xdr:to>
      <xdr:col>3</xdr:col>
      <xdr:colOff>495300</xdr:colOff>
      <xdr:row>59</xdr:row>
      <xdr:rowOff>38100</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266700</xdr:rowOff>
    </xdr:from>
    <xdr:to>
      <xdr:col>3</xdr:col>
      <xdr:colOff>495300</xdr:colOff>
      <xdr:row>61</xdr:row>
      <xdr:rowOff>0</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19050</xdr:rowOff>
    </xdr:from>
    <xdr:to>
      <xdr:col>20</xdr:col>
      <xdr:colOff>381000</xdr:colOff>
      <xdr:row>120</xdr:row>
      <xdr:rowOff>76200</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19050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19050</xdr:rowOff>
    </xdr:from>
    <xdr:to>
      <xdr:col>4</xdr:col>
      <xdr:colOff>114300</xdr:colOff>
      <xdr:row>114</xdr:row>
      <xdr:rowOff>76200</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304800</xdr:colOff>
      <xdr:row>24</xdr:row>
      <xdr:rowOff>190500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38100</xdr:rowOff>
    </xdr:from>
    <xdr:to>
      <xdr:col>23</xdr:col>
      <xdr:colOff>190500</xdr:colOff>
      <xdr:row>40</xdr:row>
      <xdr:rowOff>76200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95250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95250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114300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152400</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6.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52" t="s">
        <v>0</v>
      </c>
      <c r="C10" s="1253"/>
      <c r="D10" s="1253"/>
      <c r="E10" s="1253"/>
      <c r="F10" s="1253"/>
      <c r="G10" s="1253"/>
      <c r="H10" s="1253"/>
      <c r="I10" s="1253"/>
      <c r="J10" s="1253"/>
      <c r="K10" s="1253"/>
      <c r="L10" s="1253"/>
      <c r="M10" s="1253"/>
      <c r="N10" s="1253"/>
      <c r="O10" s="1253"/>
      <c r="P10" s="1253"/>
      <c r="Q10" s="1254"/>
    </row>
    <row r="11" spans="2:17" x14ac:dyDescent="0.35">
      <c r="B11" s="1255"/>
      <c r="C11" s="1256"/>
      <c r="D11" s="1256"/>
      <c r="E11" s="1256"/>
      <c r="F11" s="1256"/>
      <c r="G11" s="1256"/>
      <c r="H11" s="1256"/>
      <c r="I11" s="1256"/>
      <c r="J11" s="1256"/>
      <c r="K11" s="1256"/>
      <c r="L11" s="1256"/>
      <c r="M11" s="1256"/>
      <c r="N11" s="1256"/>
      <c r="O11" s="1256"/>
      <c r="P11" s="1256"/>
      <c r="Q11" s="1257"/>
    </row>
    <row r="12" spans="2:17" x14ac:dyDescent="0.35">
      <c r="B12" s="8" t="s">
        <v>1</v>
      </c>
      <c r="C12" s="5"/>
      <c r="D12" s="5"/>
      <c r="E12" s="5"/>
      <c r="F12" s="5"/>
      <c r="G12" s="5"/>
      <c r="H12" s="5"/>
      <c r="I12" s="5"/>
      <c r="J12" s="5"/>
      <c r="K12" s="5"/>
      <c r="L12" s="5"/>
      <c r="M12" s="5"/>
      <c r="N12" s="5"/>
      <c r="O12" s="5"/>
      <c r="P12" s="5"/>
      <c r="Q12" s="3"/>
    </row>
    <row r="13" spans="2:17" x14ac:dyDescent="0.35">
      <c r="B13" s="7" t="s">
        <v>2</v>
      </c>
      <c r="C13" s="1258" t="s">
        <v>3</v>
      </c>
      <c r="D13" s="1258"/>
      <c r="E13" s="1258"/>
      <c r="F13" s="1258"/>
      <c r="G13" s="1258"/>
      <c r="H13" s="1258"/>
      <c r="I13" s="1258"/>
      <c r="J13" s="1258"/>
      <c r="K13" s="1258"/>
      <c r="L13" s="1258"/>
      <c r="M13" s="1258"/>
      <c r="N13" s="1258"/>
      <c r="O13" s="1258"/>
      <c r="P13" s="1258"/>
      <c r="Q13" s="1259"/>
    </row>
    <row r="14" spans="2:17" x14ac:dyDescent="0.35">
      <c r="B14" s="7" t="s">
        <v>4</v>
      </c>
      <c r="C14" s="4" t="s">
        <v>5</v>
      </c>
      <c r="D14" s="4"/>
      <c r="E14" s="4"/>
      <c r="F14" s="4"/>
      <c r="G14" s="4"/>
      <c r="H14" s="4"/>
      <c r="I14" s="4"/>
      <c r="J14" s="4"/>
      <c r="K14" s="4"/>
      <c r="L14" s="4"/>
      <c r="M14" s="4"/>
      <c r="N14" s="4"/>
      <c r="O14" s="4"/>
      <c r="P14" s="4"/>
      <c r="Q14" s="10"/>
    </row>
    <row r="15" spans="2:17" x14ac:dyDescent="0.35">
      <c r="B15" s="7" t="s">
        <v>6</v>
      </c>
      <c r="C15" s="4" t="s">
        <v>7</v>
      </c>
      <c r="D15" s="4"/>
      <c r="E15" s="4"/>
      <c r="F15" s="4"/>
      <c r="G15" s="4"/>
      <c r="H15" s="4"/>
      <c r="I15" s="4"/>
      <c r="J15" s="4"/>
      <c r="K15" s="4"/>
      <c r="L15" s="4"/>
      <c r="M15" s="4"/>
      <c r="N15" s="4"/>
      <c r="O15" s="4"/>
      <c r="P15" s="4"/>
      <c r="Q15" s="10"/>
    </row>
    <row r="16" spans="2:17" x14ac:dyDescent="0.35">
      <c r="B16" s="7" t="s">
        <v>8</v>
      </c>
      <c r="C16" s="4" t="s">
        <v>835</v>
      </c>
      <c r="D16" s="4"/>
      <c r="E16" s="4"/>
      <c r="F16" s="4"/>
      <c r="G16" s="4"/>
      <c r="H16" s="4"/>
      <c r="I16" s="4"/>
      <c r="J16" s="4"/>
      <c r="K16" s="4"/>
      <c r="L16" s="4"/>
      <c r="M16" s="4"/>
      <c r="N16" s="4"/>
      <c r="O16" s="4"/>
      <c r="P16" s="4"/>
      <c r="Q16" s="10"/>
    </row>
    <row r="17" spans="2:17" x14ac:dyDescent="0.35">
      <c r="B17" s="7" t="s">
        <v>9</v>
      </c>
      <c r="C17" s="4" t="s">
        <v>10</v>
      </c>
      <c r="D17" s="4"/>
      <c r="E17" s="4"/>
      <c r="F17" s="4"/>
      <c r="G17" s="4"/>
      <c r="H17" s="4"/>
      <c r="I17" s="4"/>
      <c r="J17" s="4"/>
      <c r="K17" s="4"/>
      <c r="L17" s="4"/>
      <c r="M17" s="4"/>
      <c r="N17" s="4"/>
      <c r="O17" s="4"/>
      <c r="P17" s="4"/>
      <c r="Q17" s="10"/>
    </row>
    <row r="18" spans="2:17" x14ac:dyDescent="0.35">
      <c r="B18" s="7" t="s">
        <v>836</v>
      </c>
      <c r="C18" s="4" t="s">
        <v>11</v>
      </c>
      <c r="D18" s="4"/>
      <c r="E18" s="4"/>
      <c r="F18" s="4"/>
      <c r="G18" s="4"/>
      <c r="H18" s="4"/>
      <c r="I18" s="4"/>
      <c r="J18" s="4"/>
      <c r="K18" s="4"/>
      <c r="L18" s="4"/>
      <c r="M18" s="4"/>
      <c r="N18" s="4"/>
      <c r="O18" s="4"/>
      <c r="P18" s="4"/>
      <c r="Q18" s="10"/>
    </row>
    <row r="19" spans="2:17" x14ac:dyDescent="0.35">
      <c r="B19" s="7" t="s">
        <v>12</v>
      </c>
      <c r="C19" s="4" t="s">
        <v>837</v>
      </c>
      <c r="D19" s="4"/>
      <c r="E19" s="4"/>
      <c r="F19" s="4"/>
      <c r="G19" s="4"/>
      <c r="H19" s="4"/>
      <c r="I19" s="4"/>
      <c r="J19" s="4"/>
      <c r="K19" s="4"/>
      <c r="L19" s="4"/>
      <c r="M19" s="4"/>
      <c r="N19" s="4"/>
      <c r="O19" s="4"/>
      <c r="P19" s="4"/>
      <c r="Q19" s="10"/>
    </row>
    <row r="20" spans="2:17" ht="30.75" customHeight="1" x14ac:dyDescent="0.35">
      <c r="B20" s="7" t="s">
        <v>13</v>
      </c>
      <c r="C20" s="1250" t="s">
        <v>14</v>
      </c>
      <c r="D20" s="1250"/>
      <c r="E20" s="1250"/>
      <c r="F20" s="1250"/>
      <c r="G20" s="1250"/>
      <c r="H20" s="1250"/>
      <c r="I20" s="1250"/>
      <c r="J20" s="1250"/>
      <c r="K20" s="1250"/>
      <c r="L20" s="1250"/>
      <c r="M20" s="1250"/>
      <c r="N20" s="1250"/>
      <c r="O20" s="1250"/>
      <c r="P20" s="1250"/>
      <c r="Q20" s="1251"/>
    </row>
    <row r="21" spans="2:17" x14ac:dyDescent="0.35">
      <c r="B21" s="7" t="s">
        <v>15</v>
      </c>
      <c r="C21" s="4" t="s">
        <v>16</v>
      </c>
      <c r="D21" s="4"/>
      <c r="E21" s="4"/>
      <c r="F21" s="4"/>
      <c r="G21" s="4"/>
      <c r="H21" s="4"/>
      <c r="I21" s="4"/>
      <c r="J21" s="4"/>
      <c r="K21" s="4"/>
      <c r="L21" s="4"/>
      <c r="M21" s="4"/>
      <c r="N21" s="4"/>
      <c r="O21" s="4"/>
      <c r="P21" s="4"/>
      <c r="Q21" s="10"/>
    </row>
    <row r="22" spans="2:17" ht="32.25" customHeight="1" x14ac:dyDescent="0.35">
      <c r="B22" s="1" t="s">
        <v>839</v>
      </c>
      <c r="C22" s="1250" t="s">
        <v>838</v>
      </c>
      <c r="D22" s="1250"/>
      <c r="E22" s="1250"/>
      <c r="F22" s="1250"/>
      <c r="G22" s="1250"/>
      <c r="H22" s="1250"/>
      <c r="I22" s="1250"/>
      <c r="J22" s="1250"/>
      <c r="K22" s="1250"/>
      <c r="L22" s="1250"/>
      <c r="M22" s="1250"/>
      <c r="N22" s="1250"/>
      <c r="O22" s="1250"/>
      <c r="P22" s="1250"/>
      <c r="Q22" s="1251"/>
    </row>
    <row r="23" spans="2:17" ht="31.4" customHeight="1" x14ac:dyDescent="0.35">
      <c r="B23" s="7" t="s">
        <v>17</v>
      </c>
      <c r="C23" s="1250" t="s">
        <v>840</v>
      </c>
      <c r="D23" s="1250"/>
      <c r="E23" s="1250"/>
      <c r="F23" s="1250"/>
      <c r="G23" s="1250"/>
      <c r="H23" s="1250"/>
      <c r="I23" s="1250"/>
      <c r="J23" s="1250"/>
      <c r="K23" s="1250"/>
      <c r="L23" s="1250"/>
      <c r="M23" s="1250"/>
      <c r="N23" s="1250"/>
      <c r="O23" s="1250"/>
      <c r="P23" s="1250"/>
      <c r="Q23" s="1251"/>
    </row>
    <row r="24" spans="2:17" x14ac:dyDescent="0.35">
      <c r="B24" s="7" t="s">
        <v>18</v>
      </c>
      <c r="C24" s="4" t="s">
        <v>19</v>
      </c>
      <c r="D24" s="4"/>
      <c r="E24" s="4"/>
      <c r="F24" s="4"/>
      <c r="G24" s="4"/>
      <c r="H24" s="4"/>
      <c r="I24" s="4"/>
      <c r="J24" s="4"/>
      <c r="K24" s="4"/>
      <c r="L24" s="4"/>
      <c r="M24" s="4"/>
      <c r="N24" s="4"/>
      <c r="O24" s="4"/>
      <c r="P24" s="4"/>
      <c r="Q24" s="10"/>
    </row>
    <row r="25" spans="2:17" x14ac:dyDescent="0.35">
      <c r="B25" s="7" t="s">
        <v>20</v>
      </c>
      <c r="C25" s="4" t="s">
        <v>21</v>
      </c>
      <c r="D25" s="4"/>
      <c r="E25" s="4"/>
      <c r="F25" s="4"/>
      <c r="G25" s="4"/>
      <c r="H25" s="4"/>
      <c r="I25" s="4"/>
      <c r="J25" s="4"/>
      <c r="K25" s="4"/>
      <c r="L25" s="4"/>
      <c r="M25" s="4"/>
      <c r="N25" s="4"/>
      <c r="O25" s="4"/>
      <c r="P25" s="4"/>
      <c r="Q25" s="10"/>
    </row>
    <row r="26" spans="2:17" x14ac:dyDescent="0.35">
      <c r="B26" s="7" t="s">
        <v>22</v>
      </c>
      <c r="C26" s="4" t="s">
        <v>23</v>
      </c>
      <c r="D26" s="4"/>
      <c r="E26" s="4"/>
      <c r="F26" s="4"/>
      <c r="G26" s="4"/>
      <c r="H26" s="4"/>
      <c r="I26" s="4"/>
      <c r="J26" s="4"/>
      <c r="K26" s="4"/>
      <c r="L26" s="4"/>
      <c r="M26" s="4"/>
      <c r="N26" s="4"/>
      <c r="O26" s="4"/>
      <c r="P26" s="4"/>
      <c r="Q26" s="10"/>
    </row>
    <row r="27" spans="2:17" x14ac:dyDescent="0.35">
      <c r="B27" s="7" t="s">
        <v>24</v>
      </c>
      <c r="C27" s="4" t="s">
        <v>841</v>
      </c>
      <c r="D27" s="4"/>
      <c r="E27" s="4"/>
      <c r="F27" s="4"/>
      <c r="G27" s="4"/>
      <c r="H27" s="4"/>
      <c r="I27" s="4"/>
      <c r="J27" s="4"/>
      <c r="K27" s="4"/>
      <c r="L27" s="4"/>
      <c r="M27" s="4"/>
      <c r="N27" s="4"/>
      <c r="O27" s="4"/>
      <c r="P27" s="4"/>
      <c r="Q27" s="10"/>
    </row>
    <row r="28" spans="2:17" x14ac:dyDescent="0.35">
      <c r="B28" s="7" t="s">
        <v>25</v>
      </c>
      <c r="C28" s="4" t="s">
        <v>842</v>
      </c>
      <c r="D28" s="4"/>
      <c r="E28" s="4"/>
      <c r="F28" s="4"/>
      <c r="G28" s="4"/>
      <c r="H28" s="4"/>
      <c r="I28" s="4"/>
      <c r="J28" s="4"/>
      <c r="K28" s="4"/>
      <c r="L28" s="4"/>
      <c r="M28" s="4"/>
      <c r="N28" s="4"/>
      <c r="O28" s="4"/>
      <c r="P28" s="4"/>
      <c r="Q28" s="10"/>
    </row>
    <row r="29" spans="2:17" x14ac:dyDescent="0.35">
      <c r="B29" s="7" t="s">
        <v>26</v>
      </c>
      <c r="C29" s="4" t="s">
        <v>27</v>
      </c>
      <c r="D29" s="4"/>
      <c r="E29" s="4"/>
      <c r="F29" s="4"/>
      <c r="G29" s="4"/>
      <c r="H29" s="4"/>
      <c r="I29" s="4"/>
      <c r="J29" s="4"/>
      <c r="K29" s="4"/>
      <c r="L29" s="4"/>
      <c r="M29" s="4"/>
      <c r="N29" s="4"/>
      <c r="O29" s="4"/>
      <c r="P29" s="4"/>
      <c r="Q29" s="10"/>
    </row>
    <row r="30" spans="2:17" x14ac:dyDescent="0.35">
      <c r="B30" s="7"/>
      <c r="C30" s="4"/>
      <c r="D30" s="4"/>
      <c r="E30" s="4"/>
      <c r="F30" s="4"/>
      <c r="G30" s="4"/>
      <c r="H30" s="4"/>
      <c r="I30" s="4"/>
      <c r="J30" s="4"/>
      <c r="K30" s="4"/>
      <c r="L30" s="4"/>
      <c r="M30" s="4"/>
      <c r="N30" s="4"/>
      <c r="O30" s="4"/>
      <c r="P30" s="4"/>
      <c r="Q30" s="10"/>
    </row>
    <row r="31" spans="2:17" x14ac:dyDescent="0.35">
      <c r="B31" s="9" t="s">
        <v>28</v>
      </c>
      <c r="C31" s="4"/>
      <c r="D31" s="4"/>
      <c r="E31" s="4"/>
      <c r="F31" s="4"/>
      <c r="G31" s="4"/>
      <c r="H31" s="4"/>
      <c r="I31" s="4"/>
      <c r="J31" s="4"/>
      <c r="K31" s="4"/>
      <c r="L31" s="4"/>
      <c r="M31" s="4"/>
      <c r="N31" s="4"/>
      <c r="O31" s="4"/>
      <c r="P31" s="4"/>
      <c r="Q31" s="10"/>
    </row>
    <row r="32" spans="2:17" x14ac:dyDescent="0.35">
      <c r="B32" s="7" t="s">
        <v>29</v>
      </c>
      <c r="C32" s="4"/>
      <c r="D32" s="4"/>
      <c r="E32" s="4"/>
      <c r="F32" s="4"/>
      <c r="G32" s="4"/>
      <c r="H32" s="4"/>
      <c r="I32" s="4"/>
      <c r="J32" s="4"/>
      <c r="K32" s="4"/>
      <c r="L32" s="4"/>
      <c r="M32" s="4"/>
      <c r="N32" s="4"/>
      <c r="O32" s="4"/>
      <c r="P32" s="4"/>
      <c r="Q32" s="10"/>
    </row>
    <row r="33" spans="2:17" ht="30.75" customHeight="1" x14ac:dyDescent="0.35">
      <c r="B33" s="1249" t="s">
        <v>843</v>
      </c>
      <c r="C33" s="1250"/>
      <c r="D33" s="1250"/>
      <c r="E33" s="1250"/>
      <c r="F33" s="1250"/>
      <c r="G33" s="1250"/>
      <c r="H33" s="1250"/>
      <c r="I33" s="1250"/>
      <c r="J33" s="1250"/>
      <c r="K33" s="1250"/>
      <c r="L33" s="1250"/>
      <c r="M33" s="1250"/>
      <c r="N33" s="1250"/>
      <c r="O33" s="1250"/>
      <c r="P33" s="1250"/>
      <c r="Q33" s="1251"/>
    </row>
    <row r="34" spans="2:17" x14ac:dyDescent="0.35">
      <c r="B34" s="13" t="s">
        <v>30</v>
      </c>
      <c r="C34" s="4"/>
      <c r="D34" s="4"/>
      <c r="E34" s="4"/>
      <c r="F34" s="4"/>
      <c r="G34" s="4"/>
      <c r="H34" s="4"/>
      <c r="I34" s="4"/>
      <c r="J34" s="4"/>
      <c r="K34" s="4"/>
      <c r="L34" s="4"/>
      <c r="M34" s="4"/>
      <c r="N34" s="4"/>
      <c r="O34" s="4"/>
      <c r="P34" s="4"/>
      <c r="Q34" s="10"/>
    </row>
    <row r="35" spans="2:17" x14ac:dyDescent="0.35">
      <c r="B35" s="7" t="s">
        <v>31</v>
      </c>
      <c r="C35" s="4"/>
      <c r="D35" s="4"/>
      <c r="E35" s="4"/>
      <c r="F35" s="4"/>
      <c r="G35" s="4"/>
      <c r="H35" s="4"/>
      <c r="I35" s="4"/>
      <c r="J35" s="4"/>
      <c r="K35" s="4"/>
      <c r="L35" s="4"/>
      <c r="M35" s="4"/>
      <c r="N35" s="4"/>
      <c r="O35" s="4"/>
      <c r="P35" s="4"/>
      <c r="Q35" s="10"/>
    </row>
    <row r="36" spans="2:17" x14ac:dyDescent="0.35">
      <c r="B36" s="6" t="s">
        <v>32</v>
      </c>
      <c r="C36" s="11"/>
      <c r="D36" s="11"/>
      <c r="E36" s="11"/>
      <c r="F36" s="11"/>
      <c r="G36" s="11"/>
      <c r="H36" s="11"/>
      <c r="I36" s="11"/>
      <c r="J36" s="11"/>
      <c r="K36" s="11"/>
      <c r="L36" s="11"/>
      <c r="M36" s="11"/>
      <c r="N36" s="11"/>
      <c r="O36" s="11"/>
      <c r="P36" s="11"/>
      <c r="Q36" s="12"/>
    </row>
    <row r="39" spans="2:17" x14ac:dyDescent="0.35">
      <c r="B39" s="2"/>
      <c r="C39" s="2"/>
      <c r="D39" s="2"/>
      <c r="E39" s="2"/>
      <c r="F39" s="2"/>
      <c r="G39" s="2"/>
      <c r="H39" s="2"/>
      <c r="I39" s="2"/>
      <c r="J39" s="2"/>
      <c r="K39" s="2"/>
      <c r="L39" s="2"/>
      <c r="M39" s="2"/>
      <c r="N39" s="2"/>
      <c r="O39" s="2"/>
      <c r="P39" s="2"/>
      <c r="Q39" s="2"/>
    </row>
    <row r="40" spans="2:17" x14ac:dyDescent="0.35">
      <c r="B40" s="2"/>
      <c r="C40" s="2"/>
      <c r="D40" s="2"/>
      <c r="E40" s="2"/>
      <c r="F40" s="2"/>
      <c r="G40" s="2"/>
      <c r="H40" s="2"/>
      <c r="I40" s="2"/>
      <c r="J40" s="2"/>
      <c r="K40" s="2"/>
      <c r="L40" s="2"/>
      <c r="M40" s="2"/>
      <c r="N40" s="2"/>
      <c r="O40" s="2"/>
      <c r="P40" s="2"/>
      <c r="Q40" s="2"/>
    </row>
    <row r="41" spans="2:17" x14ac:dyDescent="0.35">
      <c r="B41" s="2"/>
      <c r="C41" s="2"/>
      <c r="D41" s="2"/>
      <c r="E41" s="2"/>
      <c r="F41" s="2"/>
      <c r="G41" s="2"/>
      <c r="H41" s="2"/>
      <c r="I41" s="2"/>
      <c r="J41" s="2"/>
      <c r="K41" s="2"/>
      <c r="L41" s="2"/>
      <c r="M41" s="2"/>
      <c r="N41" s="2"/>
      <c r="O41" s="2"/>
      <c r="P41" s="2"/>
      <c r="Q41" s="2"/>
    </row>
    <row r="42" spans="2:17" x14ac:dyDescent="0.35">
      <c r="B42" s="2"/>
      <c r="C42" s="2"/>
      <c r="D42" s="2"/>
      <c r="E42" s="2"/>
      <c r="F42" s="2"/>
      <c r="G42" s="2"/>
      <c r="H42" s="2"/>
      <c r="I42" s="2"/>
      <c r="J42" s="2"/>
      <c r="K42" s="2"/>
      <c r="L42" s="2"/>
      <c r="M42" s="2"/>
      <c r="N42" s="2"/>
      <c r="O42" s="2"/>
      <c r="P42" s="2"/>
      <c r="Q42" s="2"/>
    </row>
    <row r="43" spans="2:17" x14ac:dyDescent="0.35">
      <c r="B43" s="2"/>
      <c r="C43" s="2"/>
      <c r="D43" s="2"/>
      <c r="E43" s="2"/>
      <c r="F43" s="2"/>
      <c r="G43" s="2"/>
      <c r="H43" s="2"/>
      <c r="I43" s="2"/>
      <c r="J43" s="2"/>
      <c r="K43" s="2"/>
      <c r="L43" s="2"/>
      <c r="M43" s="2"/>
      <c r="N43" s="2"/>
      <c r="O43" s="2"/>
      <c r="P43" s="2"/>
      <c r="Q43" s="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00" t="s">
        <v>1744</v>
      </c>
      <c r="B1" s="1301"/>
      <c r="C1" s="1301"/>
      <c r="D1" s="1301"/>
      <c r="E1" s="1301"/>
      <c r="F1" s="1301"/>
      <c r="G1" s="1301"/>
      <c r="H1" s="1301"/>
      <c r="I1" s="1301"/>
      <c r="J1" s="1301"/>
      <c r="K1" s="1301"/>
      <c r="L1" s="1301"/>
      <c r="M1" s="1301"/>
      <c r="N1" s="1301"/>
      <c r="O1" s="1301"/>
      <c r="P1" s="1301"/>
      <c r="Q1" s="1301"/>
      <c r="R1" s="1301"/>
      <c r="S1" s="1301"/>
      <c r="T1" s="1301"/>
      <c r="U1" s="1301"/>
      <c r="V1" s="1301"/>
      <c r="W1" s="1301"/>
      <c r="X1" s="1301"/>
      <c r="Y1" s="1301"/>
      <c r="Z1" s="1301"/>
    </row>
    <row r="2" spans="1:32" ht="17.149999999999999" customHeight="1" x14ac:dyDescent="0.4">
      <c r="A2" s="1302" t="s">
        <v>1745</v>
      </c>
      <c r="B2" s="1301"/>
      <c r="C2" s="1301"/>
      <c r="D2" s="1301"/>
      <c r="E2" s="1301"/>
      <c r="F2" s="1301"/>
      <c r="G2" s="1301"/>
      <c r="H2" s="1301"/>
      <c r="I2" s="1301"/>
      <c r="J2" s="1301"/>
      <c r="K2" s="1301"/>
      <c r="L2" s="1301"/>
      <c r="M2" s="1301"/>
      <c r="N2" s="1301"/>
      <c r="O2" s="1301"/>
      <c r="P2" s="1301"/>
      <c r="Q2" s="1301"/>
      <c r="R2" s="1301"/>
      <c r="S2" s="1301"/>
      <c r="T2" s="1301"/>
      <c r="U2" s="1301"/>
      <c r="V2" s="1301"/>
      <c r="W2" s="1301"/>
      <c r="X2" s="1301"/>
      <c r="Y2" s="1301"/>
      <c r="Z2" s="1301"/>
    </row>
    <row r="3" spans="1:32" x14ac:dyDescent="0.35">
      <c r="A3" s="1301" t="s">
        <v>1746</v>
      </c>
      <c r="B3" s="1301"/>
      <c r="C3" s="1301"/>
      <c r="D3" s="1301"/>
      <c r="E3" s="1301"/>
      <c r="F3" s="1301"/>
      <c r="G3" s="1301"/>
      <c r="H3" s="1301"/>
      <c r="I3" s="1301"/>
      <c r="J3" s="1301"/>
      <c r="K3" s="1301"/>
      <c r="L3" s="1301"/>
      <c r="M3" s="1301"/>
      <c r="N3" s="1301"/>
      <c r="O3" s="1301"/>
      <c r="P3" s="1301"/>
      <c r="Q3" s="1301"/>
      <c r="R3" s="1301"/>
      <c r="S3" s="1301"/>
      <c r="T3" s="1301"/>
      <c r="U3" s="1301"/>
      <c r="V3" s="1301"/>
      <c r="W3" s="1301"/>
      <c r="X3" s="1301"/>
      <c r="Y3" s="1301"/>
      <c r="Z3" s="1301"/>
    </row>
    <row r="4" spans="1:32" x14ac:dyDescent="0.35">
      <c r="A4" s="1301" t="s">
        <v>1800</v>
      </c>
      <c r="B4" s="1301"/>
      <c r="C4" s="1301"/>
      <c r="D4" s="1301"/>
      <c r="E4" s="1301"/>
      <c r="F4" s="1301"/>
      <c r="G4" s="1301"/>
      <c r="H4" s="1301"/>
      <c r="I4" s="1301"/>
      <c r="J4" s="1301"/>
      <c r="K4" s="1301"/>
      <c r="L4" s="1301"/>
      <c r="M4" s="1301"/>
      <c r="N4" s="1301"/>
      <c r="O4" s="1301"/>
      <c r="P4" s="1301"/>
      <c r="Q4" s="1301"/>
      <c r="R4" s="1301"/>
      <c r="S4" s="1301"/>
      <c r="T4" s="1301"/>
      <c r="U4" s="1301"/>
      <c r="V4" s="1301"/>
      <c r="W4" s="1301"/>
      <c r="X4" s="1301"/>
      <c r="Y4" s="1301"/>
      <c r="Z4" s="1301"/>
    </row>
    <row r="5" spans="1:32" x14ac:dyDescent="0.35">
      <c r="A5" s="137"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07" t="s">
        <v>819</v>
      </c>
      <c r="B6" s="1307" t="s">
        <v>1792</v>
      </c>
      <c r="C6" s="1308" t="s">
        <v>1801</v>
      </c>
      <c r="D6" s="1308"/>
      <c r="E6" s="1308"/>
      <c r="F6" s="1308"/>
      <c r="G6" s="1308"/>
      <c r="H6" s="1308"/>
      <c r="I6" s="1308"/>
      <c r="J6" s="1308"/>
      <c r="K6" s="1308"/>
      <c r="L6" s="1308"/>
      <c r="M6" s="1308"/>
      <c r="N6" s="1308"/>
      <c r="O6" s="1308" t="s">
        <v>1747</v>
      </c>
      <c r="P6" s="1308"/>
      <c r="Q6" s="1308"/>
      <c r="R6" s="1308"/>
      <c r="S6" s="1308"/>
      <c r="T6" s="1308"/>
      <c r="U6" s="1308"/>
      <c r="V6" s="1308"/>
      <c r="W6" s="1308"/>
      <c r="X6" s="1308"/>
      <c r="Y6" s="1308"/>
      <c r="Z6" s="1308"/>
      <c r="AA6" s="1307" t="s">
        <v>1879</v>
      </c>
      <c r="AB6" s="1307"/>
      <c r="AC6" s="1307"/>
      <c r="AD6" s="163" t="s">
        <v>1788</v>
      </c>
      <c r="AE6" s="164"/>
      <c r="AF6" s="165"/>
    </row>
    <row r="7" spans="1:32" x14ac:dyDescent="0.35">
      <c r="A7" s="1307"/>
      <c r="B7" s="1307"/>
      <c r="C7" s="145" t="s">
        <v>1748</v>
      </c>
      <c r="D7" s="145" t="s">
        <v>1749</v>
      </c>
      <c r="E7" s="145" t="s">
        <v>1750</v>
      </c>
      <c r="F7" s="145" t="s">
        <v>1751</v>
      </c>
      <c r="G7" s="145" t="s">
        <v>1752</v>
      </c>
      <c r="H7" s="145" t="s">
        <v>1753</v>
      </c>
      <c r="I7" s="145" t="s">
        <v>1754</v>
      </c>
      <c r="J7" s="145" t="s">
        <v>1755</v>
      </c>
      <c r="K7" s="145" t="s">
        <v>1756</v>
      </c>
      <c r="L7" s="145" t="s">
        <v>1757</v>
      </c>
      <c r="M7" s="145" t="s">
        <v>1758</v>
      </c>
      <c r="N7" s="145" t="s">
        <v>1759</v>
      </c>
      <c r="O7" s="145" t="s">
        <v>1748</v>
      </c>
      <c r="P7" s="145" t="s">
        <v>1749</v>
      </c>
      <c r="Q7" s="145" t="s">
        <v>1750</v>
      </c>
      <c r="R7" s="145" t="s">
        <v>1751</v>
      </c>
      <c r="S7" s="144" t="s">
        <v>1752</v>
      </c>
      <c r="T7" s="144" t="s">
        <v>1753</v>
      </c>
      <c r="U7" s="144" t="s">
        <v>1754</v>
      </c>
      <c r="V7" s="144" t="s">
        <v>1755</v>
      </c>
      <c r="W7" s="144" t="s">
        <v>1756</v>
      </c>
      <c r="X7" s="144" t="s">
        <v>1757</v>
      </c>
      <c r="Y7" s="144" t="s">
        <v>1758</v>
      </c>
      <c r="Z7" s="144" t="s">
        <v>1759</v>
      </c>
      <c r="AA7" s="144" t="s">
        <v>1748</v>
      </c>
      <c r="AB7" s="144" t="s">
        <v>1749</v>
      </c>
      <c r="AC7" s="144" t="s">
        <v>1750</v>
      </c>
      <c r="AD7" s="145" t="s">
        <v>1751</v>
      </c>
      <c r="AE7" s="145" t="s">
        <v>1752</v>
      </c>
      <c r="AF7" s="144" t="s">
        <v>1753</v>
      </c>
    </row>
    <row r="8" spans="1:32" x14ac:dyDescent="0.35">
      <c r="A8" s="138" t="s">
        <v>1760</v>
      </c>
      <c r="B8" s="75" t="s">
        <v>1761</v>
      </c>
      <c r="C8" s="75">
        <v>112.583</v>
      </c>
      <c r="D8" s="75">
        <v>112.961</v>
      </c>
      <c r="E8" s="75">
        <v>113.63200000000001</v>
      </c>
      <c r="F8" s="75">
        <v>114.238</v>
      </c>
      <c r="G8" s="75">
        <v>114.819</v>
      </c>
      <c r="H8" s="75">
        <v>115.458</v>
      </c>
      <c r="I8" s="75">
        <v>115.986</v>
      </c>
      <c r="J8" s="75">
        <v>116.444</v>
      </c>
      <c r="K8" s="75">
        <v>116.80800000000001</v>
      </c>
      <c r="L8" s="75">
        <v>117.479</v>
      </c>
      <c r="M8" s="75">
        <v>118.2</v>
      </c>
      <c r="N8" s="75">
        <v>118.84099999999999</v>
      </c>
      <c r="O8" s="75">
        <v>119.46899999999999</v>
      </c>
      <c r="P8" s="75">
        <v>120.178</v>
      </c>
      <c r="Q8" s="75">
        <v>121.321</v>
      </c>
      <c r="R8" s="75">
        <v>121.563</v>
      </c>
      <c r="S8" s="75">
        <v>122.3</v>
      </c>
      <c r="T8" s="75">
        <v>123.512</v>
      </c>
      <c r="U8" s="75">
        <v>123.39700000000001</v>
      </c>
      <c r="V8" s="75">
        <v>123.72799999999999</v>
      </c>
      <c r="W8" s="75">
        <v>124.154</v>
      </c>
      <c r="X8" s="75">
        <v>124.676</v>
      </c>
      <c r="Y8" s="75">
        <v>124.889</v>
      </c>
      <c r="Z8" s="75">
        <v>125.14100000000001</v>
      </c>
      <c r="AA8" s="75">
        <v>125.898</v>
      </c>
      <c r="AB8" s="75">
        <v>126.277</v>
      </c>
      <c r="AC8" s="75">
        <v>126.373</v>
      </c>
      <c r="AD8" s="47">
        <f>AC8*(1+AD30)^(1/12)</f>
        <v>126.60754039415305</v>
      </c>
      <c r="AE8" s="47">
        <f>AD8*(1+AE30)^(1/12)</f>
        <v>126.84251608062715</v>
      </c>
      <c r="AF8" s="47">
        <f>AE8*(1+AF30)^(1/12)</f>
        <v>127.07792786729767</v>
      </c>
    </row>
    <row r="9" spans="1:32" x14ac:dyDescent="0.35">
      <c r="A9" s="138" t="s">
        <v>1762</v>
      </c>
      <c r="B9" s="75" t="s">
        <v>1763</v>
      </c>
      <c r="C9" s="75">
        <v>95.314999999999998</v>
      </c>
      <c r="D9" s="75">
        <v>95.686999999999998</v>
      </c>
      <c r="E9" s="75">
        <v>96.406000000000006</v>
      </c>
      <c r="F9" s="75">
        <v>97.102000000000004</v>
      </c>
      <c r="G9" s="75">
        <v>97.861000000000004</v>
      </c>
      <c r="H9" s="75">
        <v>98.683999999999997</v>
      </c>
      <c r="I9" s="75">
        <v>99.159000000000006</v>
      </c>
      <c r="J9" s="75">
        <v>99.754999999999995</v>
      </c>
      <c r="K9" s="75">
        <v>100.149</v>
      </c>
      <c r="L9" s="75">
        <v>101.224</v>
      </c>
      <c r="M9" s="75">
        <v>101.938</v>
      </c>
      <c r="N9" s="75">
        <v>102.608</v>
      </c>
      <c r="O9" s="75">
        <v>103.54</v>
      </c>
      <c r="P9" s="75">
        <v>104.79</v>
      </c>
      <c r="Q9" s="75">
        <v>106.631</v>
      </c>
      <c r="R9" s="75">
        <v>106.443</v>
      </c>
      <c r="S9" s="75">
        <v>107.414</v>
      </c>
      <c r="T9" s="75">
        <v>109.154</v>
      </c>
      <c r="U9" s="75">
        <v>108.682</v>
      </c>
      <c r="V9" s="75">
        <v>108.316</v>
      </c>
      <c r="W9" s="75">
        <v>108.20699999999999</v>
      </c>
      <c r="X9" s="75">
        <v>108.621</v>
      </c>
      <c r="Y9" s="75">
        <v>108.361</v>
      </c>
      <c r="Z9" s="75">
        <v>107.81399999999999</v>
      </c>
      <c r="AA9" s="75">
        <v>108.435</v>
      </c>
      <c r="AB9" s="75">
        <v>108.596</v>
      </c>
      <c r="AC9" s="75">
        <v>108.35599999999999</v>
      </c>
      <c r="AD9" s="47"/>
      <c r="AE9" s="35"/>
      <c r="AF9" s="154"/>
    </row>
    <row r="10" spans="1:32" x14ac:dyDescent="0.35">
      <c r="A10" s="138" t="s">
        <v>1764</v>
      </c>
      <c r="B10" s="138" t="s">
        <v>1765</v>
      </c>
      <c r="C10" s="138">
        <v>86.924000000000007</v>
      </c>
      <c r="D10" s="138">
        <v>86.869</v>
      </c>
      <c r="E10" s="138">
        <v>87.171999999999997</v>
      </c>
      <c r="F10" s="138">
        <v>88.608000000000004</v>
      </c>
      <c r="G10" s="138">
        <v>90.114999999999995</v>
      </c>
      <c r="H10" s="138">
        <v>91.334999999999994</v>
      </c>
      <c r="I10" s="138">
        <v>91.619</v>
      </c>
      <c r="J10" s="138">
        <v>92.432000000000002</v>
      </c>
      <c r="K10" s="138">
        <v>92.543000000000006</v>
      </c>
      <c r="L10" s="138">
        <v>93.463999999999999</v>
      </c>
      <c r="M10" s="138">
        <v>93.86</v>
      </c>
      <c r="N10" s="138">
        <v>94.763000000000005</v>
      </c>
      <c r="O10" s="138">
        <v>95.872</v>
      </c>
      <c r="P10" s="138">
        <v>96.036000000000001</v>
      </c>
      <c r="Q10" s="138">
        <v>95.870999999999995</v>
      </c>
      <c r="R10" s="138">
        <v>96.034999999999997</v>
      </c>
      <c r="S10" s="138">
        <v>96.397999999999996</v>
      </c>
      <c r="T10" s="138">
        <v>97.09</v>
      </c>
      <c r="U10" s="138">
        <v>96.88</v>
      </c>
      <c r="V10" s="138">
        <v>97.346999999999994</v>
      </c>
      <c r="W10" s="138">
        <v>97.781999999999996</v>
      </c>
      <c r="X10" s="138">
        <v>97.399000000000001</v>
      </c>
      <c r="Y10" s="138">
        <v>96.847999999999999</v>
      </c>
      <c r="Z10" s="138">
        <v>96.632000000000005</v>
      </c>
      <c r="AA10" s="138">
        <v>96.88</v>
      </c>
      <c r="AB10" s="138">
        <v>96.704999999999998</v>
      </c>
      <c r="AC10" s="138">
        <v>96.626999999999995</v>
      </c>
      <c r="AD10" s="47"/>
      <c r="AE10" s="35"/>
      <c r="AF10" s="154"/>
    </row>
    <row r="11" spans="1:32" x14ac:dyDescent="0.35">
      <c r="A11" s="138" t="s">
        <v>1766</v>
      </c>
      <c r="B11" s="138" t="s">
        <v>1767</v>
      </c>
      <c r="C11" s="138">
        <v>99.802000000000007</v>
      </c>
      <c r="D11" s="138">
        <v>100.465</v>
      </c>
      <c r="E11" s="138">
        <v>101.476</v>
      </c>
      <c r="F11" s="138">
        <v>101.63200000000001</v>
      </c>
      <c r="G11" s="138">
        <v>101.855</v>
      </c>
      <c r="H11" s="138">
        <v>102.4</v>
      </c>
      <c r="I11" s="138">
        <v>103</v>
      </c>
      <c r="J11" s="138">
        <v>103.449</v>
      </c>
      <c r="K11" s="138">
        <v>104.024</v>
      </c>
      <c r="L11" s="138">
        <v>105.19</v>
      </c>
      <c r="M11" s="138">
        <v>106.107</v>
      </c>
      <c r="N11" s="138">
        <v>106.61</v>
      </c>
      <c r="O11" s="138">
        <v>107.404</v>
      </c>
      <c r="P11" s="138">
        <v>109.376</v>
      </c>
      <c r="Q11" s="138">
        <v>112.557</v>
      </c>
      <c r="R11" s="138">
        <v>112.134</v>
      </c>
      <c r="S11" s="138">
        <v>113.511</v>
      </c>
      <c r="T11" s="138">
        <v>115.94</v>
      </c>
      <c r="U11" s="138">
        <v>115.297</v>
      </c>
      <c r="V11" s="138">
        <v>114.367</v>
      </c>
      <c r="W11" s="138">
        <v>113.89</v>
      </c>
      <c r="X11" s="138">
        <v>114.84099999999999</v>
      </c>
      <c r="Y11" s="138">
        <v>114.78</v>
      </c>
      <c r="Z11" s="138">
        <v>114.017</v>
      </c>
      <c r="AA11" s="138">
        <v>114.884</v>
      </c>
      <c r="AB11" s="138">
        <v>115.27800000000001</v>
      </c>
      <c r="AC11" s="138">
        <v>114.929</v>
      </c>
      <c r="AD11" s="47"/>
      <c r="AE11" s="35"/>
      <c r="AF11" s="154"/>
    </row>
    <row r="12" spans="1:32" x14ac:dyDescent="0.35">
      <c r="A12" s="138" t="s">
        <v>1768</v>
      </c>
      <c r="B12" s="75" t="s">
        <v>1769</v>
      </c>
      <c r="C12" s="75">
        <v>121.786</v>
      </c>
      <c r="D12" s="75">
        <v>122.16500000000001</v>
      </c>
      <c r="E12" s="75">
        <v>122.792</v>
      </c>
      <c r="F12" s="75">
        <v>123.324</v>
      </c>
      <c r="G12" s="75">
        <v>123.773</v>
      </c>
      <c r="H12" s="75">
        <v>124.277</v>
      </c>
      <c r="I12" s="75">
        <v>124.831</v>
      </c>
      <c r="J12" s="75">
        <v>125.19199999999999</v>
      </c>
      <c r="K12" s="75">
        <v>125.53100000000001</v>
      </c>
      <c r="L12" s="75">
        <v>125.92700000000001</v>
      </c>
      <c r="M12" s="75">
        <v>126.64100000000001</v>
      </c>
      <c r="N12" s="75">
        <v>127.253</v>
      </c>
      <c r="O12" s="75">
        <v>127.672</v>
      </c>
      <c r="P12" s="75">
        <v>128.01499999999999</v>
      </c>
      <c r="Q12" s="75">
        <v>128.69</v>
      </c>
      <c r="R12" s="75">
        <v>129.20400000000001</v>
      </c>
      <c r="S12" s="75">
        <v>129.78</v>
      </c>
      <c r="T12" s="75">
        <v>130.63900000000001</v>
      </c>
      <c r="U12" s="75">
        <v>130.75299999999999</v>
      </c>
      <c r="V12" s="75">
        <v>131.51900000000001</v>
      </c>
      <c r="W12" s="75">
        <v>132.27500000000001</v>
      </c>
      <c r="X12" s="75">
        <v>132.85599999999999</v>
      </c>
      <c r="Y12" s="75">
        <v>133.364</v>
      </c>
      <c r="Z12" s="75">
        <v>134.10900000000001</v>
      </c>
      <c r="AA12" s="75">
        <v>134.941</v>
      </c>
      <c r="AB12" s="75">
        <v>135.45400000000001</v>
      </c>
      <c r="AC12" s="75">
        <v>135.761</v>
      </c>
      <c r="AD12" s="47"/>
      <c r="AE12" s="35"/>
      <c r="AF12" s="154"/>
    </row>
    <row r="13" spans="1:32" x14ac:dyDescent="0.35">
      <c r="A13" s="138" t="s">
        <v>1792</v>
      </c>
      <c r="B13" s="138" t="s">
        <v>1770</v>
      </c>
      <c r="C13" s="138" t="s">
        <v>1792</v>
      </c>
      <c r="D13" s="138" t="s">
        <v>1792</v>
      </c>
      <c r="E13" s="138" t="s">
        <v>1792</v>
      </c>
      <c r="F13" s="138" t="s">
        <v>1792</v>
      </c>
      <c r="G13" s="138" t="s">
        <v>1792</v>
      </c>
      <c r="H13" s="138" t="s">
        <v>1792</v>
      </c>
      <c r="I13" s="138" t="s">
        <v>1792</v>
      </c>
      <c r="J13" s="138" t="s">
        <v>1792</v>
      </c>
      <c r="K13" s="138" t="s">
        <v>1792</v>
      </c>
      <c r="L13" s="138" t="s">
        <v>1792</v>
      </c>
      <c r="M13" s="138" t="s">
        <v>1792</v>
      </c>
      <c r="N13" s="138" t="s">
        <v>1792</v>
      </c>
      <c r="O13" s="138" t="s">
        <v>1792</v>
      </c>
      <c r="P13" s="138" t="s">
        <v>1792</v>
      </c>
      <c r="Q13" s="138" t="s">
        <v>1792</v>
      </c>
      <c r="R13" s="138" t="s">
        <v>1792</v>
      </c>
      <c r="S13" s="138" t="s">
        <v>1895</v>
      </c>
      <c r="T13" s="138" t="s">
        <v>1895</v>
      </c>
      <c r="U13" s="138" t="s">
        <v>1895</v>
      </c>
      <c r="V13" s="138" t="s">
        <v>1895</v>
      </c>
      <c r="W13" s="138" t="s">
        <v>1895</v>
      </c>
      <c r="X13" s="138" t="s">
        <v>1895</v>
      </c>
      <c r="Y13" s="138" t="s">
        <v>1895</v>
      </c>
      <c r="Z13" s="138" t="s">
        <v>1895</v>
      </c>
      <c r="AA13" s="138" t="s">
        <v>1895</v>
      </c>
      <c r="AB13" s="138" t="s">
        <v>1895</v>
      </c>
      <c r="AC13" s="138" t="s">
        <v>1895</v>
      </c>
      <c r="AD13" s="47"/>
      <c r="AE13" s="35"/>
      <c r="AF13" s="154"/>
    </row>
    <row r="14" spans="1:32" x14ac:dyDescent="0.35">
      <c r="A14" s="138" t="s">
        <v>1771</v>
      </c>
      <c r="B14" s="138" t="s">
        <v>1772</v>
      </c>
      <c r="C14" s="138">
        <v>114.782</v>
      </c>
      <c r="D14" s="138">
        <v>114.97499999999999</v>
      </c>
      <c r="E14" s="138">
        <v>115.45699999999999</v>
      </c>
      <c r="F14" s="138">
        <v>116.18600000000001</v>
      </c>
      <c r="G14" s="138">
        <v>116.78700000000001</v>
      </c>
      <c r="H14" s="138">
        <v>117.349</v>
      </c>
      <c r="I14" s="138">
        <v>117.81100000000001</v>
      </c>
      <c r="J14" s="138">
        <v>118.199</v>
      </c>
      <c r="K14" s="138">
        <v>118.446</v>
      </c>
      <c r="L14" s="138">
        <v>118.929</v>
      </c>
      <c r="M14" s="138">
        <v>119.54300000000001</v>
      </c>
      <c r="N14" s="138">
        <v>120.193</v>
      </c>
      <c r="O14" s="138">
        <v>120.761</v>
      </c>
      <c r="P14" s="138">
        <v>121.205</v>
      </c>
      <c r="Q14" s="138">
        <v>121.651</v>
      </c>
      <c r="R14" s="138">
        <v>122.03</v>
      </c>
      <c r="S14" s="138">
        <v>122.488</v>
      </c>
      <c r="T14" s="138">
        <v>123.258</v>
      </c>
      <c r="U14" s="138">
        <v>123.352</v>
      </c>
      <c r="V14" s="138">
        <v>124.03100000000001</v>
      </c>
      <c r="W14" s="138">
        <v>124.607</v>
      </c>
      <c r="X14" s="138">
        <v>124.998</v>
      </c>
      <c r="Y14" s="138">
        <v>125.277</v>
      </c>
      <c r="Z14" s="138">
        <v>125.746</v>
      </c>
      <c r="AA14" s="138">
        <v>126.449</v>
      </c>
      <c r="AB14" s="138">
        <v>126.88800000000001</v>
      </c>
      <c r="AC14" s="138">
        <v>127.244</v>
      </c>
      <c r="AD14" s="47"/>
      <c r="AE14" s="35"/>
      <c r="AF14" s="154"/>
    </row>
    <row r="15" spans="1:32" x14ac:dyDescent="0.35">
      <c r="A15" s="138" t="s">
        <v>1773</v>
      </c>
      <c r="B15" s="138" t="s">
        <v>1774</v>
      </c>
      <c r="C15" s="138">
        <v>108.717</v>
      </c>
      <c r="D15" s="138">
        <v>109.011</v>
      </c>
      <c r="E15" s="138">
        <v>109.259</v>
      </c>
      <c r="F15" s="138">
        <v>109.633</v>
      </c>
      <c r="G15" s="138">
        <v>109.985</v>
      </c>
      <c r="H15" s="138">
        <v>110.67</v>
      </c>
      <c r="I15" s="138">
        <v>111.321</v>
      </c>
      <c r="J15" s="138">
        <v>111.783</v>
      </c>
      <c r="K15" s="138">
        <v>112.94499999999999</v>
      </c>
      <c r="L15" s="138">
        <v>113.773</v>
      </c>
      <c r="M15" s="138">
        <v>114.502</v>
      </c>
      <c r="N15" s="138">
        <v>114.864</v>
      </c>
      <c r="O15" s="138">
        <v>115.857</v>
      </c>
      <c r="P15" s="138">
        <v>117.517</v>
      </c>
      <c r="Q15" s="138">
        <v>119.119</v>
      </c>
      <c r="R15" s="138">
        <v>120.371</v>
      </c>
      <c r="S15" s="138">
        <v>121.849</v>
      </c>
      <c r="T15" s="138">
        <v>123.053</v>
      </c>
      <c r="U15" s="138">
        <v>124.623</v>
      </c>
      <c r="V15" s="138">
        <v>125.58799999999999</v>
      </c>
      <c r="W15" s="138">
        <v>126.366</v>
      </c>
      <c r="X15" s="138">
        <v>127.04300000000001</v>
      </c>
      <c r="Y15" s="138">
        <v>127.66200000000001</v>
      </c>
      <c r="Z15" s="138">
        <v>128.17500000000001</v>
      </c>
      <c r="AA15" s="138">
        <v>128.68199999999999</v>
      </c>
      <c r="AB15" s="138">
        <v>128.95599999999999</v>
      </c>
      <c r="AC15" s="138">
        <v>128.708</v>
      </c>
      <c r="AD15" s="47"/>
      <c r="AE15" s="35"/>
      <c r="AF15" s="154"/>
    </row>
    <row r="16" spans="1:32" x14ac:dyDescent="0.35">
      <c r="A16" s="138" t="s">
        <v>1775</v>
      </c>
      <c r="B16" s="138" t="s">
        <v>1776</v>
      </c>
      <c r="C16" s="138">
        <v>83.465999999999994</v>
      </c>
      <c r="D16" s="138">
        <v>87.337000000000003</v>
      </c>
      <c r="E16" s="138">
        <v>92.162000000000006</v>
      </c>
      <c r="F16" s="138">
        <v>90.917000000000002</v>
      </c>
      <c r="G16" s="138">
        <v>91.519000000000005</v>
      </c>
      <c r="H16" s="138">
        <v>93.471000000000004</v>
      </c>
      <c r="I16" s="138">
        <v>95.004000000000005</v>
      </c>
      <c r="J16" s="138">
        <v>96.728999999999999</v>
      </c>
      <c r="K16" s="138">
        <v>97.88</v>
      </c>
      <c r="L16" s="138">
        <v>101.735</v>
      </c>
      <c r="M16" s="138">
        <v>104.42400000000001</v>
      </c>
      <c r="N16" s="138">
        <v>105.376</v>
      </c>
      <c r="O16" s="138">
        <v>106.527</v>
      </c>
      <c r="P16" s="138">
        <v>110.572</v>
      </c>
      <c r="Q16" s="138">
        <v>123.81</v>
      </c>
      <c r="R16" s="138">
        <v>119.991</v>
      </c>
      <c r="S16" s="138">
        <v>124.726</v>
      </c>
      <c r="T16" s="138">
        <v>134.256</v>
      </c>
      <c r="U16" s="138">
        <v>127.651</v>
      </c>
      <c r="V16" s="138">
        <v>120.47499999999999</v>
      </c>
      <c r="W16" s="138">
        <v>117.581</v>
      </c>
      <c r="X16" s="138">
        <v>120.31399999999999</v>
      </c>
      <c r="Y16" s="138">
        <v>118.64700000000001</v>
      </c>
      <c r="Z16" s="138">
        <v>114.42</v>
      </c>
      <c r="AA16" s="138">
        <v>116.61</v>
      </c>
      <c r="AB16" s="138">
        <v>115.98399999999999</v>
      </c>
      <c r="AC16" s="138">
        <v>111.682</v>
      </c>
      <c r="AD16" s="47"/>
      <c r="AE16" s="35"/>
      <c r="AF16" s="154"/>
    </row>
    <row r="17" spans="1:35" x14ac:dyDescent="0.35">
      <c r="A17" s="138" t="s">
        <v>1777</v>
      </c>
      <c r="B17" s="138" t="s">
        <v>1778</v>
      </c>
      <c r="C17" s="138">
        <v>109.682</v>
      </c>
      <c r="D17" s="138">
        <v>110.125</v>
      </c>
      <c r="E17" s="138">
        <v>110.774</v>
      </c>
      <c r="F17" s="138">
        <v>111.247</v>
      </c>
      <c r="G17" s="138">
        <v>111.73399999999999</v>
      </c>
      <c r="H17" s="138">
        <v>112.292</v>
      </c>
      <c r="I17" s="138">
        <v>112.818</v>
      </c>
      <c r="J17" s="138">
        <v>113.22199999999999</v>
      </c>
      <c r="K17" s="138">
        <v>113.54300000000001</v>
      </c>
      <c r="L17" s="138">
        <v>114.292</v>
      </c>
      <c r="M17" s="138">
        <v>114.9</v>
      </c>
      <c r="N17" s="138">
        <v>115.499</v>
      </c>
      <c r="O17" s="138">
        <v>116.179</v>
      </c>
      <c r="P17" s="138">
        <v>117.042</v>
      </c>
      <c r="Q17" s="138">
        <v>118.312</v>
      </c>
      <c r="R17" s="138">
        <v>118.494</v>
      </c>
      <c r="S17" s="138">
        <v>119.295</v>
      </c>
      <c r="T17" s="138">
        <v>120.56100000000001</v>
      </c>
      <c r="U17" s="138">
        <v>120.541</v>
      </c>
      <c r="V17" s="138">
        <v>120.72799999999999</v>
      </c>
      <c r="W17" s="138">
        <v>121.08499999999999</v>
      </c>
      <c r="X17" s="138">
        <v>121.65600000000001</v>
      </c>
      <c r="Y17" s="138">
        <v>121.744</v>
      </c>
      <c r="Z17" s="138">
        <v>121.983</v>
      </c>
      <c r="AA17" s="138">
        <v>122.66200000000001</v>
      </c>
      <c r="AB17" s="138">
        <v>123.083</v>
      </c>
      <c r="AC17" s="138">
        <v>123.26</v>
      </c>
      <c r="AD17" s="47"/>
      <c r="AE17" s="35"/>
      <c r="AF17" s="154"/>
    </row>
    <row r="18" spans="1:35" x14ac:dyDescent="0.35">
      <c r="A18" s="138" t="s">
        <v>1779</v>
      </c>
      <c r="B18" s="138" t="s">
        <v>1780</v>
      </c>
      <c r="C18" s="138">
        <v>111.714</v>
      </c>
      <c r="D18" s="138">
        <v>111.956</v>
      </c>
      <c r="E18" s="138">
        <v>112.386</v>
      </c>
      <c r="F18" s="138">
        <v>112.97499999999999</v>
      </c>
      <c r="G18" s="138">
        <v>113.47</v>
      </c>
      <c r="H18" s="138">
        <v>113.92700000000001</v>
      </c>
      <c r="I18" s="138">
        <v>114.377</v>
      </c>
      <c r="J18" s="138">
        <v>114.691</v>
      </c>
      <c r="K18" s="138">
        <v>114.873</v>
      </c>
      <c r="L18" s="138">
        <v>115.42</v>
      </c>
      <c r="M18" s="138">
        <v>115.887</v>
      </c>
      <c r="N18" s="138">
        <v>116.489</v>
      </c>
      <c r="O18" s="138">
        <v>117.11</v>
      </c>
      <c r="P18" s="138">
        <v>117.697</v>
      </c>
      <c r="Q18" s="138">
        <v>118.19499999999999</v>
      </c>
      <c r="R18" s="138">
        <v>118.52200000000001</v>
      </c>
      <c r="S18" s="138">
        <v>119.01600000000001</v>
      </c>
      <c r="T18" s="138">
        <v>119.785</v>
      </c>
      <c r="U18" s="138">
        <v>120.018</v>
      </c>
      <c r="V18" s="138">
        <v>120.58</v>
      </c>
      <c r="W18" s="138">
        <v>121.09699999999999</v>
      </c>
      <c r="X18" s="138">
        <v>121.527</v>
      </c>
      <c r="Y18" s="138">
        <v>121.67100000000001</v>
      </c>
      <c r="Z18" s="138">
        <v>122.15600000000001</v>
      </c>
      <c r="AA18" s="138">
        <v>122.761</v>
      </c>
      <c r="AB18" s="138">
        <v>123.25700000000001</v>
      </c>
      <c r="AC18" s="138">
        <v>123.742</v>
      </c>
      <c r="AD18" s="155"/>
      <c r="AE18" s="36"/>
      <c r="AF18" s="156"/>
    </row>
    <row r="19" spans="1:35" ht="15.65" customHeight="1" x14ac:dyDescent="0.45">
      <c r="A19" s="1304" t="s">
        <v>1781</v>
      </c>
      <c r="B19" s="1305"/>
      <c r="C19" s="1305"/>
      <c r="D19" s="1305"/>
      <c r="E19" s="1305"/>
      <c r="F19" s="1305"/>
      <c r="G19" s="1305"/>
      <c r="H19" s="1305"/>
      <c r="I19" s="1305"/>
      <c r="J19" s="1305"/>
      <c r="K19" s="1305"/>
      <c r="L19" s="1305"/>
      <c r="M19" s="1305"/>
      <c r="N19" s="1305"/>
      <c r="O19" s="1305"/>
      <c r="P19" s="1305"/>
      <c r="Q19" s="1305"/>
      <c r="R19" s="1305"/>
      <c r="S19" s="1305"/>
      <c r="T19" s="1305"/>
      <c r="U19" s="1305"/>
      <c r="V19" s="1305"/>
      <c r="W19" s="1305"/>
      <c r="X19" s="1305"/>
      <c r="Y19" s="1305"/>
      <c r="Z19" s="1305"/>
      <c r="AA19" s="1305"/>
    </row>
    <row r="20" spans="1:35" x14ac:dyDescent="0.35">
      <c r="A20" s="1306" t="s">
        <v>1782</v>
      </c>
      <c r="B20" s="1305"/>
      <c r="C20" s="1305"/>
      <c r="D20" s="1305"/>
      <c r="E20" s="1305"/>
      <c r="F20" s="1305"/>
      <c r="G20" s="1305"/>
      <c r="H20" s="1305"/>
      <c r="I20" s="1305"/>
      <c r="J20" s="1305"/>
      <c r="K20" s="1305"/>
      <c r="L20" s="1305"/>
      <c r="M20" s="1305"/>
      <c r="N20" s="1305"/>
      <c r="O20" s="1305"/>
      <c r="P20" s="1305"/>
      <c r="Q20" s="1305"/>
      <c r="R20" s="1305"/>
      <c r="S20" s="1305"/>
      <c r="T20" s="1305"/>
      <c r="U20" s="1305"/>
      <c r="V20" s="1305"/>
      <c r="W20" s="1305"/>
      <c r="X20" s="1305"/>
      <c r="Y20" s="1305"/>
      <c r="Z20" s="1305"/>
      <c r="AA20" s="1305"/>
    </row>
    <row r="21" spans="1:35" x14ac:dyDescent="0.35">
      <c r="A21" s="1306" t="s">
        <v>1783</v>
      </c>
      <c r="B21" s="1305"/>
      <c r="C21" s="1305"/>
      <c r="D21" s="1305"/>
      <c r="E21" s="1305"/>
      <c r="F21" s="1305"/>
      <c r="G21" s="1305"/>
      <c r="H21" s="1305"/>
      <c r="I21" s="1305"/>
      <c r="J21" s="1305"/>
      <c r="K21" s="1305"/>
      <c r="L21" s="1305"/>
      <c r="M21" s="1305"/>
      <c r="N21" s="1305"/>
      <c r="O21" s="1305"/>
      <c r="P21" s="1305"/>
      <c r="Q21" s="1305"/>
      <c r="R21" s="1305"/>
      <c r="S21" s="1305"/>
      <c r="T21" s="1305"/>
      <c r="U21" s="1305"/>
      <c r="V21" s="1305"/>
      <c r="W21" s="1305"/>
      <c r="X21" s="1305"/>
      <c r="Y21" s="1305"/>
      <c r="Z21" s="1305"/>
      <c r="AA21" s="1305"/>
    </row>
    <row r="22" spans="1:35" x14ac:dyDescent="0.35">
      <c r="A22" s="1306" t="s">
        <v>1784</v>
      </c>
      <c r="B22" s="1305"/>
      <c r="C22" s="1305"/>
      <c r="D22" s="1305"/>
      <c r="E22" s="1305"/>
      <c r="F22" s="1305"/>
      <c r="G22" s="1305"/>
      <c r="H22" s="1305"/>
      <c r="I22" s="1305"/>
      <c r="J22" s="1305"/>
      <c r="K22" s="1305"/>
      <c r="L22" s="1305"/>
      <c r="M22" s="1305"/>
      <c r="N22" s="1305"/>
      <c r="O22" s="1305"/>
      <c r="P22" s="1305"/>
      <c r="Q22" s="1305"/>
      <c r="R22" s="1305"/>
      <c r="S22" s="1305"/>
      <c r="T22" s="1305"/>
      <c r="U22" s="1305"/>
      <c r="V22" s="1305"/>
      <c r="W22" s="1305"/>
      <c r="X22" s="1305"/>
      <c r="Y22" s="1305"/>
      <c r="Z22" s="1305"/>
      <c r="AA22" s="1305"/>
    </row>
    <row r="23" spans="1:35" x14ac:dyDescent="0.35">
      <c r="A23" s="141"/>
    </row>
    <row r="24" spans="1:35" x14ac:dyDescent="0.35">
      <c r="A24" s="141"/>
    </row>
    <row r="25" spans="1:35" x14ac:dyDescent="0.35">
      <c r="A25" s="141"/>
    </row>
    <row r="26" spans="1:35" x14ac:dyDescent="0.35">
      <c r="A26" s="141"/>
      <c r="G26" s="1309" t="s">
        <v>1785</v>
      </c>
      <c r="H26" s="1309"/>
      <c r="I26" s="1309"/>
      <c r="J26" s="1309"/>
      <c r="K26" s="1309"/>
      <c r="L26" s="1309"/>
      <c r="M26" s="1309"/>
      <c r="N26" s="1309"/>
      <c r="O26" s="1309"/>
      <c r="P26" s="1309"/>
      <c r="Q26" s="1309"/>
      <c r="R26" s="1309"/>
      <c r="S26" s="1309"/>
      <c r="T26" s="1309"/>
      <c r="U26" s="1309"/>
      <c r="V26" s="1309"/>
      <c r="W26" s="1309"/>
      <c r="X26" s="1309"/>
      <c r="Y26" s="1309"/>
      <c r="Z26" s="1309"/>
      <c r="AA26" s="1309"/>
      <c r="AB26" s="1309"/>
      <c r="AC26" s="1309"/>
      <c r="AD26" s="1309"/>
      <c r="AE26" s="1309"/>
      <c r="AF26" s="1309"/>
    </row>
    <row r="27" spans="1:35" x14ac:dyDescent="0.35">
      <c r="A27" s="141"/>
      <c r="B27" s="152" t="s">
        <v>1785</v>
      </c>
      <c r="C27" s="1303" t="s">
        <v>280</v>
      </c>
      <c r="D27" s="1303"/>
      <c r="E27" s="1303"/>
      <c r="F27" s="1303"/>
      <c r="G27" s="1303"/>
      <c r="H27" s="1303"/>
      <c r="I27" s="1303"/>
      <c r="J27" s="1303"/>
      <c r="K27" s="1303"/>
      <c r="L27" s="1303"/>
      <c r="M27" s="1303"/>
      <c r="N27" s="1303"/>
      <c r="O27" s="1303"/>
      <c r="P27" s="1303"/>
      <c r="Q27" s="1303"/>
      <c r="R27" s="1303"/>
      <c r="S27" s="1303"/>
      <c r="T27" s="1303"/>
      <c r="U27" s="1303"/>
      <c r="V27" s="1303"/>
      <c r="W27" s="1303"/>
      <c r="X27" s="1303"/>
      <c r="Y27" s="1303"/>
      <c r="Z27" s="139"/>
      <c r="AA27" s="139"/>
      <c r="AB27" s="139"/>
      <c r="AC27" s="139"/>
      <c r="AD27" s="158" t="s">
        <v>1793</v>
      </c>
    </row>
    <row r="28" spans="1:35" x14ac:dyDescent="0.35">
      <c r="A28" s="141"/>
      <c r="C28" s="1303">
        <v>2021</v>
      </c>
      <c r="D28" s="1303"/>
      <c r="E28" s="1303"/>
      <c r="F28" s="1303"/>
      <c r="G28" s="1303"/>
      <c r="H28" s="1303"/>
      <c r="I28" s="1303"/>
      <c r="J28" s="1303"/>
      <c r="K28" s="1303"/>
      <c r="L28" s="1303"/>
      <c r="M28" s="1303"/>
      <c r="N28" s="1303"/>
      <c r="O28" s="1303">
        <v>2022</v>
      </c>
      <c r="P28" s="1303"/>
      <c r="Q28" s="1303"/>
      <c r="R28" s="1303"/>
      <c r="S28" s="1303"/>
      <c r="T28" s="1303"/>
      <c r="U28" s="1303"/>
      <c r="V28" s="1303"/>
      <c r="W28" s="1303"/>
      <c r="X28" s="1303"/>
      <c r="Y28" s="1303"/>
      <c r="Z28" s="139"/>
      <c r="AA28" s="139"/>
      <c r="AB28" s="139"/>
      <c r="AC28" s="139"/>
      <c r="AD28" s="158"/>
      <c r="AE28" s="35"/>
      <c r="AF28" s="35"/>
      <c r="AG28" s="35"/>
    </row>
    <row r="29" spans="1:35" x14ac:dyDescent="0.35">
      <c r="A29" s="141"/>
      <c r="C29" s="144" t="s">
        <v>1748</v>
      </c>
      <c r="D29" s="144" t="s">
        <v>1749</v>
      </c>
      <c r="E29" s="144" t="s">
        <v>1750</v>
      </c>
      <c r="F29" s="144" t="s">
        <v>1751</v>
      </c>
      <c r="G29" s="144" t="s">
        <v>1752</v>
      </c>
      <c r="H29" s="144" t="s">
        <v>1753</v>
      </c>
      <c r="I29" s="144" t="s">
        <v>1754</v>
      </c>
      <c r="J29" s="144" t="s">
        <v>1755</v>
      </c>
      <c r="K29" s="144" t="s">
        <v>1756</v>
      </c>
      <c r="L29" s="144" t="s">
        <v>1757</v>
      </c>
      <c r="M29" s="144" t="s">
        <v>1758</v>
      </c>
      <c r="N29" s="144" t="s">
        <v>1759</v>
      </c>
      <c r="O29" s="144" t="s">
        <v>1748</v>
      </c>
      <c r="P29" s="144" t="s">
        <v>1749</v>
      </c>
      <c r="Q29" s="144" t="s">
        <v>1750</v>
      </c>
      <c r="R29" s="144" t="s">
        <v>1751</v>
      </c>
      <c r="S29" s="144" t="s">
        <v>1752</v>
      </c>
      <c r="T29" s="144" t="s">
        <v>1753</v>
      </c>
      <c r="U29" s="144" t="s">
        <v>1754</v>
      </c>
      <c r="V29" s="144" t="s">
        <v>1755</v>
      </c>
      <c r="W29" s="144" t="s">
        <v>1756</v>
      </c>
      <c r="X29" s="144" t="s">
        <v>1757</v>
      </c>
      <c r="Y29" s="144" t="s">
        <v>1758</v>
      </c>
      <c r="Z29" s="147"/>
      <c r="AA29" s="147"/>
      <c r="AB29" s="147"/>
      <c r="AC29" s="147"/>
      <c r="AD29" s="153" t="s">
        <v>1759</v>
      </c>
      <c r="AE29" s="150" t="s">
        <v>1748</v>
      </c>
      <c r="AF29" s="150" t="s">
        <v>1749</v>
      </c>
      <c r="AG29" s="35"/>
      <c r="AH29" s="160" t="s">
        <v>1789</v>
      </c>
      <c r="AI29" s="35"/>
    </row>
    <row r="30" spans="1:35" x14ac:dyDescent="0.35">
      <c r="A30" s="141"/>
      <c r="B30" s="75" t="s">
        <v>1761</v>
      </c>
      <c r="D30" s="151">
        <f>(D8/C8)^(12)-1</f>
        <v>4.1042680162006073E-2</v>
      </c>
      <c r="E30" s="151">
        <f t="shared" ref="E30:Z30" si="0">(E8/D8)^(12)-1</f>
        <v>7.3656770386894443E-2</v>
      </c>
      <c r="F30" s="151">
        <f t="shared" si="0"/>
        <v>6.5906931976990268E-2</v>
      </c>
      <c r="G30" s="151">
        <f t="shared" si="0"/>
        <v>6.2766918615354106E-2</v>
      </c>
      <c r="H30" s="151">
        <f t="shared" si="0"/>
        <v>6.8865947836563857E-2</v>
      </c>
      <c r="I30" s="151">
        <f t="shared" si="0"/>
        <v>5.6278625527978576E-2</v>
      </c>
      <c r="J30" s="151">
        <f t="shared" si="0"/>
        <v>4.8427810693439044E-2</v>
      </c>
      <c r="K30" s="151">
        <f t="shared" si="0"/>
        <v>3.8163290994450927E-2</v>
      </c>
      <c r="L30" s="151">
        <f t="shared" si="0"/>
        <v>7.1153811599884431E-2</v>
      </c>
      <c r="M30" s="151">
        <f t="shared" si="0"/>
        <v>7.6184730021106928E-2</v>
      </c>
      <c r="N30" s="151">
        <f t="shared" si="0"/>
        <v>6.7052658631531425E-2</v>
      </c>
      <c r="O30" s="151">
        <f t="shared" si="0"/>
        <v>6.5288334451285346E-2</v>
      </c>
      <c r="P30" s="151">
        <f t="shared" si="0"/>
        <v>7.3586210362064142E-2</v>
      </c>
      <c r="Q30" s="151">
        <f t="shared" si="0"/>
        <v>0.12029425742902733</v>
      </c>
      <c r="R30" s="151">
        <f t="shared" si="0"/>
        <v>2.420085779508252E-2</v>
      </c>
      <c r="S30" s="151">
        <f t="shared" si="0"/>
        <v>7.5228018520828943E-2</v>
      </c>
      <c r="T30" s="151">
        <f t="shared" si="0"/>
        <v>0.12562146420345077</v>
      </c>
      <c r="U30" s="151">
        <f t="shared" si="0"/>
        <v>-1.1115964136614309E-2</v>
      </c>
      <c r="V30" s="151">
        <f t="shared" si="0"/>
        <v>3.26679483742216E-2</v>
      </c>
      <c r="W30" s="151">
        <f t="shared" si="0"/>
        <v>4.210788235244034E-2</v>
      </c>
      <c r="X30" s="151">
        <f t="shared" si="0"/>
        <v>5.1636687680589599E-2</v>
      </c>
      <c r="Y30" s="151">
        <f t="shared" si="0"/>
        <v>2.069487618320931E-2</v>
      </c>
      <c r="Z30" s="151">
        <f t="shared" si="0"/>
        <v>2.4484035138147453E-2</v>
      </c>
      <c r="AA30" s="151">
        <f t="shared" ref="AA30" si="1">(AA8/Z8)^(12)-1</f>
        <v>7.5054593076753884E-2</v>
      </c>
      <c r="AB30" s="151">
        <f t="shared" ref="AB30" si="2">(AB8/AA8)^(12)-1</f>
        <v>3.6728639403075913E-2</v>
      </c>
      <c r="AC30" s="151">
        <f t="shared" ref="AC30" si="3">(AC8/AB8)^(12)-1</f>
        <v>9.1610433133770819E-3</v>
      </c>
      <c r="AD30" s="157">
        <f>AH30</f>
        <v>2.2499999999999999E-2</v>
      </c>
      <c r="AE30" s="157">
        <f>AD30</f>
        <v>2.2499999999999999E-2</v>
      </c>
      <c r="AF30" s="157">
        <f>AE30</f>
        <v>2.2499999999999999E-2</v>
      </c>
      <c r="AG30" s="35"/>
      <c r="AH30" s="159">
        <v>2.2499999999999999E-2</v>
      </c>
      <c r="AI30" s="35" t="s">
        <v>1790</v>
      </c>
    </row>
    <row r="31" spans="1:35" x14ac:dyDescent="0.35">
      <c r="A31" s="141"/>
      <c r="B31" s="75" t="s">
        <v>1763</v>
      </c>
      <c r="D31" s="151">
        <f t="shared" ref="D31:Y31" si="4">(D9/C9)^(12)-1</f>
        <v>4.7852702682074089E-2</v>
      </c>
      <c r="E31" s="151">
        <f t="shared" si="4"/>
        <v>9.3990376547193E-2</v>
      </c>
      <c r="F31" s="151">
        <f t="shared" si="4"/>
        <v>9.0157721904044807E-2</v>
      </c>
      <c r="G31" s="151">
        <f t="shared" si="4"/>
        <v>9.7937681358029272E-2</v>
      </c>
      <c r="H31" s="151">
        <f t="shared" si="4"/>
        <v>0.10571994524004813</v>
      </c>
      <c r="I31" s="151">
        <f t="shared" si="4"/>
        <v>5.9314030950316399E-2</v>
      </c>
      <c r="J31" s="151">
        <f t="shared" si="4"/>
        <v>7.4559369880963899E-2</v>
      </c>
      <c r="K31" s="151">
        <f t="shared" si="4"/>
        <v>4.8439393408400866E-2</v>
      </c>
      <c r="L31" s="151">
        <f t="shared" si="4"/>
        <v>0.13669129570635752</v>
      </c>
      <c r="M31" s="151">
        <f t="shared" si="4"/>
        <v>8.8006180889502517E-2</v>
      </c>
      <c r="N31" s="151">
        <f t="shared" si="4"/>
        <v>8.1786027991030075E-2</v>
      </c>
      <c r="O31" s="151">
        <f t="shared" si="4"/>
        <v>0.11461082577636561</v>
      </c>
      <c r="P31" s="151">
        <f t="shared" si="4"/>
        <v>0.15488876520850492</v>
      </c>
      <c r="Q31" s="151">
        <f t="shared" si="4"/>
        <v>0.23243408487920147</v>
      </c>
      <c r="R31" s="151">
        <f t="shared" si="4"/>
        <v>-2.0953115354990115E-2</v>
      </c>
      <c r="S31" s="151">
        <f t="shared" si="4"/>
        <v>0.11512974514483676</v>
      </c>
      <c r="T31" s="151">
        <f t="shared" si="4"/>
        <v>0.21267713141662403</v>
      </c>
      <c r="U31" s="151">
        <f t="shared" si="4"/>
        <v>-5.0673511435372243E-2</v>
      </c>
      <c r="V31" s="151">
        <f t="shared" si="4"/>
        <v>-3.967131618295705E-2</v>
      </c>
      <c r="W31" s="151">
        <f t="shared" si="4"/>
        <v>-1.2009165772774555E-2</v>
      </c>
      <c r="X31" s="151">
        <f t="shared" si="4"/>
        <v>4.6890556347868095E-2</v>
      </c>
      <c r="Y31" s="151">
        <f t="shared" si="4"/>
        <v>-2.8348579378049577E-2</v>
      </c>
      <c r="Z31" s="151">
        <f t="shared" ref="Z31:Z40" si="5">(Z9/Y9)^(12)-1</f>
        <v>-5.8921485893165593E-2</v>
      </c>
      <c r="AA31" s="151">
        <f t="shared" ref="AA31:AA40" si="6">(AA9/Z9)^(12)-1</f>
        <v>7.1351289811239393E-2</v>
      </c>
      <c r="AB31" s="151">
        <f t="shared" ref="AB31:AB40" si="7">(AB9/AA9)^(12)-1</f>
        <v>1.7963345874943082E-2</v>
      </c>
      <c r="AC31" s="151">
        <f t="shared" ref="AC31:AC40" si="8">(AC9/AB9)^(12)-1</f>
        <v>-2.6200318561481417E-2</v>
      </c>
      <c r="AD31" s="35"/>
      <c r="AE31" s="35"/>
      <c r="AF31" s="35"/>
      <c r="AG31" s="35"/>
    </row>
    <row r="32" spans="1:35" x14ac:dyDescent="0.35">
      <c r="A32" s="141"/>
      <c r="B32" t="s">
        <v>1765</v>
      </c>
      <c r="D32" s="151">
        <f t="shared" ref="D32:Y32" si="9">(D10/C10)^(12)-1</f>
        <v>-7.5664718995666069E-3</v>
      </c>
      <c r="E32" s="151">
        <f t="shared" si="9"/>
        <v>4.266850819250112E-2</v>
      </c>
      <c r="F32" s="151">
        <f t="shared" si="9"/>
        <v>0.21660917290096582</v>
      </c>
      <c r="G32" s="151">
        <f t="shared" si="9"/>
        <v>0.22430559919810955</v>
      </c>
      <c r="H32" s="151">
        <f t="shared" si="9"/>
        <v>0.17511874187668353</v>
      </c>
      <c r="I32" s="151">
        <f t="shared" si="9"/>
        <v>3.795797382041366E-2</v>
      </c>
      <c r="J32" s="151">
        <f t="shared" si="9"/>
        <v>0.11183831318895598</v>
      </c>
      <c r="K32" s="151">
        <f t="shared" si="9"/>
        <v>1.4506155653571495E-2</v>
      </c>
      <c r="L32" s="151">
        <f t="shared" si="9"/>
        <v>0.12618431747599668</v>
      </c>
      <c r="M32" s="151">
        <f t="shared" si="9"/>
        <v>5.2044800480764541E-2</v>
      </c>
      <c r="N32" s="151">
        <f t="shared" si="9"/>
        <v>0.12175758567831618</v>
      </c>
      <c r="O32" s="151">
        <f t="shared" si="9"/>
        <v>0.14983582216551206</v>
      </c>
      <c r="P32" s="151">
        <f t="shared" si="9"/>
        <v>2.0721604560002937E-2</v>
      </c>
      <c r="Q32" s="151">
        <f t="shared" si="9"/>
        <v>-2.0423555429524787E-2</v>
      </c>
      <c r="R32" s="151">
        <f t="shared" si="9"/>
        <v>2.0721822738088314E-2</v>
      </c>
      <c r="S32" s="151">
        <f t="shared" si="9"/>
        <v>4.6313416239633698E-2</v>
      </c>
      <c r="T32" s="151">
        <f t="shared" si="9"/>
        <v>8.9626684643578036E-2</v>
      </c>
      <c r="U32" s="151">
        <f t="shared" si="9"/>
        <v>-2.564874569369624E-2</v>
      </c>
      <c r="V32" s="151">
        <f t="shared" si="9"/>
        <v>5.9403258043756235E-2</v>
      </c>
      <c r="W32" s="151">
        <f t="shared" si="9"/>
        <v>5.49603210423244E-2</v>
      </c>
      <c r="X32" s="151">
        <f t="shared" si="9"/>
        <v>-4.6003053620363055E-2</v>
      </c>
      <c r="Y32" s="151">
        <f t="shared" si="9"/>
        <v>-6.5812820086126544E-2</v>
      </c>
      <c r="Z32" s="151">
        <f t="shared" si="5"/>
        <v>-2.6437717358451018E-2</v>
      </c>
      <c r="AA32" s="151">
        <f t="shared" si="6"/>
        <v>3.1235707629461151E-2</v>
      </c>
      <c r="AB32" s="151">
        <f t="shared" si="7"/>
        <v>-2.1462238588199289E-2</v>
      </c>
      <c r="AC32" s="151">
        <f t="shared" si="8"/>
        <v>-9.6360983053074278E-3</v>
      </c>
      <c r="AD32" s="35"/>
      <c r="AE32" s="35"/>
      <c r="AF32" s="35"/>
      <c r="AG32" s="35"/>
    </row>
    <row r="33" spans="1:45" x14ac:dyDescent="0.35">
      <c r="A33" s="141"/>
      <c r="B33" t="s">
        <v>1767</v>
      </c>
      <c r="D33" s="151">
        <f t="shared" ref="D33:Y33" si="10">(D11/C11)^(12)-1</f>
        <v>8.2695991789366596E-2</v>
      </c>
      <c r="E33" s="151">
        <f t="shared" si="10"/>
        <v>0.12767152587874242</v>
      </c>
      <c r="F33" s="151">
        <f t="shared" si="10"/>
        <v>1.8604492954842566E-2</v>
      </c>
      <c r="G33" s="151">
        <f t="shared" si="10"/>
        <v>2.6650380476038515E-2</v>
      </c>
      <c r="H33" s="151">
        <f t="shared" si="10"/>
        <v>6.6132646674121442E-2</v>
      </c>
      <c r="I33" s="151">
        <f t="shared" si="10"/>
        <v>7.2623275591077174E-2</v>
      </c>
      <c r="J33" s="151">
        <f t="shared" si="10"/>
        <v>5.3583270512252978E-2</v>
      </c>
      <c r="K33" s="151">
        <f t="shared" si="10"/>
        <v>6.8776834563306188E-2</v>
      </c>
      <c r="L33" s="151">
        <f t="shared" si="10"/>
        <v>0.14311748267808033</v>
      </c>
      <c r="M33" s="151">
        <f t="shared" si="10"/>
        <v>0.10977507787605911</v>
      </c>
      <c r="N33" s="151">
        <f t="shared" si="10"/>
        <v>5.8392835152005329E-2</v>
      </c>
      <c r="O33" s="151">
        <f t="shared" si="10"/>
        <v>9.3125815044879046E-2</v>
      </c>
      <c r="P33" s="151">
        <f t="shared" si="10"/>
        <v>0.24399595906104432</v>
      </c>
      <c r="Q33" s="151">
        <f t="shared" si="10"/>
        <v>0.41060581771805249</v>
      </c>
      <c r="R33" s="151">
        <f t="shared" si="10"/>
        <v>-4.4176592701257844E-2</v>
      </c>
      <c r="S33" s="151">
        <f t="shared" si="10"/>
        <v>0.15773089650212335</v>
      </c>
      <c r="T33" s="151">
        <f t="shared" si="10"/>
        <v>0.28927082760345146</v>
      </c>
      <c r="U33" s="151">
        <f t="shared" si="10"/>
        <v>-6.4558713318927374E-2</v>
      </c>
      <c r="V33" s="151">
        <f t="shared" si="10"/>
        <v>-9.2612769739008449E-2</v>
      </c>
      <c r="W33" s="151">
        <f t="shared" si="10"/>
        <v>-4.8917116413696671E-2</v>
      </c>
      <c r="X33" s="151">
        <f t="shared" si="10"/>
        <v>0.10493433995854673</v>
      </c>
      <c r="Y33" s="151">
        <f t="shared" si="10"/>
        <v>-6.3554418254898604E-3</v>
      </c>
      <c r="Z33" s="151">
        <f t="shared" si="5"/>
        <v>-7.6917172427250269E-2</v>
      </c>
      <c r="AA33" s="151">
        <f t="shared" si="6"/>
        <v>9.5164261606219602E-2</v>
      </c>
      <c r="AB33" s="151">
        <f t="shared" si="7"/>
        <v>4.193977703424201E-2</v>
      </c>
      <c r="AC33" s="151">
        <f t="shared" si="8"/>
        <v>-3.57307062296911E-2</v>
      </c>
      <c r="AD33" s="35"/>
      <c r="AE33" s="35"/>
      <c r="AF33" s="35"/>
      <c r="AG33" s="35"/>
    </row>
    <row r="34" spans="1:45" x14ac:dyDescent="0.35">
      <c r="A34" s="141"/>
      <c r="B34" s="75" t="s">
        <v>1769</v>
      </c>
      <c r="D34" s="151">
        <f t="shared" ref="D34:Y34" si="11">(D12/C12)^(12)-1</f>
        <v>3.799005764470742E-2</v>
      </c>
      <c r="E34" s="151">
        <f t="shared" si="11"/>
        <v>6.3357467016105451E-2</v>
      </c>
      <c r="F34" s="151">
        <f t="shared" si="11"/>
        <v>5.3247298586749592E-2</v>
      </c>
      <c r="G34" s="151">
        <f t="shared" si="11"/>
        <v>4.4575363388868805E-2</v>
      </c>
      <c r="H34" s="151">
        <f t="shared" si="11"/>
        <v>4.9972978556659831E-2</v>
      </c>
      <c r="I34" s="151">
        <f t="shared" si="11"/>
        <v>5.4824632504445026E-2</v>
      </c>
      <c r="J34" s="151">
        <f t="shared" si="11"/>
        <v>3.5260241342689014E-2</v>
      </c>
      <c r="K34" s="151">
        <f t="shared" si="11"/>
        <v>3.2982422405918088E-2</v>
      </c>
      <c r="L34" s="151">
        <f t="shared" si="11"/>
        <v>3.8518945643091884E-2</v>
      </c>
      <c r="M34" s="151">
        <f t="shared" si="11"/>
        <v>7.0201828642715958E-2</v>
      </c>
      <c r="N34" s="151">
        <f t="shared" si="11"/>
        <v>5.9557137704392193E-2</v>
      </c>
      <c r="O34" s="151">
        <f t="shared" si="11"/>
        <v>4.0235293867976862E-2</v>
      </c>
      <c r="P34" s="151">
        <f t="shared" si="11"/>
        <v>3.2719520059437901E-2</v>
      </c>
      <c r="Q34" s="151">
        <f t="shared" si="11"/>
        <v>6.514144593018778E-2</v>
      </c>
      <c r="R34" s="151">
        <f t="shared" si="11"/>
        <v>4.8996160643866915E-2</v>
      </c>
      <c r="S34" s="151">
        <f t="shared" si="11"/>
        <v>5.4828192396408904E-2</v>
      </c>
      <c r="T34" s="151">
        <f t="shared" si="11"/>
        <v>8.2382919779997899E-2</v>
      </c>
      <c r="U34" s="151">
        <f t="shared" si="11"/>
        <v>1.052200975220785E-2</v>
      </c>
      <c r="V34" s="151">
        <f t="shared" si="11"/>
        <v>7.2610468750667234E-2</v>
      </c>
      <c r="W34" s="151">
        <f t="shared" si="11"/>
        <v>7.1201730649114836E-2</v>
      </c>
      <c r="X34" s="151">
        <f t="shared" si="11"/>
        <v>5.4000530427643412E-2</v>
      </c>
      <c r="Y34" s="151">
        <f t="shared" si="11"/>
        <v>4.6861630489144268E-2</v>
      </c>
      <c r="Z34" s="151">
        <f t="shared" si="5"/>
        <v>6.9133002119001752E-2</v>
      </c>
      <c r="AA34" s="151">
        <f t="shared" si="6"/>
        <v>7.7040417063483746E-2</v>
      </c>
      <c r="AB34" s="151">
        <f t="shared" si="7"/>
        <v>4.6586002884273725E-2</v>
      </c>
      <c r="AC34" s="151">
        <f t="shared" si="8"/>
        <v>2.7539028507894026E-2</v>
      </c>
      <c r="AD34" s="35"/>
      <c r="AE34" s="35"/>
      <c r="AF34" s="35"/>
      <c r="AG34" s="35"/>
    </row>
    <row r="35" spans="1:45" x14ac:dyDescent="0.35">
      <c r="A35" s="141"/>
      <c r="B35" t="s">
        <v>1770</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35"/>
      <c r="AE35" s="35"/>
      <c r="AF35" s="35"/>
      <c r="AG35" s="35"/>
    </row>
    <row r="36" spans="1:45" x14ac:dyDescent="0.35">
      <c r="A36" s="141"/>
      <c r="B36" t="s">
        <v>1772</v>
      </c>
      <c r="D36" s="151">
        <f t="shared" ref="D36:Y36" si="12">(D14/C14)^(12)-1</f>
        <v>2.0365029271033563E-2</v>
      </c>
      <c r="E36" s="151">
        <f t="shared" si="12"/>
        <v>5.1482879592318564E-2</v>
      </c>
      <c r="F36" s="151">
        <f t="shared" si="12"/>
        <v>7.8455869418629476E-2</v>
      </c>
      <c r="G36" s="151">
        <f t="shared" si="12"/>
        <v>6.3869668258956791E-2</v>
      </c>
      <c r="H36" s="151">
        <f t="shared" si="12"/>
        <v>5.9299303350246912E-2</v>
      </c>
      <c r="I36" s="151">
        <f t="shared" si="12"/>
        <v>4.8280221057496409E-2</v>
      </c>
      <c r="J36" s="151">
        <f t="shared" si="12"/>
        <v>4.0244717542295305E-2</v>
      </c>
      <c r="K36" s="151">
        <f t="shared" si="12"/>
        <v>2.5366582122491321E-2</v>
      </c>
      <c r="L36" s="151">
        <f t="shared" si="12"/>
        <v>5.0046228788346303E-2</v>
      </c>
      <c r="M36" s="151">
        <f t="shared" si="12"/>
        <v>6.3742717313237662E-2</v>
      </c>
      <c r="N36" s="151">
        <f t="shared" si="12"/>
        <v>6.7235583186497916E-2</v>
      </c>
      <c r="O36" s="151">
        <f t="shared" si="12"/>
        <v>5.8206208718552199E-2</v>
      </c>
      <c r="P36" s="151">
        <f t="shared" si="12"/>
        <v>4.5023417871011384E-2</v>
      </c>
      <c r="Q36" s="151">
        <f t="shared" si="12"/>
        <v>4.5061307418852836E-2</v>
      </c>
      <c r="R36" s="151">
        <f t="shared" si="12"/>
        <v>3.8032941434556822E-2</v>
      </c>
      <c r="S36" s="151">
        <f t="shared" si="12"/>
        <v>4.59795327686916E-2</v>
      </c>
      <c r="T36" s="151">
        <f t="shared" si="12"/>
        <v>7.8099579395199514E-2</v>
      </c>
      <c r="U36" s="151">
        <f t="shared" si="12"/>
        <v>9.1900192457399221E-3</v>
      </c>
      <c r="V36" s="151">
        <f t="shared" si="12"/>
        <v>6.8091840581138374E-2</v>
      </c>
      <c r="W36" s="151">
        <f t="shared" si="12"/>
        <v>5.7173674500435201E-2</v>
      </c>
      <c r="X36" s="151">
        <f t="shared" si="12"/>
        <v>3.8311079921447E-2</v>
      </c>
      <c r="Y36" s="151">
        <f t="shared" si="12"/>
        <v>2.711569817897308E-2</v>
      </c>
      <c r="Z36" s="151">
        <f t="shared" si="5"/>
        <v>4.5861099539790118E-2</v>
      </c>
      <c r="AA36" s="151">
        <f t="shared" si="6"/>
        <v>6.9189394250022351E-2</v>
      </c>
      <c r="AB36" s="151">
        <f t="shared" si="7"/>
        <v>4.2465846880722413E-2</v>
      </c>
      <c r="AC36" s="151">
        <f t="shared" si="8"/>
        <v>3.4191896359550666E-2</v>
      </c>
      <c r="AD36" s="35"/>
      <c r="AE36" s="35"/>
      <c r="AF36" s="35"/>
      <c r="AG36" s="35"/>
    </row>
    <row r="37" spans="1:45" x14ac:dyDescent="0.35">
      <c r="A37" s="141"/>
      <c r="B37" t="s">
        <v>1774</v>
      </c>
      <c r="D37" s="151">
        <f t="shared" ref="D37:Y37" si="13">(D15/C15)^(12)-1</f>
        <v>3.2938266631028057E-2</v>
      </c>
      <c r="E37" s="151">
        <f t="shared" si="13"/>
        <v>2.7644192136645263E-2</v>
      </c>
      <c r="F37" s="151">
        <f t="shared" si="13"/>
        <v>4.1858943940387805E-2</v>
      </c>
      <c r="G37" s="151">
        <f t="shared" si="13"/>
        <v>3.9216252076649472E-2</v>
      </c>
      <c r="H37" s="151">
        <f t="shared" si="13"/>
        <v>7.7351472587609216E-2</v>
      </c>
      <c r="I37" s="151">
        <f t="shared" si="13"/>
        <v>7.2917349757494865E-2</v>
      </c>
      <c r="J37" s="151">
        <f t="shared" si="13"/>
        <v>5.0954570797017595E-2</v>
      </c>
      <c r="K37" s="151">
        <f t="shared" si="13"/>
        <v>0.13212657821659612</v>
      </c>
      <c r="L37" s="151">
        <f t="shared" si="13"/>
        <v>9.1607223976764907E-2</v>
      </c>
      <c r="M37" s="151">
        <f t="shared" si="13"/>
        <v>7.9658361080225948E-2</v>
      </c>
      <c r="N37" s="151">
        <f t="shared" si="13"/>
        <v>3.8604886098567048E-2</v>
      </c>
      <c r="O37" s="151">
        <f t="shared" si="13"/>
        <v>0.10881760422644993</v>
      </c>
      <c r="P37" s="151">
        <f t="shared" si="13"/>
        <v>0.18615381389271946</v>
      </c>
      <c r="Q37" s="151">
        <f t="shared" si="13"/>
        <v>0.17642464112952694</v>
      </c>
      <c r="R37" s="151">
        <f t="shared" si="13"/>
        <v>0.1336786180791798</v>
      </c>
      <c r="S37" s="151">
        <f t="shared" si="13"/>
        <v>0.15771379938119745</v>
      </c>
      <c r="T37" s="151">
        <f t="shared" si="13"/>
        <v>0.12523398845374589</v>
      </c>
      <c r="U37" s="151">
        <f t="shared" si="13"/>
        <v>0.16431889623926255</v>
      </c>
      <c r="V37" s="151">
        <f t="shared" si="13"/>
        <v>9.6981521654441627E-2</v>
      </c>
      <c r="W37" s="151">
        <f t="shared" si="13"/>
        <v>7.692418537218737E-2</v>
      </c>
      <c r="X37" s="151">
        <f t="shared" si="13"/>
        <v>6.6218038443607519E-2</v>
      </c>
      <c r="Y37" s="151">
        <f t="shared" si="13"/>
        <v>6.0060957854831454E-2</v>
      </c>
      <c r="Z37" s="151">
        <f t="shared" si="5"/>
        <v>4.9301239244823991E-2</v>
      </c>
      <c r="AA37" s="151">
        <f t="shared" si="6"/>
        <v>4.8512742260487629E-2</v>
      </c>
      <c r="AB37" s="151">
        <f t="shared" si="7"/>
        <v>2.5852726189614428E-2</v>
      </c>
      <c r="AC37" s="151">
        <f t="shared" si="8"/>
        <v>-2.2835098931114461E-2</v>
      </c>
      <c r="AD37" s="35"/>
      <c r="AE37" s="35"/>
      <c r="AF37" s="35"/>
      <c r="AG37" s="35"/>
    </row>
    <row r="38" spans="1:45" x14ac:dyDescent="0.35">
      <c r="B38" t="s">
        <v>1776</v>
      </c>
      <c r="D38" s="151">
        <f t="shared" ref="D38:Y38" si="14">(D16/C16)^(12)-1</f>
        <v>0.72291569588284976</v>
      </c>
      <c r="E38" s="151">
        <f t="shared" si="14"/>
        <v>0.90652914977426202</v>
      </c>
      <c r="F38" s="151">
        <f t="shared" si="14"/>
        <v>-0.15058784271851389</v>
      </c>
      <c r="G38" s="151">
        <f t="shared" si="14"/>
        <v>8.2415570773829439E-2</v>
      </c>
      <c r="H38" s="151">
        <f t="shared" si="14"/>
        <v>0.288212400240214</v>
      </c>
      <c r="I38" s="151">
        <f t="shared" si="14"/>
        <v>0.21557014107504702</v>
      </c>
      <c r="J38" s="151">
        <f t="shared" si="14"/>
        <v>0.24101686665685773</v>
      </c>
      <c r="K38" s="151">
        <f t="shared" si="14"/>
        <v>0.15251650157315622</v>
      </c>
      <c r="L38" s="151">
        <f t="shared" si="14"/>
        <v>0.58970721346460908</v>
      </c>
      <c r="M38" s="151">
        <f t="shared" si="14"/>
        <v>0.36760042472255372</v>
      </c>
      <c r="N38" s="151">
        <f t="shared" si="14"/>
        <v>0.11505581871805415</v>
      </c>
      <c r="O38" s="151">
        <f t="shared" si="14"/>
        <v>0.13924164278085938</v>
      </c>
      <c r="P38" s="151">
        <f t="shared" si="14"/>
        <v>0.56395992753520474</v>
      </c>
      <c r="Q38" s="151">
        <f t="shared" si="14"/>
        <v>2.8844246570707157</v>
      </c>
      <c r="R38" s="151">
        <f t="shared" si="14"/>
        <v>-0.31338167549989293</v>
      </c>
      <c r="S38" s="151">
        <f t="shared" si="14"/>
        <v>0.59110874420150306</v>
      </c>
      <c r="T38" s="151">
        <f t="shared" si="14"/>
        <v>1.4194714937063813</v>
      </c>
      <c r="U38" s="151">
        <f t="shared" si="14"/>
        <v>-0.45413379038575985</v>
      </c>
      <c r="V38" s="151">
        <f t="shared" si="14"/>
        <v>-0.50057237216762762</v>
      </c>
      <c r="W38" s="151">
        <f t="shared" si="14"/>
        <v>-0.25306540672645772</v>
      </c>
      <c r="X38" s="151">
        <f t="shared" si="14"/>
        <v>0.3174926330617307</v>
      </c>
      <c r="Y38" s="151">
        <f t="shared" si="14"/>
        <v>-0.15416208358870942</v>
      </c>
      <c r="Z38" s="151">
        <f t="shared" si="5"/>
        <v>-0.35294353176183635</v>
      </c>
      <c r="AA38" s="151">
        <f t="shared" si="6"/>
        <v>0.25546966332679855</v>
      </c>
      <c r="AB38" s="151">
        <f t="shared" si="7"/>
        <v>-6.2551443476390634E-2</v>
      </c>
      <c r="AC38" s="151">
        <f t="shared" si="8"/>
        <v>-0.36463804889861851</v>
      </c>
      <c r="AD38" s="35"/>
      <c r="AE38" s="35"/>
      <c r="AF38" s="35"/>
      <c r="AG38" s="35"/>
    </row>
    <row r="39" spans="1:45" x14ac:dyDescent="0.35">
      <c r="B39" t="s">
        <v>1778</v>
      </c>
      <c r="D39" s="151">
        <f t="shared" ref="D39:Y39" si="15">(D17/C17)^(12)-1</f>
        <v>4.9558680616075268E-2</v>
      </c>
      <c r="E39" s="151">
        <f t="shared" si="15"/>
        <v>7.3057516618111329E-2</v>
      </c>
      <c r="F39" s="151">
        <f t="shared" si="15"/>
        <v>5.2460099709424668E-2</v>
      </c>
      <c r="G39" s="151">
        <f t="shared" si="15"/>
        <v>5.381520289141295E-2</v>
      </c>
      <c r="H39" s="151">
        <f t="shared" si="15"/>
        <v>6.1601799694704917E-2</v>
      </c>
      <c r="I39" s="151">
        <f t="shared" si="15"/>
        <v>5.7681609776136566E-2</v>
      </c>
      <c r="J39" s="151">
        <f t="shared" si="15"/>
        <v>4.38284003771372E-2</v>
      </c>
      <c r="K39" s="151">
        <f t="shared" si="15"/>
        <v>3.4557210756703594E-2</v>
      </c>
      <c r="L39" s="151">
        <f t="shared" si="15"/>
        <v>8.2095552588947074E-2</v>
      </c>
      <c r="M39" s="151">
        <f t="shared" si="15"/>
        <v>6.5737761414305318E-2</v>
      </c>
      <c r="N39" s="151">
        <f t="shared" si="15"/>
        <v>6.4384017739507859E-2</v>
      </c>
      <c r="O39" s="151">
        <f t="shared" si="15"/>
        <v>7.2983192326654178E-2</v>
      </c>
      <c r="P39" s="151">
        <f t="shared" si="15"/>
        <v>9.2871760771986445E-2</v>
      </c>
      <c r="Q39" s="151">
        <f t="shared" si="15"/>
        <v>0.13826855618806144</v>
      </c>
      <c r="R39" s="151">
        <f t="shared" si="15"/>
        <v>1.8616650926342571E-2</v>
      </c>
      <c r="S39" s="151">
        <f t="shared" si="15"/>
        <v>8.4202927885562273E-2</v>
      </c>
      <c r="T39" s="151">
        <f t="shared" si="15"/>
        <v>0.13505054386395821</v>
      </c>
      <c r="U39" s="151">
        <f t="shared" si="15"/>
        <v>-1.9888782007158046E-3</v>
      </c>
      <c r="V39" s="151">
        <f t="shared" si="15"/>
        <v>1.8775735947116345E-2</v>
      </c>
      <c r="W39" s="151">
        <f t="shared" si="15"/>
        <v>3.6067570244965097E-2</v>
      </c>
      <c r="X39" s="151">
        <f t="shared" si="15"/>
        <v>5.8079358130883163E-2</v>
      </c>
      <c r="Y39" s="151">
        <f t="shared" si="15"/>
        <v>8.714830090509107E-3</v>
      </c>
      <c r="Z39" s="151">
        <f t="shared" si="5"/>
        <v>2.3813658492676471E-2</v>
      </c>
      <c r="AA39" s="151">
        <f t="shared" si="6"/>
        <v>6.887957581333648E-2</v>
      </c>
      <c r="AB39" s="151">
        <f t="shared" si="7"/>
        <v>4.1972791287924194E-2</v>
      </c>
      <c r="AC39" s="151">
        <f t="shared" si="8"/>
        <v>1.7393792285151699E-2</v>
      </c>
      <c r="AD39" s="35"/>
      <c r="AE39" s="35"/>
      <c r="AF39" s="35"/>
      <c r="AG39" s="35"/>
    </row>
    <row r="40" spans="1:45" x14ac:dyDescent="0.35">
      <c r="B40" t="s">
        <v>1780</v>
      </c>
      <c r="D40" s="151">
        <f t="shared" ref="D40:Y40" si="16">(D18/C18)^(12)-1</f>
        <v>2.6306911733675387E-2</v>
      </c>
      <c r="E40" s="151">
        <f t="shared" si="16"/>
        <v>4.7075720782800756E-2</v>
      </c>
      <c r="F40" s="151">
        <f t="shared" si="16"/>
        <v>6.4735241863618675E-2</v>
      </c>
      <c r="G40" s="151">
        <f t="shared" si="16"/>
        <v>5.3863730770375762E-2</v>
      </c>
      <c r="H40" s="151">
        <f t="shared" si="16"/>
        <v>4.9415026420108532E-2</v>
      </c>
      <c r="I40" s="151">
        <f t="shared" si="16"/>
        <v>4.8442163355395973E-2</v>
      </c>
      <c r="J40" s="151">
        <f t="shared" si="16"/>
        <v>3.3445689362926245E-2</v>
      </c>
      <c r="K40" s="151">
        <f t="shared" si="16"/>
        <v>1.9209551763710087E-2</v>
      </c>
      <c r="L40" s="151">
        <f t="shared" si="16"/>
        <v>5.8661895401922237E-2</v>
      </c>
      <c r="M40" s="151">
        <f t="shared" si="16"/>
        <v>4.9648293347485994E-2</v>
      </c>
      <c r="N40" s="151">
        <f t="shared" si="16"/>
        <v>6.4148804110846225E-2</v>
      </c>
      <c r="O40" s="151">
        <f t="shared" si="16"/>
        <v>6.5881113028707583E-2</v>
      </c>
      <c r="P40" s="151">
        <f t="shared" si="16"/>
        <v>6.1834779954741403E-2</v>
      </c>
      <c r="Q40" s="151">
        <f t="shared" si="16"/>
        <v>5.1972875017657572E-2</v>
      </c>
      <c r="R40" s="151">
        <f t="shared" si="16"/>
        <v>3.3709236066195469E-2</v>
      </c>
      <c r="S40" s="151">
        <f t="shared" si="16"/>
        <v>5.1178679027768181E-2</v>
      </c>
      <c r="T40" s="151">
        <f t="shared" si="16"/>
        <v>8.0351418460051338E-2</v>
      </c>
      <c r="U40" s="151">
        <f t="shared" si="16"/>
        <v>2.3593165612588507E-2</v>
      </c>
      <c r="V40" s="151">
        <f t="shared" si="16"/>
        <v>5.7661583960296747E-2</v>
      </c>
      <c r="W40" s="151">
        <f t="shared" si="16"/>
        <v>5.2682145345352538E-2</v>
      </c>
      <c r="X40" s="151">
        <f t="shared" si="16"/>
        <v>4.3452572123945599E-2</v>
      </c>
      <c r="Y40" s="151">
        <f t="shared" si="16"/>
        <v>1.4312096046469325E-2</v>
      </c>
      <c r="Z40" s="151">
        <f t="shared" si="5"/>
        <v>4.8896677693878621E-2</v>
      </c>
      <c r="AA40" s="151">
        <f t="shared" si="6"/>
        <v>6.1078147136428562E-2</v>
      </c>
      <c r="AB40" s="151">
        <f t="shared" si="7"/>
        <v>4.957652046263239E-2</v>
      </c>
      <c r="AC40" s="151">
        <f t="shared" si="8"/>
        <v>4.8253826499659702E-2</v>
      </c>
      <c r="AD40" s="35"/>
      <c r="AE40" s="35"/>
      <c r="AF40" s="35"/>
      <c r="AG40" s="35"/>
    </row>
    <row r="43" spans="1:45" x14ac:dyDescent="0.35">
      <c r="B43" s="152"/>
      <c r="C43" s="152"/>
      <c r="D43" s="152"/>
      <c r="E43" s="152"/>
      <c r="F43" s="152"/>
      <c r="G43" s="152"/>
      <c r="H43" s="152"/>
      <c r="I43" s="152"/>
      <c r="J43" s="152"/>
      <c r="K43" s="152"/>
      <c r="L43" s="152"/>
      <c r="M43" s="152"/>
      <c r="N43" s="152"/>
      <c r="O43" s="152"/>
      <c r="P43" s="152"/>
      <c r="Q43" s="1312" t="s">
        <v>1786</v>
      </c>
      <c r="R43" s="1312"/>
      <c r="S43" s="1312"/>
      <c r="T43" s="1312"/>
      <c r="U43" s="1312"/>
      <c r="V43" s="1312"/>
      <c r="W43" s="1312"/>
      <c r="X43" s="1312"/>
      <c r="Y43" s="1312"/>
      <c r="Z43" s="1312"/>
      <c r="AA43" s="1312"/>
      <c r="AB43" s="1312"/>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10">
        <v>2021</v>
      </c>
      <c r="T44" s="1311"/>
      <c r="U44" s="1311"/>
      <c r="V44" s="1311"/>
      <c r="W44" s="1311">
        <v>2022</v>
      </c>
      <c r="X44" s="1311"/>
      <c r="Y44" s="1311"/>
      <c r="Z44" s="1311"/>
      <c r="AA44" s="166">
        <v>2023</v>
      </c>
      <c r="AB44" s="166">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9" t="s">
        <v>283</v>
      </c>
      <c r="T45" s="140" t="s">
        <v>284</v>
      </c>
      <c r="U45" s="140" t="s">
        <v>238</v>
      </c>
      <c r="V45" s="140" t="s">
        <v>282</v>
      </c>
      <c r="W45" s="140" t="s">
        <v>283</v>
      </c>
      <c r="X45" s="140" t="s">
        <v>284</v>
      </c>
      <c r="Y45" s="140" t="s">
        <v>238</v>
      </c>
      <c r="Z45" s="146" t="s">
        <v>282</v>
      </c>
      <c r="AA45" s="140" t="s">
        <v>283</v>
      </c>
      <c r="AB45" s="140"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5">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6">
        <f>AVERAGE(X8:Z8)</f>
        <v>124.902</v>
      </c>
      <c r="AA46" s="156">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12" t="s">
        <v>1787</v>
      </c>
      <c r="R48" s="1312"/>
      <c r="S48" s="1312"/>
      <c r="T48" s="1312"/>
      <c r="U48" s="1312"/>
      <c r="V48" s="1312"/>
      <c r="W48" s="1312"/>
      <c r="X48" s="1312"/>
      <c r="Y48" s="1312"/>
      <c r="Z48" s="1312"/>
      <c r="AA48" s="1312"/>
      <c r="AB48" s="1312"/>
    </row>
    <row r="49" spans="2:29" ht="43.5" customHeight="1" x14ac:dyDescent="0.35">
      <c r="B49" s="35"/>
      <c r="C49" s="136"/>
      <c r="D49" s="136"/>
      <c r="E49" s="136"/>
      <c r="F49" s="136"/>
      <c r="G49" s="136"/>
      <c r="H49" s="136"/>
      <c r="S49" s="1310">
        <v>2021</v>
      </c>
      <c r="T49" s="1311"/>
      <c r="U49" s="1311"/>
      <c r="V49" s="1311"/>
      <c r="W49" s="1311">
        <v>2022</v>
      </c>
      <c r="X49" s="1311"/>
      <c r="Y49" s="1311"/>
      <c r="Z49" s="1311"/>
      <c r="AA49" s="166">
        <v>2023</v>
      </c>
      <c r="AB49" s="158">
        <v>2023</v>
      </c>
      <c r="AC49" s="14" t="s">
        <v>1896</v>
      </c>
    </row>
    <row r="50" spans="2:29" x14ac:dyDescent="0.35">
      <c r="B50" s="35"/>
      <c r="C50" s="35"/>
      <c r="D50" s="35"/>
      <c r="E50" s="35"/>
      <c r="F50" s="35"/>
      <c r="G50" s="35"/>
      <c r="H50" s="35"/>
      <c r="S50" s="149" t="s">
        <v>283</v>
      </c>
      <c r="T50" s="140" t="s">
        <v>284</v>
      </c>
      <c r="U50" s="140" t="s">
        <v>238</v>
      </c>
      <c r="V50" s="140" t="s">
        <v>282</v>
      </c>
      <c r="W50" s="140" t="s">
        <v>283</v>
      </c>
      <c r="X50" s="140" t="s">
        <v>284</v>
      </c>
      <c r="Y50" s="140" t="s">
        <v>238</v>
      </c>
      <c r="Z50" s="146" t="s">
        <v>282</v>
      </c>
      <c r="AA50" s="140" t="s">
        <v>283</v>
      </c>
      <c r="AB50" s="148" t="s">
        <v>284</v>
      </c>
    </row>
    <row r="51" spans="2:29" x14ac:dyDescent="0.35">
      <c r="B51" s="35"/>
      <c r="C51" s="35"/>
      <c r="D51" s="35"/>
      <c r="E51" s="35"/>
      <c r="F51" s="35"/>
      <c r="G51" s="35"/>
      <c r="H51" s="35"/>
      <c r="S51" s="21"/>
      <c r="T51" s="161">
        <f t="shared" ref="T51:Y51" si="17">(T46/S46)^4-1</f>
        <v>6.4466715030665034E-2</v>
      </c>
      <c r="U51" s="161">
        <f t="shared" si="17"/>
        <v>5.5974491632073686E-2</v>
      </c>
      <c r="V51" s="161">
        <f t="shared" si="17"/>
        <v>6.1883793652025565E-2</v>
      </c>
      <c r="W51" s="161">
        <f t="shared" si="17"/>
        <v>7.4760879860437557E-2</v>
      </c>
      <c r="X51" s="161">
        <f t="shared" si="17"/>
        <v>7.2910717592092666E-2</v>
      </c>
      <c r="Y51" s="161">
        <f t="shared" si="17"/>
        <v>4.3189354230043886E-2</v>
      </c>
      <c r="Z51" s="162">
        <f>(Z46/Y46)^4-1</f>
        <v>3.7435360189279843E-2</v>
      </c>
      <c r="AA51" s="162">
        <f>(AA46/Z46)^4-1</f>
        <v>4.1648600597020913E-2</v>
      </c>
      <c r="AB51" s="162">
        <f>(AB46/AA46)^4-1</f>
        <v>2.1086604151099309E-2</v>
      </c>
      <c r="AC51" s="167">
        <f>Deflators!V12</f>
        <v>2.5185688988090593E-2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
  <sheetViews>
    <sheetView topLeftCell="A10" workbookViewId="0">
      <selection activeCell="B16" sqref="B16"/>
    </sheetView>
  </sheetViews>
  <sheetFormatPr defaultColWidth="10.90625" defaultRowHeight="14.5" x14ac:dyDescent="0.35"/>
  <cols>
    <col min="1" max="1" width="33" customWidth="1"/>
    <col min="2" max="2" width="27.1796875" customWidth="1"/>
  </cols>
  <sheetData>
    <row r="1" spans="1:22" x14ac:dyDescent="0.35">
      <c r="A1" s="75" t="s">
        <v>178</v>
      </c>
      <c r="B1" s="75" t="s">
        <v>179</v>
      </c>
      <c r="C1" s="169" t="s">
        <v>247</v>
      </c>
      <c r="D1" s="169" t="s">
        <v>248</v>
      </c>
      <c r="E1" s="169" t="s">
        <v>249</v>
      </c>
      <c r="F1" s="169" t="s">
        <v>250</v>
      </c>
      <c r="G1" s="75" t="s">
        <v>251</v>
      </c>
      <c r="H1" s="75" t="s">
        <v>180</v>
      </c>
      <c r="I1" s="75" t="s">
        <v>181</v>
      </c>
      <c r="J1" s="75" t="s">
        <v>182</v>
      </c>
      <c r="K1" s="75" t="s">
        <v>183</v>
      </c>
      <c r="L1" s="97" t="s">
        <v>184</v>
      </c>
      <c r="M1" s="97" t="s">
        <v>185</v>
      </c>
      <c r="N1" s="97" t="s">
        <v>186</v>
      </c>
      <c r="O1" s="97" t="s">
        <v>187</v>
      </c>
      <c r="P1" s="97"/>
      <c r="Q1" s="97"/>
      <c r="R1" s="97"/>
      <c r="S1" s="97"/>
      <c r="T1" s="97"/>
      <c r="U1" s="97"/>
      <c r="V1" s="97"/>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35">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35">
        <f>'Social Benefits'!V33</f>
        <v>1948.9840000000002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row>
    <row r="6" spans="1:22" x14ac:dyDescent="0.35">
      <c r="A6" s="35" t="s">
        <v>201</v>
      </c>
      <c r="B6" s="35" t="s">
        <v>832</v>
      </c>
      <c r="C6" s="170">
        <f>Subsidies!J45</f>
        <v>0</v>
      </c>
      <c r="D6" s="170">
        <f>Subsidies!K45</f>
        <v>0</v>
      </c>
      <c r="E6" s="170">
        <f>Subsidies!L45</f>
        <v>0</v>
      </c>
      <c r="F6" s="170">
        <f>Subsidies!M45</f>
        <v>0</v>
      </c>
      <c r="G6" s="170">
        <f>Subsidies!N45</f>
        <v>58.782959999999989</v>
      </c>
      <c r="H6" s="170">
        <f>Subsidies!O45</f>
        <v>267.78904</v>
      </c>
      <c r="I6" s="170">
        <f>Subsidies!P45</f>
        <v>110.24799999999999</v>
      </c>
      <c r="J6" s="170">
        <f>Subsidies!Q45</f>
        <v>110.24799999999999</v>
      </c>
      <c r="K6" s="170">
        <f>Subsidies!R45</f>
        <v>110.24799999999999</v>
      </c>
      <c r="L6" s="170">
        <f>Subsidies!S45</f>
        <v>110.24799999999999</v>
      </c>
      <c r="M6" s="170">
        <f>Subsidies!T45</f>
        <v>12.726000000000001</v>
      </c>
      <c r="N6" s="170">
        <f>Subsidies!U45</f>
        <v>12.726000000000001</v>
      </c>
      <c r="O6" s="170">
        <f>Subsidies!V45</f>
        <v>12.726000000000001</v>
      </c>
    </row>
    <row r="7" spans="1:22" ht="29.15" customHeight="1" x14ac:dyDescent="0.35">
      <c r="A7" s="14" t="s">
        <v>871</v>
      </c>
      <c r="B7" t="s">
        <v>869</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row>
    <row r="8" spans="1:22" x14ac:dyDescent="0.35">
      <c r="A8" t="s">
        <v>872</v>
      </c>
      <c r="B8" t="s">
        <v>870</v>
      </c>
      <c r="C8" s="35"/>
      <c r="D8" s="35"/>
      <c r="E8" s="35"/>
      <c r="F8" s="35"/>
      <c r="G8" s="35"/>
      <c r="H8" s="35"/>
      <c r="J8" s="168"/>
      <c r="K8" s="168"/>
      <c r="L8" s="168"/>
      <c r="M8" s="168"/>
      <c r="N8" s="168" t="e">
        <f>forecast!#REF!</f>
        <v>#REF!</v>
      </c>
      <c r="O8" s="168"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35">
        <f>Grants!V94</f>
        <v>76.15900000000002</v>
      </c>
    </row>
    <row r="10" spans="1:22" x14ac:dyDescent="0.35">
      <c r="A10" t="s">
        <v>1996</v>
      </c>
      <c r="B10" t="s">
        <v>1997</v>
      </c>
      <c r="C10">
        <v>0</v>
      </c>
      <c r="D10">
        <v>0</v>
      </c>
      <c r="E10">
        <v>0</v>
      </c>
      <c r="F10">
        <v>0</v>
      </c>
      <c r="G10">
        <v>0</v>
      </c>
      <c r="H10">
        <v>0</v>
      </c>
      <c r="I10">
        <v>0</v>
      </c>
      <c r="J10">
        <v>0</v>
      </c>
      <c r="K10">
        <v>0</v>
      </c>
      <c r="L10">
        <f>'Supply Side IRA'!S14</f>
        <v>14.140183092830039</v>
      </c>
      <c r="M10">
        <f>'Supply Side IRA'!T14</f>
        <v>16.232875363175264</v>
      </c>
      <c r="N10">
        <f>'Supply Side IRA'!U14</f>
        <v>41.630567521224542</v>
      </c>
      <c r="O10">
        <f>'Supply Side IRA'!V14</f>
        <v>76.269574827449588</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90625" defaultRowHeight="14.5" x14ac:dyDescent="0.35"/>
  <cols>
    <col min="1" max="1" width="32.81640625" customWidth="1"/>
    <col min="2" max="2" width="28.54296875" customWidth="1"/>
  </cols>
  <sheetData>
    <row r="1" spans="1:9" x14ac:dyDescent="0.35">
      <c r="A1" s="75" t="s">
        <v>178</v>
      </c>
      <c r="B1" s="75" t="s">
        <v>179</v>
      </c>
      <c r="C1" s="76" t="s">
        <v>188</v>
      </c>
      <c r="D1" s="76" t="s">
        <v>189</v>
      </c>
      <c r="E1" s="76" t="s">
        <v>190</v>
      </c>
      <c r="F1" s="76" t="s">
        <v>191</v>
      </c>
      <c r="G1" s="76" t="s">
        <v>175</v>
      </c>
      <c r="H1" s="76" t="s">
        <v>176</v>
      </c>
      <c r="I1" s="76" t="s">
        <v>177</v>
      </c>
    </row>
    <row r="2" spans="1:9" x14ac:dyDescent="0.35">
      <c r="A2" s="73" t="s">
        <v>1715</v>
      </c>
      <c r="B2" t="s">
        <v>1733</v>
      </c>
      <c r="C2" s="74">
        <f>Deflators!W23</f>
        <v>7.4257226294367484E-3</v>
      </c>
      <c r="D2" s="74">
        <f>Deflators!X23</f>
        <v>7.5775395208279583E-3</v>
      </c>
      <c r="E2" s="74">
        <f>Deflators!Y23</f>
        <v>6.9500583978272523E-3</v>
      </c>
      <c r="F2" s="74">
        <f>Deflators!Z23</f>
        <v>6.132782549199689E-3</v>
      </c>
      <c r="G2" s="74">
        <f>Deflators!AA23</f>
        <v>6.263939117848949E-3</v>
      </c>
      <c r="H2" s="74">
        <f>Deflators!AB23</f>
        <v>6.011374998392105E-3</v>
      </c>
      <c r="I2" s="74">
        <f>Deflators!AC23</f>
        <v>5.7158459107606863E-3</v>
      </c>
    </row>
    <row r="3" spans="1:9" x14ac:dyDescent="0.35">
      <c r="A3" s="47" t="s">
        <v>1729</v>
      </c>
      <c r="B3" t="s">
        <v>1734</v>
      </c>
      <c r="C3" s="74">
        <f>Deflators!W24</f>
        <v>8.3408836523570784E-3</v>
      </c>
      <c r="D3" s="74">
        <f>Deflators!X24</f>
        <v>7.163433706472544E-3</v>
      </c>
      <c r="E3" s="74">
        <f>Deflators!Y24</f>
        <v>7.215874096539121E-3</v>
      </c>
      <c r="F3" s="74">
        <f>Deflators!Z24</f>
        <v>6.6582050868881915E-3</v>
      </c>
      <c r="G3" s="74">
        <f>Deflators!AA24</f>
        <v>6.898570281810068E-3</v>
      </c>
      <c r="H3" s="74">
        <f>Deflators!AB24</f>
        <v>6.6455960621367716E-3</v>
      </c>
      <c r="I3" s="74">
        <f>Deflators!AC24</f>
        <v>6.2848398732100463E-3</v>
      </c>
    </row>
    <row r="4" spans="1:9" x14ac:dyDescent="0.35">
      <c r="A4" s="47" t="s">
        <v>1730</v>
      </c>
      <c r="B4" t="s">
        <v>1735</v>
      </c>
      <c r="C4" s="74">
        <f>Deflators!W25</f>
        <v>6.3474135208028137E-3</v>
      </c>
      <c r="D4" s="74">
        <f>Deflators!X25</f>
        <v>7.5761167015020447E-3</v>
      </c>
      <c r="E4" s="74">
        <f>Deflators!Y25</f>
        <v>8.2337423954825795E-3</v>
      </c>
      <c r="F4" s="74">
        <f>Deflators!Z25</f>
        <v>7.58917652918778E-3</v>
      </c>
      <c r="G4" s="74">
        <f>Deflators!AA25</f>
        <v>7.2839918058120734E-3</v>
      </c>
      <c r="H4" s="74">
        <f>Deflators!AB25</f>
        <v>7.123968633533817E-3</v>
      </c>
      <c r="I4" s="74">
        <f>Deflators!AC25</f>
        <v>7.2694683660272652E-3</v>
      </c>
    </row>
    <row r="5" spans="1:9" x14ac:dyDescent="0.35">
      <c r="A5" s="47" t="s">
        <v>1731</v>
      </c>
      <c r="B5" t="s">
        <v>1736</v>
      </c>
      <c r="C5" s="74">
        <f>Deflators!W26</f>
        <v>6.3474135208028137E-3</v>
      </c>
      <c r="D5" s="74">
        <f>Deflators!X26</f>
        <v>7.5761167015020447E-3</v>
      </c>
      <c r="E5" s="74">
        <f>Deflators!Y26</f>
        <v>8.2337423954825795E-3</v>
      </c>
      <c r="F5" s="74">
        <f>Deflators!Z26</f>
        <v>7.58917652918778E-3</v>
      </c>
      <c r="G5" s="74">
        <f>Deflators!AA26</f>
        <v>7.2839918058120734E-3</v>
      </c>
      <c r="H5" s="74">
        <f>Deflators!AB26</f>
        <v>7.123968633533817E-3</v>
      </c>
      <c r="I5" s="74">
        <f>Deflators!AC26</f>
        <v>7.2694683660272652E-3</v>
      </c>
    </row>
    <row r="6" spans="1:9" x14ac:dyDescent="0.35">
      <c r="A6" s="35" t="s">
        <v>1732</v>
      </c>
      <c r="B6" t="s">
        <v>1737</v>
      </c>
      <c r="C6" s="74">
        <f>Deflators!W27</f>
        <v>6.3474135208028137E-3</v>
      </c>
      <c r="D6" s="74">
        <f>Deflators!X27</f>
        <v>7.5761167015020447E-3</v>
      </c>
      <c r="E6" s="74">
        <f>Deflators!Y27</f>
        <v>8.2337423954825795E-3</v>
      </c>
      <c r="F6" s="74">
        <f>Deflators!Z27</f>
        <v>7.58917652918778E-3</v>
      </c>
      <c r="G6" s="74">
        <f>Deflators!AA27</f>
        <v>7.2839918058120734E-3</v>
      </c>
      <c r="H6" s="74">
        <f>Deflators!AB27</f>
        <v>7.123968633533817E-3</v>
      </c>
      <c r="I6" s="74">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313" t="s">
        <v>254</v>
      </c>
      <c r="B1" s="1313"/>
      <c r="C1" s="1313"/>
      <c r="D1" s="1313"/>
      <c r="E1" s="1313"/>
      <c r="F1" s="1313"/>
      <c r="G1" s="1313"/>
      <c r="H1" s="1313"/>
      <c r="I1" s="1313"/>
      <c r="J1" s="1313"/>
      <c r="K1" s="1313"/>
      <c r="L1" s="1313"/>
      <c r="M1" s="1313"/>
      <c r="N1" s="1313"/>
      <c r="O1" s="1313"/>
    </row>
    <row r="2" spans="1:45" ht="31.4" customHeight="1" x14ac:dyDescent="0.35">
      <c r="A2" s="171"/>
      <c r="B2" s="171" t="s">
        <v>179</v>
      </c>
      <c r="C2" s="177">
        <v>1</v>
      </c>
      <c r="D2" s="177">
        <f>C2+1</f>
        <v>2</v>
      </c>
      <c r="E2" s="177">
        <f t="shared" ref="E2:N2" si="0">D2+1</f>
        <v>3</v>
      </c>
      <c r="F2" s="177">
        <f t="shared" si="0"/>
        <v>4</v>
      </c>
      <c r="G2" s="177">
        <f t="shared" si="0"/>
        <v>5</v>
      </c>
      <c r="H2" s="177">
        <f t="shared" si="0"/>
        <v>6</v>
      </c>
      <c r="I2" s="177">
        <f t="shared" si="0"/>
        <v>7</v>
      </c>
      <c r="J2" s="177">
        <f t="shared" si="0"/>
        <v>8</v>
      </c>
      <c r="K2" s="177">
        <f t="shared" si="0"/>
        <v>9</v>
      </c>
      <c r="L2" s="177">
        <f t="shared" si="0"/>
        <v>10</v>
      </c>
      <c r="M2" s="177">
        <f t="shared" si="0"/>
        <v>11</v>
      </c>
      <c r="N2" s="177">
        <f t="shared" si="0"/>
        <v>12</v>
      </c>
      <c r="O2" s="175" t="s">
        <v>255</v>
      </c>
    </row>
    <row r="3" spans="1:45" ht="15.65" customHeight="1" x14ac:dyDescent="0.35">
      <c r="A3" s="172" t="s">
        <v>256</v>
      </c>
      <c r="B3" s="172" t="s">
        <v>257</v>
      </c>
      <c r="C3" s="74">
        <v>0.22500000000000001</v>
      </c>
      <c r="D3" s="74">
        <v>0.22500000000000001</v>
      </c>
      <c r="E3" s="74">
        <v>0.22500000000000001</v>
      </c>
      <c r="F3" s="74">
        <v>0.22500000000000001</v>
      </c>
      <c r="G3" s="178">
        <v>0</v>
      </c>
      <c r="H3" s="178">
        <v>0</v>
      </c>
      <c r="I3" s="178">
        <v>0</v>
      </c>
      <c r="J3" s="178">
        <v>0</v>
      </c>
      <c r="K3" s="178">
        <v>0</v>
      </c>
      <c r="L3" s="178">
        <v>0</v>
      </c>
      <c r="M3" s="178">
        <v>0</v>
      </c>
      <c r="N3" s="178">
        <v>0</v>
      </c>
      <c r="O3" s="176">
        <f>SUM(C3:N3)</f>
        <v>0.9</v>
      </c>
      <c r="P3" s="74"/>
      <c r="Q3" s="74"/>
      <c r="R3" s="74"/>
      <c r="S3" s="74"/>
      <c r="T3" s="178"/>
      <c r="U3" s="178"/>
      <c r="V3" s="178"/>
      <c r="W3" s="178"/>
      <c r="X3" s="178"/>
      <c r="Y3" s="178"/>
      <c r="Z3" s="178"/>
      <c r="AA3" s="178"/>
      <c r="AC3" s="70"/>
      <c r="AD3" s="70"/>
      <c r="AE3" s="70"/>
      <c r="AF3" s="70"/>
      <c r="AG3" s="70"/>
      <c r="AH3" s="70"/>
      <c r="AI3" s="70"/>
      <c r="AJ3" s="70"/>
      <c r="AK3" s="70"/>
      <c r="AL3" s="70"/>
      <c r="AM3" s="70"/>
      <c r="AN3" s="70"/>
      <c r="AO3" s="70"/>
      <c r="AP3" s="70"/>
      <c r="AQ3" s="70"/>
      <c r="AR3" s="70"/>
      <c r="AS3" s="70"/>
    </row>
    <row r="4" spans="1:45" ht="15.65" customHeight="1" x14ac:dyDescent="0.35">
      <c r="A4" s="174" t="s">
        <v>258</v>
      </c>
      <c r="B4" s="174" t="s">
        <v>259</v>
      </c>
      <c r="C4" s="74">
        <v>-3.3333333333333333E-2</v>
      </c>
      <c r="D4" s="74">
        <v>-3.3333333333333333E-2</v>
      </c>
      <c r="E4" s="74">
        <v>-3.3333333333333333E-2</v>
      </c>
      <c r="F4" s="74">
        <v>-3.3333333333333333E-2</v>
      </c>
      <c r="G4" s="74">
        <v>-3.3333333333333333E-2</v>
      </c>
      <c r="H4" s="74">
        <v>-3.3333333333333333E-2</v>
      </c>
      <c r="I4" s="74">
        <v>-3.3333333333333333E-2</v>
      </c>
      <c r="J4" s="74">
        <v>-3.3333333333333333E-2</v>
      </c>
      <c r="K4" s="74">
        <v>-3.3333333333333333E-2</v>
      </c>
      <c r="L4" s="74">
        <v>-3.3333333333333333E-2</v>
      </c>
      <c r="M4" s="74">
        <v>-3.3333333333333333E-2</v>
      </c>
      <c r="N4" s="74">
        <v>-3.3333333333333333E-2</v>
      </c>
      <c r="O4" s="176">
        <f>SUM(C4:N4)</f>
        <v>-0.39999999999999997</v>
      </c>
      <c r="P4" s="74"/>
      <c r="Q4" s="74"/>
      <c r="R4" s="74"/>
      <c r="S4" s="74"/>
      <c r="T4" s="74"/>
      <c r="U4" s="74"/>
      <c r="V4" s="74"/>
      <c r="W4" s="74"/>
      <c r="X4" s="74"/>
      <c r="Y4" s="74"/>
      <c r="Z4" s="74"/>
      <c r="AA4" s="74"/>
      <c r="AC4" s="70"/>
      <c r="AD4" s="70"/>
      <c r="AE4" s="70"/>
      <c r="AF4" s="70"/>
      <c r="AG4" s="70"/>
      <c r="AH4" s="70"/>
      <c r="AI4" s="70"/>
      <c r="AJ4" s="70"/>
      <c r="AK4" s="70"/>
      <c r="AL4" s="70"/>
      <c r="AM4" s="70"/>
      <c r="AN4" s="70"/>
    </row>
    <row r="5" spans="1:45" ht="15.65" customHeight="1" x14ac:dyDescent="0.35">
      <c r="A5" s="174" t="s">
        <v>260</v>
      </c>
      <c r="B5" s="174" t="s">
        <v>261</v>
      </c>
      <c r="C5" s="74">
        <v>-0.12</v>
      </c>
      <c r="D5" s="74">
        <v>-0.12</v>
      </c>
      <c r="E5" s="74">
        <v>-0.06</v>
      </c>
      <c r="F5" s="74">
        <v>-0.06</v>
      </c>
      <c r="G5" s="74">
        <v>-0.06</v>
      </c>
      <c r="H5" s="74">
        <v>-0.06</v>
      </c>
      <c r="I5" s="74">
        <v>-0.06</v>
      </c>
      <c r="J5" s="74">
        <v>-0.06</v>
      </c>
      <c r="K5" s="74">
        <v>0</v>
      </c>
      <c r="L5" s="74">
        <v>0</v>
      </c>
      <c r="M5" s="74">
        <v>0</v>
      </c>
      <c r="N5" s="74">
        <v>0</v>
      </c>
      <c r="O5" s="176">
        <f t="shared" ref="O5:O13" si="1">SUM(C5:N5)</f>
        <v>-0.60000000000000009</v>
      </c>
      <c r="P5" s="74"/>
      <c r="Q5" s="74"/>
      <c r="R5" s="74"/>
      <c r="S5" s="74"/>
      <c r="T5" s="74"/>
      <c r="U5" s="74"/>
      <c r="V5" s="74"/>
      <c r="W5" s="74"/>
      <c r="X5" s="74"/>
      <c r="Y5" s="74"/>
      <c r="Z5" s="74"/>
      <c r="AA5" s="74"/>
      <c r="AC5" s="70"/>
      <c r="AD5" s="70"/>
      <c r="AE5" s="70"/>
      <c r="AF5" s="70"/>
      <c r="AG5" s="70"/>
      <c r="AH5" s="70"/>
      <c r="AI5" s="70"/>
      <c r="AJ5" s="70"/>
      <c r="AK5" s="70"/>
      <c r="AL5" s="70"/>
      <c r="AM5" s="70"/>
      <c r="AN5" s="70"/>
    </row>
    <row r="6" spans="1:45" ht="15.65" customHeight="1" x14ac:dyDescent="0.35">
      <c r="A6" s="172" t="s">
        <v>262</v>
      </c>
      <c r="B6" s="172" t="s">
        <v>213</v>
      </c>
      <c r="C6" s="74">
        <v>0.24499999999999997</v>
      </c>
      <c r="D6" s="74">
        <v>0.105</v>
      </c>
      <c r="E6" s="74">
        <v>5.5999999999999994E-2</v>
      </c>
      <c r="F6" s="74">
        <v>5.5999999999999994E-2</v>
      </c>
      <c r="G6" s="74">
        <v>5.5999999999999994E-2</v>
      </c>
      <c r="H6" s="74">
        <v>5.5999999999999994E-2</v>
      </c>
      <c r="I6" s="74">
        <v>5.5999999999999994E-2</v>
      </c>
      <c r="J6" s="74">
        <v>5.5999999999999994E-2</v>
      </c>
      <c r="K6" s="74">
        <v>0</v>
      </c>
      <c r="L6" s="74">
        <v>0</v>
      </c>
      <c r="M6" s="74">
        <v>0</v>
      </c>
      <c r="N6" s="74">
        <v>0</v>
      </c>
      <c r="O6" s="176">
        <f t="shared" si="1"/>
        <v>0.68600000000000017</v>
      </c>
      <c r="P6" s="74"/>
      <c r="Q6" s="74"/>
      <c r="R6" s="74"/>
      <c r="S6" s="74"/>
      <c r="T6" s="74"/>
      <c r="U6" s="74"/>
      <c r="V6" s="74"/>
      <c r="W6" s="74"/>
      <c r="X6" s="74"/>
      <c r="Y6" s="74"/>
      <c r="Z6" s="74"/>
      <c r="AA6" s="74"/>
      <c r="AC6" s="70"/>
      <c r="AD6" s="70"/>
      <c r="AE6" s="70"/>
      <c r="AF6" s="70"/>
      <c r="AG6" s="70"/>
      <c r="AH6" s="70"/>
      <c r="AI6" s="70"/>
      <c r="AJ6" s="70"/>
      <c r="AK6" s="70"/>
      <c r="AL6" s="70"/>
      <c r="AM6" s="70"/>
      <c r="AN6" s="70"/>
    </row>
    <row r="7" spans="1:45" ht="15.65" customHeight="1" x14ac:dyDescent="0.35">
      <c r="A7" s="172" t="s">
        <v>263</v>
      </c>
      <c r="B7" s="172" t="s">
        <v>264</v>
      </c>
      <c r="C7" s="74">
        <v>0.315</v>
      </c>
      <c r="D7" s="74">
        <v>0.315</v>
      </c>
      <c r="E7" s="74">
        <v>9.0000000000000011E-2</v>
      </c>
      <c r="F7" s="74">
        <v>9.0000000000000011E-2</v>
      </c>
      <c r="G7" s="74">
        <v>4.5000000000000005E-2</v>
      </c>
      <c r="H7" s="74">
        <v>4.5000000000000005E-2</v>
      </c>
      <c r="I7" s="74">
        <v>0</v>
      </c>
      <c r="J7" s="74">
        <v>0</v>
      </c>
      <c r="K7" s="74">
        <v>0</v>
      </c>
      <c r="L7" s="74">
        <v>0</v>
      </c>
      <c r="M7" s="74">
        <v>0</v>
      </c>
      <c r="N7" s="74">
        <v>0</v>
      </c>
      <c r="O7" s="176">
        <f t="shared" si="1"/>
        <v>0.9</v>
      </c>
      <c r="P7" s="74"/>
      <c r="Q7" s="74"/>
      <c r="R7" s="74"/>
      <c r="S7" s="74"/>
      <c r="T7" s="74"/>
      <c r="U7" s="74"/>
      <c r="V7" s="74"/>
      <c r="W7" s="74"/>
      <c r="X7" s="74"/>
      <c r="Y7" s="74"/>
      <c r="Z7" s="74"/>
      <c r="AA7" s="74"/>
      <c r="AC7" s="70"/>
      <c r="AD7" s="70"/>
      <c r="AE7" s="70"/>
      <c r="AF7" s="70"/>
      <c r="AG7" s="70"/>
      <c r="AH7" s="70"/>
      <c r="AI7" s="70"/>
      <c r="AJ7" s="70"/>
      <c r="AK7" s="70"/>
      <c r="AL7" s="70"/>
      <c r="AM7" s="70"/>
      <c r="AN7" s="70"/>
    </row>
    <row r="8" spans="1:45" ht="15.65" customHeight="1" x14ac:dyDescent="0.35">
      <c r="A8" s="172" t="s">
        <v>265</v>
      </c>
      <c r="B8" s="172" t="s">
        <v>266</v>
      </c>
      <c r="C8" s="74">
        <v>0.22500000000000001</v>
      </c>
      <c r="D8" s="74">
        <v>0.22500000000000001</v>
      </c>
      <c r="E8" s="74">
        <v>0.22500000000000001</v>
      </c>
      <c r="F8" s="74">
        <v>0.22500000000000001</v>
      </c>
      <c r="G8" s="74">
        <v>0</v>
      </c>
      <c r="H8" s="74">
        <v>0</v>
      </c>
      <c r="I8" s="74">
        <v>0</v>
      </c>
      <c r="J8" s="74">
        <v>0</v>
      </c>
      <c r="K8" s="74">
        <v>0</v>
      </c>
      <c r="L8" s="74">
        <v>0</v>
      </c>
      <c r="M8" s="74">
        <v>0</v>
      </c>
      <c r="N8" s="74">
        <v>0</v>
      </c>
      <c r="O8" s="176">
        <f t="shared" si="1"/>
        <v>0.9</v>
      </c>
      <c r="P8" s="74"/>
      <c r="Q8" s="74"/>
      <c r="R8" s="74"/>
      <c r="S8" s="74"/>
      <c r="T8" s="74"/>
      <c r="U8" s="74"/>
      <c r="V8" s="74"/>
      <c r="W8" s="74"/>
      <c r="X8" s="74"/>
      <c r="Y8" s="74"/>
      <c r="Z8" s="74"/>
      <c r="AA8" s="74"/>
      <c r="AC8" s="70"/>
      <c r="AD8" s="70"/>
      <c r="AE8" s="70"/>
      <c r="AF8" s="70"/>
      <c r="AG8" s="70"/>
      <c r="AH8" s="70"/>
      <c r="AI8" s="70"/>
      <c r="AJ8" s="70"/>
      <c r="AK8" s="70"/>
      <c r="AL8" s="70"/>
      <c r="AM8" s="70"/>
      <c r="AN8" s="70"/>
    </row>
    <row r="9" spans="1:45" ht="15.65" customHeight="1" x14ac:dyDescent="0.35">
      <c r="A9" s="172" t="s">
        <v>267</v>
      </c>
      <c r="B9" s="172" t="s">
        <v>268</v>
      </c>
      <c r="C9" s="74">
        <v>4.9500000000000002E-2</v>
      </c>
      <c r="D9" s="74">
        <v>4.2750000000000003E-2</v>
      </c>
      <c r="E9" s="74">
        <v>4.0500000000000001E-2</v>
      </c>
      <c r="F9" s="74">
        <v>3.8250000000000006E-2</v>
      </c>
      <c r="G9" s="74">
        <v>3.6000000000000004E-2</v>
      </c>
      <c r="H9" s="74">
        <v>3.6000000000000004E-2</v>
      </c>
      <c r="I9" s="74">
        <v>3.6000000000000004E-2</v>
      </c>
      <c r="J9" s="74">
        <v>3.6000000000000004E-2</v>
      </c>
      <c r="K9" s="74">
        <v>3.3750000000000002E-2</v>
      </c>
      <c r="L9" s="74">
        <v>3.3750000000000002E-2</v>
      </c>
      <c r="M9" s="74">
        <v>3.3750000000000002E-2</v>
      </c>
      <c r="N9" s="74">
        <v>3.3750000000000002E-2</v>
      </c>
      <c r="O9" s="176">
        <f t="shared" si="1"/>
        <v>0.45000000000000007</v>
      </c>
      <c r="P9" s="74"/>
      <c r="Q9" s="74"/>
      <c r="R9" s="74"/>
      <c r="S9" s="74"/>
      <c r="T9" s="74"/>
      <c r="U9" s="74"/>
      <c r="V9" s="74"/>
      <c r="W9" s="74"/>
      <c r="X9" s="74"/>
      <c r="Y9" s="74"/>
      <c r="Z9" s="74"/>
      <c r="AA9" s="74"/>
      <c r="AC9" s="70"/>
      <c r="AD9" s="70"/>
      <c r="AE9" s="70"/>
      <c r="AF9" s="70"/>
      <c r="AG9" s="70"/>
      <c r="AH9" s="70"/>
      <c r="AI9" s="70"/>
      <c r="AJ9" s="70"/>
      <c r="AK9" s="70"/>
      <c r="AL9" s="70"/>
      <c r="AM9" s="70"/>
      <c r="AN9" s="70"/>
    </row>
    <row r="10" spans="1:45" ht="15.65" customHeight="1" x14ac:dyDescent="0.35">
      <c r="A10" s="172" t="s">
        <v>269</v>
      </c>
      <c r="B10" s="172" t="s">
        <v>215</v>
      </c>
      <c r="C10" s="74">
        <v>0.14000000000000001</v>
      </c>
      <c r="D10" s="74">
        <v>0.1</v>
      </c>
      <c r="E10" s="74">
        <v>0.1</v>
      </c>
      <c r="F10" s="74">
        <v>0.05</v>
      </c>
      <c r="G10" s="74">
        <v>0.05</v>
      </c>
      <c r="H10" s="74">
        <v>0.05</v>
      </c>
      <c r="I10" s="74">
        <v>0.05</v>
      </c>
      <c r="J10" s="74">
        <v>0.05</v>
      </c>
      <c r="K10" s="74">
        <v>0.05</v>
      </c>
      <c r="L10" s="74">
        <v>0.03</v>
      </c>
      <c r="M10" s="74">
        <v>0.03</v>
      </c>
      <c r="N10" s="74">
        <v>0.03</v>
      </c>
      <c r="O10" s="176">
        <f>SUM(C10:N10)</f>
        <v>0.7300000000000002</v>
      </c>
      <c r="P10" s="74"/>
      <c r="Q10" s="74"/>
      <c r="R10" s="74"/>
      <c r="S10" s="74"/>
      <c r="T10" s="74"/>
      <c r="U10" s="74"/>
      <c r="V10" s="74"/>
      <c r="W10" s="74"/>
      <c r="X10" s="74"/>
      <c r="Y10" s="74"/>
      <c r="Z10" s="74"/>
      <c r="AA10" s="74"/>
      <c r="AC10" s="70"/>
      <c r="AD10" s="70"/>
      <c r="AE10" s="70"/>
      <c r="AF10" s="70"/>
      <c r="AG10" s="70"/>
      <c r="AH10" s="70"/>
      <c r="AI10" s="70"/>
      <c r="AJ10" s="70"/>
      <c r="AK10" s="70"/>
      <c r="AL10" s="70"/>
      <c r="AM10" s="70"/>
      <c r="AN10" s="70"/>
    </row>
    <row r="11" spans="1:45" ht="15.65" customHeight="1" x14ac:dyDescent="0.35">
      <c r="A11" s="172" t="s">
        <v>270</v>
      </c>
      <c r="B11" s="172" t="s">
        <v>271</v>
      </c>
      <c r="C11" s="74">
        <v>0.2</v>
      </c>
      <c r="D11" s="74">
        <v>0.17</v>
      </c>
      <c r="E11" s="74">
        <v>0.16</v>
      </c>
      <c r="F11" s="74">
        <v>0.15</v>
      </c>
      <c r="G11" s="74">
        <v>0.09</v>
      </c>
      <c r="H11" s="74">
        <v>0.05</v>
      </c>
      <c r="I11" s="74">
        <v>0.05</v>
      </c>
      <c r="J11" s="74">
        <v>0.04</v>
      </c>
      <c r="K11" s="74">
        <v>0</v>
      </c>
      <c r="L11" s="74">
        <v>0</v>
      </c>
      <c r="M11" s="74">
        <v>0</v>
      </c>
      <c r="N11" s="74">
        <v>0</v>
      </c>
      <c r="O11" s="176">
        <f>SUM(C11:N11)</f>
        <v>0.91000000000000014</v>
      </c>
      <c r="P11" s="74"/>
      <c r="Q11" s="74"/>
      <c r="R11" s="74"/>
      <c r="S11" s="74"/>
      <c r="T11" s="74"/>
      <c r="U11" s="74"/>
      <c r="V11" s="74"/>
      <c r="W11" s="74"/>
      <c r="X11" s="74"/>
      <c r="Y11" s="74"/>
      <c r="Z11" s="74"/>
      <c r="AA11" s="74"/>
      <c r="AC11" s="70"/>
      <c r="AD11" s="70"/>
      <c r="AE11" s="70"/>
      <c r="AF11" s="70"/>
      <c r="AG11" s="70"/>
      <c r="AH11" s="70"/>
      <c r="AI11" s="70"/>
      <c r="AJ11" s="70"/>
      <c r="AK11" s="70"/>
      <c r="AL11" s="70"/>
      <c r="AM11" s="70"/>
      <c r="AN11" s="70"/>
    </row>
    <row r="12" spans="1:45" ht="47.15" customHeight="1" x14ac:dyDescent="0.35">
      <c r="A12" s="173" t="s">
        <v>272</v>
      </c>
      <c r="B12" s="173" t="s">
        <v>273</v>
      </c>
      <c r="C12" s="74">
        <v>0.2</v>
      </c>
      <c r="D12" s="74">
        <v>0.17</v>
      </c>
      <c r="E12" s="74">
        <v>0.16</v>
      </c>
      <c r="F12" s="74">
        <v>0.15</v>
      </c>
      <c r="G12" s="74">
        <v>0.09</v>
      </c>
      <c r="H12" s="74">
        <v>0.05</v>
      </c>
      <c r="I12" s="74">
        <v>0.05</v>
      </c>
      <c r="J12" s="74">
        <v>0.04</v>
      </c>
      <c r="K12" s="74">
        <v>0</v>
      </c>
      <c r="L12" s="74">
        <v>0</v>
      </c>
      <c r="M12" s="74">
        <v>0</v>
      </c>
      <c r="N12" s="74">
        <v>0</v>
      </c>
      <c r="O12" s="176">
        <f t="shared" si="1"/>
        <v>0.91000000000000014</v>
      </c>
      <c r="P12" s="74"/>
      <c r="Q12" s="74"/>
      <c r="R12" s="74"/>
      <c r="S12" s="74"/>
      <c r="T12" s="74"/>
      <c r="U12" s="74"/>
      <c r="V12" s="74"/>
      <c r="W12" s="74"/>
      <c r="X12" s="74"/>
      <c r="Y12" s="74"/>
      <c r="Z12" s="74"/>
      <c r="AA12" s="74"/>
      <c r="AC12" s="70"/>
      <c r="AD12" s="70"/>
      <c r="AE12" s="70"/>
      <c r="AF12" s="70"/>
      <c r="AG12" s="70"/>
      <c r="AH12" s="70"/>
      <c r="AI12" s="70"/>
      <c r="AJ12" s="70"/>
      <c r="AK12" s="70"/>
      <c r="AL12" s="70"/>
      <c r="AM12" s="70"/>
      <c r="AN12" s="70"/>
    </row>
    <row r="13" spans="1:45" ht="31.4" customHeight="1" x14ac:dyDescent="0.35">
      <c r="A13" s="173" t="s">
        <v>274</v>
      </c>
      <c r="B13" s="173" t="s">
        <v>275</v>
      </c>
      <c r="C13" s="74">
        <v>0.14000000000000001</v>
      </c>
      <c r="D13" s="74">
        <v>0.1</v>
      </c>
      <c r="E13" s="74">
        <v>0.1</v>
      </c>
      <c r="F13" s="74">
        <v>0.05</v>
      </c>
      <c r="G13" s="74">
        <v>0.05</v>
      </c>
      <c r="H13" s="74">
        <v>0.05</v>
      </c>
      <c r="I13" s="74">
        <v>0.05</v>
      </c>
      <c r="J13" s="74">
        <v>0.05</v>
      </c>
      <c r="K13" s="74">
        <v>0.05</v>
      </c>
      <c r="L13" s="74">
        <v>0</v>
      </c>
      <c r="M13" s="74">
        <v>0</v>
      </c>
      <c r="N13" s="74">
        <v>0</v>
      </c>
      <c r="O13" s="176">
        <f t="shared" si="1"/>
        <v>0.64000000000000012</v>
      </c>
      <c r="P13" s="74"/>
      <c r="Q13" s="74"/>
      <c r="R13" s="74"/>
      <c r="S13" s="74"/>
      <c r="T13" s="74"/>
      <c r="U13" s="74"/>
      <c r="V13" s="74"/>
      <c r="W13" s="74"/>
      <c r="X13" s="74"/>
      <c r="Y13" s="74"/>
      <c r="Z13" s="74"/>
      <c r="AA13" s="74"/>
      <c r="AC13" s="70"/>
      <c r="AD13" s="70"/>
      <c r="AE13" s="70"/>
      <c r="AF13" s="70"/>
      <c r="AG13" s="70"/>
      <c r="AH13" s="70"/>
      <c r="AI13" s="70"/>
      <c r="AJ13" s="70"/>
      <c r="AK13" s="70"/>
      <c r="AL13" s="70"/>
      <c r="AM13" s="70"/>
      <c r="AN13" s="70"/>
    </row>
    <row r="14" spans="1:45" ht="47.15" customHeight="1" x14ac:dyDescent="0.35">
      <c r="A14" s="173" t="s">
        <v>276</v>
      </c>
      <c r="B14" s="173" t="s">
        <v>277</v>
      </c>
      <c r="C14" s="74">
        <v>0.04</v>
      </c>
      <c r="D14" s="74">
        <v>0.04</v>
      </c>
      <c r="E14" s="74">
        <v>1.7000000000000001E-2</v>
      </c>
      <c r="F14" s="74">
        <v>1.7000000000000001E-2</v>
      </c>
      <c r="G14" s="74">
        <v>1.7000000000000001E-2</v>
      </c>
      <c r="H14" s="74">
        <v>1.7000000000000001E-2</v>
      </c>
      <c r="I14" s="74">
        <v>1.7000000000000001E-2</v>
      </c>
      <c r="J14" s="74">
        <v>1.7000000000000001E-2</v>
      </c>
      <c r="K14" s="74">
        <v>1.7000000000000001E-2</v>
      </c>
      <c r="L14" s="74">
        <v>1.7000000000000001E-2</v>
      </c>
      <c r="M14" s="74">
        <v>1.7000000000000001E-2</v>
      </c>
      <c r="N14" s="74">
        <v>1.7000000000000001E-2</v>
      </c>
      <c r="O14" s="176">
        <f>SUM(C14:N14)</f>
        <v>0.25000000000000011</v>
      </c>
      <c r="P14" s="74"/>
      <c r="Q14" s="74"/>
      <c r="R14" s="74"/>
      <c r="S14" s="74"/>
      <c r="T14" s="74"/>
      <c r="U14" s="74"/>
      <c r="V14" s="74"/>
      <c r="W14" s="74"/>
      <c r="X14" s="74"/>
      <c r="Y14" s="74"/>
      <c r="Z14" s="74"/>
      <c r="AA14" s="74"/>
      <c r="AC14" s="70"/>
      <c r="AD14" s="70"/>
      <c r="AE14" s="70"/>
      <c r="AF14" s="70"/>
      <c r="AG14" s="70"/>
      <c r="AH14" s="70"/>
      <c r="AI14" s="70"/>
      <c r="AJ14" s="70"/>
      <c r="AK14" s="70"/>
      <c r="AL14" s="70"/>
      <c r="AM14" s="70"/>
      <c r="AN14" s="70"/>
    </row>
    <row r="15" spans="1:45" ht="15.75" customHeight="1" x14ac:dyDescent="0.35">
      <c r="B15" s="173"/>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14" t="s">
        <v>53</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c r="AD1" s="182"/>
      <c r="AE1" s="182"/>
      <c r="AF1" s="182"/>
      <c r="AG1" s="182"/>
    </row>
    <row r="2" spans="2:34" ht="14.25" customHeight="1" x14ac:dyDescent="0.35">
      <c r="B2" s="1315" t="s">
        <v>278</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c r="AD2" s="183"/>
      <c r="AE2" s="183"/>
      <c r="AF2" s="183"/>
      <c r="AG2" s="183"/>
    </row>
    <row r="3" spans="2:34" x14ac:dyDescent="0.3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c r="AD3" s="183"/>
      <c r="AE3" s="183"/>
      <c r="AF3" s="183"/>
      <c r="AG3" s="183"/>
    </row>
    <row r="4" spans="2:34" x14ac:dyDescent="0.3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c r="AD4" s="183"/>
      <c r="AE4" s="183"/>
      <c r="AF4" s="183"/>
      <c r="AG4" s="183"/>
    </row>
    <row r="5" spans="2:34" x14ac:dyDescent="0.35">
      <c r="B5" s="1315"/>
      <c r="C5" s="1315"/>
      <c r="D5" s="1315"/>
      <c r="E5" s="1315"/>
      <c r="F5" s="1315"/>
      <c r="G5" s="1315"/>
      <c r="H5" s="1315"/>
      <c r="I5" s="1315"/>
      <c r="J5" s="1315"/>
      <c r="K5" s="1315"/>
      <c r="L5" s="1315"/>
      <c r="M5" s="1315"/>
      <c r="N5" s="1315"/>
      <c r="O5" s="1315"/>
      <c r="P5" s="1315"/>
      <c r="Q5" s="1315"/>
      <c r="R5" s="1315"/>
      <c r="S5" s="1315"/>
      <c r="T5" s="1315"/>
      <c r="U5" s="1315"/>
      <c r="V5" s="1315"/>
      <c r="W5" s="1315"/>
      <c r="X5" s="1315"/>
      <c r="Y5" s="1315"/>
      <c r="Z5" s="1315"/>
      <c r="AA5" s="1315"/>
      <c r="AB5" s="1315"/>
      <c r="AC5" s="1315"/>
      <c r="AD5" s="183"/>
      <c r="AE5" s="183"/>
      <c r="AF5" s="183"/>
      <c r="AG5" s="183"/>
    </row>
    <row r="6" spans="2:34" ht="38.9" customHeight="1" x14ac:dyDescent="0.35">
      <c r="B6" s="1315"/>
      <c r="C6" s="1315"/>
      <c r="D6" s="1315"/>
      <c r="E6" s="1315"/>
      <c r="F6" s="1315"/>
      <c r="G6" s="1315"/>
      <c r="H6" s="1315"/>
      <c r="I6" s="1315"/>
      <c r="J6" s="1315"/>
      <c r="K6" s="1315"/>
      <c r="L6" s="1315"/>
      <c r="M6" s="1315"/>
      <c r="N6" s="1315"/>
      <c r="O6" s="1315"/>
      <c r="P6" s="1315"/>
      <c r="Q6" s="1315"/>
      <c r="R6" s="1315"/>
      <c r="S6" s="1315"/>
      <c r="T6" s="1315"/>
      <c r="U6" s="1315"/>
      <c r="V6" s="1315"/>
      <c r="W6" s="1315"/>
      <c r="X6" s="1315"/>
      <c r="Y6" s="1315"/>
      <c r="Z6" s="1315"/>
      <c r="AA6" s="1315"/>
      <c r="AB6" s="1315"/>
      <c r="AC6" s="1315"/>
      <c r="AD6" s="183"/>
      <c r="AE6" s="183"/>
      <c r="AF6" s="183"/>
      <c r="AG6" s="183"/>
    </row>
    <row r="7" spans="2:34" x14ac:dyDescent="0.35">
      <c r="B7" s="231"/>
      <c r="C7" s="231"/>
      <c r="D7" s="231"/>
      <c r="E7" s="231"/>
      <c r="F7" s="231"/>
      <c r="G7" s="231"/>
      <c r="H7" s="232"/>
      <c r="I7" s="232"/>
      <c r="J7" s="232"/>
      <c r="K7" s="232"/>
      <c r="L7" s="232"/>
      <c r="M7" s="232"/>
      <c r="N7" s="232"/>
      <c r="O7" s="232"/>
      <c r="P7" s="232"/>
      <c r="Q7" s="232"/>
      <c r="R7" s="232"/>
      <c r="S7" s="232"/>
      <c r="T7" s="232"/>
      <c r="U7" s="232"/>
      <c r="V7" s="232"/>
    </row>
    <row r="8" spans="2:34" ht="14.9" customHeight="1" x14ac:dyDescent="0.35">
      <c r="B8" s="1319" t="s">
        <v>279</v>
      </c>
      <c r="C8" s="1320"/>
      <c r="D8" s="1323" t="s">
        <v>280</v>
      </c>
      <c r="E8" s="1335"/>
      <c r="F8" s="1335"/>
      <c r="G8" s="1335"/>
      <c r="H8" s="1335"/>
      <c r="I8" s="1335"/>
      <c r="J8" s="1335"/>
      <c r="K8" s="1335"/>
      <c r="L8" s="1335"/>
      <c r="M8" s="1335"/>
      <c r="N8" s="1335"/>
      <c r="O8" s="1335"/>
      <c r="P8" s="1335"/>
      <c r="Q8" s="1335"/>
      <c r="R8" s="1335"/>
      <c r="S8" s="1335"/>
      <c r="T8" s="1335"/>
      <c r="U8" s="1336"/>
      <c r="V8" s="1322"/>
      <c r="W8" s="1331" t="s">
        <v>281</v>
      </c>
      <c r="X8" s="1332"/>
      <c r="Y8" s="1333"/>
      <c r="Z8" s="1333"/>
      <c r="AA8" s="1333"/>
      <c r="AB8" s="1333"/>
      <c r="AC8" s="1332"/>
      <c r="AD8" s="1334"/>
      <c r="AE8" s="200"/>
      <c r="AF8" s="200"/>
      <c r="AG8" s="200"/>
    </row>
    <row r="9" spans="2:34" ht="12.75" customHeight="1" x14ac:dyDescent="0.35">
      <c r="B9" s="1321"/>
      <c r="C9" s="1322"/>
      <c r="D9" s="149">
        <v>2018</v>
      </c>
      <c r="E9" s="1316">
        <v>2019</v>
      </c>
      <c r="F9" s="1317"/>
      <c r="G9" s="1317"/>
      <c r="H9" s="1318"/>
      <c r="I9" s="1316">
        <v>2020</v>
      </c>
      <c r="J9" s="1317"/>
      <c r="K9" s="1317"/>
      <c r="L9" s="1318"/>
      <c r="M9" s="1310">
        <v>2021</v>
      </c>
      <c r="N9" s="1328"/>
      <c r="O9" s="1328"/>
      <c r="P9" s="1329"/>
      <c r="Q9" s="1330">
        <v>2022</v>
      </c>
      <c r="R9" s="1330"/>
      <c r="S9" s="227"/>
      <c r="T9" s="256"/>
      <c r="U9" s="201"/>
      <c r="V9" s="256">
        <v>2023</v>
      </c>
      <c r="W9" s="258"/>
      <c r="X9" s="226"/>
      <c r="Y9" s="1325">
        <v>2024</v>
      </c>
      <c r="Z9" s="1326"/>
      <c r="AA9" s="1326"/>
      <c r="AB9" s="1327"/>
      <c r="AC9" s="1325">
        <v>2025</v>
      </c>
      <c r="AD9" s="1326"/>
      <c r="AE9" s="1326"/>
      <c r="AF9" s="1327"/>
      <c r="AG9" s="213">
        <v>2026</v>
      </c>
    </row>
    <row r="10" spans="2:34" ht="14.9" customHeight="1" x14ac:dyDescent="0.35">
      <c r="B10" s="1323"/>
      <c r="C10" s="1324"/>
      <c r="D10" s="149" t="s">
        <v>282</v>
      </c>
      <c r="E10" s="149" t="s">
        <v>283</v>
      </c>
      <c r="F10" s="140" t="s">
        <v>284</v>
      </c>
      <c r="G10" s="140" t="s">
        <v>238</v>
      </c>
      <c r="H10" s="146" t="s">
        <v>282</v>
      </c>
      <c r="I10" s="140" t="s">
        <v>283</v>
      </c>
      <c r="J10" s="140" t="s">
        <v>284</v>
      </c>
      <c r="K10" s="140" t="s">
        <v>238</v>
      </c>
      <c r="L10" s="140" t="s">
        <v>282</v>
      </c>
      <c r="M10" s="252" t="s">
        <v>283</v>
      </c>
      <c r="N10" s="253" t="s">
        <v>284</v>
      </c>
      <c r="O10" s="253" t="s">
        <v>238</v>
      </c>
      <c r="P10" s="251" t="s">
        <v>282</v>
      </c>
      <c r="Q10" s="140" t="s">
        <v>283</v>
      </c>
      <c r="R10" s="140" t="s">
        <v>284</v>
      </c>
      <c r="S10" s="140" t="s">
        <v>238</v>
      </c>
      <c r="T10" s="140" t="s">
        <v>282</v>
      </c>
      <c r="U10" s="252" t="s">
        <v>283</v>
      </c>
      <c r="V10" s="253" t="s">
        <v>284</v>
      </c>
      <c r="W10" s="236" t="s">
        <v>238</v>
      </c>
      <c r="X10" s="237" t="s">
        <v>282</v>
      </c>
      <c r="Y10" s="235" t="s">
        <v>283</v>
      </c>
      <c r="Z10" s="233" t="s">
        <v>284</v>
      </c>
      <c r="AA10" s="236" t="s">
        <v>238</v>
      </c>
      <c r="AB10" s="237" t="s">
        <v>282</v>
      </c>
      <c r="AC10" s="235" t="s">
        <v>283</v>
      </c>
      <c r="AD10" s="233" t="s">
        <v>284</v>
      </c>
      <c r="AE10" s="236" t="s">
        <v>238</v>
      </c>
      <c r="AF10" s="237" t="s">
        <v>282</v>
      </c>
      <c r="AG10" s="238" t="s">
        <v>283</v>
      </c>
    </row>
    <row r="11" spans="2:34" x14ac:dyDescent="0.35">
      <c r="B11" s="212" t="s">
        <v>102</v>
      </c>
      <c r="C11" s="239" t="s">
        <v>285</v>
      </c>
      <c r="D11" s="219">
        <f>'Haver Pivoted'!GO14</f>
        <v>27.8</v>
      </c>
      <c r="E11" s="255">
        <f>'Haver Pivoted'!GP14</f>
        <v>29.4</v>
      </c>
      <c r="F11" s="255">
        <f>'Haver Pivoted'!GQ14</f>
        <v>26.9</v>
      </c>
      <c r="G11" s="255">
        <f>'Haver Pivoted'!GR14</f>
        <v>26.4</v>
      </c>
      <c r="H11" s="255">
        <f>'Haver Pivoted'!GS14</f>
        <v>27.7</v>
      </c>
      <c r="I11" s="255">
        <f>'Haver Pivoted'!GT14</f>
        <v>40.700000000000003</v>
      </c>
      <c r="J11" s="255">
        <f>'Haver Pivoted'!GU14</f>
        <v>1007.5</v>
      </c>
      <c r="K11" s="255">
        <f>'Haver Pivoted'!GV14</f>
        <v>792.9</v>
      </c>
      <c r="L11" s="255">
        <f>'Haver Pivoted'!GW14</f>
        <v>308.5</v>
      </c>
      <c r="M11" s="255">
        <f>'Haver Pivoted'!GX14</f>
        <v>556.20000000000005</v>
      </c>
      <c r="N11" s="255">
        <f>'Haver Pivoted'!GY14</f>
        <v>448.6</v>
      </c>
      <c r="O11" s="255">
        <f>'Haver Pivoted'!GZ14</f>
        <v>245.1</v>
      </c>
      <c r="P11" s="255">
        <f>'Haver Pivoted'!HA14</f>
        <v>33.799999999999997</v>
      </c>
      <c r="Q11" s="188">
        <f>'Haver Pivoted'!HB14</f>
        <v>23.6</v>
      </c>
      <c r="R11" s="188">
        <f>'Haver Pivoted'!HC14</f>
        <v>18.600000000000001</v>
      </c>
      <c r="S11" s="140">
        <f>'Haver Pivoted'!HD14</f>
        <v>18.5</v>
      </c>
      <c r="T11" s="140">
        <f>'Haver Pivoted'!HE14</f>
        <v>20.399999999999999</v>
      </c>
      <c r="U11" s="140">
        <f>'Haver Pivoted'!HF14</f>
        <v>22.8</v>
      </c>
      <c r="V11" s="140">
        <f>'Haver Pivoted'!HG14</f>
        <v>23.1</v>
      </c>
      <c r="W11" s="197">
        <f t="shared" ref="W11:AD11" si="0">W12+W13+W20</f>
        <v>23.451428571428572</v>
      </c>
      <c r="X11" s="197">
        <f t="shared" si="0"/>
        <v>23.451428571428572</v>
      </c>
      <c r="Y11" s="244">
        <f t="shared" si="0"/>
        <v>24.754285714285711</v>
      </c>
      <c r="Z11" s="244">
        <f t="shared" si="0"/>
        <v>26.708571428571425</v>
      </c>
      <c r="AA11" s="244">
        <f t="shared" si="0"/>
        <v>28.011428571428567</v>
      </c>
      <c r="AB11" s="257">
        <f t="shared" si="0"/>
        <v>29.31428571428571</v>
      </c>
      <c r="AC11" s="197">
        <f>AC12+AC13+AC20</f>
        <v>29.965714285714277</v>
      </c>
      <c r="AD11" s="197">
        <f t="shared" si="0"/>
        <v>30.617142857142852</v>
      </c>
      <c r="AE11" s="197"/>
      <c r="AF11" s="197"/>
      <c r="AG11" s="197"/>
      <c r="AH11" s="202" t="s">
        <v>286</v>
      </c>
    </row>
    <row r="12" spans="2:34" x14ac:dyDescent="0.35">
      <c r="B12" s="230" t="s">
        <v>287</v>
      </c>
      <c r="C12" s="220" t="s">
        <v>288</v>
      </c>
      <c r="D12" s="241">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40">
        <f>'Haver Pivoted'!HD63</f>
        <v>0</v>
      </c>
      <c r="T12" s="140">
        <f>'Haver Pivoted'!HE63</f>
        <v>0</v>
      </c>
      <c r="U12" s="140">
        <f>'Haver Pivoted'!HF63</f>
        <v>0</v>
      </c>
      <c r="V12" s="140">
        <f>'Haver Pivoted'!HG63</f>
        <v>0</v>
      </c>
      <c r="W12" s="197">
        <f t="shared" ref="W12:AD12" si="1">V12*W23/V23</f>
        <v>0</v>
      </c>
      <c r="X12" s="197">
        <f t="shared" si="1"/>
        <v>0</v>
      </c>
      <c r="Y12" s="197">
        <f t="shared" si="1"/>
        <v>0</v>
      </c>
      <c r="Z12" s="197">
        <f t="shared" si="1"/>
        <v>0</v>
      </c>
      <c r="AA12" s="197">
        <f t="shared" si="1"/>
        <v>0</v>
      </c>
      <c r="AB12" s="197">
        <f t="shared" si="1"/>
        <v>0</v>
      </c>
      <c r="AC12" s="197">
        <f t="shared" si="1"/>
        <v>0</v>
      </c>
      <c r="AD12" s="197">
        <f t="shared" si="1"/>
        <v>0</v>
      </c>
      <c r="AE12" s="197"/>
      <c r="AF12" s="197"/>
      <c r="AG12" s="197"/>
    </row>
    <row r="13" spans="2:34" x14ac:dyDescent="0.35">
      <c r="B13" s="230" t="s">
        <v>289</v>
      </c>
      <c r="C13" s="220"/>
      <c r="D13" s="241"/>
      <c r="E13" s="188"/>
      <c r="F13" s="188"/>
      <c r="G13" s="188"/>
      <c r="H13" s="192">
        <f>SUM(H14:H17)</f>
        <v>0</v>
      </c>
      <c r="I13" s="192">
        <f t="shared" ref="I13:M13" si="2">SUM(I14:I17)</f>
        <v>0</v>
      </c>
      <c r="J13" s="192">
        <f t="shared" si="2"/>
        <v>779.7</v>
      </c>
      <c r="K13" s="192">
        <f t="shared" si="2"/>
        <v>582.6</v>
      </c>
      <c r="L13" s="192">
        <f t="shared" si="2"/>
        <v>216.5</v>
      </c>
      <c r="M13" s="192">
        <f t="shared" si="2"/>
        <v>497.6</v>
      </c>
      <c r="N13" s="214">
        <f>SUM(N14:N17)</f>
        <v>401.5</v>
      </c>
      <c r="O13" s="214">
        <f t="shared" ref="O13:AC13" si="3">SUM(O14:O17)</f>
        <v>207.4</v>
      </c>
      <c r="P13" s="214">
        <f t="shared" si="3"/>
        <v>5.5</v>
      </c>
      <c r="Q13" s="214">
        <v>0</v>
      </c>
      <c r="R13" s="214">
        <f t="shared" si="3"/>
        <v>1</v>
      </c>
      <c r="S13" s="189">
        <f t="shared" si="3"/>
        <v>0.5</v>
      </c>
      <c r="T13" s="189">
        <f t="shared" si="3"/>
        <v>0.30000000000000004</v>
      </c>
      <c r="U13" s="189">
        <f t="shared" si="3"/>
        <v>0</v>
      </c>
      <c r="V13" s="194">
        <f t="shared" si="3"/>
        <v>0</v>
      </c>
      <c r="W13" s="197">
        <f t="shared" si="3"/>
        <v>0</v>
      </c>
      <c r="X13" s="197">
        <f t="shared" si="3"/>
        <v>0</v>
      </c>
      <c r="Y13" s="197">
        <f t="shared" si="3"/>
        <v>0</v>
      </c>
      <c r="Z13" s="197">
        <f t="shared" si="3"/>
        <v>0</v>
      </c>
      <c r="AA13" s="197">
        <f t="shared" si="3"/>
        <v>0</v>
      </c>
      <c r="AB13" s="197">
        <f t="shared" si="3"/>
        <v>0</v>
      </c>
      <c r="AC13" s="197">
        <f t="shared" si="3"/>
        <v>0</v>
      </c>
      <c r="AD13" s="197">
        <f t="shared" ref="AD13" si="4">SUM(AD14:AD17)</f>
        <v>0</v>
      </c>
      <c r="AE13" s="197"/>
      <c r="AF13" s="197"/>
      <c r="AG13" s="197"/>
    </row>
    <row r="14" spans="2:34" ht="18" customHeight="1" x14ac:dyDescent="0.35">
      <c r="B14" s="208" t="s">
        <v>290</v>
      </c>
      <c r="C14" s="209" t="s">
        <v>288</v>
      </c>
      <c r="D14" s="240">
        <f>'Haver Pivoted'!GO63</f>
        <v>0</v>
      </c>
      <c r="E14" s="215">
        <f>'Haver Pivoted'!GP63</f>
        <v>0</v>
      </c>
      <c r="F14" s="215">
        <f>'Haver Pivoted'!GQ63</f>
        <v>0</v>
      </c>
      <c r="G14" s="215">
        <f>'Haver Pivoted'!GR63</f>
        <v>0</v>
      </c>
      <c r="H14" s="215">
        <f>'Haver Pivoted'!GS63</f>
        <v>0</v>
      </c>
      <c r="I14" s="215">
        <f>'Haver Pivoted'!GT63</f>
        <v>0</v>
      </c>
      <c r="J14" s="215">
        <f>'Haver Pivoted'!GU63</f>
        <v>0.1</v>
      </c>
      <c r="K14" s="215">
        <f>'Haver Pivoted'!GV63</f>
        <v>3.7</v>
      </c>
      <c r="L14" s="215">
        <f>'Haver Pivoted'!GW63</f>
        <v>12.9</v>
      </c>
      <c r="M14" s="215">
        <f>'Haver Pivoted'!GX63</f>
        <v>25.5</v>
      </c>
      <c r="N14" s="215">
        <f>'Haver Pivoted'!GY63</f>
        <v>3.8</v>
      </c>
      <c r="O14" s="215">
        <f>'Haver Pivoted'!GZ63</f>
        <v>1.8</v>
      </c>
      <c r="P14" s="215">
        <f>'Haver Pivoted'!HA63</f>
        <v>0.6</v>
      </c>
      <c r="Q14" s="215">
        <f>'Haver Pivoted'!HB63</f>
        <v>0.2</v>
      </c>
      <c r="R14" s="215">
        <f>'Haver Pivoted'!HC63</f>
        <v>0.1</v>
      </c>
      <c r="S14" s="190">
        <f>'Haver Pivoted'!HD63</f>
        <v>0</v>
      </c>
      <c r="T14" s="190">
        <f>'Haver Pivoted'!HE63</f>
        <v>0</v>
      </c>
      <c r="U14" s="190">
        <f>'Haver Pivoted'!HF63</f>
        <v>0</v>
      </c>
      <c r="V14" s="190">
        <f>'Haver Pivoted'!HG63</f>
        <v>0</v>
      </c>
      <c r="W14" s="197">
        <f t="shared" ref="W14:X14" si="5">W12</f>
        <v>0</v>
      </c>
      <c r="X14" s="197">
        <f t="shared" si="5"/>
        <v>0</v>
      </c>
      <c r="Y14" s="197">
        <f>Y12</f>
        <v>0</v>
      </c>
      <c r="Z14" s="197">
        <f t="shared" ref="Z14:AC14" si="6">Z12</f>
        <v>0</v>
      </c>
      <c r="AA14" s="197">
        <f t="shared" si="6"/>
        <v>0</v>
      </c>
      <c r="AB14" s="197">
        <f t="shared" si="6"/>
        <v>0</v>
      </c>
      <c r="AC14" s="197">
        <f t="shared" si="6"/>
        <v>0</v>
      </c>
      <c r="AD14" s="197">
        <f t="shared" ref="AD14" si="7">AD12</f>
        <v>0</v>
      </c>
      <c r="AE14" s="197"/>
      <c r="AF14" s="197"/>
      <c r="AG14" s="197"/>
    </row>
    <row r="15" spans="2:34" ht="18" customHeight="1" x14ac:dyDescent="0.35">
      <c r="B15" s="208" t="s">
        <v>291</v>
      </c>
      <c r="C15" s="209" t="s">
        <v>292</v>
      </c>
      <c r="D15" s="240">
        <f>'Haver Pivoted'!GO59</f>
        <v>0</v>
      </c>
      <c r="E15" s="215">
        <f>'Haver Pivoted'!GP59</f>
        <v>0</v>
      </c>
      <c r="F15" s="215">
        <f>'Haver Pivoted'!GQ59</f>
        <v>0</v>
      </c>
      <c r="G15" s="215">
        <f>'Haver Pivoted'!GR59</f>
        <v>0</v>
      </c>
      <c r="H15" s="215">
        <f>'Haver Pivoted'!GS59</f>
        <v>0</v>
      </c>
      <c r="I15" s="215">
        <f>'Haver Pivoted'!GT59</f>
        <v>0</v>
      </c>
      <c r="J15" s="215">
        <f>'Haver Pivoted'!GU59</f>
        <v>6.3</v>
      </c>
      <c r="K15" s="215">
        <f>'Haver Pivoted'!GV59</f>
        <v>26.7</v>
      </c>
      <c r="L15" s="215">
        <f>'Haver Pivoted'!GW59</f>
        <v>82.1</v>
      </c>
      <c r="M15" s="215">
        <f>'Haver Pivoted'!GX59</f>
        <v>94.7</v>
      </c>
      <c r="N15" s="215">
        <f>'Haver Pivoted'!GY59</f>
        <v>92.1</v>
      </c>
      <c r="O15" s="215">
        <f>'Haver Pivoted'!GZ59</f>
        <v>51.6</v>
      </c>
      <c r="P15" s="215">
        <f>'Haver Pivoted'!HA59</f>
        <v>2.8</v>
      </c>
      <c r="Q15" s="215">
        <f>'Haver Pivoted'!HB59</f>
        <v>0.8</v>
      </c>
      <c r="R15" s="215">
        <f>'Haver Pivoted'!HC59</f>
        <v>0.5</v>
      </c>
      <c r="S15" s="190">
        <f>'Haver Pivoted'!HD59</f>
        <v>0.3</v>
      </c>
      <c r="T15" s="190">
        <f>'Haver Pivoted'!HE59</f>
        <v>0.2</v>
      </c>
      <c r="U15" s="190">
        <f>'Haver Pivoted'!HF59</f>
        <v>0</v>
      </c>
      <c r="V15" s="190">
        <f>'Haver Pivoted'!HG59</f>
        <v>0</v>
      </c>
      <c r="W15" s="197">
        <f t="shared" ref="W15:AD17" si="8">V15*W$23/V$23</f>
        <v>0</v>
      </c>
      <c r="X15" s="197">
        <f t="shared" si="8"/>
        <v>0</v>
      </c>
      <c r="Y15" s="197">
        <f t="shared" si="8"/>
        <v>0</v>
      </c>
      <c r="Z15" s="197">
        <f t="shared" si="8"/>
        <v>0</v>
      </c>
      <c r="AA15" s="197">
        <f t="shared" si="8"/>
        <v>0</v>
      </c>
      <c r="AB15" s="197">
        <f t="shared" si="8"/>
        <v>0</v>
      </c>
      <c r="AC15" s="197">
        <f t="shared" si="8"/>
        <v>0</v>
      </c>
      <c r="AD15" s="197">
        <f t="shared" si="8"/>
        <v>0</v>
      </c>
      <c r="AE15" s="197"/>
      <c r="AF15" s="197"/>
      <c r="AG15" s="197"/>
    </row>
    <row r="16" spans="2:34" ht="18" customHeight="1" x14ac:dyDescent="0.35">
      <c r="B16" s="208" t="s">
        <v>293</v>
      </c>
      <c r="C16" s="209" t="s">
        <v>294</v>
      </c>
      <c r="D16" s="240">
        <f>'Haver Pivoted'!GO60</f>
        <v>0</v>
      </c>
      <c r="E16" s="215">
        <f>'Haver Pivoted'!GP60</f>
        <v>0</v>
      </c>
      <c r="F16" s="215">
        <f>'Haver Pivoted'!GQ60</f>
        <v>0</v>
      </c>
      <c r="G16" s="215">
        <f>'Haver Pivoted'!GR60</f>
        <v>0</v>
      </c>
      <c r="H16" s="215">
        <f>'Haver Pivoted'!GS60</f>
        <v>0</v>
      </c>
      <c r="I16" s="215">
        <f>'Haver Pivoted'!GT60</f>
        <v>0</v>
      </c>
      <c r="J16" s="215">
        <f>'Haver Pivoted'!GU60</f>
        <v>74.400000000000006</v>
      </c>
      <c r="K16" s="215">
        <f>'Haver Pivoted'!GV60</f>
        <v>138.30000000000001</v>
      </c>
      <c r="L16" s="215">
        <f>'Haver Pivoted'!GW60</f>
        <v>106.8</v>
      </c>
      <c r="M16" s="215">
        <f>'Haver Pivoted'!GX60</f>
        <v>89.2</v>
      </c>
      <c r="N16" s="215">
        <f>'Haver Pivoted'!GY60</f>
        <v>72.3</v>
      </c>
      <c r="O16" s="215">
        <f>'Haver Pivoted'!GZ60</f>
        <v>43.5</v>
      </c>
      <c r="P16" s="215">
        <f>'Haver Pivoted'!HA60</f>
        <v>2.1</v>
      </c>
      <c r="Q16" s="215">
        <f>'Haver Pivoted'!HB60</f>
        <v>0.8</v>
      </c>
      <c r="R16" s="215">
        <f>'Haver Pivoted'!HC60</f>
        <v>0.4</v>
      </c>
      <c r="S16" s="190">
        <f>'Haver Pivoted'!HD60</f>
        <v>0.2</v>
      </c>
      <c r="T16" s="190">
        <f>'Haver Pivoted'!HE60</f>
        <v>0.1</v>
      </c>
      <c r="U16" s="190">
        <f>'Haver Pivoted'!HF60</f>
        <v>0</v>
      </c>
      <c r="V16" s="190">
        <f>'Haver Pivoted'!HG60</f>
        <v>0</v>
      </c>
      <c r="W16" s="197">
        <f t="shared" si="8"/>
        <v>0</v>
      </c>
      <c r="X16" s="197">
        <f t="shared" si="8"/>
        <v>0</v>
      </c>
      <c r="Y16" s="197">
        <f t="shared" si="8"/>
        <v>0</v>
      </c>
      <c r="Z16" s="197">
        <f t="shared" si="8"/>
        <v>0</v>
      </c>
      <c r="AA16" s="197">
        <f t="shared" si="8"/>
        <v>0</v>
      </c>
      <c r="AB16" s="197">
        <f t="shared" si="8"/>
        <v>0</v>
      </c>
      <c r="AC16" s="197">
        <f t="shared" si="8"/>
        <v>0</v>
      </c>
      <c r="AD16" s="197">
        <f t="shared" si="8"/>
        <v>0</v>
      </c>
      <c r="AE16" s="197"/>
      <c r="AF16" s="197"/>
      <c r="AG16" s="197"/>
    </row>
    <row r="17" spans="2:36" ht="18" customHeight="1" x14ac:dyDescent="0.35">
      <c r="B17" s="208" t="s">
        <v>295</v>
      </c>
      <c r="C17" s="209" t="s">
        <v>296</v>
      </c>
      <c r="D17" s="240">
        <f>'Haver Pivoted'!GO61</f>
        <v>0</v>
      </c>
      <c r="E17" s="215">
        <f>'Haver Pivoted'!GP61</f>
        <v>0</v>
      </c>
      <c r="F17" s="215">
        <f>'Haver Pivoted'!GQ61</f>
        <v>0</v>
      </c>
      <c r="G17" s="215">
        <f>'Haver Pivoted'!GR61</f>
        <v>0</v>
      </c>
      <c r="H17" s="215">
        <f>'Haver Pivoted'!GS61</f>
        <v>0</v>
      </c>
      <c r="I17" s="215">
        <f>'Haver Pivoted'!GT61</f>
        <v>0</v>
      </c>
      <c r="J17" s="215">
        <f>'Haver Pivoted'!GU61</f>
        <v>698.9</v>
      </c>
      <c r="K17" s="215">
        <f>'Haver Pivoted'!GV61</f>
        <v>413.9</v>
      </c>
      <c r="L17" s="215">
        <f>'Haver Pivoted'!GW61</f>
        <v>14.7</v>
      </c>
      <c r="M17" s="215">
        <f>'Haver Pivoted'!GX61</f>
        <v>288.2</v>
      </c>
      <c r="N17" s="215">
        <f>'Haver Pivoted'!GY61</f>
        <v>233.3</v>
      </c>
      <c r="O17" s="215">
        <f>'Haver Pivoted'!GZ61</f>
        <v>110.5</v>
      </c>
      <c r="P17" s="215">
        <f>'Haver Pivoted'!HA61</f>
        <v>0</v>
      </c>
      <c r="Q17" s="215">
        <f>'Haver Pivoted'!HB61</f>
        <v>0</v>
      </c>
      <c r="R17" s="215">
        <f>'Haver Pivoted'!HC61</f>
        <v>0</v>
      </c>
      <c r="S17" s="190">
        <f>'Haver Pivoted'!HD61</f>
        <v>0</v>
      </c>
      <c r="T17" s="190">
        <f>'Haver Pivoted'!HE61</f>
        <v>0</v>
      </c>
      <c r="U17" s="190">
        <f>'Haver Pivoted'!HF61</f>
        <v>0</v>
      </c>
      <c r="V17" s="190">
        <f>'Haver Pivoted'!HG61</f>
        <v>0</v>
      </c>
      <c r="W17" s="197">
        <f t="shared" si="8"/>
        <v>0</v>
      </c>
      <c r="X17" s="197">
        <f t="shared" si="8"/>
        <v>0</v>
      </c>
      <c r="Y17" s="197">
        <f t="shared" si="8"/>
        <v>0</v>
      </c>
      <c r="Z17" s="197">
        <f t="shared" si="8"/>
        <v>0</v>
      </c>
      <c r="AA17" s="197">
        <f t="shared" si="8"/>
        <v>0</v>
      </c>
      <c r="AB17" s="197">
        <f t="shared" si="8"/>
        <v>0</v>
      </c>
      <c r="AC17" s="197">
        <f t="shared" si="8"/>
        <v>0</v>
      </c>
      <c r="AD17" s="197">
        <f t="shared" si="8"/>
        <v>0</v>
      </c>
      <c r="AE17" s="197"/>
      <c r="AF17" s="197"/>
      <c r="AG17" s="197"/>
    </row>
    <row r="18" spans="2:36" x14ac:dyDescent="0.35">
      <c r="B18" s="210" t="s">
        <v>158</v>
      </c>
      <c r="C18" s="202" t="s">
        <v>297</v>
      </c>
      <c r="D18" s="241">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215">
        <f>'Haver Pivoted'!HB64</f>
        <v>0</v>
      </c>
      <c r="R18" s="215">
        <f>'Haver Pivoted'!HC64</f>
        <v>0</v>
      </c>
      <c r="S18" s="190">
        <f>'Haver Pivoted'!HD64</f>
        <v>0</v>
      </c>
      <c r="T18" s="190">
        <f>'Haver Pivoted'!HE64</f>
        <v>0</v>
      </c>
      <c r="U18" s="190">
        <f>'Haver Pivoted'!HF64</f>
        <v>0</v>
      </c>
      <c r="V18" s="190">
        <f>'Haver Pivoted'!HG64</f>
        <v>0</v>
      </c>
      <c r="W18" s="197"/>
      <c r="X18" s="197"/>
      <c r="Y18" s="197"/>
      <c r="Z18" s="197"/>
      <c r="AA18" s="197"/>
      <c r="AB18" s="197"/>
      <c r="AC18" s="197"/>
      <c r="AD18" s="197"/>
      <c r="AE18" s="197"/>
      <c r="AF18" s="197"/>
      <c r="AG18" s="197"/>
    </row>
    <row r="19" spans="2:36" ht="14.9" customHeight="1" x14ac:dyDescent="0.35">
      <c r="B19" s="234" t="s">
        <v>298</v>
      </c>
      <c r="C19" s="221"/>
      <c r="D19" s="228">
        <f t="shared" ref="D19:N19" si="9">D11-D20</f>
        <v>0</v>
      </c>
      <c r="E19" s="216">
        <f t="shared" si="9"/>
        <v>0</v>
      </c>
      <c r="F19" s="216">
        <f t="shared" si="9"/>
        <v>0</v>
      </c>
      <c r="G19" s="216">
        <f t="shared" si="9"/>
        <v>0</v>
      </c>
      <c r="H19" s="216">
        <f t="shared" si="9"/>
        <v>0</v>
      </c>
      <c r="I19" s="216">
        <f t="shared" si="9"/>
        <v>0</v>
      </c>
      <c r="J19" s="216">
        <f t="shared" si="9"/>
        <v>779.80000000000007</v>
      </c>
      <c r="K19" s="216">
        <f t="shared" si="9"/>
        <v>586.29999999999995</v>
      </c>
      <c r="L19" s="216">
        <f t="shared" si="9"/>
        <v>229.4</v>
      </c>
      <c r="M19" s="216">
        <f t="shared" si="9"/>
        <v>523.1</v>
      </c>
      <c r="N19" s="217">
        <f t="shared" si="9"/>
        <v>405.3</v>
      </c>
      <c r="O19" s="217">
        <f>O11-O20</f>
        <v>209.20000000000002</v>
      </c>
      <c r="P19" s="217">
        <f t="shared" ref="P19" si="10">P11-P20</f>
        <v>6.1000000000000014</v>
      </c>
      <c r="Q19" s="217">
        <f>Q11-Q20</f>
        <v>0.19999999999999929</v>
      </c>
      <c r="R19" s="217">
        <f>R11-R20</f>
        <v>1.1000000000000014</v>
      </c>
      <c r="S19" s="191">
        <f>S11-S20</f>
        <v>0.5</v>
      </c>
      <c r="T19" s="191">
        <f>T11-T20</f>
        <v>0.30000000000000071</v>
      </c>
      <c r="U19" s="191">
        <f>U11-U20</f>
        <v>0</v>
      </c>
      <c r="V19" s="195">
        <f t="shared" ref="V19:AC19" si="11">V11-V20</f>
        <v>-0.35142857142857054</v>
      </c>
      <c r="W19" s="198">
        <f t="shared" si="11"/>
        <v>0</v>
      </c>
      <c r="X19" s="198">
        <f t="shared" si="11"/>
        <v>0</v>
      </c>
      <c r="Y19" s="198">
        <f t="shared" si="11"/>
        <v>0</v>
      </c>
      <c r="Z19" s="198">
        <f t="shared" si="11"/>
        <v>0</v>
      </c>
      <c r="AA19" s="198">
        <f t="shared" si="11"/>
        <v>0</v>
      </c>
      <c r="AB19" s="198">
        <f t="shared" si="11"/>
        <v>0</v>
      </c>
      <c r="AC19" s="198">
        <f t="shared" si="11"/>
        <v>0</v>
      </c>
      <c r="AD19" s="198">
        <f t="shared" ref="AD19" si="12">AD11-AD20</f>
        <v>0</v>
      </c>
      <c r="AE19" s="198"/>
      <c r="AF19" s="198"/>
      <c r="AG19" s="198"/>
    </row>
    <row r="20" spans="2:36" ht="14.9" customHeight="1" x14ac:dyDescent="0.35">
      <c r="B20" s="234" t="s">
        <v>299</v>
      </c>
      <c r="C20" s="221"/>
      <c r="D20" s="228">
        <f t="shared" ref="D20:H20" si="13">D11</f>
        <v>27.8</v>
      </c>
      <c r="E20" s="216">
        <f t="shared" si="13"/>
        <v>29.4</v>
      </c>
      <c r="F20" s="216">
        <f t="shared" si="13"/>
        <v>26.9</v>
      </c>
      <c r="G20" s="216">
        <f t="shared" si="13"/>
        <v>26.4</v>
      </c>
      <c r="H20" s="216">
        <f t="shared" si="13"/>
        <v>27.7</v>
      </c>
      <c r="I20" s="216">
        <f>I11</f>
        <v>40.700000000000003</v>
      </c>
      <c r="J20" s="216">
        <f>J11-J13-J12</f>
        <v>227.69999999999996</v>
      </c>
      <c r="K20" s="216">
        <f>K11-K13-K12</f>
        <v>206.59999999999997</v>
      </c>
      <c r="L20" s="216">
        <f>L11-L13-L12</f>
        <v>79.099999999999994</v>
      </c>
      <c r="M20" s="216">
        <f>M11-M13-M12</f>
        <v>33.100000000000023</v>
      </c>
      <c r="N20" s="217">
        <f t="shared" ref="N20:U20" si="14">N11-N12-N13</f>
        <v>43.300000000000011</v>
      </c>
      <c r="O20" s="217">
        <f t="shared" si="14"/>
        <v>35.899999999999977</v>
      </c>
      <c r="P20" s="217">
        <f t="shared" si="14"/>
        <v>27.699999999999996</v>
      </c>
      <c r="Q20" s="215">
        <f t="shared" si="14"/>
        <v>23.400000000000002</v>
      </c>
      <c r="R20" s="215">
        <f t="shared" si="14"/>
        <v>17.5</v>
      </c>
      <c r="S20" s="190">
        <f t="shared" si="14"/>
        <v>18</v>
      </c>
      <c r="T20" s="190">
        <f t="shared" si="14"/>
        <v>20.099999999999998</v>
      </c>
      <c r="U20" s="190">
        <f t="shared" si="14"/>
        <v>22.8</v>
      </c>
      <c r="V20" s="195">
        <f>U20*V23/U23</f>
        <v>23.451428571428572</v>
      </c>
      <c r="W20" s="198">
        <f>V20*W23/V23</f>
        <v>23.451428571428572</v>
      </c>
      <c r="X20" s="198">
        <f t="shared" ref="X20:AC20" si="15">W20*X23/W23</f>
        <v>23.451428571428572</v>
      </c>
      <c r="Y20" s="198">
        <f t="shared" si="15"/>
        <v>24.754285714285711</v>
      </c>
      <c r="Z20" s="198">
        <f t="shared" si="15"/>
        <v>26.708571428571425</v>
      </c>
      <c r="AA20" s="198">
        <f t="shared" si="15"/>
        <v>28.011428571428567</v>
      </c>
      <c r="AB20" s="198">
        <f t="shared" si="15"/>
        <v>29.31428571428571</v>
      </c>
      <c r="AC20" s="198">
        <f t="shared" si="15"/>
        <v>29.965714285714277</v>
      </c>
      <c r="AD20" s="198">
        <f>AC20*AD23/AC23</f>
        <v>30.617142857142852</v>
      </c>
      <c r="AE20" s="198">
        <f t="shared" ref="AE20:AF20" si="16">AD20*AE23/AD23</f>
        <v>29.965714285714277</v>
      </c>
      <c r="AF20" s="198">
        <f t="shared" si="16"/>
        <v>29.31428571428571</v>
      </c>
      <c r="AG20" s="180"/>
      <c r="AH20" s="229" t="s">
        <v>300</v>
      </c>
    </row>
    <row r="21" spans="2:36" x14ac:dyDescent="0.35">
      <c r="B21" s="210"/>
      <c r="C21" s="211"/>
      <c r="D21" s="240"/>
      <c r="E21" s="215"/>
      <c r="F21" s="215"/>
      <c r="G21" s="215"/>
      <c r="H21" s="192"/>
      <c r="I21" s="192"/>
      <c r="J21" s="192"/>
      <c r="K21" s="192"/>
      <c r="L21" s="192"/>
      <c r="M21" s="192"/>
      <c r="N21" s="192"/>
      <c r="O21" s="192"/>
      <c r="P21" s="192"/>
      <c r="Q21" s="192"/>
      <c r="R21" s="192"/>
      <c r="S21" s="192"/>
      <c r="T21" s="218"/>
      <c r="U21" s="192"/>
      <c r="V21" s="194"/>
      <c r="W21" s="197"/>
      <c r="X21" s="197"/>
      <c r="Y21" s="197"/>
      <c r="Z21" s="197"/>
      <c r="AA21" s="197"/>
      <c r="AB21" s="197"/>
      <c r="AC21" s="197"/>
      <c r="AD21" s="197"/>
      <c r="AE21" s="197"/>
      <c r="AF21" s="197"/>
      <c r="AG21" s="179"/>
    </row>
    <row r="22" spans="2:36" x14ac:dyDescent="0.35">
      <c r="B22" s="250" t="s">
        <v>1915</v>
      </c>
      <c r="C22" s="211"/>
      <c r="D22" s="215"/>
      <c r="E22" s="215"/>
      <c r="F22" s="215"/>
      <c r="G22" s="215"/>
      <c r="H22" s="192"/>
      <c r="I22" s="192"/>
      <c r="J22" s="192"/>
      <c r="K22" s="192"/>
      <c r="L22" s="192"/>
      <c r="M22" s="192"/>
      <c r="N22" s="192"/>
      <c r="O22" s="192"/>
      <c r="P22" s="192"/>
      <c r="Q22" s="192"/>
      <c r="R22" s="192"/>
      <c r="S22" s="192"/>
      <c r="T22" s="218"/>
      <c r="U22" s="193"/>
      <c r="V22" s="196">
        <v>3.6</v>
      </c>
      <c r="W22" s="199">
        <v>3.8</v>
      </c>
      <c r="X22" s="199">
        <v>4.0999999999999996</v>
      </c>
      <c r="Y22" s="199">
        <v>4.3</v>
      </c>
      <c r="Z22" s="199">
        <v>4.5</v>
      </c>
      <c r="AA22" s="199">
        <v>4.5999999999999996</v>
      </c>
      <c r="AB22" s="199">
        <v>4.7</v>
      </c>
      <c r="AC22" s="199">
        <v>4.7</v>
      </c>
      <c r="AD22" s="199">
        <v>4.5999999999999996</v>
      </c>
      <c r="AE22" s="199">
        <v>4.5999999999999996</v>
      </c>
      <c r="AF22" s="199">
        <v>4.5</v>
      </c>
      <c r="AG22" s="181"/>
    </row>
    <row r="23" spans="2:36" x14ac:dyDescent="0.35">
      <c r="B23" s="210" t="s">
        <v>1892</v>
      </c>
      <c r="C23" s="202"/>
      <c r="D23" s="241"/>
      <c r="E23" s="188"/>
      <c r="F23" s="188"/>
      <c r="G23" s="188"/>
      <c r="H23" s="192"/>
      <c r="I23" s="192"/>
      <c r="J23" s="192"/>
      <c r="K23" s="192"/>
      <c r="L23" s="192"/>
      <c r="M23" s="192">
        <f t="shared" ref="M23:U23" si="17">GETPIVOTDATA("Monthly UR",$E$29,"Quarters",M24,"Years",M25)</f>
        <v>6.166666666666667</v>
      </c>
      <c r="N23" s="192">
        <f t="shared" si="17"/>
        <v>5.7666666666666657</v>
      </c>
      <c r="O23" s="192">
        <f t="shared" si="17"/>
        <v>5.1333333333333337</v>
      </c>
      <c r="P23" s="192">
        <f t="shared" si="17"/>
        <v>4.2333333333333334</v>
      </c>
      <c r="Q23" s="192">
        <f t="shared" si="17"/>
        <v>3.8000000000000003</v>
      </c>
      <c r="R23" s="192">
        <f t="shared" si="17"/>
        <v>3.6</v>
      </c>
      <c r="S23" s="192">
        <f t="shared" si="17"/>
        <v>3.5666666666666664</v>
      </c>
      <c r="T23" s="192">
        <f t="shared" si="17"/>
        <v>3.6</v>
      </c>
      <c r="U23" s="254">
        <f t="shared" si="17"/>
        <v>3.5</v>
      </c>
      <c r="V23" s="203">
        <v>3.6</v>
      </c>
      <c r="W23" s="203">
        <v>3.6</v>
      </c>
      <c r="X23" s="203">
        <f>V22</f>
        <v>3.6</v>
      </c>
      <c r="Y23" s="203">
        <f t="shared" ref="Y23:AC23" si="18">W22</f>
        <v>3.8</v>
      </c>
      <c r="Z23" s="203">
        <f t="shared" si="18"/>
        <v>4.0999999999999996</v>
      </c>
      <c r="AA23" s="203">
        <f t="shared" si="18"/>
        <v>4.3</v>
      </c>
      <c r="AB23" s="203">
        <f t="shared" si="18"/>
        <v>4.5</v>
      </c>
      <c r="AC23" s="203">
        <f t="shared" si="18"/>
        <v>4.5999999999999996</v>
      </c>
      <c r="AD23" s="203">
        <f>AB22</f>
        <v>4.7</v>
      </c>
      <c r="AE23" s="203">
        <f>AE22</f>
        <v>4.5999999999999996</v>
      </c>
      <c r="AF23" s="203">
        <f>AF22</f>
        <v>4.5</v>
      </c>
      <c r="AG23" s="181"/>
      <c r="AH23" s="193" t="s">
        <v>301</v>
      </c>
    </row>
    <row r="24" spans="2:36" ht="15.75" customHeight="1" x14ac:dyDescent="0.35">
      <c r="B24" s="204" t="s">
        <v>1883</v>
      </c>
      <c r="C24" s="205"/>
      <c r="D24" s="206"/>
      <c r="E24" s="206"/>
      <c r="F24" s="206"/>
      <c r="G24" s="206"/>
      <c r="H24" s="206"/>
      <c r="I24" s="206"/>
      <c r="J24" s="206"/>
      <c r="K24" s="206"/>
      <c r="L24" s="206"/>
      <c r="M24" s="206">
        <v>1</v>
      </c>
      <c r="N24" s="206">
        <v>2</v>
      </c>
      <c r="O24" s="206">
        <v>3</v>
      </c>
      <c r="P24" s="206">
        <v>4</v>
      </c>
      <c r="Q24" s="206">
        <v>1</v>
      </c>
      <c r="R24" s="206">
        <v>2</v>
      </c>
      <c r="S24" s="206">
        <v>3</v>
      </c>
      <c r="T24" s="206">
        <v>4</v>
      </c>
      <c r="U24" s="206">
        <v>1</v>
      </c>
      <c r="V24" s="206">
        <v>2</v>
      </c>
      <c r="W24" s="206">
        <v>3</v>
      </c>
      <c r="X24" s="206">
        <v>4</v>
      </c>
      <c r="Y24" s="206">
        <v>1</v>
      </c>
      <c r="Z24" s="206">
        <v>2</v>
      </c>
      <c r="AA24" s="206">
        <v>3</v>
      </c>
      <c r="AB24" s="206">
        <v>4</v>
      </c>
      <c r="AC24" s="206">
        <v>1</v>
      </c>
      <c r="AD24" s="206">
        <v>2</v>
      </c>
      <c r="AE24" s="206">
        <v>3</v>
      </c>
      <c r="AF24" s="206">
        <v>4</v>
      </c>
      <c r="AG24" s="207">
        <v>1</v>
      </c>
      <c r="AH24" s="188"/>
      <c r="AI24" s="188"/>
      <c r="AJ24" s="188"/>
    </row>
    <row r="25" spans="2:36" x14ac:dyDescent="0.35">
      <c r="B25" s="222" t="s">
        <v>1884</v>
      </c>
      <c r="C25" s="223"/>
      <c r="D25" s="224"/>
      <c r="E25" s="224"/>
      <c r="F25" s="224"/>
      <c r="G25" s="224"/>
      <c r="H25" s="224"/>
      <c r="I25" s="224"/>
      <c r="J25" s="224"/>
      <c r="K25" s="224"/>
      <c r="L25" s="224"/>
      <c r="M25" s="224">
        <v>2021</v>
      </c>
      <c r="N25" s="224">
        <v>2021</v>
      </c>
      <c r="O25" s="224">
        <v>2021</v>
      </c>
      <c r="P25" s="224">
        <v>2021</v>
      </c>
      <c r="Q25" s="224">
        <v>2022</v>
      </c>
      <c r="R25" s="224">
        <v>2022</v>
      </c>
      <c r="S25" s="224">
        <v>2022</v>
      </c>
      <c r="T25" s="224">
        <v>2022</v>
      </c>
      <c r="U25" s="224">
        <v>2023</v>
      </c>
      <c r="V25" s="224">
        <v>2023</v>
      </c>
      <c r="W25" s="224">
        <v>2023</v>
      </c>
      <c r="X25" s="224">
        <v>2023</v>
      </c>
      <c r="Y25" s="224">
        <v>2024</v>
      </c>
      <c r="Z25" s="224">
        <v>2024</v>
      </c>
      <c r="AA25" s="224">
        <v>2024</v>
      </c>
      <c r="AB25" s="224">
        <v>2024</v>
      </c>
      <c r="AC25" s="224">
        <v>2025</v>
      </c>
      <c r="AD25" s="224">
        <v>2025</v>
      </c>
      <c r="AE25" s="224">
        <v>2025</v>
      </c>
      <c r="AF25" s="224">
        <v>2025</v>
      </c>
      <c r="AG25" s="225">
        <v>2026</v>
      </c>
      <c r="AH25" s="193"/>
    </row>
    <row r="26" spans="2:36" x14ac:dyDescent="0.35">
      <c r="B26" s="35"/>
      <c r="C26" s="202"/>
      <c r="D26" s="188"/>
      <c r="E26" s="188"/>
      <c r="F26" s="188"/>
      <c r="G26" s="188"/>
      <c r="H26" s="188"/>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93"/>
    </row>
    <row r="27" spans="2:36" x14ac:dyDescent="0.35">
      <c r="C27" s="202"/>
      <c r="D27" s="188"/>
      <c r="E27" s="188"/>
      <c r="F27" s="188"/>
      <c r="G27" s="188"/>
      <c r="H27" s="192"/>
      <c r="I27" s="192"/>
      <c r="J27" s="192"/>
      <c r="K27" s="192"/>
      <c r="L27" s="192"/>
      <c r="M27" s="192"/>
      <c r="N27" s="192"/>
      <c r="O27" s="192"/>
      <c r="P27" s="192"/>
      <c r="AH27" s="193"/>
    </row>
    <row r="28" spans="2:36" x14ac:dyDescent="0.35">
      <c r="M28" s="202"/>
      <c r="N28" s="202"/>
      <c r="O28" s="202"/>
    </row>
    <row r="29" spans="2:36" ht="45" customHeight="1" x14ac:dyDescent="0.35">
      <c r="B29" s="247" t="s">
        <v>302</v>
      </c>
      <c r="C29" s="248" t="s">
        <v>303</v>
      </c>
      <c r="D29" s="245"/>
      <c r="E29" s="14" t="s">
        <v>1873</v>
      </c>
      <c r="F29" s="14" t="s">
        <v>1878</v>
      </c>
      <c r="G29" s="14"/>
      <c r="H29" s="14"/>
      <c r="I29" s="14"/>
      <c r="J29" s="14"/>
      <c r="O29" s="249"/>
    </row>
    <row r="30" spans="2:36" x14ac:dyDescent="0.35">
      <c r="B30" s="242">
        <v>44197</v>
      </c>
      <c r="C30" s="154">
        <v>6.3</v>
      </c>
      <c r="D30" s="246"/>
      <c r="E30" s="56" t="s">
        <v>1801</v>
      </c>
      <c r="F30" s="35"/>
      <c r="G30" s="35"/>
      <c r="H30" s="168"/>
      <c r="I30" s="35"/>
      <c r="J30" s="168"/>
      <c r="O30" s="202"/>
    </row>
    <row r="31" spans="2:36" x14ac:dyDescent="0.35">
      <c r="B31" s="242">
        <v>44228</v>
      </c>
      <c r="C31" s="154">
        <v>6.2</v>
      </c>
      <c r="D31" s="246"/>
      <c r="E31" s="133" t="s">
        <v>1874</v>
      </c>
      <c r="F31" s="79">
        <v>6.166666666666667</v>
      </c>
      <c r="G31" s="35"/>
      <c r="H31" s="168"/>
      <c r="I31" s="35"/>
      <c r="J31" s="168"/>
      <c r="O31" s="202"/>
    </row>
    <row r="32" spans="2:36" x14ac:dyDescent="0.35">
      <c r="B32" s="242">
        <v>44256</v>
      </c>
      <c r="C32" s="154">
        <v>6</v>
      </c>
      <c r="D32" s="246"/>
      <c r="E32" s="133" t="s">
        <v>1875</v>
      </c>
      <c r="F32" s="79">
        <v>5.7666666666666657</v>
      </c>
      <c r="G32" s="35"/>
      <c r="H32" s="168"/>
      <c r="I32" s="35"/>
      <c r="J32" s="168"/>
      <c r="O32" s="202"/>
    </row>
    <row r="33" spans="1:42" x14ac:dyDescent="0.35">
      <c r="B33" s="242">
        <v>44287</v>
      </c>
      <c r="C33" s="154">
        <v>6.1</v>
      </c>
      <c r="D33" s="246"/>
      <c r="E33" s="133" t="s">
        <v>1876</v>
      </c>
      <c r="F33" s="79">
        <v>5.1333333333333337</v>
      </c>
      <c r="G33" s="35"/>
      <c r="H33" s="168"/>
      <c r="I33" s="35"/>
      <c r="J33" s="168"/>
      <c r="O33" s="202"/>
    </row>
    <row r="34" spans="1:42" x14ac:dyDescent="0.35">
      <c r="A34" s="35"/>
      <c r="B34" s="242">
        <v>44317</v>
      </c>
      <c r="C34" s="154">
        <v>5.8</v>
      </c>
      <c r="D34" s="246"/>
      <c r="E34" s="133" t="s">
        <v>1877</v>
      </c>
      <c r="F34" s="79">
        <v>4.2333333333333334</v>
      </c>
      <c r="G34" s="35"/>
      <c r="H34" s="168"/>
      <c r="I34" s="35"/>
      <c r="J34" s="168"/>
      <c r="O34" s="202"/>
    </row>
    <row r="35" spans="1:42" x14ac:dyDescent="0.35">
      <c r="A35" s="35"/>
      <c r="B35" s="242">
        <v>44348</v>
      </c>
      <c r="C35" s="154">
        <v>5.4</v>
      </c>
      <c r="D35" s="246"/>
      <c r="E35" s="56" t="s">
        <v>1747</v>
      </c>
      <c r="F35" s="79"/>
      <c r="G35" s="35"/>
      <c r="H35" s="168"/>
      <c r="I35" s="35"/>
      <c r="J35" s="168"/>
      <c r="O35" s="202"/>
    </row>
    <row r="36" spans="1:42" x14ac:dyDescent="0.35">
      <c r="A36" s="35"/>
      <c r="B36" s="242">
        <v>44378</v>
      </c>
      <c r="C36" s="154">
        <v>5.4</v>
      </c>
      <c r="D36" s="246"/>
      <c r="E36" s="133" t="s">
        <v>1874</v>
      </c>
      <c r="F36" s="79">
        <v>3.8000000000000003</v>
      </c>
      <c r="G36" s="35"/>
      <c r="H36" s="168"/>
      <c r="I36" s="35"/>
      <c r="J36" s="168"/>
      <c r="O36" s="202"/>
    </row>
    <row r="37" spans="1:42" x14ac:dyDescent="0.35">
      <c r="A37" s="35"/>
      <c r="B37" s="242">
        <v>44409</v>
      </c>
      <c r="C37" s="154">
        <v>5.2</v>
      </c>
      <c r="D37" s="246"/>
      <c r="E37" s="133" t="s">
        <v>1875</v>
      </c>
      <c r="F37" s="79">
        <v>3.6</v>
      </c>
      <c r="G37" s="35"/>
      <c r="H37" s="168"/>
      <c r="I37" s="35"/>
      <c r="J37" s="168"/>
      <c r="O37" s="202"/>
    </row>
    <row r="38" spans="1:42" x14ac:dyDescent="0.35">
      <c r="A38" s="35"/>
      <c r="B38" s="242">
        <v>44440</v>
      </c>
      <c r="C38" s="154">
        <v>4.8</v>
      </c>
      <c r="D38" s="246"/>
      <c r="E38" s="133" t="s">
        <v>1876</v>
      </c>
      <c r="F38" s="79">
        <v>3.5666666666666664</v>
      </c>
      <c r="G38" s="35"/>
      <c r="H38" s="168"/>
      <c r="I38" s="35"/>
      <c r="J38" s="168"/>
      <c r="O38" s="202"/>
    </row>
    <row r="39" spans="1:42" x14ac:dyDescent="0.35">
      <c r="A39" s="35"/>
      <c r="B39" s="242">
        <v>44470</v>
      </c>
      <c r="C39" s="154">
        <v>4.5999999999999996</v>
      </c>
      <c r="D39" s="246"/>
      <c r="E39" s="133" t="s">
        <v>1877</v>
      </c>
      <c r="F39" s="79">
        <v>3.6</v>
      </c>
      <c r="G39" s="35"/>
      <c r="H39" s="168"/>
      <c r="I39" s="35"/>
      <c r="J39" s="168"/>
      <c r="O39" s="202"/>
    </row>
    <row r="40" spans="1:42" x14ac:dyDescent="0.35">
      <c r="A40" s="35"/>
      <c r="B40" s="242">
        <v>44501</v>
      </c>
      <c r="C40" s="154">
        <v>4.2</v>
      </c>
      <c r="D40" s="246"/>
      <c r="E40" s="56" t="s">
        <v>1879</v>
      </c>
      <c r="F40" s="79"/>
      <c r="G40" s="35"/>
      <c r="H40" s="168"/>
      <c r="I40" s="35"/>
      <c r="J40" s="168"/>
      <c r="O40" s="202"/>
      <c r="AH40" s="202"/>
      <c r="AI40" s="202"/>
      <c r="AJ40" s="202"/>
      <c r="AK40" s="202"/>
      <c r="AL40" s="202"/>
      <c r="AM40" s="202"/>
      <c r="AN40" s="202"/>
      <c r="AO40" s="202"/>
      <c r="AP40" s="202"/>
    </row>
    <row r="41" spans="1:42" x14ac:dyDescent="0.35">
      <c r="A41" s="35"/>
      <c r="B41" s="242">
        <v>44531</v>
      </c>
      <c r="C41" s="154">
        <v>3.9</v>
      </c>
      <c r="D41" s="246"/>
      <c r="E41" s="133" t="s">
        <v>1874</v>
      </c>
      <c r="F41" s="79">
        <v>3.5</v>
      </c>
      <c r="G41" s="35"/>
      <c r="H41" s="168"/>
      <c r="I41" s="35"/>
      <c r="J41" s="168"/>
      <c r="O41" s="202"/>
      <c r="AH41" s="202"/>
      <c r="AI41" s="202"/>
      <c r="AJ41" s="202"/>
      <c r="AK41" s="202"/>
      <c r="AL41" s="202"/>
      <c r="AM41" s="202"/>
      <c r="AN41" s="202"/>
      <c r="AO41" s="202"/>
      <c r="AP41" s="202"/>
    </row>
    <row r="42" spans="1:42" x14ac:dyDescent="0.35">
      <c r="A42" s="35"/>
      <c r="B42" s="242">
        <v>44562</v>
      </c>
      <c r="C42" s="154">
        <v>4</v>
      </c>
      <c r="D42" s="35"/>
      <c r="E42" s="133" t="s">
        <v>1875</v>
      </c>
      <c r="F42" s="79"/>
      <c r="G42" s="35"/>
      <c r="H42" s="168"/>
      <c r="I42" s="35"/>
      <c r="J42" s="168"/>
      <c r="O42" s="202"/>
    </row>
    <row r="43" spans="1:42" x14ac:dyDescent="0.35">
      <c r="A43" s="35"/>
      <c r="B43" s="242">
        <v>44593</v>
      </c>
      <c r="C43" s="154">
        <v>3.8</v>
      </c>
      <c r="D43" s="35"/>
      <c r="E43" s="133" t="s">
        <v>1876</v>
      </c>
      <c r="F43" s="79"/>
      <c r="G43" s="35"/>
      <c r="H43" s="168"/>
      <c r="I43" s="35"/>
      <c r="J43" s="168"/>
    </row>
    <row r="44" spans="1:42" x14ac:dyDescent="0.35">
      <c r="A44" s="35"/>
      <c r="B44" s="242">
        <v>44621</v>
      </c>
      <c r="C44" s="154">
        <v>3.6</v>
      </c>
      <c r="D44" s="35"/>
      <c r="E44" s="133" t="s">
        <v>1877</v>
      </c>
      <c r="F44" s="79"/>
      <c r="G44" s="35"/>
      <c r="H44" s="168"/>
      <c r="I44" s="35"/>
      <c r="J44" s="168"/>
    </row>
    <row r="45" spans="1:42" x14ac:dyDescent="0.35">
      <c r="A45" s="35"/>
      <c r="B45" s="242">
        <v>44652</v>
      </c>
      <c r="C45" s="154">
        <v>3.6</v>
      </c>
      <c r="D45" s="35"/>
      <c r="E45" s="56" t="s">
        <v>1880</v>
      </c>
      <c r="F45" s="79"/>
      <c r="G45" s="35"/>
      <c r="H45" s="168"/>
      <c r="I45" s="35"/>
      <c r="J45" s="168"/>
    </row>
    <row r="46" spans="1:42" x14ac:dyDescent="0.35">
      <c r="A46" s="35"/>
      <c r="B46" s="242">
        <v>44682</v>
      </c>
      <c r="C46" s="154">
        <v>3.6</v>
      </c>
      <c r="D46" s="35"/>
      <c r="E46" s="133" t="s">
        <v>1874</v>
      </c>
      <c r="F46" s="79"/>
      <c r="G46" s="35"/>
      <c r="H46" s="168"/>
      <c r="I46" s="35"/>
      <c r="J46" s="168"/>
    </row>
    <row r="47" spans="1:42" x14ac:dyDescent="0.35">
      <c r="A47" s="35"/>
      <c r="B47" s="242">
        <v>44713</v>
      </c>
      <c r="C47" s="154">
        <v>3.6</v>
      </c>
      <c r="D47" s="35"/>
      <c r="E47" s="133" t="s">
        <v>1875</v>
      </c>
      <c r="F47" s="79"/>
      <c r="G47" s="35"/>
      <c r="H47" s="168"/>
      <c r="I47" s="35"/>
      <c r="J47" s="168"/>
    </row>
    <row r="48" spans="1:42" x14ac:dyDescent="0.35">
      <c r="A48" s="35"/>
      <c r="B48" s="242">
        <v>44743</v>
      </c>
      <c r="C48" s="154">
        <v>3.5</v>
      </c>
      <c r="D48" s="35"/>
      <c r="E48" s="133" t="s">
        <v>1876</v>
      </c>
      <c r="F48" s="79"/>
      <c r="G48" s="35"/>
      <c r="H48" s="168"/>
      <c r="I48" s="35"/>
      <c r="J48" s="168"/>
    </row>
    <row r="49" spans="1:10" x14ac:dyDescent="0.35">
      <c r="A49" s="35"/>
      <c r="B49" s="242">
        <v>44774</v>
      </c>
      <c r="C49" s="154">
        <v>3.7</v>
      </c>
      <c r="D49" s="35"/>
      <c r="E49" s="133" t="s">
        <v>1877</v>
      </c>
      <c r="F49" s="79"/>
      <c r="G49" s="35"/>
      <c r="H49" s="168"/>
      <c r="I49" s="35"/>
      <c r="J49" s="168"/>
    </row>
    <row r="50" spans="1:10" x14ac:dyDescent="0.35">
      <c r="A50" s="35"/>
      <c r="B50" s="242">
        <v>44805</v>
      </c>
      <c r="C50" s="154">
        <v>3.5</v>
      </c>
      <c r="D50" s="35"/>
      <c r="E50" s="56" t="s">
        <v>1881</v>
      </c>
      <c r="F50" s="79"/>
      <c r="G50" s="35"/>
      <c r="H50" s="35"/>
      <c r="I50" s="35"/>
      <c r="J50" s="35"/>
    </row>
    <row r="51" spans="1:10" x14ac:dyDescent="0.35">
      <c r="A51" s="35"/>
      <c r="B51" s="242">
        <v>44835</v>
      </c>
      <c r="C51" s="154">
        <v>3.7</v>
      </c>
      <c r="D51" s="35"/>
      <c r="E51" s="133" t="s">
        <v>1874</v>
      </c>
      <c r="F51" s="79"/>
      <c r="G51" s="35"/>
      <c r="H51" s="35"/>
      <c r="I51" s="35"/>
      <c r="J51" s="35"/>
    </row>
    <row r="52" spans="1:10" x14ac:dyDescent="0.35">
      <c r="A52" s="35"/>
      <c r="B52" s="242">
        <v>44866</v>
      </c>
      <c r="C52" s="154">
        <v>3.6</v>
      </c>
      <c r="D52" s="35"/>
      <c r="E52" s="133" t="s">
        <v>1875</v>
      </c>
      <c r="F52" s="79"/>
      <c r="G52" s="35"/>
      <c r="H52" s="35"/>
      <c r="I52" s="35"/>
      <c r="J52" s="35"/>
    </row>
    <row r="53" spans="1:10" x14ac:dyDescent="0.35">
      <c r="A53" s="35"/>
      <c r="B53" s="242">
        <v>44896</v>
      </c>
      <c r="C53" s="154">
        <v>3.5</v>
      </c>
      <c r="D53" s="35"/>
      <c r="E53" s="133" t="s">
        <v>1876</v>
      </c>
      <c r="F53" s="79"/>
      <c r="G53" s="35"/>
      <c r="H53" s="35"/>
      <c r="I53" s="35"/>
      <c r="J53" s="35"/>
    </row>
    <row r="54" spans="1:10" x14ac:dyDescent="0.35">
      <c r="B54" s="242">
        <v>44927</v>
      </c>
      <c r="C54" s="154">
        <v>3.4</v>
      </c>
      <c r="D54" s="35"/>
      <c r="E54" s="133" t="s">
        <v>1877</v>
      </c>
      <c r="F54" s="79"/>
      <c r="G54" s="35"/>
      <c r="H54" s="35"/>
      <c r="I54" s="35"/>
      <c r="J54" s="35"/>
    </row>
    <row r="55" spans="1:10" x14ac:dyDescent="0.35">
      <c r="B55" s="242">
        <v>44958</v>
      </c>
      <c r="C55" s="154">
        <v>3.6</v>
      </c>
      <c r="D55" s="35"/>
      <c r="E55" s="56" t="s">
        <v>1882</v>
      </c>
      <c r="F55" s="79"/>
      <c r="G55" s="35"/>
      <c r="H55" s="35"/>
      <c r="I55" s="35"/>
      <c r="J55" s="35"/>
    </row>
    <row r="56" spans="1:10" x14ac:dyDescent="0.35">
      <c r="B56" s="242">
        <v>44986</v>
      </c>
      <c r="C56" s="154">
        <v>3.5</v>
      </c>
      <c r="D56" s="35"/>
      <c r="E56" s="133" t="s">
        <v>1874</v>
      </c>
      <c r="F56" s="79"/>
      <c r="G56" s="35"/>
      <c r="H56" s="35"/>
      <c r="I56" s="35"/>
      <c r="J56" s="35"/>
    </row>
    <row r="57" spans="1:10" x14ac:dyDescent="0.35">
      <c r="B57" s="242">
        <v>45017</v>
      </c>
      <c r="C57" s="154"/>
      <c r="D57" s="35"/>
      <c r="E57" s="133" t="s">
        <v>1875</v>
      </c>
      <c r="F57" s="79"/>
      <c r="G57" s="35"/>
      <c r="H57" s="35"/>
      <c r="I57" s="35"/>
      <c r="J57" s="35"/>
    </row>
    <row r="58" spans="1:10" x14ac:dyDescent="0.35">
      <c r="B58" s="242">
        <v>45047</v>
      </c>
      <c r="C58" s="154"/>
      <c r="D58" s="35"/>
      <c r="E58" s="133" t="s">
        <v>1876</v>
      </c>
      <c r="F58" s="79"/>
      <c r="G58" s="35"/>
      <c r="H58" s="35"/>
      <c r="I58" s="35"/>
      <c r="J58" s="35"/>
    </row>
    <row r="59" spans="1:10" x14ac:dyDescent="0.35">
      <c r="B59" s="242">
        <v>45078</v>
      </c>
      <c r="C59" s="154"/>
      <c r="D59" s="35"/>
      <c r="E59" s="133" t="s">
        <v>1877</v>
      </c>
      <c r="F59" s="79"/>
      <c r="G59" s="35"/>
      <c r="H59" s="35"/>
      <c r="I59" s="35"/>
      <c r="J59" s="35"/>
    </row>
    <row r="60" spans="1:10" x14ac:dyDescent="0.35">
      <c r="B60" s="242">
        <v>45108</v>
      </c>
      <c r="C60" s="154"/>
      <c r="D60" s="35"/>
      <c r="E60" s="35"/>
      <c r="F60" s="35"/>
      <c r="G60" s="35"/>
      <c r="H60" s="35"/>
      <c r="I60" s="35"/>
      <c r="J60" s="35"/>
    </row>
    <row r="61" spans="1:10" x14ac:dyDescent="0.35">
      <c r="B61" s="242">
        <v>45139</v>
      </c>
      <c r="C61" s="154"/>
      <c r="D61" s="35"/>
      <c r="E61" s="35"/>
      <c r="F61" s="35"/>
      <c r="G61" s="35"/>
      <c r="H61" s="35"/>
      <c r="I61" s="35"/>
      <c r="J61" s="35"/>
    </row>
    <row r="62" spans="1:10" x14ac:dyDescent="0.35">
      <c r="B62" s="242">
        <v>45170</v>
      </c>
      <c r="C62" s="154"/>
      <c r="D62" s="35"/>
      <c r="E62" s="35"/>
      <c r="F62" s="35"/>
      <c r="G62" s="35"/>
      <c r="H62" s="35"/>
      <c r="I62" s="35"/>
      <c r="J62" s="35"/>
    </row>
    <row r="63" spans="1:10" x14ac:dyDescent="0.35">
      <c r="B63" s="242">
        <v>45200</v>
      </c>
      <c r="C63" s="154"/>
      <c r="D63" s="35"/>
      <c r="E63" s="35"/>
      <c r="F63" s="35"/>
      <c r="G63" s="35"/>
      <c r="H63" s="35"/>
      <c r="I63" s="35"/>
      <c r="J63" s="35"/>
    </row>
    <row r="64" spans="1:10" x14ac:dyDescent="0.35">
      <c r="B64" s="242">
        <v>45231</v>
      </c>
      <c r="C64" s="154"/>
      <c r="D64" s="35"/>
      <c r="E64" s="35"/>
      <c r="F64" s="35"/>
      <c r="G64" s="35"/>
      <c r="H64" s="35"/>
      <c r="I64" s="35"/>
      <c r="J64" s="35"/>
    </row>
    <row r="65" spans="2:10" x14ac:dyDescent="0.35">
      <c r="B65" s="242">
        <v>45261</v>
      </c>
      <c r="C65" s="154"/>
      <c r="D65" s="35"/>
      <c r="E65" s="35"/>
      <c r="F65" s="35"/>
      <c r="G65" s="35"/>
      <c r="H65" s="35"/>
      <c r="I65" s="35"/>
      <c r="J65" s="35"/>
    </row>
    <row r="66" spans="2:10" x14ac:dyDescent="0.35">
      <c r="B66" s="242">
        <v>45292</v>
      </c>
      <c r="C66" s="154"/>
      <c r="D66" s="35"/>
      <c r="E66" s="35"/>
      <c r="F66" s="35"/>
      <c r="G66" s="35"/>
      <c r="H66" s="35"/>
      <c r="I66" s="35"/>
      <c r="J66" s="35"/>
    </row>
    <row r="67" spans="2:10" x14ac:dyDescent="0.35">
      <c r="B67" s="242">
        <v>45323</v>
      </c>
      <c r="C67" s="154"/>
      <c r="D67" s="35"/>
      <c r="E67" s="35"/>
      <c r="F67" s="35"/>
      <c r="G67" s="35"/>
      <c r="H67" s="35"/>
      <c r="I67" s="35"/>
      <c r="J67" s="35"/>
    </row>
    <row r="68" spans="2:10" x14ac:dyDescent="0.35">
      <c r="B68" s="242">
        <v>45352</v>
      </c>
      <c r="C68" s="154"/>
      <c r="D68" s="35"/>
      <c r="E68" s="35"/>
      <c r="F68" s="35"/>
      <c r="G68" s="35"/>
      <c r="H68" s="35"/>
      <c r="I68" s="35"/>
      <c r="J68" s="35"/>
    </row>
    <row r="69" spans="2:10" x14ac:dyDescent="0.35">
      <c r="B69" s="242">
        <v>45383</v>
      </c>
      <c r="C69" s="154"/>
      <c r="D69" s="35"/>
      <c r="E69" s="35"/>
      <c r="F69" s="35"/>
      <c r="G69" s="35"/>
      <c r="H69" s="35"/>
      <c r="I69" s="35"/>
      <c r="J69" s="35"/>
    </row>
    <row r="70" spans="2:10" x14ac:dyDescent="0.35">
      <c r="B70" s="242">
        <v>45413</v>
      </c>
      <c r="C70" s="154"/>
      <c r="D70" s="35"/>
      <c r="E70" s="35"/>
      <c r="F70" s="35"/>
      <c r="G70" s="35"/>
      <c r="H70" s="35"/>
      <c r="I70" s="35"/>
      <c r="J70" s="35"/>
    </row>
    <row r="71" spans="2:10" x14ac:dyDescent="0.35">
      <c r="B71" s="242">
        <v>45444</v>
      </c>
      <c r="C71" s="154"/>
      <c r="D71" s="35"/>
      <c r="E71" s="35"/>
      <c r="F71" s="35"/>
      <c r="G71" s="35"/>
      <c r="H71" s="35"/>
      <c r="I71" s="35"/>
      <c r="J71" s="35"/>
    </row>
    <row r="72" spans="2:10" x14ac:dyDescent="0.35">
      <c r="B72" s="242">
        <v>45474</v>
      </c>
      <c r="C72" s="154"/>
      <c r="D72" s="35"/>
      <c r="E72" s="35"/>
      <c r="F72" s="35"/>
      <c r="G72" s="35"/>
      <c r="H72" s="35"/>
      <c r="I72" s="35"/>
      <c r="J72" s="35"/>
    </row>
    <row r="73" spans="2:10" x14ac:dyDescent="0.35">
      <c r="B73" s="242">
        <v>45505</v>
      </c>
      <c r="C73" s="154"/>
      <c r="D73" s="35"/>
      <c r="E73" s="35"/>
      <c r="F73" s="35"/>
      <c r="G73" s="35"/>
      <c r="H73" s="35"/>
      <c r="I73" s="35"/>
      <c r="J73" s="35"/>
    </row>
    <row r="74" spans="2:10" x14ac:dyDescent="0.35">
      <c r="B74" s="242">
        <v>45536</v>
      </c>
      <c r="C74" s="154"/>
      <c r="D74" s="35"/>
      <c r="E74" s="35"/>
      <c r="F74" s="35"/>
      <c r="G74" s="35"/>
      <c r="H74" s="35"/>
      <c r="I74" s="35"/>
      <c r="J74" s="35"/>
    </row>
    <row r="75" spans="2:10" x14ac:dyDescent="0.35">
      <c r="B75" s="242">
        <v>45566</v>
      </c>
      <c r="C75" s="154"/>
      <c r="D75" s="35"/>
      <c r="E75" s="35"/>
      <c r="F75" s="35"/>
      <c r="G75" s="35"/>
      <c r="H75" s="35"/>
      <c r="I75" s="35"/>
      <c r="J75" s="35"/>
    </row>
    <row r="76" spans="2:10" x14ac:dyDescent="0.35">
      <c r="B76" s="242">
        <v>45597</v>
      </c>
      <c r="C76" s="154"/>
      <c r="D76" s="35"/>
      <c r="E76" s="35"/>
      <c r="F76" s="35"/>
      <c r="G76" s="35"/>
      <c r="H76" s="35"/>
      <c r="I76" s="35"/>
      <c r="J76" s="35"/>
    </row>
    <row r="77" spans="2:10" x14ac:dyDescent="0.35">
      <c r="B77" s="242">
        <v>45627</v>
      </c>
      <c r="C77" s="154"/>
      <c r="D77" s="35"/>
      <c r="E77" s="35"/>
      <c r="F77" s="35"/>
      <c r="G77" s="35"/>
      <c r="H77" s="35"/>
      <c r="I77" s="35"/>
      <c r="J77" s="35"/>
    </row>
    <row r="78" spans="2:10" x14ac:dyDescent="0.35">
      <c r="B78" s="242">
        <v>45658</v>
      </c>
      <c r="C78" s="154"/>
      <c r="D78" s="35"/>
      <c r="E78" s="35"/>
      <c r="F78" s="35"/>
      <c r="G78" s="35"/>
      <c r="H78" s="35"/>
      <c r="I78" s="35"/>
      <c r="J78" s="35"/>
    </row>
    <row r="79" spans="2:10" x14ac:dyDescent="0.35">
      <c r="B79" s="242">
        <v>45689</v>
      </c>
      <c r="C79" s="154"/>
      <c r="D79" s="35"/>
      <c r="E79" s="35"/>
      <c r="F79" s="35"/>
      <c r="G79" s="35"/>
      <c r="H79" s="35"/>
      <c r="I79" s="35"/>
      <c r="J79" s="35"/>
    </row>
    <row r="80" spans="2:10" x14ac:dyDescent="0.35">
      <c r="B80" s="242">
        <v>45717</v>
      </c>
      <c r="C80" s="154"/>
      <c r="D80" s="35"/>
      <c r="E80" s="35"/>
      <c r="F80" s="35"/>
      <c r="G80" s="35"/>
      <c r="H80" s="35"/>
      <c r="I80" s="35"/>
      <c r="J80" s="35"/>
    </row>
    <row r="81" spans="2:10" x14ac:dyDescent="0.35">
      <c r="B81" s="242">
        <v>45748</v>
      </c>
      <c r="C81" s="154"/>
      <c r="D81" s="35"/>
      <c r="E81" s="35"/>
      <c r="F81" s="35"/>
      <c r="G81" s="35"/>
      <c r="H81" s="35"/>
      <c r="I81" s="35"/>
      <c r="J81" s="35"/>
    </row>
    <row r="82" spans="2:10" x14ac:dyDescent="0.35">
      <c r="B82" s="242">
        <v>45778</v>
      </c>
      <c r="C82" s="154"/>
      <c r="D82" s="35"/>
      <c r="E82" s="35"/>
      <c r="F82" s="35"/>
      <c r="G82" s="35"/>
      <c r="H82" s="35"/>
      <c r="I82" s="35"/>
      <c r="J82" s="35"/>
    </row>
    <row r="83" spans="2:10" x14ac:dyDescent="0.35">
      <c r="B83" s="242">
        <v>45809</v>
      </c>
      <c r="C83" s="154"/>
      <c r="D83" s="35"/>
      <c r="E83" s="35"/>
      <c r="F83" s="35"/>
      <c r="G83" s="35"/>
      <c r="H83" s="35"/>
      <c r="I83" s="35"/>
      <c r="J83" s="35"/>
    </row>
    <row r="84" spans="2:10" x14ac:dyDescent="0.35">
      <c r="B84" s="242">
        <v>45839</v>
      </c>
      <c r="C84" s="154"/>
      <c r="D84" s="35"/>
      <c r="E84" s="35"/>
      <c r="F84" s="35"/>
      <c r="G84" s="35"/>
      <c r="H84" s="35"/>
      <c r="I84" s="35"/>
      <c r="J84" s="35"/>
    </row>
    <row r="85" spans="2:10" x14ac:dyDescent="0.35">
      <c r="B85" s="242">
        <v>45870</v>
      </c>
      <c r="C85" s="154"/>
      <c r="D85" s="35"/>
      <c r="E85" s="35"/>
      <c r="F85" s="35"/>
      <c r="G85" s="35"/>
      <c r="H85" s="35"/>
      <c r="I85" s="35"/>
      <c r="J85" s="35"/>
    </row>
    <row r="86" spans="2:10" x14ac:dyDescent="0.35">
      <c r="B86" s="242">
        <v>45901</v>
      </c>
      <c r="C86" s="154"/>
      <c r="D86" s="35"/>
      <c r="E86" s="35"/>
      <c r="F86" s="35"/>
      <c r="G86" s="35"/>
      <c r="H86" s="35"/>
      <c r="I86" s="35"/>
      <c r="J86" s="35"/>
    </row>
    <row r="87" spans="2:10" x14ac:dyDescent="0.35">
      <c r="B87" s="242">
        <v>45931</v>
      </c>
      <c r="C87" s="154"/>
      <c r="D87" s="35"/>
      <c r="E87" s="35"/>
      <c r="F87" s="35"/>
      <c r="G87" s="35"/>
      <c r="H87" s="35"/>
      <c r="I87" s="35"/>
      <c r="J87" s="35"/>
    </row>
    <row r="88" spans="2:10" x14ac:dyDescent="0.35">
      <c r="B88" s="242">
        <v>45962</v>
      </c>
      <c r="C88" s="154"/>
      <c r="D88" s="35"/>
      <c r="E88" s="35"/>
      <c r="F88" s="35"/>
      <c r="G88" s="35"/>
      <c r="H88" s="35"/>
      <c r="I88" s="35"/>
      <c r="J88" s="35"/>
    </row>
    <row r="89" spans="2:10" x14ac:dyDescent="0.35">
      <c r="B89" s="242">
        <v>45992</v>
      </c>
      <c r="C89" s="154"/>
      <c r="D89" s="35"/>
      <c r="E89" s="35"/>
      <c r="F89" s="35"/>
      <c r="G89" s="35"/>
      <c r="H89" s="35"/>
      <c r="I89" s="35"/>
      <c r="J89" s="35"/>
    </row>
    <row r="90" spans="2:10" x14ac:dyDescent="0.35">
      <c r="B90" s="242">
        <v>46023</v>
      </c>
      <c r="C90" s="154"/>
      <c r="D90" s="35"/>
      <c r="E90" s="35"/>
      <c r="F90" s="35"/>
      <c r="G90" s="35"/>
      <c r="H90" s="35"/>
      <c r="I90" s="35"/>
      <c r="J90" s="35"/>
    </row>
    <row r="91" spans="2:10" x14ac:dyDescent="0.35">
      <c r="B91" s="242">
        <v>46054</v>
      </c>
      <c r="C91" s="154"/>
      <c r="D91" s="35"/>
      <c r="E91" s="35"/>
      <c r="F91" s="35"/>
      <c r="G91" s="35"/>
      <c r="H91" s="35"/>
      <c r="I91" s="35"/>
      <c r="J91" s="35"/>
    </row>
    <row r="92" spans="2:10" x14ac:dyDescent="0.35">
      <c r="B92" s="242">
        <v>46082</v>
      </c>
      <c r="C92" s="154"/>
      <c r="D92" s="35"/>
      <c r="E92" s="35"/>
      <c r="F92" s="35"/>
      <c r="G92" s="35"/>
      <c r="H92" s="35"/>
      <c r="I92" s="35"/>
      <c r="J92" s="35"/>
    </row>
    <row r="93" spans="2:10" x14ac:dyDescent="0.35">
      <c r="B93" s="242">
        <v>46113</v>
      </c>
      <c r="C93" s="154"/>
      <c r="D93" s="35"/>
      <c r="E93" s="35"/>
      <c r="F93" s="35"/>
      <c r="G93" s="35"/>
      <c r="H93" s="35"/>
      <c r="I93" s="35"/>
      <c r="J93" s="35"/>
    </row>
    <row r="94" spans="2:10" x14ac:dyDescent="0.35">
      <c r="B94" s="242">
        <v>46143</v>
      </c>
      <c r="C94" s="154"/>
      <c r="D94" s="35"/>
      <c r="E94" s="35"/>
      <c r="F94" s="35"/>
      <c r="G94" s="35"/>
      <c r="H94" s="35"/>
      <c r="I94" s="35"/>
      <c r="J94" s="35"/>
    </row>
    <row r="95" spans="2:10" x14ac:dyDescent="0.35">
      <c r="B95" s="242">
        <v>46174</v>
      </c>
      <c r="C95" s="154"/>
      <c r="D95" s="35"/>
      <c r="E95" s="35"/>
      <c r="F95" s="35"/>
      <c r="G95" s="35"/>
      <c r="H95" s="35"/>
      <c r="I95" s="35"/>
      <c r="J95" s="35"/>
    </row>
    <row r="96" spans="2:10" x14ac:dyDescent="0.35">
      <c r="B96" s="242">
        <v>46204</v>
      </c>
      <c r="C96" s="154"/>
      <c r="D96" s="35"/>
      <c r="E96" s="35"/>
      <c r="F96" s="35"/>
      <c r="G96" s="35"/>
      <c r="H96" s="35"/>
      <c r="I96" s="35"/>
      <c r="J96" s="35"/>
    </row>
    <row r="97" spans="2:10" x14ac:dyDescent="0.35">
      <c r="B97" s="242">
        <v>46235</v>
      </c>
      <c r="C97" s="154"/>
      <c r="D97" s="35"/>
      <c r="E97" s="35"/>
      <c r="F97" s="35"/>
      <c r="G97" s="35"/>
      <c r="H97" s="35"/>
      <c r="I97" s="35"/>
      <c r="J97" s="35"/>
    </row>
    <row r="98" spans="2:10" x14ac:dyDescent="0.35">
      <c r="B98" s="242">
        <v>46266</v>
      </c>
      <c r="C98" s="154"/>
      <c r="D98" s="35"/>
      <c r="E98" s="35"/>
      <c r="F98" s="35"/>
      <c r="G98" s="35"/>
      <c r="H98" s="35"/>
      <c r="I98" s="35"/>
      <c r="J98" s="35"/>
    </row>
    <row r="99" spans="2:10" x14ac:dyDescent="0.35">
      <c r="B99" s="242">
        <v>46296</v>
      </c>
      <c r="C99" s="154"/>
      <c r="D99" s="35"/>
      <c r="E99" s="35"/>
      <c r="F99" s="35"/>
      <c r="G99" s="35"/>
      <c r="H99" s="35"/>
      <c r="I99" s="35"/>
      <c r="J99" s="35"/>
    </row>
    <row r="100" spans="2:10" x14ac:dyDescent="0.35">
      <c r="B100" s="242">
        <v>46327</v>
      </c>
      <c r="C100" s="154"/>
      <c r="D100" s="35"/>
      <c r="E100" s="35"/>
      <c r="F100" s="35"/>
      <c r="G100" s="35"/>
      <c r="H100" s="35"/>
      <c r="I100" s="35"/>
      <c r="J100" s="35"/>
    </row>
    <row r="101" spans="2:10" x14ac:dyDescent="0.35">
      <c r="B101" s="243">
        <v>46357</v>
      </c>
      <c r="C101" s="156"/>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14" t="s">
        <v>53</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row>
    <row r="2" spans="2:30" ht="14.25" customHeight="1" x14ac:dyDescent="0.35">
      <c r="B2" s="1315" t="s">
        <v>278</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30" x14ac:dyDescent="0.3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30" x14ac:dyDescent="0.3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2:30" x14ac:dyDescent="0.35">
      <c r="B5" s="1315"/>
      <c r="C5" s="1315"/>
      <c r="D5" s="1315"/>
      <c r="E5" s="1315"/>
      <c r="F5" s="1315"/>
      <c r="G5" s="1315"/>
      <c r="H5" s="1315"/>
      <c r="I5" s="1315"/>
      <c r="J5" s="1315"/>
      <c r="K5" s="1315"/>
      <c r="L5" s="1315"/>
      <c r="M5" s="1315"/>
      <c r="N5" s="1315"/>
      <c r="O5" s="1315"/>
      <c r="P5" s="1315"/>
      <c r="Q5" s="1315"/>
      <c r="R5" s="1315"/>
      <c r="S5" s="1315"/>
      <c r="T5" s="1315"/>
      <c r="U5" s="1315"/>
      <c r="V5" s="1315"/>
      <c r="W5" s="1315"/>
      <c r="X5" s="1315"/>
      <c r="Y5" s="1315"/>
      <c r="Z5" s="1315"/>
      <c r="AA5" s="1315"/>
      <c r="AB5" s="1315"/>
      <c r="AC5" s="1315"/>
    </row>
    <row r="6" spans="2:30" ht="38.9" customHeight="1" x14ac:dyDescent="0.35">
      <c r="B6" s="1315"/>
      <c r="C6" s="1315"/>
      <c r="D6" s="1315"/>
      <c r="E6" s="1315"/>
      <c r="F6" s="1315"/>
      <c r="G6" s="1315"/>
      <c r="H6" s="1315"/>
      <c r="I6" s="1315"/>
      <c r="J6" s="1315"/>
      <c r="K6" s="1315"/>
      <c r="L6" s="1315"/>
      <c r="M6" s="1315"/>
      <c r="N6" s="1315"/>
      <c r="O6" s="1315"/>
      <c r="P6" s="1315"/>
      <c r="Q6" s="1315"/>
      <c r="R6" s="1315"/>
      <c r="S6" s="1315"/>
      <c r="T6" s="1315"/>
      <c r="U6" s="1315"/>
      <c r="V6" s="1315"/>
      <c r="W6" s="1315"/>
      <c r="X6" s="1315"/>
      <c r="Y6" s="1315"/>
      <c r="Z6" s="1315"/>
      <c r="AA6" s="1315"/>
      <c r="AB6" s="1315"/>
      <c r="AC6" s="1315"/>
    </row>
    <row r="7" spans="2:30" x14ac:dyDescent="0.35">
      <c r="B7" s="231"/>
      <c r="C7" s="231"/>
      <c r="D7" s="231"/>
      <c r="E7" s="231"/>
      <c r="F7" s="231"/>
      <c r="G7" s="231"/>
      <c r="H7" s="232"/>
      <c r="I7" s="232"/>
      <c r="J7" s="232"/>
      <c r="K7" s="232"/>
      <c r="L7" s="232"/>
      <c r="M7" s="232"/>
      <c r="N7" s="232"/>
      <c r="O7" s="232"/>
      <c r="P7" s="232"/>
      <c r="Q7" s="232"/>
      <c r="R7" s="232"/>
      <c r="S7" s="232"/>
      <c r="T7" s="232"/>
      <c r="U7" s="232"/>
      <c r="V7" s="232"/>
      <c r="W7" s="232"/>
      <c r="X7" s="232"/>
      <c r="Y7" s="232"/>
    </row>
    <row r="8" spans="2:30" ht="14.9" customHeight="1" x14ac:dyDescent="0.35">
      <c r="B8" s="1319" t="s">
        <v>279</v>
      </c>
      <c r="C8" s="1320"/>
      <c r="D8" s="1338" t="s">
        <v>280</v>
      </c>
      <c r="E8" s="1339"/>
      <c r="F8" s="1339"/>
      <c r="G8" s="1339"/>
      <c r="H8" s="1339"/>
      <c r="I8" s="1339"/>
      <c r="J8" s="1339"/>
      <c r="K8" s="1339"/>
      <c r="L8" s="1339"/>
      <c r="M8" s="1339"/>
      <c r="N8" s="1339"/>
      <c r="O8" s="1339"/>
      <c r="P8" s="1339"/>
      <c r="Q8" s="1339"/>
      <c r="R8" s="1339"/>
      <c r="S8" s="1339"/>
      <c r="T8" s="1340"/>
      <c r="U8" s="1341" t="s">
        <v>281</v>
      </c>
      <c r="V8" s="1342"/>
      <c r="W8" s="1342"/>
      <c r="X8" s="1342"/>
      <c r="Y8" s="1342"/>
      <c r="Z8" s="1342"/>
      <c r="AA8" s="1342"/>
      <c r="AB8" s="1342"/>
      <c r="AC8" s="1343"/>
    </row>
    <row r="9" spans="2:30" ht="12.75" customHeight="1" x14ac:dyDescent="0.35">
      <c r="B9" s="1321"/>
      <c r="C9" s="1322"/>
      <c r="D9" s="142">
        <v>2018</v>
      </c>
      <c r="E9" s="1310">
        <v>2019</v>
      </c>
      <c r="F9" s="1328"/>
      <c r="G9" s="1328"/>
      <c r="H9" s="1329"/>
      <c r="I9" s="1328">
        <v>2020</v>
      </c>
      <c r="J9" s="1328"/>
      <c r="K9" s="1328"/>
      <c r="L9" s="1328"/>
      <c r="M9" s="1310">
        <v>2021</v>
      </c>
      <c r="N9" s="1328"/>
      <c r="O9" s="1328"/>
      <c r="P9" s="1328"/>
      <c r="Q9" s="1344">
        <v>2022</v>
      </c>
      <c r="R9" s="1345"/>
      <c r="S9" s="256"/>
      <c r="T9" s="261"/>
      <c r="U9" s="1326">
        <v>2023</v>
      </c>
      <c r="V9" s="1337"/>
      <c r="W9" s="1337"/>
      <c r="X9" s="1327"/>
      <c r="Y9" s="1325">
        <v>2024</v>
      </c>
      <c r="Z9" s="1337"/>
      <c r="AA9" s="1337"/>
      <c r="AB9" s="1337"/>
      <c r="AC9" s="213">
        <v>2025</v>
      </c>
    </row>
    <row r="10" spans="2:30" ht="14.9" customHeight="1" x14ac:dyDescent="0.35">
      <c r="B10" s="1321"/>
      <c r="C10" s="1322"/>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236" t="s">
        <v>283</v>
      </c>
      <c r="V10" s="236" t="s">
        <v>284</v>
      </c>
      <c r="W10" s="236" t="s">
        <v>238</v>
      </c>
      <c r="X10" s="237" t="s">
        <v>282</v>
      </c>
      <c r="Y10" s="235" t="s">
        <v>283</v>
      </c>
      <c r="Z10" s="233" t="s">
        <v>284</v>
      </c>
      <c r="AA10" s="236" t="s">
        <v>238</v>
      </c>
      <c r="AB10" s="236" t="s">
        <v>282</v>
      </c>
      <c r="AC10" s="238" t="s">
        <v>283</v>
      </c>
    </row>
    <row r="11" spans="2:30" x14ac:dyDescent="0.35">
      <c r="B11" s="212" t="s">
        <v>102</v>
      </c>
      <c r="C11" s="239" t="s">
        <v>285</v>
      </c>
      <c r="D11" s="219">
        <f>'Haver Pivoted'!GO14</f>
        <v>27.8</v>
      </c>
      <c r="E11" s="273">
        <f>'Haver Pivoted'!GP14</f>
        <v>29.4</v>
      </c>
      <c r="F11" s="273">
        <f>'Haver Pivoted'!GQ14</f>
        <v>26.9</v>
      </c>
      <c r="G11" s="273">
        <f>'Haver Pivoted'!GR14</f>
        <v>26.4</v>
      </c>
      <c r="H11" s="273">
        <f>'Haver Pivoted'!GS14</f>
        <v>27.7</v>
      </c>
      <c r="I11" s="273">
        <f>'Haver Pivoted'!GT14</f>
        <v>40.700000000000003</v>
      </c>
      <c r="J11" s="273">
        <f>'Haver Pivoted'!GU14</f>
        <v>1007.5</v>
      </c>
      <c r="K11" s="273">
        <f>'Haver Pivoted'!GV14</f>
        <v>792.9</v>
      </c>
      <c r="L11" s="273">
        <f>'Haver Pivoted'!GW14</f>
        <v>308.5</v>
      </c>
      <c r="M11" s="273">
        <f>'Haver Pivoted'!GX14</f>
        <v>556.20000000000005</v>
      </c>
      <c r="N11" s="273">
        <f>'Haver Pivoted'!GY14</f>
        <v>448.6</v>
      </c>
      <c r="O11" s="273">
        <f>'Haver Pivoted'!GZ14</f>
        <v>245.1</v>
      </c>
      <c r="P11" s="273">
        <f>'Haver Pivoted'!HA14</f>
        <v>33.799999999999997</v>
      </c>
      <c r="Q11" s="273">
        <f>'Haver Pivoted'!HB14</f>
        <v>23.6</v>
      </c>
      <c r="R11" s="273">
        <f>'Haver Pivoted'!HC14</f>
        <v>18.600000000000001</v>
      </c>
      <c r="S11" s="143">
        <f>'Haver Pivoted'!HD14</f>
        <v>18.5</v>
      </c>
      <c r="T11" s="187">
        <f>'Haver Pivoted'!HE14</f>
        <v>20.399999999999999</v>
      </c>
      <c r="U11" s="187">
        <f>'Haver Pivoted'!HF14</f>
        <v>22.8</v>
      </c>
      <c r="V11" s="244">
        <f t="shared" ref="V11:AC11" si="0">V12+V13+V20</f>
        <v>29.959200000000003</v>
      </c>
      <c r="W11" s="244">
        <f t="shared" si="0"/>
        <v>31.913485714285713</v>
      </c>
      <c r="X11" s="244">
        <f t="shared" si="0"/>
        <v>33.314057142857138</v>
      </c>
      <c r="Y11" s="244">
        <f t="shared" si="0"/>
        <v>33.216342857142855</v>
      </c>
      <c r="Z11" s="244">
        <f t="shared" si="0"/>
        <v>32.200114285714285</v>
      </c>
      <c r="AA11" s="244">
        <f t="shared" si="0"/>
        <v>31.652914285714289</v>
      </c>
      <c r="AB11" s="244">
        <f t="shared" si="0"/>
        <v>31.262057142857149</v>
      </c>
      <c r="AC11" s="260">
        <f t="shared" si="0"/>
        <v>31.112228571428574</v>
      </c>
      <c r="AD11" s="202" t="s">
        <v>286</v>
      </c>
    </row>
    <row r="12" spans="2:30" x14ac:dyDescent="0.35">
      <c r="B12" s="230" t="s">
        <v>287</v>
      </c>
      <c r="C12" s="220" t="s">
        <v>288</v>
      </c>
      <c r="D12" s="241">
        <f>'Haver Pivoted'!GO63</f>
        <v>0</v>
      </c>
      <c r="E12" s="188">
        <f>'Haver Pivoted'!GP63</f>
        <v>0</v>
      </c>
      <c r="F12" s="188">
        <f>'Haver Pivoted'!GQ63</f>
        <v>0</v>
      </c>
      <c r="G12" s="188">
        <f>'Haver Pivoted'!GR63</f>
        <v>0</v>
      </c>
      <c r="H12" s="188">
        <f>'Haver Pivoted'!GS63</f>
        <v>0</v>
      </c>
      <c r="I12" s="188">
        <f>'Haver Pivoted'!GT63</f>
        <v>0</v>
      </c>
      <c r="J12" s="188">
        <f>'Haver Pivoted'!GU63</f>
        <v>0.1</v>
      </c>
      <c r="K12" s="188">
        <f>'Haver Pivoted'!GV63</f>
        <v>3.7</v>
      </c>
      <c r="L12" s="188">
        <f>'Haver Pivoted'!GW63</f>
        <v>12.9</v>
      </c>
      <c r="M12" s="188">
        <f>'Haver Pivoted'!GX63</f>
        <v>25.5</v>
      </c>
      <c r="N12" s="188">
        <f>'Haver Pivoted'!GY63</f>
        <v>3.8</v>
      </c>
      <c r="O12" s="188">
        <f>'Haver Pivoted'!GZ63</f>
        <v>1.8</v>
      </c>
      <c r="P12" s="188">
        <f>'Haver Pivoted'!HA63</f>
        <v>0.6</v>
      </c>
      <c r="Q12" s="188">
        <f>'Haver Pivoted'!HB63</f>
        <v>0.2</v>
      </c>
      <c r="R12" s="188">
        <f>'Haver Pivoted'!HC63</f>
        <v>0.1</v>
      </c>
      <c r="S12" s="140">
        <f>'Haver Pivoted'!HD63</f>
        <v>0</v>
      </c>
      <c r="T12" s="146">
        <f>'Haver Pivoted'!HE63</f>
        <v>0</v>
      </c>
      <c r="U12" s="146">
        <f>'Haver Pivoted'!HF63</f>
        <v>0</v>
      </c>
      <c r="V12" s="197">
        <f>U12*V23/U23</f>
        <v>0</v>
      </c>
      <c r="W12" s="197">
        <f t="shared" ref="W12:AB12" si="1">V12*W23/V23</f>
        <v>0</v>
      </c>
      <c r="X12" s="197">
        <f t="shared" si="1"/>
        <v>0</v>
      </c>
      <c r="Y12" s="197">
        <f t="shared" si="1"/>
        <v>0</v>
      </c>
      <c r="Z12" s="197">
        <f t="shared" si="1"/>
        <v>0</v>
      </c>
      <c r="AA12" s="197">
        <f t="shared" si="1"/>
        <v>0</v>
      </c>
      <c r="AB12" s="197">
        <f t="shared" si="1"/>
        <v>0</v>
      </c>
      <c r="AC12" s="267">
        <f>AB12*AC23/AB23</f>
        <v>0</v>
      </c>
    </row>
    <row r="13" spans="2:30" x14ac:dyDescent="0.35">
      <c r="B13" s="230" t="s">
        <v>289</v>
      </c>
      <c r="C13" s="220"/>
      <c r="D13" s="241"/>
      <c r="E13" s="188"/>
      <c r="F13" s="188"/>
      <c r="G13" s="188"/>
      <c r="H13" s="192">
        <f>SUM(H14:H17)</f>
        <v>0</v>
      </c>
      <c r="I13" s="192">
        <f t="shared" ref="I13:M13" si="2">SUM(I14:I17)</f>
        <v>0</v>
      </c>
      <c r="J13" s="192">
        <f t="shared" si="2"/>
        <v>779.7</v>
      </c>
      <c r="K13" s="192">
        <f t="shared" si="2"/>
        <v>582.6</v>
      </c>
      <c r="L13" s="192">
        <f t="shared" si="2"/>
        <v>216.5</v>
      </c>
      <c r="M13" s="192">
        <f t="shared" si="2"/>
        <v>497.6</v>
      </c>
      <c r="N13" s="214">
        <f>SUM(N14:N17)</f>
        <v>401.5</v>
      </c>
      <c r="O13" s="214">
        <f t="shared" ref="O13:AC13" si="3">SUM(O14:O17)</f>
        <v>207.4</v>
      </c>
      <c r="P13" s="214">
        <f t="shared" si="3"/>
        <v>5.5</v>
      </c>
      <c r="Q13" s="214">
        <v>0</v>
      </c>
      <c r="R13" s="214">
        <f t="shared" si="3"/>
        <v>1</v>
      </c>
      <c r="S13" s="189">
        <f t="shared" si="3"/>
        <v>0.5</v>
      </c>
      <c r="T13" s="268">
        <f t="shared" si="3"/>
        <v>0.30000000000000004</v>
      </c>
      <c r="U13" s="268">
        <f t="shared" si="3"/>
        <v>0</v>
      </c>
      <c r="V13" s="197">
        <f t="shared" si="3"/>
        <v>0</v>
      </c>
      <c r="W13" s="197">
        <f t="shared" si="3"/>
        <v>0</v>
      </c>
      <c r="X13" s="197">
        <f t="shared" si="3"/>
        <v>0</v>
      </c>
      <c r="Y13" s="197">
        <f t="shared" si="3"/>
        <v>0</v>
      </c>
      <c r="Z13" s="197">
        <f t="shared" si="3"/>
        <v>0</v>
      </c>
      <c r="AA13" s="197">
        <f t="shared" si="3"/>
        <v>0</v>
      </c>
      <c r="AB13" s="197">
        <f t="shared" si="3"/>
        <v>0</v>
      </c>
      <c r="AC13" s="267">
        <f t="shared" si="3"/>
        <v>0</v>
      </c>
    </row>
    <row r="14" spans="2:30" ht="18" customHeight="1" x14ac:dyDescent="0.35">
      <c r="B14" s="208" t="s">
        <v>290</v>
      </c>
      <c r="C14" s="209" t="s">
        <v>288</v>
      </c>
      <c r="D14" s="240">
        <f>'Haver Pivoted'!GO63</f>
        <v>0</v>
      </c>
      <c r="E14" s="215">
        <f>'Haver Pivoted'!GP63</f>
        <v>0</v>
      </c>
      <c r="F14" s="215">
        <f>'Haver Pivoted'!GQ63</f>
        <v>0</v>
      </c>
      <c r="G14" s="215">
        <f>'Haver Pivoted'!GR63</f>
        <v>0</v>
      </c>
      <c r="H14" s="215">
        <f>'Haver Pivoted'!GS63</f>
        <v>0</v>
      </c>
      <c r="I14" s="215">
        <f>'Haver Pivoted'!GT63</f>
        <v>0</v>
      </c>
      <c r="J14" s="215">
        <f>'Haver Pivoted'!GU63</f>
        <v>0.1</v>
      </c>
      <c r="K14" s="215">
        <f>'Haver Pivoted'!GV63</f>
        <v>3.7</v>
      </c>
      <c r="L14" s="215">
        <f>'Haver Pivoted'!GW63</f>
        <v>12.9</v>
      </c>
      <c r="M14" s="215">
        <f>'Haver Pivoted'!GX63</f>
        <v>25.5</v>
      </c>
      <c r="N14" s="215">
        <f>'Haver Pivoted'!GY63</f>
        <v>3.8</v>
      </c>
      <c r="O14" s="215">
        <f>'Haver Pivoted'!GZ63</f>
        <v>1.8</v>
      </c>
      <c r="P14" s="215">
        <f>'Haver Pivoted'!HA63</f>
        <v>0.6</v>
      </c>
      <c r="Q14" s="215">
        <f>'Haver Pivoted'!HB63</f>
        <v>0.2</v>
      </c>
      <c r="R14" s="215">
        <f>'Haver Pivoted'!HC63</f>
        <v>0.1</v>
      </c>
      <c r="S14" s="190">
        <f>'Haver Pivoted'!HD63</f>
        <v>0</v>
      </c>
      <c r="T14" s="266">
        <f>'Haver Pivoted'!HE63</f>
        <v>0</v>
      </c>
      <c r="U14" s="266">
        <f>'Haver Pivoted'!HF63</f>
        <v>0</v>
      </c>
      <c r="V14" s="197">
        <f t="shared" ref="V14:X14" si="4">V12</f>
        <v>0</v>
      </c>
      <c r="W14" s="197">
        <f t="shared" si="4"/>
        <v>0</v>
      </c>
      <c r="X14" s="197">
        <f t="shared" si="4"/>
        <v>0</v>
      </c>
      <c r="Y14" s="197">
        <f>Y12</f>
        <v>0</v>
      </c>
      <c r="Z14" s="197">
        <f t="shared" ref="Z14:AC14" si="5">Z12</f>
        <v>0</v>
      </c>
      <c r="AA14" s="197">
        <f t="shared" si="5"/>
        <v>0</v>
      </c>
      <c r="AB14" s="197">
        <f t="shared" si="5"/>
        <v>0</v>
      </c>
      <c r="AC14" s="267">
        <f t="shared" si="5"/>
        <v>0</v>
      </c>
    </row>
    <row r="15" spans="2:30" ht="18" customHeight="1" x14ac:dyDescent="0.35">
      <c r="B15" s="208" t="s">
        <v>291</v>
      </c>
      <c r="C15" s="209" t="s">
        <v>292</v>
      </c>
      <c r="D15" s="240">
        <f>'Haver Pivoted'!GO59</f>
        <v>0</v>
      </c>
      <c r="E15" s="215">
        <f>'Haver Pivoted'!GP59</f>
        <v>0</v>
      </c>
      <c r="F15" s="215">
        <f>'Haver Pivoted'!GQ59</f>
        <v>0</v>
      </c>
      <c r="G15" s="215">
        <f>'Haver Pivoted'!GR59</f>
        <v>0</v>
      </c>
      <c r="H15" s="215">
        <f>'Haver Pivoted'!GS59</f>
        <v>0</v>
      </c>
      <c r="I15" s="215">
        <f>'Haver Pivoted'!GT59</f>
        <v>0</v>
      </c>
      <c r="J15" s="215">
        <f>'Haver Pivoted'!GU59</f>
        <v>6.3</v>
      </c>
      <c r="K15" s="215">
        <f>'Haver Pivoted'!GV59</f>
        <v>26.7</v>
      </c>
      <c r="L15" s="215">
        <f>'Haver Pivoted'!GW59</f>
        <v>82.1</v>
      </c>
      <c r="M15" s="215">
        <f>'Haver Pivoted'!GX59</f>
        <v>94.7</v>
      </c>
      <c r="N15" s="215">
        <f>'Haver Pivoted'!GY59</f>
        <v>92.1</v>
      </c>
      <c r="O15" s="215">
        <f>'Haver Pivoted'!GZ59</f>
        <v>51.6</v>
      </c>
      <c r="P15" s="215">
        <f>'Haver Pivoted'!HA59</f>
        <v>2.8</v>
      </c>
      <c r="Q15" s="215">
        <f>'Haver Pivoted'!HB59</f>
        <v>0.8</v>
      </c>
      <c r="R15" s="215">
        <f>'Haver Pivoted'!HC59</f>
        <v>0.5</v>
      </c>
      <c r="S15" s="190">
        <f>'Haver Pivoted'!HD59</f>
        <v>0.3</v>
      </c>
      <c r="T15" s="266">
        <f>'Haver Pivoted'!HE59</f>
        <v>0.2</v>
      </c>
      <c r="U15" s="266">
        <f>'Haver Pivoted'!HF59</f>
        <v>0</v>
      </c>
      <c r="V15" s="197">
        <f t="shared" ref="V15:AB17" si="6">U15*V$23/U$23</f>
        <v>0</v>
      </c>
      <c r="W15" s="197">
        <f t="shared" si="6"/>
        <v>0</v>
      </c>
      <c r="X15" s="197">
        <f t="shared" si="6"/>
        <v>0</v>
      </c>
      <c r="Y15" s="197">
        <f t="shared" si="6"/>
        <v>0</v>
      </c>
      <c r="Z15" s="197">
        <f t="shared" si="6"/>
        <v>0</v>
      </c>
      <c r="AA15" s="197">
        <f t="shared" si="6"/>
        <v>0</v>
      </c>
      <c r="AB15" s="197">
        <f t="shared" si="6"/>
        <v>0</v>
      </c>
      <c r="AC15" s="267">
        <f>AB15*AC$23/AB$23</f>
        <v>0</v>
      </c>
    </row>
    <row r="16" spans="2:30" ht="18" customHeight="1" x14ac:dyDescent="0.35">
      <c r="B16" s="208" t="s">
        <v>293</v>
      </c>
      <c r="C16" s="209" t="s">
        <v>294</v>
      </c>
      <c r="D16" s="240">
        <f>'Haver Pivoted'!GO60</f>
        <v>0</v>
      </c>
      <c r="E16" s="215">
        <f>'Haver Pivoted'!GP60</f>
        <v>0</v>
      </c>
      <c r="F16" s="215">
        <f>'Haver Pivoted'!GQ60</f>
        <v>0</v>
      </c>
      <c r="G16" s="215">
        <f>'Haver Pivoted'!GR60</f>
        <v>0</v>
      </c>
      <c r="H16" s="215">
        <f>'Haver Pivoted'!GS60</f>
        <v>0</v>
      </c>
      <c r="I16" s="215">
        <f>'Haver Pivoted'!GT60</f>
        <v>0</v>
      </c>
      <c r="J16" s="215">
        <f>'Haver Pivoted'!GU60</f>
        <v>74.400000000000006</v>
      </c>
      <c r="K16" s="215">
        <f>'Haver Pivoted'!GV60</f>
        <v>138.30000000000001</v>
      </c>
      <c r="L16" s="215">
        <f>'Haver Pivoted'!GW60</f>
        <v>106.8</v>
      </c>
      <c r="M16" s="215">
        <f>'Haver Pivoted'!GX60</f>
        <v>89.2</v>
      </c>
      <c r="N16" s="215">
        <f>'Haver Pivoted'!GY60</f>
        <v>72.3</v>
      </c>
      <c r="O16" s="215">
        <f>'Haver Pivoted'!GZ60</f>
        <v>43.5</v>
      </c>
      <c r="P16" s="215">
        <f>'Haver Pivoted'!HA60</f>
        <v>2.1</v>
      </c>
      <c r="Q16" s="215">
        <f>'Haver Pivoted'!HB60</f>
        <v>0.8</v>
      </c>
      <c r="R16" s="215">
        <f>'Haver Pivoted'!HC60</f>
        <v>0.4</v>
      </c>
      <c r="S16" s="190">
        <f>'Haver Pivoted'!HD60</f>
        <v>0.2</v>
      </c>
      <c r="T16" s="266">
        <f>'Haver Pivoted'!HE60</f>
        <v>0.1</v>
      </c>
      <c r="U16" s="266">
        <f>'Haver Pivoted'!HF60</f>
        <v>0</v>
      </c>
      <c r="V16" s="197">
        <f t="shared" si="6"/>
        <v>0</v>
      </c>
      <c r="W16" s="197">
        <f t="shared" si="6"/>
        <v>0</v>
      </c>
      <c r="X16" s="197">
        <f t="shared" si="6"/>
        <v>0</v>
      </c>
      <c r="Y16" s="197">
        <f t="shared" si="6"/>
        <v>0</v>
      </c>
      <c r="Z16" s="197">
        <f t="shared" si="6"/>
        <v>0</v>
      </c>
      <c r="AA16" s="197">
        <f t="shared" si="6"/>
        <v>0</v>
      </c>
      <c r="AB16" s="197">
        <f t="shared" si="6"/>
        <v>0</v>
      </c>
      <c r="AC16" s="267">
        <f>AB16*AC$23/AB$23</f>
        <v>0</v>
      </c>
    </row>
    <row r="17" spans="1:32" ht="18" customHeight="1" x14ac:dyDescent="0.35">
      <c r="B17" s="208" t="s">
        <v>295</v>
      </c>
      <c r="C17" s="209" t="s">
        <v>296</v>
      </c>
      <c r="D17" s="240">
        <f>'Haver Pivoted'!GO61</f>
        <v>0</v>
      </c>
      <c r="E17" s="215">
        <f>'Haver Pivoted'!GP61</f>
        <v>0</v>
      </c>
      <c r="F17" s="215">
        <f>'Haver Pivoted'!GQ61</f>
        <v>0</v>
      </c>
      <c r="G17" s="215">
        <f>'Haver Pivoted'!GR61</f>
        <v>0</v>
      </c>
      <c r="H17" s="215">
        <f>'Haver Pivoted'!GS61</f>
        <v>0</v>
      </c>
      <c r="I17" s="215">
        <f>'Haver Pivoted'!GT61</f>
        <v>0</v>
      </c>
      <c r="J17" s="215">
        <f>'Haver Pivoted'!GU61</f>
        <v>698.9</v>
      </c>
      <c r="K17" s="215">
        <f>'Haver Pivoted'!GV61</f>
        <v>413.9</v>
      </c>
      <c r="L17" s="215">
        <f>'Haver Pivoted'!GW61</f>
        <v>14.7</v>
      </c>
      <c r="M17" s="215">
        <f>'Haver Pivoted'!GX61</f>
        <v>288.2</v>
      </c>
      <c r="N17" s="215">
        <f>'Haver Pivoted'!GY61</f>
        <v>233.3</v>
      </c>
      <c r="O17" s="215">
        <f>'Haver Pivoted'!GZ61</f>
        <v>110.5</v>
      </c>
      <c r="P17" s="215">
        <f>'Haver Pivoted'!HA61</f>
        <v>0</v>
      </c>
      <c r="Q17" s="215">
        <f>'Haver Pivoted'!HB61</f>
        <v>0</v>
      </c>
      <c r="R17" s="215">
        <f>'Haver Pivoted'!HC61</f>
        <v>0</v>
      </c>
      <c r="S17" s="190">
        <f>'Haver Pivoted'!HD61</f>
        <v>0</v>
      </c>
      <c r="T17" s="266">
        <f>'Haver Pivoted'!HE61</f>
        <v>0</v>
      </c>
      <c r="U17" s="266">
        <f>'Haver Pivoted'!HF61</f>
        <v>0</v>
      </c>
      <c r="V17" s="197">
        <f t="shared" si="6"/>
        <v>0</v>
      </c>
      <c r="W17" s="197">
        <f t="shared" si="6"/>
        <v>0</v>
      </c>
      <c r="X17" s="197">
        <f t="shared" si="6"/>
        <v>0</v>
      </c>
      <c r="Y17" s="197">
        <f t="shared" si="6"/>
        <v>0</v>
      </c>
      <c r="Z17" s="197">
        <f t="shared" si="6"/>
        <v>0</v>
      </c>
      <c r="AA17" s="197">
        <f t="shared" si="6"/>
        <v>0</v>
      </c>
      <c r="AB17" s="197">
        <f t="shared" si="6"/>
        <v>0</v>
      </c>
      <c r="AC17" s="267">
        <f>AB17*AC$23/AB$23</f>
        <v>0</v>
      </c>
    </row>
    <row r="18" spans="1:32" x14ac:dyDescent="0.35">
      <c r="B18" s="210" t="s">
        <v>158</v>
      </c>
      <c r="C18" s="202" t="s">
        <v>297</v>
      </c>
      <c r="D18" s="241">
        <f>'Haver Pivoted'!GO64</f>
        <v>0</v>
      </c>
      <c r="E18" s="188">
        <f>'Haver Pivoted'!GP64</f>
        <v>0</v>
      </c>
      <c r="F18" s="188">
        <f>'Haver Pivoted'!GQ64</f>
        <v>0</v>
      </c>
      <c r="G18" s="188">
        <f>'Haver Pivoted'!GR64</f>
        <v>0</v>
      </c>
      <c r="H18" s="188">
        <f>'Haver Pivoted'!GS64</f>
        <v>0</v>
      </c>
      <c r="I18" s="188">
        <f>'Haver Pivoted'!GT64</f>
        <v>0</v>
      </c>
      <c r="J18" s="188">
        <f>'Haver Pivoted'!GU64</f>
        <v>0</v>
      </c>
      <c r="K18" s="188">
        <f>'Haver Pivoted'!GV64</f>
        <v>106.2</v>
      </c>
      <c r="L18" s="188">
        <f>'Haver Pivoted'!GW64</f>
        <v>35.9</v>
      </c>
      <c r="M18" s="188">
        <f>'Haver Pivoted'!GX64</f>
        <v>1.6</v>
      </c>
      <c r="N18" s="188">
        <f>'Haver Pivoted'!GY64</f>
        <v>0.6</v>
      </c>
      <c r="O18" s="188">
        <f>'Haver Pivoted'!GZ64</f>
        <v>0.1</v>
      </c>
      <c r="P18" s="188">
        <f>'Haver Pivoted'!HA64</f>
        <v>0</v>
      </c>
      <c r="Q18" s="215">
        <f>'Haver Pivoted'!HB64</f>
        <v>0</v>
      </c>
      <c r="R18" s="215">
        <f>'Haver Pivoted'!HC64</f>
        <v>0</v>
      </c>
      <c r="S18" s="190">
        <f>'Haver Pivoted'!HD64</f>
        <v>0</v>
      </c>
      <c r="T18" s="266">
        <f>'Haver Pivoted'!HE64</f>
        <v>0</v>
      </c>
      <c r="U18" s="266">
        <f>'Haver Pivoted'!HF64</f>
        <v>0</v>
      </c>
      <c r="V18" s="197"/>
      <c r="W18" s="197"/>
      <c r="X18" s="197"/>
      <c r="Y18" s="197"/>
      <c r="Z18" s="197"/>
      <c r="AA18" s="197"/>
      <c r="AB18" s="197"/>
      <c r="AC18" s="267"/>
    </row>
    <row r="19" spans="1:32" ht="14.9" customHeight="1" x14ac:dyDescent="0.35">
      <c r="B19" s="234" t="s">
        <v>298</v>
      </c>
      <c r="C19" s="221"/>
      <c r="D19" s="228">
        <f t="shared" ref="D19:N19" si="7">D11-D20</f>
        <v>0</v>
      </c>
      <c r="E19" s="216">
        <f t="shared" si="7"/>
        <v>0</v>
      </c>
      <c r="F19" s="216">
        <f t="shared" si="7"/>
        <v>0</v>
      </c>
      <c r="G19" s="216">
        <f t="shared" si="7"/>
        <v>0</v>
      </c>
      <c r="H19" s="216">
        <f t="shared" si="7"/>
        <v>0</v>
      </c>
      <c r="I19" s="216">
        <f t="shared" si="7"/>
        <v>0</v>
      </c>
      <c r="J19" s="216">
        <f t="shared" si="7"/>
        <v>779.80000000000007</v>
      </c>
      <c r="K19" s="216">
        <f t="shared" si="7"/>
        <v>586.29999999999995</v>
      </c>
      <c r="L19" s="216">
        <f t="shared" si="7"/>
        <v>229.4</v>
      </c>
      <c r="M19" s="216">
        <f t="shared" si="7"/>
        <v>523.1</v>
      </c>
      <c r="N19" s="217">
        <f t="shared" si="7"/>
        <v>405.3</v>
      </c>
      <c r="O19" s="217">
        <f>O11-O20</f>
        <v>209.20000000000002</v>
      </c>
      <c r="P19" s="217">
        <f t="shared" ref="P19" si="8">P11-P20</f>
        <v>6.1000000000000014</v>
      </c>
      <c r="Q19" s="217">
        <f>Q11-Q20</f>
        <v>0.19999999999999929</v>
      </c>
      <c r="R19" s="217">
        <f>R11-R20</f>
        <v>1.1000000000000014</v>
      </c>
      <c r="S19" s="191">
        <f>S11-S20</f>
        <v>0.5</v>
      </c>
      <c r="T19" s="265">
        <f>T11-T20</f>
        <v>0.30000000000000071</v>
      </c>
      <c r="U19" s="265">
        <f>U11-U20</f>
        <v>0</v>
      </c>
      <c r="V19" s="198">
        <f t="shared" ref="V19:AC19" si="9">V11-V20</f>
        <v>0</v>
      </c>
      <c r="W19" s="198">
        <f t="shared" si="9"/>
        <v>0</v>
      </c>
      <c r="X19" s="198">
        <f t="shared" si="9"/>
        <v>0</v>
      </c>
      <c r="Y19" s="198">
        <f t="shared" si="9"/>
        <v>0</v>
      </c>
      <c r="Z19" s="198">
        <f t="shared" si="9"/>
        <v>0</v>
      </c>
      <c r="AA19" s="198">
        <f t="shared" si="9"/>
        <v>0</v>
      </c>
      <c r="AB19" s="198">
        <f t="shared" si="9"/>
        <v>0</v>
      </c>
      <c r="AC19" s="198">
        <f t="shared" si="9"/>
        <v>0</v>
      </c>
    </row>
    <row r="20" spans="1:32" ht="14.9" customHeight="1" x14ac:dyDescent="0.35">
      <c r="B20" s="234" t="s">
        <v>299</v>
      </c>
      <c r="C20" s="221"/>
      <c r="D20" s="228">
        <f t="shared" ref="D20:H20" si="10">D11</f>
        <v>27.8</v>
      </c>
      <c r="E20" s="216">
        <f t="shared" si="10"/>
        <v>29.4</v>
      </c>
      <c r="F20" s="216">
        <f t="shared" si="10"/>
        <v>26.9</v>
      </c>
      <c r="G20" s="216">
        <f t="shared" si="10"/>
        <v>26.4</v>
      </c>
      <c r="H20" s="216">
        <f t="shared" si="10"/>
        <v>27.7</v>
      </c>
      <c r="I20" s="216">
        <f>I11</f>
        <v>40.700000000000003</v>
      </c>
      <c r="J20" s="216">
        <f>J11-J13-J12</f>
        <v>227.69999999999996</v>
      </c>
      <c r="K20" s="216">
        <f>K11-K13-K12</f>
        <v>206.59999999999997</v>
      </c>
      <c r="L20" s="216">
        <f>L11-L13-L12</f>
        <v>79.099999999999994</v>
      </c>
      <c r="M20" s="216">
        <f>M11-M13-M12</f>
        <v>33.100000000000023</v>
      </c>
      <c r="N20" s="217">
        <f t="shared" ref="N20:U20" si="11">N11-N12-N13</f>
        <v>43.300000000000011</v>
      </c>
      <c r="O20" s="217">
        <f t="shared" si="11"/>
        <v>35.899999999999977</v>
      </c>
      <c r="P20" s="217">
        <f t="shared" si="11"/>
        <v>27.699999999999996</v>
      </c>
      <c r="Q20" s="215">
        <f t="shared" si="11"/>
        <v>23.400000000000002</v>
      </c>
      <c r="R20" s="215">
        <f t="shared" si="11"/>
        <v>17.5</v>
      </c>
      <c r="S20" s="190">
        <f t="shared" si="11"/>
        <v>18</v>
      </c>
      <c r="T20" s="266">
        <f t="shared" si="11"/>
        <v>20.099999999999998</v>
      </c>
      <c r="U20" s="266">
        <f t="shared" si="11"/>
        <v>22.8</v>
      </c>
      <c r="V20" s="198">
        <f t="shared" ref="V20:AB20" si="12">U20*V23/U23</f>
        <v>29.959200000000003</v>
      </c>
      <c r="W20" s="198">
        <f t="shared" si="12"/>
        <v>31.913485714285713</v>
      </c>
      <c r="X20" s="198">
        <f t="shared" si="12"/>
        <v>33.314057142857138</v>
      </c>
      <c r="Y20" s="198">
        <f t="shared" si="12"/>
        <v>33.216342857142855</v>
      </c>
      <c r="Z20" s="198">
        <f t="shared" si="12"/>
        <v>32.200114285714285</v>
      </c>
      <c r="AA20" s="198">
        <f t="shared" si="12"/>
        <v>31.652914285714289</v>
      </c>
      <c r="AB20" s="198">
        <f t="shared" si="12"/>
        <v>31.262057142857149</v>
      </c>
      <c r="AC20" s="264">
        <f>AB20*AC23/AB23</f>
        <v>31.112228571428574</v>
      </c>
      <c r="AD20" s="229" t="s">
        <v>300</v>
      </c>
    </row>
    <row r="21" spans="1:32" x14ac:dyDescent="0.35">
      <c r="B21" s="210"/>
      <c r="C21" s="211"/>
      <c r="D21" s="240"/>
      <c r="E21" s="215"/>
      <c r="F21" s="215"/>
      <c r="G21" s="215"/>
      <c r="H21" s="192"/>
      <c r="I21" s="192"/>
      <c r="J21" s="192"/>
      <c r="K21" s="192"/>
      <c r="L21" s="192"/>
      <c r="M21" s="192"/>
      <c r="N21" s="192"/>
      <c r="O21" s="192"/>
      <c r="P21" s="192"/>
      <c r="Q21" s="192"/>
      <c r="R21" s="192"/>
      <c r="S21" s="192"/>
      <c r="T21" s="276"/>
      <c r="U21" s="192"/>
      <c r="V21" s="197"/>
      <c r="W21" s="197"/>
      <c r="X21" s="197"/>
      <c r="Y21" s="197"/>
      <c r="Z21" s="197"/>
      <c r="AA21" s="197"/>
      <c r="AB21" s="197"/>
      <c r="AC21" s="267"/>
    </row>
    <row r="22" spans="1:32" x14ac:dyDescent="0.35">
      <c r="B22" s="202" t="s">
        <v>1803</v>
      </c>
      <c r="C22" s="211"/>
      <c r="D22" s="215"/>
      <c r="E22" s="215"/>
      <c r="F22" s="215"/>
      <c r="G22" s="215"/>
      <c r="H22" s="192"/>
      <c r="I22" s="192"/>
      <c r="J22" s="192"/>
      <c r="K22" s="192"/>
      <c r="L22" s="192"/>
      <c r="M22" s="192"/>
      <c r="N22" s="192"/>
      <c r="O22" s="192"/>
      <c r="P22" s="192"/>
      <c r="Q22" s="192"/>
      <c r="R22" s="192"/>
      <c r="S22" s="192"/>
      <c r="T22" s="218"/>
      <c r="U22" s="193"/>
      <c r="V22" s="199">
        <v>4.5990000000000002</v>
      </c>
      <c r="W22" s="199">
        <v>4.899</v>
      </c>
      <c r="X22" s="199">
        <v>5.1139999999999999</v>
      </c>
      <c r="Y22" s="199">
        <v>5.0990000000000002</v>
      </c>
      <c r="Z22" s="199">
        <v>4.9429999999999996</v>
      </c>
      <c r="AA22" s="199">
        <v>4.859</v>
      </c>
      <c r="AB22" s="199">
        <v>4.7990000000000004</v>
      </c>
      <c r="AC22" s="199">
        <v>4.7759999999999998</v>
      </c>
    </row>
    <row r="23" spans="1:32" x14ac:dyDescent="0.35">
      <c r="B23" s="210" t="s">
        <v>1869</v>
      </c>
      <c r="C23" s="269"/>
      <c r="D23" s="270"/>
      <c r="E23" s="271"/>
      <c r="F23" s="271"/>
      <c r="G23" s="271"/>
      <c r="H23" s="272"/>
      <c r="I23" s="272"/>
      <c r="J23" s="272"/>
      <c r="K23" s="272"/>
      <c r="L23" s="272"/>
      <c r="M23" s="272">
        <f>GETPIVOTDATA("Monthly UR",$E$28,"Quarters",M24,"Years",M25)</f>
        <v>6.166666666666667</v>
      </c>
      <c r="N23" s="272">
        <f t="shared" ref="N23:U23" si="13">GETPIVOTDATA("Monthly UR",$E$28,"Quarters",N24,"Years",N25)</f>
        <v>5.7666666666666657</v>
      </c>
      <c r="O23" s="272">
        <f t="shared" si="13"/>
        <v>5.1333333333333337</v>
      </c>
      <c r="P23" s="272">
        <f t="shared" si="13"/>
        <v>4.2333333333333334</v>
      </c>
      <c r="Q23" s="272">
        <f t="shared" si="13"/>
        <v>3.8000000000000003</v>
      </c>
      <c r="R23" s="272">
        <f t="shared" si="13"/>
        <v>3.6</v>
      </c>
      <c r="S23" s="272">
        <f t="shared" si="13"/>
        <v>3.5666666666666664</v>
      </c>
      <c r="T23" s="272">
        <f t="shared" si="13"/>
        <v>3.6</v>
      </c>
      <c r="U23" s="272">
        <f t="shared" si="13"/>
        <v>3.5</v>
      </c>
      <c r="V23" s="277">
        <v>4.5990000000000002</v>
      </c>
      <c r="W23" s="277">
        <v>4.899</v>
      </c>
      <c r="X23" s="277">
        <v>5.1139999999999999</v>
      </c>
      <c r="Y23" s="277">
        <v>5.0990000000000002</v>
      </c>
      <c r="Z23" s="277">
        <v>4.9429999999999996</v>
      </c>
      <c r="AA23" s="277">
        <v>4.859</v>
      </c>
      <c r="AB23" s="277">
        <v>4.7990000000000004</v>
      </c>
      <c r="AC23" s="278">
        <v>4.7759999999999998</v>
      </c>
      <c r="AD23" s="193" t="s">
        <v>301</v>
      </c>
    </row>
    <row r="24" spans="1:32" ht="15.75" customHeight="1" x14ac:dyDescent="0.35">
      <c r="B24" s="274" t="s">
        <v>1883</v>
      </c>
      <c r="C24" s="262"/>
      <c r="D24" s="263"/>
      <c r="E24" s="263"/>
      <c r="F24" s="263"/>
      <c r="G24" s="263"/>
      <c r="H24" s="263"/>
      <c r="I24" s="263"/>
      <c r="J24" s="263"/>
      <c r="K24" s="263"/>
      <c r="L24" s="263"/>
      <c r="M24" s="263">
        <v>1</v>
      </c>
      <c r="N24" s="263">
        <v>2</v>
      </c>
      <c r="O24" s="263">
        <v>3</v>
      </c>
      <c r="P24" s="263">
        <v>4</v>
      </c>
      <c r="Q24" s="263">
        <v>1</v>
      </c>
      <c r="R24" s="263">
        <v>2</v>
      </c>
      <c r="S24" s="263">
        <v>3</v>
      </c>
      <c r="T24" s="263">
        <v>4</v>
      </c>
      <c r="U24" s="263">
        <v>1</v>
      </c>
      <c r="V24" s="263">
        <v>2</v>
      </c>
      <c r="W24" s="263">
        <v>3</v>
      </c>
      <c r="X24" s="263">
        <v>4</v>
      </c>
      <c r="Y24" s="263">
        <v>1</v>
      </c>
      <c r="Z24" s="263">
        <v>2</v>
      </c>
      <c r="AA24" s="263">
        <v>3</v>
      </c>
      <c r="AB24" s="263">
        <v>4</v>
      </c>
      <c r="AC24" s="263">
        <v>1</v>
      </c>
      <c r="AD24" s="188">
        <v>2</v>
      </c>
      <c r="AE24" s="188">
        <v>3</v>
      </c>
      <c r="AF24" s="188">
        <v>4</v>
      </c>
    </row>
    <row r="25" spans="1:32" x14ac:dyDescent="0.35">
      <c r="B25" s="275" t="s">
        <v>1884</v>
      </c>
      <c r="C25" s="262"/>
      <c r="D25" s="263"/>
      <c r="E25" s="263"/>
      <c r="F25" s="263"/>
      <c r="G25" s="263"/>
      <c r="H25" s="263"/>
      <c r="I25" s="263"/>
      <c r="J25" s="263"/>
      <c r="K25" s="263"/>
      <c r="L25" s="263"/>
      <c r="M25" s="263">
        <v>2021</v>
      </c>
      <c r="N25" s="263">
        <v>2021</v>
      </c>
      <c r="O25" s="263">
        <v>2021</v>
      </c>
      <c r="P25" s="263">
        <v>2021</v>
      </c>
      <c r="Q25" s="263">
        <v>2022</v>
      </c>
      <c r="R25" s="263">
        <v>2022</v>
      </c>
      <c r="S25" s="263">
        <v>2022</v>
      </c>
      <c r="T25" s="263">
        <v>2022</v>
      </c>
      <c r="U25" s="263">
        <v>2023</v>
      </c>
      <c r="V25" s="263">
        <v>2023</v>
      </c>
      <c r="W25" s="263">
        <v>2023</v>
      </c>
      <c r="X25" s="263">
        <v>2023</v>
      </c>
      <c r="Y25" s="263">
        <v>2024</v>
      </c>
      <c r="Z25" s="263">
        <v>2024</v>
      </c>
      <c r="AA25" s="263">
        <v>2024</v>
      </c>
      <c r="AB25" s="263">
        <v>2024</v>
      </c>
      <c r="AC25" s="263">
        <v>2025</v>
      </c>
      <c r="AD25" s="193"/>
    </row>
    <row r="26" spans="1:32" x14ac:dyDescent="0.35">
      <c r="C26" s="202"/>
      <c r="D26" s="188"/>
      <c r="E26" s="188"/>
      <c r="F26" s="188"/>
      <c r="G26" s="188"/>
      <c r="H26" s="192"/>
      <c r="I26" s="192"/>
      <c r="J26" s="192"/>
      <c r="K26" s="192"/>
      <c r="L26" s="192"/>
      <c r="M26" s="192"/>
      <c r="N26" s="192"/>
      <c r="O26" s="192"/>
      <c r="P26" s="192"/>
      <c r="AD26" s="193"/>
    </row>
    <row r="27" spans="1:32" x14ac:dyDescent="0.35">
      <c r="M27" s="202"/>
      <c r="N27" s="202"/>
      <c r="O27" s="202"/>
    </row>
    <row r="28" spans="1:32" ht="43.5" customHeight="1" x14ac:dyDescent="0.35">
      <c r="B28" s="247" t="s">
        <v>302</v>
      </c>
      <c r="C28" s="248" t="s">
        <v>303</v>
      </c>
      <c r="D28" s="245"/>
      <c r="E28" s="14" t="s">
        <v>1873</v>
      </c>
      <c r="F28" s="14" t="s">
        <v>1878</v>
      </c>
      <c r="G28" s="14"/>
      <c r="H28" s="14"/>
      <c r="I28" s="14"/>
      <c r="J28" s="14"/>
      <c r="O28" s="249"/>
    </row>
    <row r="29" spans="1:32" x14ac:dyDescent="0.35">
      <c r="A29" s="35"/>
      <c r="B29" s="242">
        <v>44197</v>
      </c>
      <c r="C29" s="154">
        <v>6.3</v>
      </c>
      <c r="D29" s="246"/>
      <c r="E29" s="56" t="s">
        <v>1801</v>
      </c>
      <c r="F29" s="35"/>
      <c r="G29" s="35"/>
      <c r="H29" s="168"/>
      <c r="I29" s="35"/>
      <c r="J29" s="168"/>
      <c r="O29" s="202"/>
    </row>
    <row r="30" spans="1:32" x14ac:dyDescent="0.35">
      <c r="A30" s="35"/>
      <c r="B30" s="242">
        <v>44228</v>
      </c>
      <c r="C30" s="154">
        <v>6.2</v>
      </c>
      <c r="D30" s="246"/>
      <c r="E30" s="133" t="s">
        <v>1874</v>
      </c>
      <c r="F30" s="79">
        <v>6.166666666666667</v>
      </c>
      <c r="G30" s="35"/>
      <c r="H30" s="168"/>
      <c r="I30" s="35"/>
      <c r="J30" s="168"/>
      <c r="O30" s="202"/>
    </row>
    <row r="31" spans="1:32" x14ac:dyDescent="0.35">
      <c r="A31" s="35"/>
      <c r="B31" s="242">
        <v>44256</v>
      </c>
      <c r="C31" s="154">
        <v>6</v>
      </c>
      <c r="D31" s="246"/>
      <c r="E31" s="133" t="s">
        <v>1875</v>
      </c>
      <c r="F31" s="79">
        <v>5.7666666666666657</v>
      </c>
      <c r="G31" s="35"/>
      <c r="H31" s="168"/>
      <c r="I31" s="35"/>
      <c r="J31" s="168"/>
      <c r="O31" s="202"/>
    </row>
    <row r="32" spans="1:32" x14ac:dyDescent="0.35">
      <c r="A32" s="35"/>
      <c r="B32" s="242">
        <v>44287</v>
      </c>
      <c r="C32" s="154">
        <v>6.1</v>
      </c>
      <c r="D32" s="246"/>
      <c r="E32" s="133" t="s">
        <v>1876</v>
      </c>
      <c r="F32" s="79">
        <v>5.1333333333333337</v>
      </c>
      <c r="G32" s="35"/>
      <c r="H32" s="168"/>
      <c r="I32" s="35"/>
      <c r="J32" s="168"/>
      <c r="O32" s="202"/>
    </row>
    <row r="33" spans="1:38" x14ac:dyDescent="0.35">
      <c r="A33" s="35"/>
      <c r="B33" s="242">
        <v>44317</v>
      </c>
      <c r="C33" s="154">
        <v>5.8</v>
      </c>
      <c r="D33" s="246"/>
      <c r="E33" s="133" t="s">
        <v>1877</v>
      </c>
      <c r="F33" s="79">
        <v>4.2333333333333334</v>
      </c>
      <c r="G33" s="35"/>
      <c r="H33" s="168"/>
      <c r="I33" s="35"/>
      <c r="J33" s="168"/>
      <c r="O33" s="202"/>
    </row>
    <row r="34" spans="1:38" x14ac:dyDescent="0.35">
      <c r="A34" s="35"/>
      <c r="B34" s="242">
        <v>44348</v>
      </c>
      <c r="C34" s="154">
        <v>5.4</v>
      </c>
      <c r="D34" s="246"/>
      <c r="E34" s="56" t="s">
        <v>1747</v>
      </c>
      <c r="F34" s="79"/>
      <c r="G34" s="35"/>
      <c r="H34" s="168"/>
      <c r="I34" s="35"/>
      <c r="J34" s="168"/>
      <c r="O34" s="202"/>
    </row>
    <row r="35" spans="1:38" x14ac:dyDescent="0.35">
      <c r="A35" s="35"/>
      <c r="B35" s="242">
        <v>44378</v>
      </c>
      <c r="C35" s="154">
        <v>5.4</v>
      </c>
      <c r="D35" s="246"/>
      <c r="E35" s="133" t="s">
        <v>1874</v>
      </c>
      <c r="F35" s="79">
        <v>3.8000000000000003</v>
      </c>
      <c r="G35" s="35"/>
      <c r="H35" s="168"/>
      <c r="I35" s="35"/>
      <c r="J35" s="168"/>
      <c r="O35" s="202"/>
    </row>
    <row r="36" spans="1:38" x14ac:dyDescent="0.35">
      <c r="A36" s="35"/>
      <c r="B36" s="242">
        <v>44409</v>
      </c>
      <c r="C36" s="154">
        <v>5.2</v>
      </c>
      <c r="D36" s="246"/>
      <c r="E36" s="133" t="s">
        <v>1875</v>
      </c>
      <c r="F36" s="79">
        <v>3.6</v>
      </c>
      <c r="G36" s="35"/>
      <c r="H36" s="168"/>
      <c r="I36" s="35"/>
      <c r="J36" s="168"/>
      <c r="O36" s="202"/>
    </row>
    <row r="37" spans="1:38" x14ac:dyDescent="0.35">
      <c r="A37" s="35"/>
      <c r="B37" s="242">
        <v>44440</v>
      </c>
      <c r="C37" s="154">
        <v>4.8</v>
      </c>
      <c r="D37" s="246"/>
      <c r="E37" s="133" t="s">
        <v>1876</v>
      </c>
      <c r="F37" s="79">
        <v>3.5666666666666664</v>
      </c>
      <c r="G37" s="35"/>
      <c r="H37" s="168"/>
      <c r="I37" s="35"/>
      <c r="J37" s="168"/>
      <c r="O37" s="202"/>
    </row>
    <row r="38" spans="1:38" x14ac:dyDescent="0.35">
      <c r="A38" s="35"/>
      <c r="B38" s="242">
        <v>44470</v>
      </c>
      <c r="C38" s="154">
        <v>4.5999999999999996</v>
      </c>
      <c r="D38" s="246"/>
      <c r="E38" s="133" t="s">
        <v>1877</v>
      </c>
      <c r="F38" s="79">
        <v>3.6</v>
      </c>
      <c r="G38" s="35"/>
      <c r="H38" s="168"/>
      <c r="I38" s="35"/>
      <c r="J38" s="168"/>
      <c r="O38" s="202"/>
    </row>
    <row r="39" spans="1:38" x14ac:dyDescent="0.35">
      <c r="A39" s="35"/>
      <c r="B39" s="242">
        <v>44501</v>
      </c>
      <c r="C39" s="154">
        <v>4.2</v>
      </c>
      <c r="D39" s="246"/>
      <c r="E39" s="56" t="s">
        <v>1879</v>
      </c>
      <c r="F39" s="79"/>
      <c r="G39" s="35"/>
      <c r="H39" s="168"/>
      <c r="I39" s="35"/>
      <c r="J39" s="168"/>
      <c r="O39" s="202"/>
      <c r="AD39" s="202"/>
      <c r="AE39" s="202"/>
      <c r="AF39" s="202"/>
      <c r="AG39" s="202"/>
      <c r="AH39" s="202"/>
      <c r="AI39" s="202"/>
      <c r="AJ39" s="202"/>
      <c r="AK39" s="202"/>
      <c r="AL39" s="202"/>
    </row>
    <row r="40" spans="1:38" x14ac:dyDescent="0.35">
      <c r="A40" s="35"/>
      <c r="B40" s="242">
        <v>44531</v>
      </c>
      <c r="C40" s="154">
        <v>3.9</v>
      </c>
      <c r="D40" s="246"/>
      <c r="E40" s="133" t="s">
        <v>1874</v>
      </c>
      <c r="F40" s="79">
        <v>3.5</v>
      </c>
      <c r="G40" s="35"/>
      <c r="H40" s="168"/>
      <c r="I40" s="35"/>
      <c r="J40" s="168"/>
      <c r="O40" s="202"/>
      <c r="AD40" s="202"/>
      <c r="AE40" s="202"/>
      <c r="AF40" s="202"/>
      <c r="AG40" s="202"/>
      <c r="AH40" s="202"/>
      <c r="AI40" s="202"/>
      <c r="AJ40" s="202"/>
      <c r="AK40" s="202"/>
      <c r="AL40" s="202"/>
    </row>
    <row r="41" spans="1:38" x14ac:dyDescent="0.35">
      <c r="A41" s="35"/>
      <c r="B41" s="242">
        <v>44562</v>
      </c>
      <c r="C41" s="154">
        <v>4</v>
      </c>
      <c r="D41" s="35"/>
      <c r="E41" s="133" t="s">
        <v>1875</v>
      </c>
      <c r="F41" s="79"/>
      <c r="G41" s="35"/>
      <c r="H41" s="168"/>
      <c r="I41" s="35"/>
      <c r="J41" s="168"/>
      <c r="O41" s="202"/>
    </row>
    <row r="42" spans="1:38" x14ac:dyDescent="0.35">
      <c r="A42" s="35"/>
      <c r="B42" s="242">
        <v>44593</v>
      </c>
      <c r="C42" s="154">
        <v>3.8</v>
      </c>
      <c r="D42" s="35"/>
      <c r="E42" s="133" t="s">
        <v>1876</v>
      </c>
      <c r="F42" s="79"/>
      <c r="G42" s="35"/>
      <c r="H42" s="168"/>
      <c r="I42" s="35"/>
      <c r="J42" s="168"/>
    </row>
    <row r="43" spans="1:38" x14ac:dyDescent="0.35">
      <c r="A43" s="35"/>
      <c r="B43" s="242">
        <v>44621</v>
      </c>
      <c r="C43" s="154">
        <v>3.6</v>
      </c>
      <c r="D43" s="35"/>
      <c r="E43" s="133" t="s">
        <v>1877</v>
      </c>
      <c r="F43" s="79"/>
      <c r="G43" s="35"/>
      <c r="H43" s="168"/>
      <c r="I43" s="35"/>
      <c r="J43" s="168"/>
    </row>
    <row r="44" spans="1:38" x14ac:dyDescent="0.35">
      <c r="A44" s="35"/>
      <c r="B44" s="242">
        <v>44652</v>
      </c>
      <c r="C44" s="154">
        <v>3.6</v>
      </c>
      <c r="D44" s="35"/>
      <c r="E44" s="56" t="s">
        <v>1880</v>
      </c>
      <c r="F44" s="79"/>
      <c r="G44" s="35"/>
      <c r="H44" s="168"/>
      <c r="I44" s="35"/>
      <c r="J44" s="168"/>
    </row>
    <row r="45" spans="1:38" x14ac:dyDescent="0.35">
      <c r="A45" s="35"/>
      <c r="B45" s="242">
        <v>44682</v>
      </c>
      <c r="C45" s="154">
        <v>3.6</v>
      </c>
      <c r="D45" s="35"/>
      <c r="E45" s="133" t="s">
        <v>1874</v>
      </c>
      <c r="F45" s="79"/>
      <c r="G45" s="35"/>
      <c r="H45" s="168"/>
      <c r="I45" s="35"/>
      <c r="J45" s="168"/>
    </row>
    <row r="46" spans="1:38" x14ac:dyDescent="0.35">
      <c r="A46" s="35"/>
      <c r="B46" s="242">
        <v>44713</v>
      </c>
      <c r="C46" s="154">
        <v>3.6</v>
      </c>
      <c r="D46" s="35"/>
      <c r="E46" s="133" t="s">
        <v>1875</v>
      </c>
      <c r="F46" s="79"/>
      <c r="G46" s="35"/>
      <c r="H46" s="168"/>
      <c r="I46" s="35"/>
      <c r="J46" s="168"/>
    </row>
    <row r="47" spans="1:38" x14ac:dyDescent="0.35">
      <c r="A47" s="35"/>
      <c r="B47" s="242">
        <v>44743</v>
      </c>
      <c r="C47" s="154">
        <v>3.5</v>
      </c>
      <c r="D47" s="35"/>
      <c r="E47" s="133" t="s">
        <v>1876</v>
      </c>
      <c r="F47" s="79"/>
      <c r="G47" s="35"/>
      <c r="H47" s="168"/>
      <c r="I47" s="35"/>
      <c r="J47" s="168"/>
    </row>
    <row r="48" spans="1:38" x14ac:dyDescent="0.35">
      <c r="A48" s="35"/>
      <c r="B48" s="242">
        <v>44774</v>
      </c>
      <c r="C48" s="154">
        <v>3.7</v>
      </c>
      <c r="D48" s="35"/>
      <c r="E48" s="133" t="s">
        <v>1877</v>
      </c>
      <c r="F48" s="79"/>
      <c r="G48" s="35"/>
      <c r="H48" s="168"/>
      <c r="I48" s="35"/>
      <c r="J48" s="168"/>
    </row>
    <row r="49" spans="2:10" x14ac:dyDescent="0.35">
      <c r="B49" s="242">
        <v>44805</v>
      </c>
      <c r="C49" s="154">
        <v>3.5</v>
      </c>
      <c r="D49" s="35"/>
      <c r="E49" s="56" t="s">
        <v>1881</v>
      </c>
      <c r="F49" s="79"/>
      <c r="G49" s="35"/>
      <c r="H49" s="35"/>
      <c r="I49" s="35"/>
      <c r="J49" s="35"/>
    </row>
    <row r="50" spans="2:10" x14ac:dyDescent="0.35">
      <c r="B50" s="242">
        <v>44835</v>
      </c>
      <c r="C50" s="154">
        <v>3.7</v>
      </c>
      <c r="D50" s="35"/>
      <c r="E50" s="133" t="s">
        <v>1874</v>
      </c>
      <c r="F50" s="79"/>
      <c r="G50" s="35"/>
      <c r="H50" s="35"/>
      <c r="I50" s="35"/>
      <c r="J50" s="35"/>
    </row>
    <row r="51" spans="2:10" x14ac:dyDescent="0.35">
      <c r="B51" s="242">
        <v>44866</v>
      </c>
      <c r="C51" s="154">
        <v>3.6</v>
      </c>
      <c r="D51" s="35"/>
      <c r="E51" s="133" t="s">
        <v>1875</v>
      </c>
      <c r="F51" s="79"/>
      <c r="G51" s="35"/>
      <c r="H51" s="35"/>
      <c r="I51" s="35"/>
      <c r="J51" s="35"/>
    </row>
    <row r="52" spans="2:10" x14ac:dyDescent="0.35">
      <c r="B52" s="242">
        <v>44896</v>
      </c>
      <c r="C52" s="154">
        <v>3.5</v>
      </c>
      <c r="D52" s="35"/>
      <c r="E52" s="133" t="s">
        <v>1876</v>
      </c>
      <c r="F52" s="79"/>
      <c r="G52" s="35"/>
      <c r="H52" s="35"/>
      <c r="I52" s="35"/>
      <c r="J52" s="35"/>
    </row>
    <row r="53" spans="2:10" x14ac:dyDescent="0.35">
      <c r="B53" s="242">
        <v>44927</v>
      </c>
      <c r="C53" s="154">
        <v>3.4</v>
      </c>
      <c r="D53" s="35"/>
      <c r="E53" s="133" t="s">
        <v>1877</v>
      </c>
      <c r="F53" s="79"/>
      <c r="G53" s="35"/>
      <c r="H53" s="35"/>
      <c r="I53" s="35"/>
      <c r="J53" s="35"/>
    </row>
    <row r="54" spans="2:10" x14ac:dyDescent="0.35">
      <c r="B54" s="242">
        <v>44958</v>
      </c>
      <c r="C54" s="154">
        <v>3.6</v>
      </c>
      <c r="D54" s="35"/>
      <c r="E54" s="56" t="s">
        <v>1882</v>
      </c>
      <c r="F54" s="79"/>
      <c r="G54" s="35"/>
      <c r="H54" s="35"/>
      <c r="I54" s="35"/>
      <c r="J54" s="35"/>
    </row>
    <row r="55" spans="2:10" x14ac:dyDescent="0.35">
      <c r="B55" s="242">
        <v>44986</v>
      </c>
      <c r="C55" s="154">
        <v>3.5</v>
      </c>
      <c r="D55" s="35"/>
      <c r="E55" s="133" t="s">
        <v>1874</v>
      </c>
      <c r="F55" s="79"/>
      <c r="G55" s="35"/>
      <c r="H55" s="35"/>
      <c r="I55" s="35"/>
      <c r="J55" s="35"/>
    </row>
    <row r="56" spans="2:10" x14ac:dyDescent="0.35">
      <c r="B56" s="242">
        <v>45017</v>
      </c>
      <c r="C56" s="154"/>
      <c r="D56" s="35"/>
      <c r="E56" s="133" t="s">
        <v>1875</v>
      </c>
      <c r="F56" s="79"/>
      <c r="G56" s="35"/>
      <c r="H56" s="35"/>
      <c r="I56" s="35"/>
      <c r="J56" s="35"/>
    </row>
    <row r="57" spans="2:10" x14ac:dyDescent="0.35">
      <c r="B57" s="242">
        <v>45047</v>
      </c>
      <c r="C57" s="154"/>
      <c r="D57" s="35"/>
      <c r="E57" s="133" t="s">
        <v>1876</v>
      </c>
      <c r="F57" s="79"/>
      <c r="G57" s="35"/>
      <c r="H57" s="35"/>
      <c r="I57" s="35"/>
      <c r="J57" s="35"/>
    </row>
    <row r="58" spans="2:10" x14ac:dyDescent="0.35">
      <c r="B58" s="242">
        <v>45078</v>
      </c>
      <c r="C58" s="154"/>
      <c r="D58" s="35"/>
      <c r="E58" s="133" t="s">
        <v>1877</v>
      </c>
      <c r="F58" s="79"/>
      <c r="G58" s="35"/>
      <c r="H58" s="35"/>
      <c r="I58" s="35"/>
      <c r="J58" s="35"/>
    </row>
    <row r="59" spans="2:10" x14ac:dyDescent="0.35">
      <c r="B59" s="242">
        <v>45108</v>
      </c>
      <c r="C59" s="154"/>
      <c r="D59" s="35"/>
      <c r="E59" s="35"/>
      <c r="F59" s="35"/>
      <c r="G59" s="35"/>
      <c r="H59" s="35"/>
      <c r="I59" s="35"/>
      <c r="J59" s="35"/>
    </row>
    <row r="60" spans="2:10" x14ac:dyDescent="0.35">
      <c r="B60" s="242">
        <v>45139</v>
      </c>
      <c r="C60" s="154"/>
      <c r="D60" s="35"/>
      <c r="E60" s="35"/>
      <c r="F60" s="35"/>
      <c r="G60" s="35"/>
      <c r="H60" s="35"/>
      <c r="I60" s="35"/>
      <c r="J60" s="35"/>
    </row>
    <row r="61" spans="2:10" x14ac:dyDescent="0.35">
      <c r="B61" s="242">
        <v>45170</v>
      </c>
      <c r="C61" s="154"/>
      <c r="D61" s="35"/>
      <c r="E61" s="35"/>
      <c r="F61" s="35"/>
      <c r="G61" s="35"/>
      <c r="H61" s="35"/>
      <c r="I61" s="35"/>
      <c r="J61" s="35"/>
    </row>
    <row r="62" spans="2:10" x14ac:dyDescent="0.35">
      <c r="B62" s="242">
        <v>45200</v>
      </c>
      <c r="C62" s="154"/>
      <c r="D62" s="35"/>
      <c r="E62" s="35"/>
      <c r="F62" s="35"/>
      <c r="G62" s="35"/>
      <c r="H62" s="35"/>
      <c r="I62" s="35"/>
      <c r="J62" s="35"/>
    </row>
    <row r="63" spans="2:10" x14ac:dyDescent="0.35">
      <c r="B63" s="242">
        <v>45231</v>
      </c>
      <c r="C63" s="154"/>
      <c r="D63" s="35"/>
      <c r="E63" s="35"/>
      <c r="F63" s="35"/>
      <c r="G63" s="35"/>
      <c r="H63" s="35"/>
      <c r="I63" s="35"/>
      <c r="J63" s="35"/>
    </row>
    <row r="64" spans="2:10" x14ac:dyDescent="0.35">
      <c r="B64" s="242">
        <v>45261</v>
      </c>
      <c r="C64" s="154"/>
      <c r="D64" s="35"/>
      <c r="E64" s="35"/>
      <c r="F64" s="35"/>
      <c r="G64" s="35"/>
      <c r="H64" s="35"/>
      <c r="I64" s="35"/>
      <c r="J64" s="35"/>
    </row>
    <row r="65" spans="2:10" x14ac:dyDescent="0.35">
      <c r="B65" s="242">
        <v>45292</v>
      </c>
      <c r="C65" s="154"/>
      <c r="D65" s="35"/>
      <c r="E65" s="35"/>
      <c r="F65" s="35"/>
      <c r="G65" s="35"/>
      <c r="H65" s="35"/>
      <c r="I65" s="35"/>
      <c r="J65" s="35"/>
    </row>
    <row r="66" spans="2:10" x14ac:dyDescent="0.35">
      <c r="B66" s="242">
        <v>45323</v>
      </c>
      <c r="C66" s="154"/>
      <c r="D66" s="35"/>
      <c r="E66" s="35"/>
      <c r="F66" s="35"/>
      <c r="G66" s="35"/>
      <c r="H66" s="35"/>
      <c r="I66" s="35"/>
      <c r="J66" s="35"/>
    </row>
    <row r="67" spans="2:10" x14ac:dyDescent="0.35">
      <c r="B67" s="242">
        <v>45352</v>
      </c>
      <c r="C67" s="154"/>
      <c r="D67" s="35"/>
      <c r="E67" s="35"/>
      <c r="F67" s="35"/>
      <c r="G67" s="35"/>
      <c r="H67" s="35"/>
      <c r="I67" s="35"/>
      <c r="J67" s="35"/>
    </row>
    <row r="68" spans="2:10" x14ac:dyDescent="0.35">
      <c r="B68" s="242">
        <v>45383</v>
      </c>
      <c r="C68" s="154"/>
      <c r="D68" s="35"/>
      <c r="E68" s="35"/>
      <c r="F68" s="35"/>
      <c r="G68" s="35"/>
      <c r="H68" s="35"/>
      <c r="I68" s="35"/>
      <c r="J68" s="35"/>
    </row>
    <row r="69" spans="2:10" x14ac:dyDescent="0.35">
      <c r="B69" s="242">
        <v>45413</v>
      </c>
      <c r="C69" s="154"/>
      <c r="D69" s="35"/>
      <c r="E69" s="35"/>
      <c r="F69" s="35"/>
      <c r="G69" s="35"/>
      <c r="H69" s="35"/>
      <c r="I69" s="35"/>
      <c r="J69" s="35"/>
    </row>
    <row r="70" spans="2:10" x14ac:dyDescent="0.35">
      <c r="B70" s="242">
        <v>45444</v>
      </c>
      <c r="C70" s="154"/>
      <c r="D70" s="35"/>
      <c r="E70" s="35"/>
      <c r="F70" s="35"/>
      <c r="G70" s="35"/>
      <c r="H70" s="35"/>
      <c r="I70" s="35"/>
      <c r="J70" s="35"/>
    </row>
    <row r="71" spans="2:10" x14ac:dyDescent="0.35">
      <c r="B71" s="242">
        <v>45474</v>
      </c>
      <c r="C71" s="154"/>
      <c r="D71" s="35"/>
      <c r="E71" s="35"/>
      <c r="F71" s="35"/>
      <c r="G71" s="35"/>
      <c r="H71" s="35"/>
      <c r="I71" s="35"/>
      <c r="J71" s="35"/>
    </row>
    <row r="72" spans="2:10" x14ac:dyDescent="0.35">
      <c r="B72" s="242">
        <v>45505</v>
      </c>
      <c r="C72" s="154"/>
      <c r="D72" s="35"/>
      <c r="E72" s="35"/>
      <c r="F72" s="35"/>
      <c r="G72" s="35"/>
      <c r="H72" s="35"/>
      <c r="I72" s="35"/>
      <c r="J72" s="35"/>
    </row>
    <row r="73" spans="2:10" x14ac:dyDescent="0.35">
      <c r="B73" s="242">
        <v>45536</v>
      </c>
      <c r="C73" s="154"/>
      <c r="D73" s="35"/>
      <c r="E73" s="35"/>
      <c r="F73" s="35"/>
      <c r="G73" s="35"/>
      <c r="H73" s="35"/>
      <c r="I73" s="35"/>
      <c r="J73" s="35"/>
    </row>
    <row r="74" spans="2:10" x14ac:dyDescent="0.35">
      <c r="B74" s="242">
        <v>45566</v>
      </c>
      <c r="C74" s="154"/>
      <c r="D74" s="35"/>
      <c r="E74" s="35"/>
      <c r="F74" s="35"/>
      <c r="G74" s="35"/>
      <c r="H74" s="35"/>
      <c r="I74" s="35"/>
      <c r="J74" s="35"/>
    </row>
    <row r="75" spans="2:10" x14ac:dyDescent="0.35">
      <c r="B75" s="242">
        <v>45597</v>
      </c>
      <c r="C75" s="154"/>
      <c r="D75" s="35"/>
      <c r="E75" s="35"/>
      <c r="F75" s="35"/>
      <c r="G75" s="35"/>
      <c r="H75" s="35"/>
      <c r="I75" s="35"/>
      <c r="J75" s="35"/>
    </row>
    <row r="76" spans="2:10" x14ac:dyDescent="0.35">
      <c r="B76" s="242">
        <v>45627</v>
      </c>
      <c r="C76" s="154"/>
      <c r="D76" s="35"/>
      <c r="E76" s="35"/>
      <c r="F76" s="35"/>
      <c r="G76" s="35"/>
      <c r="H76" s="35"/>
      <c r="I76" s="35"/>
      <c r="J76" s="35"/>
    </row>
    <row r="77" spans="2:10" x14ac:dyDescent="0.35">
      <c r="B77" s="242">
        <v>45658</v>
      </c>
      <c r="C77" s="154"/>
      <c r="D77" s="35"/>
      <c r="E77" s="35"/>
      <c r="F77" s="35"/>
      <c r="G77" s="35"/>
      <c r="H77" s="35"/>
      <c r="I77" s="35"/>
      <c r="J77" s="35"/>
    </row>
    <row r="78" spans="2:10" x14ac:dyDescent="0.35">
      <c r="B78" s="242">
        <v>45689</v>
      </c>
      <c r="C78" s="154"/>
      <c r="D78" s="35"/>
      <c r="E78" s="35"/>
      <c r="F78" s="35"/>
      <c r="G78" s="35"/>
      <c r="H78" s="35"/>
      <c r="I78" s="35"/>
      <c r="J78" s="35"/>
    </row>
    <row r="79" spans="2:10" x14ac:dyDescent="0.35">
      <c r="B79" s="242">
        <v>45717</v>
      </c>
      <c r="C79" s="154"/>
      <c r="D79" s="35"/>
      <c r="E79" s="35"/>
      <c r="F79" s="35"/>
      <c r="G79" s="35"/>
      <c r="H79" s="35"/>
      <c r="I79" s="35"/>
      <c r="J79" s="35"/>
    </row>
    <row r="80" spans="2:10" x14ac:dyDescent="0.35">
      <c r="B80" s="242">
        <v>45748</v>
      </c>
      <c r="C80" s="154"/>
      <c r="D80" s="35"/>
      <c r="E80" s="35"/>
      <c r="F80" s="35"/>
      <c r="G80" s="35"/>
      <c r="H80" s="35"/>
      <c r="I80" s="35"/>
      <c r="J80" s="35"/>
    </row>
    <row r="81" spans="2:10" x14ac:dyDescent="0.35">
      <c r="B81" s="242">
        <v>45778</v>
      </c>
      <c r="C81" s="154"/>
      <c r="D81" s="35"/>
      <c r="E81" s="35"/>
      <c r="F81" s="35"/>
      <c r="G81" s="35"/>
      <c r="H81" s="35"/>
      <c r="I81" s="35"/>
      <c r="J81" s="35"/>
    </row>
    <row r="82" spans="2:10" x14ac:dyDescent="0.35">
      <c r="B82" s="242">
        <v>45809</v>
      </c>
      <c r="C82" s="154"/>
      <c r="D82" s="35"/>
      <c r="E82" s="35"/>
      <c r="F82" s="35"/>
      <c r="G82" s="35"/>
      <c r="H82" s="35"/>
      <c r="I82" s="35"/>
      <c r="J82" s="35"/>
    </row>
    <row r="83" spans="2:10" x14ac:dyDescent="0.35">
      <c r="B83" s="242">
        <v>45839</v>
      </c>
      <c r="C83" s="154"/>
      <c r="D83" s="35"/>
      <c r="E83" s="35"/>
      <c r="F83" s="35"/>
      <c r="G83" s="35"/>
      <c r="H83" s="35"/>
      <c r="I83" s="35"/>
      <c r="J83" s="35"/>
    </row>
    <row r="84" spans="2:10" x14ac:dyDescent="0.35">
      <c r="B84" s="242">
        <v>45870</v>
      </c>
      <c r="C84" s="154"/>
      <c r="D84" s="35"/>
      <c r="E84" s="35"/>
      <c r="F84" s="35"/>
      <c r="G84" s="35"/>
      <c r="H84" s="35"/>
      <c r="I84" s="35"/>
      <c r="J84" s="35"/>
    </row>
    <row r="85" spans="2:10" x14ac:dyDescent="0.35">
      <c r="B85" s="242">
        <v>45901</v>
      </c>
      <c r="C85" s="154"/>
      <c r="D85" s="35"/>
      <c r="E85" s="35"/>
      <c r="F85" s="35"/>
      <c r="G85" s="35"/>
      <c r="H85" s="35"/>
      <c r="I85" s="35"/>
      <c r="J85" s="35"/>
    </row>
    <row r="86" spans="2:10" x14ac:dyDescent="0.35">
      <c r="B86" s="242">
        <v>45931</v>
      </c>
      <c r="C86" s="154"/>
      <c r="D86" s="35"/>
      <c r="E86" s="35"/>
      <c r="F86" s="35"/>
      <c r="G86" s="35"/>
      <c r="H86" s="35"/>
      <c r="I86" s="35"/>
      <c r="J86" s="35"/>
    </row>
    <row r="87" spans="2:10" x14ac:dyDescent="0.35">
      <c r="B87" s="242">
        <v>45962</v>
      </c>
      <c r="C87" s="154"/>
      <c r="D87" s="35"/>
      <c r="E87" s="35"/>
      <c r="F87" s="35"/>
      <c r="G87" s="35"/>
      <c r="H87" s="35"/>
      <c r="I87" s="35"/>
      <c r="J87" s="35"/>
    </row>
    <row r="88" spans="2:10" x14ac:dyDescent="0.35">
      <c r="B88" s="242">
        <v>45992</v>
      </c>
      <c r="C88" s="154"/>
      <c r="D88" s="35"/>
      <c r="E88" s="35"/>
      <c r="F88" s="35"/>
      <c r="G88" s="35"/>
      <c r="H88" s="35"/>
      <c r="I88" s="35"/>
      <c r="J88" s="35"/>
    </row>
    <row r="89" spans="2:10" x14ac:dyDescent="0.35">
      <c r="B89" s="242">
        <v>46023</v>
      </c>
      <c r="C89" s="154"/>
      <c r="D89" s="35"/>
      <c r="E89" s="35"/>
      <c r="F89" s="35"/>
      <c r="G89" s="35"/>
      <c r="H89" s="35"/>
      <c r="I89" s="35"/>
      <c r="J89" s="35"/>
    </row>
    <row r="90" spans="2:10" x14ac:dyDescent="0.35">
      <c r="B90" s="242">
        <v>46054</v>
      </c>
      <c r="C90" s="154"/>
      <c r="D90" s="35"/>
      <c r="E90" s="35"/>
      <c r="F90" s="35"/>
      <c r="G90" s="35"/>
      <c r="H90" s="35"/>
      <c r="I90" s="35"/>
      <c r="J90" s="35"/>
    </row>
    <row r="91" spans="2:10" x14ac:dyDescent="0.35">
      <c r="B91" s="242">
        <v>46082</v>
      </c>
      <c r="C91" s="154"/>
      <c r="D91" s="35"/>
      <c r="E91" s="35"/>
      <c r="F91" s="35"/>
      <c r="G91" s="35"/>
      <c r="H91" s="35"/>
      <c r="I91" s="35"/>
      <c r="J91" s="35"/>
    </row>
    <row r="92" spans="2:10" x14ac:dyDescent="0.35">
      <c r="B92" s="242">
        <v>46113</v>
      </c>
      <c r="C92" s="154"/>
      <c r="D92" s="35"/>
      <c r="E92" s="35"/>
      <c r="F92" s="35"/>
      <c r="G92" s="35"/>
      <c r="H92" s="35"/>
      <c r="I92" s="35"/>
      <c r="J92" s="35"/>
    </row>
    <row r="93" spans="2:10" x14ac:dyDescent="0.35">
      <c r="B93" s="242">
        <v>46143</v>
      </c>
      <c r="C93" s="154"/>
      <c r="D93" s="35"/>
      <c r="E93" s="35"/>
      <c r="F93" s="35"/>
      <c r="G93" s="35"/>
      <c r="H93" s="35"/>
      <c r="I93" s="35"/>
      <c r="J93" s="35"/>
    </row>
    <row r="94" spans="2:10" x14ac:dyDescent="0.35">
      <c r="B94" s="242">
        <v>46174</v>
      </c>
      <c r="C94" s="154"/>
      <c r="D94" s="35"/>
      <c r="E94" s="35"/>
      <c r="F94" s="35"/>
      <c r="G94" s="35"/>
      <c r="H94" s="35"/>
      <c r="I94" s="35"/>
      <c r="J94" s="35"/>
    </row>
    <row r="95" spans="2:10" x14ac:dyDescent="0.35">
      <c r="B95" s="242">
        <v>46204</v>
      </c>
      <c r="C95" s="154"/>
      <c r="D95" s="35"/>
      <c r="E95" s="35"/>
      <c r="F95" s="35"/>
      <c r="G95" s="35"/>
      <c r="H95" s="35"/>
      <c r="I95" s="35"/>
      <c r="J95" s="35"/>
    </row>
    <row r="96" spans="2:10" x14ac:dyDescent="0.35">
      <c r="B96" s="242">
        <v>46235</v>
      </c>
      <c r="C96" s="154"/>
      <c r="D96" s="35"/>
      <c r="E96" s="35"/>
      <c r="F96" s="35"/>
      <c r="G96" s="35"/>
      <c r="H96" s="35"/>
      <c r="I96" s="35"/>
      <c r="J96" s="35"/>
    </row>
    <row r="97" spans="2:10" x14ac:dyDescent="0.35">
      <c r="B97" s="242">
        <v>46266</v>
      </c>
      <c r="C97" s="154"/>
      <c r="D97" s="35"/>
      <c r="E97" s="35"/>
      <c r="F97" s="35"/>
      <c r="G97" s="35"/>
      <c r="H97" s="35"/>
      <c r="I97" s="35"/>
      <c r="J97" s="35"/>
    </row>
    <row r="98" spans="2:10" x14ac:dyDescent="0.35">
      <c r="B98" s="242">
        <v>46296</v>
      </c>
      <c r="C98" s="154"/>
      <c r="D98" s="35"/>
      <c r="E98" s="35"/>
      <c r="F98" s="35"/>
      <c r="G98" s="35"/>
      <c r="H98" s="35"/>
      <c r="I98" s="35"/>
      <c r="J98" s="35"/>
    </row>
    <row r="99" spans="2:10" x14ac:dyDescent="0.35">
      <c r="B99" s="242">
        <v>46327</v>
      </c>
      <c r="C99" s="154"/>
      <c r="D99" s="35"/>
      <c r="E99" s="35"/>
      <c r="F99" s="35"/>
      <c r="G99" s="35"/>
      <c r="H99" s="35"/>
      <c r="I99" s="35"/>
      <c r="J99" s="35"/>
    </row>
    <row r="100" spans="2:10" x14ac:dyDescent="0.35">
      <c r="B100" s="243">
        <v>46357</v>
      </c>
      <c r="C100" s="156"/>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14" t="s">
        <v>192</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82"/>
      <c r="AA1" s="182"/>
      <c r="AB1" s="182"/>
      <c r="AC1" s="182"/>
      <c r="AD1" s="182"/>
      <c r="AE1" s="182"/>
      <c r="AF1" s="182"/>
      <c r="AG1" s="182"/>
      <c r="AH1" s="169"/>
      <c r="AI1" s="169"/>
    </row>
    <row r="2" spans="2:38" ht="14.25" customHeight="1" x14ac:dyDescent="0.35">
      <c r="B2" s="1315" t="s">
        <v>332</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c r="AD2" s="183"/>
      <c r="AE2" s="183"/>
      <c r="AF2" s="183"/>
      <c r="AG2" s="183"/>
      <c r="AH2" s="183"/>
      <c r="AI2" s="183"/>
    </row>
    <row r="3" spans="2:38" ht="50.9" customHeight="1" x14ac:dyDescent="0.3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c r="AD3" s="183"/>
      <c r="AE3" s="183"/>
      <c r="AF3" s="183"/>
      <c r="AG3" s="183"/>
      <c r="AH3" s="183"/>
      <c r="AI3" s="183"/>
    </row>
    <row r="4" spans="2:38" ht="5.25" customHeight="1" x14ac:dyDescent="0.3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c r="AD4" s="183"/>
      <c r="AE4" s="183"/>
      <c r="AF4" s="183"/>
      <c r="AG4" s="183"/>
      <c r="AH4" s="183"/>
      <c r="AI4" s="183"/>
    </row>
    <row r="5" spans="2:38" x14ac:dyDescent="0.35">
      <c r="B5" s="364" t="s">
        <v>333</v>
      </c>
    </row>
    <row r="6" spans="2:38" ht="14.9" customHeight="1" x14ac:dyDescent="0.35">
      <c r="B6" s="1319" t="s">
        <v>334</v>
      </c>
      <c r="C6" s="1320"/>
      <c r="D6" s="1323" t="s">
        <v>280</v>
      </c>
      <c r="E6" s="1335"/>
      <c r="F6" s="1335"/>
      <c r="G6" s="1335"/>
      <c r="H6" s="1335"/>
      <c r="I6" s="1335"/>
      <c r="J6" s="1335"/>
      <c r="K6" s="1335"/>
      <c r="L6" s="1335"/>
      <c r="M6" s="1335"/>
      <c r="N6" s="1335"/>
      <c r="O6" s="1335"/>
      <c r="P6" s="1335"/>
      <c r="Q6" s="1335"/>
      <c r="R6" s="1335"/>
      <c r="S6" s="1335"/>
      <c r="T6" s="1335"/>
      <c r="U6" s="1336"/>
      <c r="V6" s="1322"/>
      <c r="W6" s="1350" t="s">
        <v>281</v>
      </c>
      <c r="X6" s="1333"/>
      <c r="Y6" s="1333"/>
      <c r="Z6" s="1333"/>
      <c r="AA6" s="1333"/>
      <c r="AB6" s="1333"/>
      <c r="AC6" s="1333"/>
      <c r="AD6" s="1333"/>
      <c r="AE6" s="1333"/>
      <c r="AF6" s="1333"/>
      <c r="AG6" s="1351"/>
      <c r="AH6" s="1346" t="s">
        <v>335</v>
      </c>
      <c r="AI6" s="1349" t="s">
        <v>336</v>
      </c>
    </row>
    <row r="7" spans="2:38" ht="24" customHeight="1" x14ac:dyDescent="0.35">
      <c r="B7" s="1321"/>
      <c r="C7" s="1322"/>
      <c r="D7" s="149">
        <v>2018</v>
      </c>
      <c r="E7" s="1316">
        <v>2019</v>
      </c>
      <c r="F7" s="1317"/>
      <c r="G7" s="1317"/>
      <c r="H7" s="1318"/>
      <c r="I7" s="1316">
        <v>2020</v>
      </c>
      <c r="J7" s="1317"/>
      <c r="K7" s="1317"/>
      <c r="L7" s="1317"/>
      <c r="M7" s="1316">
        <v>2021</v>
      </c>
      <c r="N7" s="1317"/>
      <c r="O7" s="1317"/>
      <c r="P7" s="1317"/>
      <c r="Q7" s="1310">
        <v>2022</v>
      </c>
      <c r="R7" s="1311"/>
      <c r="S7" s="1311"/>
      <c r="T7" s="1311"/>
      <c r="U7" s="291"/>
      <c r="V7" s="292">
        <v>2023</v>
      </c>
      <c r="W7" s="293"/>
      <c r="X7" s="294"/>
      <c r="Y7" s="1325">
        <v>2024</v>
      </c>
      <c r="Z7" s="1326"/>
      <c r="AA7" s="1326"/>
      <c r="AB7" s="1327"/>
      <c r="AC7" s="1325">
        <v>2025</v>
      </c>
      <c r="AD7" s="1326"/>
      <c r="AE7" s="1326"/>
      <c r="AF7" s="1327"/>
      <c r="AG7" s="213">
        <v>2026</v>
      </c>
      <c r="AH7" s="1347"/>
      <c r="AI7" s="1347"/>
    </row>
    <row r="8" spans="2:38" ht="14.25" customHeight="1" x14ac:dyDescent="0.35">
      <c r="B8" s="1323"/>
      <c r="C8" s="1324"/>
      <c r="D8" s="149" t="s">
        <v>282</v>
      </c>
      <c r="E8" s="149" t="s">
        <v>283</v>
      </c>
      <c r="F8" s="140" t="s">
        <v>284</v>
      </c>
      <c r="G8" s="140" t="s">
        <v>238</v>
      </c>
      <c r="H8" s="146" t="s">
        <v>282</v>
      </c>
      <c r="I8" s="140" t="s">
        <v>283</v>
      </c>
      <c r="J8" s="140" t="s">
        <v>284</v>
      </c>
      <c r="K8" s="140" t="s">
        <v>238</v>
      </c>
      <c r="L8" s="140" t="s">
        <v>282</v>
      </c>
      <c r="M8" s="149" t="s">
        <v>283</v>
      </c>
      <c r="N8" s="140" t="s">
        <v>284</v>
      </c>
      <c r="O8" s="140" t="s">
        <v>238</v>
      </c>
      <c r="P8" s="140" t="s">
        <v>282</v>
      </c>
      <c r="Q8" s="149" t="s">
        <v>283</v>
      </c>
      <c r="R8" s="140" t="s">
        <v>284</v>
      </c>
      <c r="S8" s="140" t="s">
        <v>238</v>
      </c>
      <c r="T8" s="140" t="s">
        <v>282</v>
      </c>
      <c r="U8" s="252" t="s">
        <v>283</v>
      </c>
      <c r="V8" s="253" t="s">
        <v>284</v>
      </c>
      <c r="W8" s="236" t="s">
        <v>238</v>
      </c>
      <c r="X8" s="237" t="s">
        <v>282</v>
      </c>
      <c r="Y8" s="235" t="s">
        <v>283</v>
      </c>
      <c r="Z8" s="233" t="s">
        <v>284</v>
      </c>
      <c r="AA8" s="236" t="s">
        <v>238</v>
      </c>
      <c r="AB8" s="237" t="s">
        <v>282</v>
      </c>
      <c r="AC8" s="235" t="s">
        <v>283</v>
      </c>
      <c r="AD8" s="233" t="s">
        <v>284</v>
      </c>
      <c r="AE8" s="236" t="s">
        <v>238</v>
      </c>
      <c r="AF8" s="237" t="s">
        <v>282</v>
      </c>
      <c r="AG8" s="238" t="s">
        <v>283</v>
      </c>
      <c r="AH8" s="1348"/>
      <c r="AI8" s="1348"/>
    </row>
    <row r="9" spans="2:38" ht="23.9" customHeight="1" x14ac:dyDescent="0.35">
      <c r="B9" s="313" t="s">
        <v>337</v>
      </c>
      <c r="C9" s="384" t="s">
        <v>338</v>
      </c>
      <c r="D9" s="330">
        <f>'Haver Pivoted'!GO32</f>
        <v>587.79999999999995</v>
      </c>
      <c r="E9" s="331">
        <f>'Haver Pivoted'!GP32</f>
        <v>592.4</v>
      </c>
      <c r="F9" s="331">
        <f>'Haver Pivoted'!GQ32</f>
        <v>615.5</v>
      </c>
      <c r="G9" s="331">
        <f>'Haver Pivoted'!GR32</f>
        <v>610.4</v>
      </c>
      <c r="H9" s="331">
        <f>'Haver Pivoted'!GS32</f>
        <v>617.5</v>
      </c>
      <c r="I9" s="331">
        <f>'Haver Pivoted'!GT32</f>
        <v>638.6</v>
      </c>
      <c r="J9" s="331">
        <f>'Haver Pivoted'!GU32</f>
        <v>1395</v>
      </c>
      <c r="K9" s="331">
        <f>'Haver Pivoted'!GV32</f>
        <v>737.1</v>
      </c>
      <c r="L9" s="331">
        <f>'Haver Pivoted'!GW32</f>
        <v>744.8</v>
      </c>
      <c r="M9" s="331">
        <f>'Haver Pivoted'!GX32</f>
        <v>785.1</v>
      </c>
      <c r="N9" s="331">
        <f>'Haver Pivoted'!GY32</f>
        <v>1653.7</v>
      </c>
      <c r="O9" s="331">
        <f>'Haver Pivoted'!GZ32</f>
        <v>1085</v>
      </c>
      <c r="P9" s="331">
        <f>'Haver Pivoted'!HA32</f>
        <v>924.7</v>
      </c>
      <c r="Q9" s="331">
        <f>'Haver Pivoted'!HB32</f>
        <v>940</v>
      </c>
      <c r="R9" s="331">
        <f>'Haver Pivoted'!HC32</f>
        <v>960.5</v>
      </c>
      <c r="S9" s="332">
        <f>'Haver Pivoted'!HD32</f>
        <v>953.4</v>
      </c>
      <c r="T9" s="332">
        <f>'Haver Pivoted'!HE32</f>
        <v>953.3</v>
      </c>
      <c r="U9" s="286">
        <f>'Haver Pivoted'!HF32</f>
        <v>980.4</v>
      </c>
      <c r="V9" s="286">
        <f>'Haver Pivoted'!HG32</f>
        <v>979.9</v>
      </c>
      <c r="W9" s="289">
        <f t="shared" ref="W9:AB9" si="0">W10+W11</f>
        <v>992.07513729643597</v>
      </c>
      <c r="X9" s="289">
        <f t="shared" si="0"/>
        <v>954.86219132410599</v>
      </c>
      <c r="Y9" s="289">
        <f t="shared" si="0"/>
        <v>918.21702728909418</v>
      </c>
      <c r="Z9" s="289">
        <f t="shared" si="0"/>
        <v>892.16188624339713</v>
      </c>
      <c r="AA9" s="289">
        <f t="shared" si="0"/>
        <v>885.27509777638886</v>
      </c>
      <c r="AB9" s="289">
        <f t="shared" si="0"/>
        <v>873.55942115881658</v>
      </c>
      <c r="AC9" s="289">
        <f>AC10+AC11</f>
        <v>875.74401009542021</v>
      </c>
      <c r="AD9" s="289">
        <f>AD10+AD11</f>
        <v>280.59753920000003</v>
      </c>
      <c r="AE9" s="289"/>
      <c r="AF9" s="289"/>
      <c r="AG9" s="289"/>
      <c r="AH9" s="351"/>
      <c r="AI9" s="385"/>
    </row>
    <row r="10" spans="2:38" ht="27.65" customHeight="1" x14ac:dyDescent="0.35">
      <c r="B10" s="391" t="s">
        <v>133</v>
      </c>
      <c r="C10" s="215" t="s">
        <v>339</v>
      </c>
      <c r="D10" s="336">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84">
        <f>'Haver Pivoted'!HD40</f>
        <v>605.63699999999994</v>
      </c>
      <c r="T10" s="284">
        <f>'Haver Pivoted'!HE40</f>
        <v>604.82500000000005</v>
      </c>
      <c r="U10" s="284">
        <f>'Haver Pivoted'!HF40</f>
        <v>627.72799999999995</v>
      </c>
      <c r="V10" s="284">
        <f>'Haver Pivoted'!HG40</f>
        <v>636.476</v>
      </c>
      <c r="W10" s="290">
        <f>Medicaid!W28</f>
        <v>646.31970306607138</v>
      </c>
      <c r="X10" s="290">
        <f>Medicaid!X28</f>
        <v>632.01035029406285</v>
      </c>
      <c r="Y10" s="290">
        <f>Medicaid!Y28</f>
        <v>617.98758053199356</v>
      </c>
      <c r="Z10" s="290">
        <f>Medicaid!Z28</f>
        <v>608.5314062433971</v>
      </c>
      <c r="AA10" s="290">
        <f>Medicaid!AA28</f>
        <v>599.21992617680962</v>
      </c>
      <c r="AB10" s="290">
        <f>Medicaid!AB28</f>
        <v>598.93166648757165</v>
      </c>
      <c r="AC10" s="290">
        <f>Medicaid!AC28</f>
        <v>598.64354546803543</v>
      </c>
      <c r="AD10" s="290">
        <f>Medicaid!AH28</f>
        <v>0</v>
      </c>
      <c r="AE10" s="290"/>
      <c r="AF10" s="290"/>
      <c r="AG10" s="290"/>
      <c r="AH10" s="319"/>
      <c r="AI10" s="372"/>
    </row>
    <row r="11" spans="2:38" ht="17.25" customHeight="1" x14ac:dyDescent="0.35">
      <c r="B11" s="210" t="s">
        <v>340</v>
      </c>
      <c r="C11" s="215"/>
      <c r="D11" s="336">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84">
        <f t="shared" si="3"/>
        <v>347.76300000000003</v>
      </c>
      <c r="T11" s="284">
        <f t="shared" si="3"/>
        <v>348.47499999999991</v>
      </c>
      <c r="U11" s="284">
        <f>U9-U10</f>
        <v>352.67200000000003</v>
      </c>
      <c r="V11" s="284">
        <f>V9-V10</f>
        <v>343.42399999999998</v>
      </c>
      <c r="W11" s="290">
        <f t="shared" ref="W11:AB11" si="4">SUM(W12:W20)</f>
        <v>345.75543423036459</v>
      </c>
      <c r="X11" s="290">
        <f t="shared" si="4"/>
        <v>322.85184103004315</v>
      </c>
      <c r="Y11" s="290">
        <f t="shared" si="4"/>
        <v>300.22944675710067</v>
      </c>
      <c r="Z11" s="290">
        <f t="shared" si="4"/>
        <v>283.63048000000003</v>
      </c>
      <c r="AA11" s="290">
        <f t="shared" si="4"/>
        <v>286.05517159957924</v>
      </c>
      <c r="AB11" s="290">
        <f t="shared" si="4"/>
        <v>274.62775467124493</v>
      </c>
      <c r="AC11" s="290">
        <f>SUM(AC12:AC20)</f>
        <v>277.10046462738472</v>
      </c>
      <c r="AD11" s="290">
        <f>SUM(AD12:AD20)</f>
        <v>280.59753920000003</v>
      </c>
      <c r="AE11" s="290"/>
      <c r="AF11" s="290"/>
      <c r="AG11" s="290"/>
      <c r="AH11" s="319"/>
      <c r="AI11" s="372"/>
    </row>
    <row r="12" spans="2:38" ht="16.399999999999999" customHeight="1" x14ac:dyDescent="0.35">
      <c r="B12" s="327" t="s">
        <v>149</v>
      </c>
      <c r="C12" s="52" t="s">
        <v>341</v>
      </c>
      <c r="D12" s="397"/>
      <c r="E12" s="52"/>
      <c r="F12" s="52"/>
      <c r="G12" s="52"/>
      <c r="H12" s="68"/>
      <c r="I12" s="68"/>
      <c r="J12" s="68">
        <f>'Haver Pivoted'!GU56</f>
        <v>597.9</v>
      </c>
      <c r="K12" s="68"/>
      <c r="L12" s="68"/>
      <c r="M12" s="68"/>
      <c r="N12" s="68"/>
      <c r="O12" s="50">
        <v>0</v>
      </c>
      <c r="P12" s="50">
        <v>0</v>
      </c>
      <c r="Q12" s="50">
        <v>0</v>
      </c>
      <c r="R12" s="50">
        <v>0</v>
      </c>
      <c r="S12" s="50">
        <v>0</v>
      </c>
      <c r="T12" s="50">
        <v>0</v>
      </c>
      <c r="U12" s="50">
        <v>0</v>
      </c>
      <c r="V12" s="285">
        <v>0</v>
      </c>
      <c r="W12" s="290">
        <v>0</v>
      </c>
      <c r="X12" s="290">
        <v>0</v>
      </c>
      <c r="Y12" s="290">
        <v>0</v>
      </c>
      <c r="Z12" s="290">
        <v>0</v>
      </c>
      <c r="AA12" s="290">
        <v>0</v>
      </c>
      <c r="AB12" s="290">
        <v>0</v>
      </c>
      <c r="AC12" s="290">
        <v>0</v>
      </c>
      <c r="AD12" s="290">
        <v>0</v>
      </c>
      <c r="AE12" s="290"/>
      <c r="AF12" s="290"/>
      <c r="AG12" s="290"/>
      <c r="AH12" s="319">
        <f t="shared" ref="AH12:AH17" si="5">SUM(I12:Y12)/4</f>
        <v>149.47499999999999</v>
      </c>
      <c r="AI12" s="372">
        <f>AH26</f>
        <v>150</v>
      </c>
    </row>
    <row r="13" spans="2:38" x14ac:dyDescent="0.35">
      <c r="B13" s="327" t="s">
        <v>150</v>
      </c>
      <c r="C13" s="52" t="s">
        <v>342</v>
      </c>
      <c r="D13" s="397"/>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4">
        <f>'Haver Pivoted'!HD57</f>
        <v>68.3</v>
      </c>
      <c r="T13" s="284">
        <f>'Haver Pivoted'!HE57</f>
        <v>64</v>
      </c>
      <c r="U13" s="287">
        <f>U27+U31+U37</f>
        <v>60.929333333333297</v>
      </c>
      <c r="V13" s="287">
        <f t="shared" ref="V13:AD13" si="6">V27+V31+V37</f>
        <v>60.929333333333297</v>
      </c>
      <c r="W13" s="287">
        <f t="shared" si="6"/>
        <v>60.929333333333297</v>
      </c>
      <c r="X13" s="287">
        <f t="shared" si="6"/>
        <v>54.244333333333302</v>
      </c>
      <c r="Y13" s="287">
        <f t="shared" si="6"/>
        <v>50.911000000000001</v>
      </c>
      <c r="Z13" s="287">
        <f t="shared" si="6"/>
        <v>31.911000000000001</v>
      </c>
      <c r="AA13" s="287">
        <f t="shared" si="6"/>
        <v>31.911000000000001</v>
      </c>
      <c r="AB13" s="287">
        <f t="shared" si="6"/>
        <v>23.099</v>
      </c>
      <c r="AC13" s="287">
        <f t="shared" si="6"/>
        <v>23.099</v>
      </c>
      <c r="AD13" s="287">
        <f t="shared" si="6"/>
        <v>23.099</v>
      </c>
      <c r="AE13" s="287"/>
      <c r="AF13" s="287"/>
      <c r="AG13" s="287"/>
      <c r="AH13" s="319">
        <f t="shared" si="5"/>
        <v>225.58583333333326</v>
      </c>
      <c r="AI13" s="372">
        <f>AH27+AH31+AH37</f>
        <v>225.76349999999994</v>
      </c>
      <c r="AJ13" s="56">
        <f>SUM(J13:R13)/4</f>
        <v>120.52500000000001</v>
      </c>
    </row>
    <row r="14" spans="2:38" x14ac:dyDescent="0.35">
      <c r="B14" s="327" t="s">
        <v>152</v>
      </c>
      <c r="C14" s="49" t="s">
        <v>307</v>
      </c>
      <c r="D14" s="323"/>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4">
        <f>'Haver Pivoted'!HD58</f>
        <v>7.5</v>
      </c>
      <c r="T14" s="284">
        <f>'Haver Pivoted'!HE58</f>
        <v>6.2</v>
      </c>
      <c r="U14" s="284">
        <f>'Haver Pivoted'!HF58</f>
        <v>0</v>
      </c>
      <c r="V14" s="284">
        <f>'Haver Pivoted'!HG58</f>
        <v>0</v>
      </c>
      <c r="W14" s="290">
        <f>'Provider Relief (expired)'!W12</f>
        <v>0</v>
      </c>
      <c r="X14" s="290">
        <f>'Provider Relief (expired)'!X12</f>
        <v>0</v>
      </c>
      <c r="Y14" s="290">
        <f>'Provider Relief (expired)'!Y12</f>
        <v>0</v>
      </c>
      <c r="Z14" s="290">
        <f>'Provider Relief (expired)'!Z12</f>
        <v>0</v>
      </c>
      <c r="AA14" s="290">
        <f>'Provider Relief (expired)'!AA12</f>
        <v>0</v>
      </c>
      <c r="AB14" s="290">
        <f>'Provider Relief (expired)'!AB12</f>
        <v>0</v>
      </c>
      <c r="AC14" s="290">
        <f>'Provider Relief (expired)'!AC12</f>
        <v>0</v>
      </c>
      <c r="AD14" s="290">
        <f>'Provider Relief (expired)'!AD12</f>
        <v>0</v>
      </c>
      <c r="AE14" s="290"/>
      <c r="AF14" s="290"/>
      <c r="AG14" s="290"/>
      <c r="AH14" s="319">
        <f t="shared" si="5"/>
        <v>47.375</v>
      </c>
      <c r="AI14" s="372">
        <f>AH28+AH32+AH38</f>
        <v>34.125000000000007</v>
      </c>
    </row>
    <row r="15" spans="2:38" ht="15.75" customHeight="1" x14ac:dyDescent="0.35">
      <c r="B15" s="327" t="s">
        <v>343</v>
      </c>
      <c r="C15" s="49"/>
      <c r="D15" s="323"/>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85">
        <f t="shared" si="7"/>
        <v>9.6666666666666661</v>
      </c>
      <c r="V15" s="285">
        <f t="shared" si="7"/>
        <v>9.6666666666666661</v>
      </c>
      <c r="W15" s="290">
        <f t="shared" si="7"/>
        <v>9.6666666666666661</v>
      </c>
      <c r="X15" s="290">
        <f t="shared" si="7"/>
        <v>9.6666666666666661</v>
      </c>
      <c r="Y15" s="290">
        <f t="shared" si="7"/>
        <v>0</v>
      </c>
      <c r="Z15" s="290">
        <f t="shared" si="7"/>
        <v>0</v>
      </c>
      <c r="AA15" s="290">
        <f t="shared" si="7"/>
        <v>0</v>
      </c>
      <c r="AB15" s="290">
        <f t="shared" si="7"/>
        <v>0</v>
      </c>
      <c r="AC15" s="290">
        <f t="shared" si="7"/>
        <v>0</v>
      </c>
      <c r="AD15" s="290">
        <f t="shared" ref="AD15" si="8">AD30</f>
        <v>0</v>
      </c>
      <c r="AE15" s="290"/>
      <c r="AF15" s="290"/>
      <c r="AG15" s="290"/>
      <c r="AH15" s="319">
        <f t="shared" si="5"/>
        <v>29.000000000000004</v>
      </c>
      <c r="AI15" s="373">
        <f>AH30</f>
        <v>29.000000000000004</v>
      </c>
      <c r="AJ15" s="339" t="s">
        <v>344</v>
      </c>
      <c r="AK15" s="339"/>
      <c r="AL15" s="339"/>
    </row>
    <row r="16" spans="2:38" ht="31.4" customHeight="1" x14ac:dyDescent="0.35">
      <c r="B16" s="327" t="s">
        <v>345</v>
      </c>
      <c r="C16" s="49"/>
      <c r="D16" s="323"/>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85">
        <f t="shared" si="9"/>
        <v>12</v>
      </c>
      <c r="V16" s="285">
        <f t="shared" si="9"/>
        <v>12</v>
      </c>
      <c r="W16" s="290">
        <f t="shared" si="9"/>
        <v>12</v>
      </c>
      <c r="X16" s="290">
        <f t="shared" si="9"/>
        <v>12</v>
      </c>
      <c r="Y16" s="290">
        <f t="shared" si="9"/>
        <v>0</v>
      </c>
      <c r="Z16" s="290">
        <f t="shared" si="9"/>
        <v>0</v>
      </c>
      <c r="AA16" s="290">
        <f t="shared" si="9"/>
        <v>0</v>
      </c>
      <c r="AB16" s="290">
        <f t="shared" si="9"/>
        <v>0</v>
      </c>
      <c r="AC16" s="290">
        <f t="shared" si="9"/>
        <v>0</v>
      </c>
      <c r="AD16" s="290">
        <f t="shared" ref="AD16" si="10">AD34+AD33</f>
        <v>0</v>
      </c>
      <c r="AE16" s="290"/>
      <c r="AF16" s="290"/>
      <c r="AG16" s="290"/>
      <c r="AH16" s="319">
        <f t="shared" si="5"/>
        <v>36</v>
      </c>
      <c r="AI16" s="372">
        <f>SUM(AH33:AH34)+AH39</f>
        <v>130.3365</v>
      </c>
      <c r="AJ16" s="339" t="s">
        <v>346</v>
      </c>
      <c r="AK16" s="339"/>
      <c r="AL16" s="339"/>
    </row>
    <row r="17" spans="1:38" x14ac:dyDescent="0.35">
      <c r="B17" s="327" t="s">
        <v>347</v>
      </c>
      <c r="C17" s="49"/>
      <c r="D17" s="323"/>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85">
        <f t="shared" si="11"/>
        <v>24.216000000000001</v>
      </c>
      <c r="V17" s="285">
        <f t="shared" si="11"/>
        <v>24.216000000000001</v>
      </c>
      <c r="W17" s="290">
        <f t="shared" si="11"/>
        <v>24.216000000000001</v>
      </c>
      <c r="X17" s="290">
        <f t="shared" si="11"/>
        <v>9.6430000000000007</v>
      </c>
      <c r="Y17" s="290">
        <f t="shared" si="11"/>
        <v>9.6430000000000007</v>
      </c>
      <c r="Z17" s="290">
        <f t="shared" si="11"/>
        <v>9.6430000000000007</v>
      </c>
      <c r="AA17" s="290">
        <f t="shared" si="11"/>
        <v>9.6430000000000007</v>
      </c>
      <c r="AB17" s="290">
        <f t="shared" si="11"/>
        <v>4.5789999999999997</v>
      </c>
      <c r="AC17" s="290">
        <f t="shared" si="11"/>
        <v>4.5789999999999997</v>
      </c>
      <c r="AD17" s="290">
        <f t="shared" ref="AD17" si="12">AD39</f>
        <v>4.5789999999999997</v>
      </c>
      <c r="AE17" s="290"/>
      <c r="AF17" s="290"/>
      <c r="AG17" s="290"/>
      <c r="AH17" s="319">
        <f t="shared" si="5"/>
        <v>94.336500000000001</v>
      </c>
      <c r="AI17" s="372"/>
      <c r="AJ17" s="339"/>
      <c r="AK17" s="339"/>
      <c r="AL17" s="339"/>
    </row>
    <row r="18" spans="1:38" ht="54" customHeight="1" x14ac:dyDescent="0.35">
      <c r="B18" s="379" t="s">
        <v>784</v>
      </c>
      <c r="C18" s="49"/>
      <c r="D18" s="323"/>
      <c r="E18" s="49"/>
      <c r="F18" s="49"/>
      <c r="G18" s="49"/>
      <c r="H18" s="68"/>
      <c r="I18" s="68"/>
      <c r="J18" s="68"/>
      <c r="K18" s="68"/>
      <c r="L18" s="68"/>
      <c r="M18" s="68"/>
      <c r="N18" s="50">
        <v>-40</v>
      </c>
      <c r="O18" s="50">
        <v>-40</v>
      </c>
      <c r="P18" s="50">
        <f>-51</f>
        <v>-51</v>
      </c>
      <c r="Q18" s="50">
        <f>-51</f>
        <v>-51</v>
      </c>
      <c r="R18" s="50">
        <v>-51</v>
      </c>
      <c r="S18" s="50">
        <f>-51</f>
        <v>-51</v>
      </c>
      <c r="T18" s="50">
        <v>0</v>
      </c>
      <c r="U18" s="285">
        <v>0</v>
      </c>
      <c r="V18" s="285">
        <v>0</v>
      </c>
      <c r="W18" s="290">
        <v>0</v>
      </c>
      <c r="X18" s="290">
        <v>-4</v>
      </c>
      <c r="Y18" s="290">
        <v>-4</v>
      </c>
      <c r="Z18" s="290">
        <v>-4</v>
      </c>
      <c r="AA18" s="290">
        <v>-4</v>
      </c>
      <c r="AB18" s="290">
        <v>-4</v>
      </c>
      <c r="AC18" s="290">
        <v>-4</v>
      </c>
      <c r="AD18" s="290">
        <v>-3</v>
      </c>
      <c r="AE18" s="290">
        <v>0</v>
      </c>
      <c r="AF18" s="290">
        <v>0</v>
      </c>
      <c r="AG18" s="290">
        <v>0</v>
      </c>
      <c r="AH18" s="319"/>
      <c r="AI18" s="372"/>
      <c r="AJ18" s="339"/>
      <c r="AK18" s="339"/>
      <c r="AL18" s="339"/>
    </row>
    <row r="19" spans="1:38" ht="15.75" customHeight="1" x14ac:dyDescent="0.35">
      <c r="B19" s="327" t="s">
        <v>348</v>
      </c>
      <c r="C19" s="52" t="s">
        <v>349</v>
      </c>
      <c r="D19" s="323"/>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4">
        <f>'Haver Pivoted'!HD56</f>
        <v>0</v>
      </c>
      <c r="T19" s="284">
        <f>'Haver Pivoted'!HE56</f>
        <v>0</v>
      </c>
      <c r="U19" s="284">
        <f>'Haver Pivoted'!HF56</f>
        <v>0</v>
      </c>
      <c r="V19" s="284">
        <f>'Haver Pivoted'!HG56</f>
        <v>0</v>
      </c>
      <c r="W19" s="281">
        <f t="shared" ref="W19:AC19" si="13">W36</f>
        <v>0</v>
      </c>
      <c r="X19" s="281">
        <f t="shared" si="13"/>
        <v>0</v>
      </c>
      <c r="Y19" s="281">
        <f t="shared" si="13"/>
        <v>0</v>
      </c>
      <c r="Z19" s="281">
        <f t="shared" si="13"/>
        <v>0</v>
      </c>
      <c r="AA19" s="281">
        <f t="shared" si="13"/>
        <v>0</v>
      </c>
      <c r="AB19" s="281">
        <f t="shared" si="13"/>
        <v>0</v>
      </c>
      <c r="AC19" s="281">
        <f t="shared" si="13"/>
        <v>0</v>
      </c>
      <c r="AD19" s="281">
        <f t="shared" ref="AD19" si="14">AD36</f>
        <v>0</v>
      </c>
      <c r="AE19" s="281">
        <v>0</v>
      </c>
      <c r="AF19" s="281">
        <v>0</v>
      </c>
      <c r="AG19" s="281">
        <v>0</v>
      </c>
      <c r="AH19" s="319">
        <f>SUM(I19:Y19)/4</f>
        <v>245.9</v>
      </c>
      <c r="AI19" s="372">
        <f>AH36</f>
        <v>362.04999999999995</v>
      </c>
      <c r="AJ19" s="362"/>
      <c r="AL19" s="339"/>
    </row>
    <row r="20" spans="1:38" ht="15.75" customHeight="1" x14ac:dyDescent="0.35">
      <c r="A20" s="341"/>
      <c r="B20" s="340" t="s">
        <v>350</v>
      </c>
      <c r="C20" s="354"/>
      <c r="D20" s="352">
        <f t="shared" ref="D20:T20" si="15">D11-SUM(D12:D19)</f>
        <v>197.26499999999993</v>
      </c>
      <c r="E20" s="354">
        <f t="shared" si="15"/>
        <v>184.779</v>
      </c>
      <c r="F20" s="354">
        <f t="shared" si="15"/>
        <v>199.041</v>
      </c>
      <c r="G20" s="354">
        <f t="shared" si="15"/>
        <v>191.73899999999998</v>
      </c>
      <c r="H20" s="354">
        <f t="shared" si="15"/>
        <v>205.80500000000001</v>
      </c>
      <c r="I20" s="354">
        <f t="shared" si="15"/>
        <v>210.29200000000003</v>
      </c>
      <c r="J20" s="354">
        <f t="shared" si="15"/>
        <v>197.48400000000004</v>
      </c>
      <c r="K20" s="354">
        <f t="shared" si="15"/>
        <v>213.12000000000006</v>
      </c>
      <c r="L20" s="354">
        <f t="shared" si="15"/>
        <v>215.54199999999997</v>
      </c>
      <c r="M20" s="354">
        <f t="shared" si="15"/>
        <v>213.11233333333337</v>
      </c>
      <c r="N20" s="354">
        <f t="shared" si="15"/>
        <v>224.76033333333339</v>
      </c>
      <c r="O20" s="354">
        <f t="shared" si="15"/>
        <v>222.12433333333337</v>
      </c>
      <c r="P20" s="354">
        <f t="shared" si="15"/>
        <v>250.09733333333338</v>
      </c>
      <c r="Q20" s="354">
        <f t="shared" si="15"/>
        <v>253.39533333333327</v>
      </c>
      <c r="R20" s="354">
        <f t="shared" si="15"/>
        <v>266.9323333333333</v>
      </c>
      <c r="S20" s="329">
        <f t="shared" si="15"/>
        <v>265.62533333333334</v>
      </c>
      <c r="T20" s="329">
        <f t="shared" si="15"/>
        <v>232.39233333333323</v>
      </c>
      <c r="U20" s="288">
        <f>U11-SUM(U12:U19)</f>
        <v>245.86000000000007</v>
      </c>
      <c r="V20" s="288">
        <f>V11-SUM(V12:V19)</f>
        <v>236.61200000000002</v>
      </c>
      <c r="W20" s="289">
        <f t="shared" ref="W20:AC20" si="16">V20*(1.04)^0.25</f>
        <v>238.94343423036463</v>
      </c>
      <c r="X20" s="289">
        <f t="shared" si="16"/>
        <v>241.2978410300432</v>
      </c>
      <c r="Y20" s="289">
        <f t="shared" si="16"/>
        <v>243.67544675710067</v>
      </c>
      <c r="Z20" s="289">
        <f t="shared" si="16"/>
        <v>246.07648</v>
      </c>
      <c r="AA20" s="289">
        <f t="shared" si="16"/>
        <v>248.50117159957921</v>
      </c>
      <c r="AB20" s="289">
        <f t="shared" si="16"/>
        <v>250.94975467124493</v>
      </c>
      <c r="AC20" s="289">
        <f t="shared" si="16"/>
        <v>253.4224646273847</v>
      </c>
      <c r="AD20" s="289">
        <f>AC20*(1.04)^0.25</f>
        <v>255.9195392</v>
      </c>
      <c r="AE20" s="289">
        <f t="shared" ref="AE20:AG20" si="17">AD20*(1.04)^0.25</f>
        <v>258.44121846356239</v>
      </c>
      <c r="AF20" s="289">
        <f t="shared" si="17"/>
        <v>260.98774485809474</v>
      </c>
      <c r="AG20" s="289">
        <f t="shared" si="17"/>
        <v>263.55936321248009</v>
      </c>
      <c r="AH20" s="377"/>
      <c r="AI20" s="374"/>
      <c r="AJ20" s="339" t="s">
        <v>351</v>
      </c>
      <c r="AK20" s="339"/>
      <c r="AL20" s="339"/>
    </row>
    <row r="21" spans="1:38" ht="15.75" customHeight="1" x14ac:dyDescent="0.35">
      <c r="A21" s="2"/>
      <c r="B21" s="299"/>
      <c r="C21" s="49"/>
      <c r="D21" s="49"/>
      <c r="E21" s="49"/>
      <c r="F21" s="49"/>
      <c r="G21" s="49"/>
      <c r="H21" s="49"/>
      <c r="I21" s="49"/>
      <c r="J21" s="49"/>
      <c r="K21" s="49"/>
      <c r="L21" s="49"/>
      <c r="M21" s="49"/>
      <c r="N21" s="49"/>
      <c r="O21" s="349"/>
      <c r="P21" s="49"/>
      <c r="Q21" s="214"/>
      <c r="R21" s="214"/>
      <c r="S21" s="214"/>
      <c r="T21" s="214"/>
      <c r="U21" s="214"/>
      <c r="V21" s="214"/>
      <c r="W21" s="214"/>
      <c r="X21" s="214"/>
      <c r="Y21" s="214"/>
      <c r="Z21" s="214"/>
      <c r="AA21" s="214"/>
      <c r="AB21" s="214"/>
      <c r="AC21" s="214"/>
      <c r="AD21" s="214"/>
      <c r="AE21" s="214"/>
      <c r="AF21" s="214"/>
      <c r="AG21" s="214"/>
      <c r="AH21" s="214"/>
      <c r="AI21" s="344"/>
      <c r="AJ21" s="339"/>
      <c r="AK21" s="339"/>
      <c r="AL21" s="339"/>
    </row>
    <row r="22" spans="1:38" x14ac:dyDescent="0.35">
      <c r="C22" s="49"/>
      <c r="D22" s="49"/>
      <c r="E22" s="345"/>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9"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54" t="s">
        <v>353</v>
      </c>
      <c r="C24" s="1355"/>
      <c r="D24" s="1356"/>
      <c r="E24" s="1356"/>
      <c r="F24" s="1356"/>
      <c r="G24" s="1356"/>
      <c r="H24" s="1356"/>
      <c r="I24" s="1356"/>
      <c r="J24" s="1356"/>
      <c r="K24" s="1356"/>
      <c r="L24" s="1356"/>
      <c r="M24" s="1356"/>
      <c r="N24" s="1356"/>
      <c r="O24" s="1356"/>
      <c r="P24" s="1356"/>
      <c r="Q24" s="1356"/>
      <c r="R24" s="1356"/>
      <c r="S24" s="1356"/>
      <c r="T24" s="1356"/>
      <c r="U24" s="1356"/>
      <c r="V24" s="1356"/>
      <c r="W24" s="1356"/>
      <c r="X24" s="1356"/>
      <c r="Y24" s="1356"/>
      <c r="Z24" s="1356"/>
      <c r="AA24" s="1356"/>
      <c r="AB24" s="1356"/>
      <c r="AC24" s="1357"/>
      <c r="AD24" s="305"/>
      <c r="AE24" s="305"/>
      <c r="AF24" s="305"/>
      <c r="AG24" s="305"/>
      <c r="AH24" s="304" t="s">
        <v>335</v>
      </c>
      <c r="AI24" s="375"/>
    </row>
    <row r="25" spans="1:38" ht="17.899999999999999" customHeight="1" x14ac:dyDescent="0.35">
      <c r="B25" s="382" t="s">
        <v>354</v>
      </c>
      <c r="C25" s="49"/>
      <c r="D25" s="393"/>
      <c r="E25" s="383"/>
      <c r="F25" s="383"/>
      <c r="G25" s="383"/>
      <c r="H25" s="380"/>
      <c r="I25" s="380"/>
      <c r="J25" s="337">
        <f>SUM(J26:J28)</f>
        <v>692.8</v>
      </c>
      <c r="K25" s="337">
        <f t="shared" ref="K25:P25" si="18">SUM(K26:K28)</f>
        <v>39.200000000000003</v>
      </c>
      <c r="L25" s="337">
        <f t="shared" si="18"/>
        <v>29</v>
      </c>
      <c r="M25" s="337">
        <f t="shared" si="18"/>
        <v>27</v>
      </c>
      <c r="N25" s="337">
        <f t="shared" si="18"/>
        <v>18</v>
      </c>
      <c r="O25" s="337">
        <f t="shared" si="18"/>
        <v>0</v>
      </c>
      <c r="P25" s="317">
        <f t="shared" si="18"/>
        <v>0</v>
      </c>
      <c r="Q25" s="337"/>
      <c r="R25" s="337"/>
      <c r="S25" s="337"/>
      <c r="T25" s="378"/>
      <c r="U25" s="378"/>
      <c r="V25" s="378"/>
      <c r="W25" s="378"/>
      <c r="X25" s="378"/>
      <c r="Y25" s="378"/>
      <c r="Z25" s="378"/>
      <c r="AA25" s="378"/>
      <c r="AB25" s="378"/>
      <c r="AC25" s="302"/>
      <c r="AD25" s="281"/>
      <c r="AE25" s="281"/>
      <c r="AF25" s="281"/>
      <c r="AG25" s="281"/>
      <c r="AH25" s="319">
        <f t="shared" ref="AH25:AH39" si="19">SUM(I25:Y25)/4</f>
        <v>201.5</v>
      </c>
      <c r="AI25" s="1352" t="s">
        <v>355</v>
      </c>
      <c r="AJ25" s="1353"/>
    </row>
    <row r="26" spans="1:38" x14ac:dyDescent="0.35">
      <c r="B26" s="342" t="s">
        <v>149</v>
      </c>
      <c r="C26" s="49"/>
      <c r="D26" s="323"/>
      <c r="E26" s="49"/>
      <c r="F26" s="49"/>
      <c r="G26" s="49"/>
      <c r="H26" s="50"/>
      <c r="I26" s="50"/>
      <c r="J26" s="306">
        <f>C46*4</f>
        <v>600</v>
      </c>
      <c r="K26" s="306"/>
      <c r="L26" s="306"/>
      <c r="M26" s="306"/>
      <c r="N26" s="306"/>
      <c r="O26" s="306"/>
      <c r="P26" s="320"/>
      <c r="Q26" s="306"/>
      <c r="R26" s="306"/>
      <c r="S26" s="306"/>
      <c r="T26" s="281"/>
      <c r="U26" s="281"/>
      <c r="V26" s="281"/>
      <c r="W26" s="281"/>
      <c r="X26" s="281"/>
      <c r="Y26" s="281"/>
      <c r="Z26" s="281"/>
      <c r="AA26" s="281"/>
      <c r="AB26" s="281"/>
      <c r="AC26" s="281"/>
      <c r="AD26" s="281"/>
      <c r="AE26" s="281"/>
      <c r="AF26" s="281"/>
      <c r="AG26" s="281"/>
      <c r="AH26" s="319">
        <f t="shared" si="19"/>
        <v>150</v>
      </c>
      <c r="AI26" s="306"/>
    </row>
    <row r="27" spans="1:38" ht="15" customHeight="1" x14ac:dyDescent="0.35">
      <c r="B27" s="342" t="s">
        <v>150</v>
      </c>
      <c r="C27" s="49"/>
      <c r="D27" s="323"/>
      <c r="E27" s="49"/>
      <c r="F27" s="49"/>
      <c r="G27" s="49"/>
      <c r="H27" s="50"/>
      <c r="I27" s="50"/>
      <c r="J27" s="306">
        <v>28.4</v>
      </c>
      <c r="K27" s="306">
        <v>15.8</v>
      </c>
      <c r="L27" s="306">
        <v>15.2</v>
      </c>
      <c r="M27" s="306">
        <v>10.9</v>
      </c>
      <c r="N27" s="306">
        <v>18</v>
      </c>
      <c r="O27" s="306"/>
      <c r="P27" s="320"/>
      <c r="Q27" s="306"/>
      <c r="R27" s="306"/>
      <c r="S27" s="306">
        <v>20</v>
      </c>
      <c r="T27" s="338">
        <v>10</v>
      </c>
      <c r="U27" s="281"/>
      <c r="V27" s="281"/>
      <c r="W27" s="281"/>
      <c r="X27" s="281"/>
      <c r="Y27" s="281"/>
      <c r="Z27" s="281"/>
      <c r="AA27" s="281"/>
      <c r="AB27" s="281"/>
      <c r="AC27" s="281"/>
      <c r="AD27" s="281"/>
      <c r="AE27" s="281"/>
      <c r="AF27" s="281"/>
      <c r="AG27" s="281"/>
      <c r="AH27" s="319">
        <f t="shared" si="19"/>
        <v>29.575000000000003</v>
      </c>
      <c r="AI27" s="306"/>
    </row>
    <row r="28" spans="1:38" x14ac:dyDescent="0.35">
      <c r="B28" s="342" t="s">
        <v>152</v>
      </c>
      <c r="C28" s="49"/>
      <c r="D28" s="323"/>
      <c r="E28" s="49"/>
      <c r="F28" s="49"/>
      <c r="G28" s="49"/>
      <c r="H28" s="50"/>
      <c r="I28" s="50"/>
      <c r="J28" s="215">
        <v>64.400000000000006</v>
      </c>
      <c r="K28" s="215">
        <v>23.4</v>
      </c>
      <c r="L28" s="215">
        <v>13.8</v>
      </c>
      <c r="M28" s="215">
        <v>16.100000000000001</v>
      </c>
      <c r="N28" s="306"/>
      <c r="O28" s="306"/>
      <c r="P28" s="320"/>
      <c r="Q28" s="306"/>
      <c r="R28" s="306"/>
      <c r="S28" s="306"/>
      <c r="T28" s="281"/>
      <c r="U28" s="281"/>
      <c r="V28" s="281"/>
      <c r="W28" s="281"/>
      <c r="X28" s="281"/>
      <c r="Y28" s="281"/>
      <c r="Z28" s="281"/>
      <c r="AA28" s="281"/>
      <c r="AB28" s="281"/>
      <c r="AC28" s="281"/>
      <c r="AD28" s="281"/>
      <c r="AE28" s="281"/>
      <c r="AF28" s="281"/>
      <c r="AG28" s="281"/>
      <c r="AH28" s="319">
        <f t="shared" si="19"/>
        <v>29.425000000000004</v>
      </c>
      <c r="AI28" s="306"/>
    </row>
    <row r="29" spans="1:38" ht="16.5" customHeight="1" x14ac:dyDescent="0.35">
      <c r="B29" s="382" t="s">
        <v>356</v>
      </c>
      <c r="C29" s="49"/>
      <c r="D29" s="323"/>
      <c r="E29" s="49"/>
      <c r="F29" s="49"/>
      <c r="G29" s="49"/>
      <c r="H29" s="50"/>
      <c r="I29" s="50"/>
      <c r="J29" s="50"/>
      <c r="K29" s="50"/>
      <c r="L29" s="50"/>
      <c r="M29" s="306">
        <f>SUM(M30:M34)</f>
        <v>43</v>
      </c>
      <c r="N29" s="306">
        <f t="shared" ref="N29:AD29" si="20">SUM(N30:N34)</f>
        <v>70</v>
      </c>
      <c r="O29" s="306">
        <f t="shared" si="20"/>
        <v>59.999999999999964</v>
      </c>
      <c r="P29" s="320">
        <f t="shared" si="20"/>
        <v>50</v>
      </c>
      <c r="Q29" s="306">
        <f t="shared" si="20"/>
        <v>44.999999999999964</v>
      </c>
      <c r="R29" s="306">
        <f t="shared" si="20"/>
        <v>44.999999999999964</v>
      </c>
      <c r="S29" s="306">
        <f t="shared" si="20"/>
        <v>44.999999999999964</v>
      </c>
      <c r="T29" s="281">
        <f t="shared" si="20"/>
        <v>44.999999999999964</v>
      </c>
      <c r="U29" s="281">
        <f t="shared" si="20"/>
        <v>44.999999999999964</v>
      </c>
      <c r="V29" s="281">
        <f t="shared" si="20"/>
        <v>44.999999999999964</v>
      </c>
      <c r="W29" s="281">
        <f t="shared" si="20"/>
        <v>44.999999999999964</v>
      </c>
      <c r="X29" s="281">
        <f t="shared" si="20"/>
        <v>44.999999999999964</v>
      </c>
      <c r="Y29" s="281">
        <f t="shared" si="20"/>
        <v>19</v>
      </c>
      <c r="Z29" s="281">
        <f t="shared" si="20"/>
        <v>0</v>
      </c>
      <c r="AA29" s="281">
        <f t="shared" si="20"/>
        <v>0</v>
      </c>
      <c r="AB29" s="281">
        <f t="shared" si="20"/>
        <v>0</v>
      </c>
      <c r="AC29" s="281">
        <f t="shared" si="20"/>
        <v>0</v>
      </c>
      <c r="AD29" s="281">
        <f t="shared" si="20"/>
        <v>0</v>
      </c>
      <c r="AE29" s="281"/>
      <c r="AF29" s="281"/>
      <c r="AG29" s="281"/>
      <c r="AH29" s="319">
        <f t="shared" si="19"/>
        <v>150.49999999999991</v>
      </c>
      <c r="AI29" s="1352" t="s">
        <v>357</v>
      </c>
      <c r="AJ29" s="1353"/>
    </row>
    <row r="30" spans="1:38" x14ac:dyDescent="0.35">
      <c r="B30" s="342" t="s">
        <v>343</v>
      </c>
      <c r="C30" s="49"/>
      <c r="D30" s="323"/>
      <c r="E30" s="49"/>
      <c r="F30" s="49"/>
      <c r="G30" s="49"/>
      <c r="H30" s="50"/>
      <c r="I30" s="50"/>
      <c r="J30" s="50"/>
      <c r="K30" s="50"/>
      <c r="L30" s="50"/>
      <c r="M30" s="306">
        <f>C49/12*4</f>
        <v>9.6666666666666661</v>
      </c>
      <c r="N30" s="306">
        <f>M30</f>
        <v>9.6666666666666661</v>
      </c>
      <c r="O30" s="306">
        <f t="shared" ref="O30:X30" si="21">N30</f>
        <v>9.6666666666666661</v>
      </c>
      <c r="P30" s="320">
        <f t="shared" si="21"/>
        <v>9.6666666666666661</v>
      </c>
      <c r="Q30" s="306">
        <f t="shared" si="21"/>
        <v>9.6666666666666661</v>
      </c>
      <c r="R30" s="306">
        <f t="shared" si="21"/>
        <v>9.6666666666666661</v>
      </c>
      <c r="S30" s="306">
        <f t="shared" si="21"/>
        <v>9.6666666666666661</v>
      </c>
      <c r="T30" s="281">
        <f t="shared" si="21"/>
        <v>9.6666666666666661</v>
      </c>
      <c r="U30" s="281">
        <f t="shared" si="21"/>
        <v>9.6666666666666661</v>
      </c>
      <c r="V30" s="281">
        <f t="shared" si="21"/>
        <v>9.6666666666666661</v>
      </c>
      <c r="W30" s="281">
        <f t="shared" si="21"/>
        <v>9.6666666666666661</v>
      </c>
      <c r="X30" s="281">
        <f t="shared" si="21"/>
        <v>9.6666666666666661</v>
      </c>
      <c r="Y30" s="290"/>
      <c r="Z30" s="290"/>
      <c r="AA30" s="290"/>
      <c r="AB30" s="290"/>
      <c r="AC30" s="290"/>
      <c r="AD30" s="290"/>
      <c r="AE30" s="290"/>
      <c r="AF30" s="290"/>
      <c r="AG30" s="290"/>
      <c r="AH30" s="319">
        <f t="shared" si="19"/>
        <v>29.000000000000004</v>
      </c>
      <c r="AI30" s="1352"/>
      <c r="AJ30" s="1353"/>
    </row>
    <row r="31" spans="1:38" ht="41.9" customHeight="1" x14ac:dyDescent="0.35">
      <c r="B31" s="342" t="s">
        <v>150</v>
      </c>
      <c r="C31" s="49"/>
      <c r="D31" s="323"/>
      <c r="E31" s="49"/>
      <c r="F31" s="49"/>
      <c r="G31" s="49"/>
      <c r="H31" s="50"/>
      <c r="I31" s="50"/>
      <c r="J31" s="50"/>
      <c r="K31" s="50"/>
      <c r="L31" s="50"/>
      <c r="M31" s="366">
        <f>C60/12*4 - 7</f>
        <v>20.333333333333332</v>
      </c>
      <c r="N31" s="366">
        <f>C60/12*4 + 20</f>
        <v>47.333333333333329</v>
      </c>
      <c r="O31" s="366">
        <v>37.3333333333333</v>
      </c>
      <c r="P31" s="394">
        <v>27.333333333333332</v>
      </c>
      <c r="Q31" s="366">
        <v>22.3333333333333</v>
      </c>
      <c r="R31" s="366">
        <v>22.3333333333333</v>
      </c>
      <c r="S31" s="366">
        <v>22.3333333333333</v>
      </c>
      <c r="T31" s="303">
        <v>22.3333333333333</v>
      </c>
      <c r="U31" s="303">
        <v>22.3333333333333</v>
      </c>
      <c r="V31" s="303">
        <v>22.3333333333333</v>
      </c>
      <c r="W31" s="303">
        <v>22.3333333333333</v>
      </c>
      <c r="X31" s="303">
        <v>22.3333333333333</v>
      </c>
      <c r="Y31" s="303">
        <v>19</v>
      </c>
      <c r="Z31" s="303"/>
      <c r="AA31" s="303"/>
      <c r="AB31" s="303"/>
      <c r="AC31" s="303"/>
      <c r="AD31" s="303"/>
      <c r="AE31" s="303"/>
      <c r="AF31" s="303"/>
      <c r="AG31" s="303"/>
      <c r="AH31" s="319">
        <f t="shared" si="19"/>
        <v>82.499999999999943</v>
      </c>
      <c r="AI31" s="389" t="s">
        <v>358</v>
      </c>
    </row>
    <row r="32" spans="1:38" x14ac:dyDescent="0.35">
      <c r="B32" s="342" t="s">
        <v>152</v>
      </c>
      <c r="C32" s="49"/>
      <c r="D32" s="323"/>
      <c r="E32" s="49"/>
      <c r="F32" s="49"/>
      <c r="G32" s="49"/>
      <c r="H32" s="50"/>
      <c r="I32" s="50"/>
      <c r="J32" s="50"/>
      <c r="K32" s="50"/>
      <c r="L32" s="50"/>
      <c r="M32" s="306">
        <f>C61/12*4</f>
        <v>1</v>
      </c>
      <c r="N32" s="306">
        <f>C61/12*4</f>
        <v>1</v>
      </c>
      <c r="O32" s="306">
        <f t="shared" ref="O32:X32" si="22">$C$61/12*4</f>
        <v>1</v>
      </c>
      <c r="P32" s="320">
        <f t="shared" si="22"/>
        <v>1</v>
      </c>
      <c r="Q32" s="306">
        <f t="shared" si="22"/>
        <v>1</v>
      </c>
      <c r="R32" s="306">
        <f t="shared" si="22"/>
        <v>1</v>
      </c>
      <c r="S32" s="306">
        <f t="shared" si="22"/>
        <v>1</v>
      </c>
      <c r="T32" s="281">
        <f t="shared" si="22"/>
        <v>1</v>
      </c>
      <c r="U32" s="281">
        <f t="shared" si="22"/>
        <v>1</v>
      </c>
      <c r="V32" s="281">
        <f t="shared" si="22"/>
        <v>1</v>
      </c>
      <c r="W32" s="281">
        <f t="shared" si="22"/>
        <v>1</v>
      </c>
      <c r="X32" s="281">
        <f t="shared" si="22"/>
        <v>1</v>
      </c>
      <c r="Y32" s="290"/>
      <c r="Z32" s="290"/>
      <c r="AA32" s="290"/>
      <c r="AB32" s="290"/>
      <c r="AC32" s="290"/>
      <c r="AD32" s="290"/>
      <c r="AE32" s="290"/>
      <c r="AF32" s="290"/>
      <c r="AG32" s="290"/>
      <c r="AH32" s="319">
        <f t="shared" si="19"/>
        <v>3</v>
      </c>
      <c r="AI32" s="50"/>
    </row>
    <row r="33" spans="1:92" ht="13.4" customHeight="1" x14ac:dyDescent="0.35">
      <c r="B33" s="342" t="s">
        <v>359</v>
      </c>
      <c r="C33" s="49"/>
      <c r="D33" s="323"/>
      <c r="E33" s="49"/>
      <c r="F33" s="49"/>
      <c r="G33" s="49"/>
      <c r="H33" s="50"/>
      <c r="I33" s="50"/>
      <c r="J33" s="50"/>
      <c r="K33" s="50"/>
      <c r="L33" s="50"/>
      <c r="M33" s="306">
        <f t="shared" ref="M33:X33" si="23">$C$62/12*4</f>
        <v>11.333333333333334</v>
      </c>
      <c r="N33" s="306">
        <f t="shared" si="23"/>
        <v>11.333333333333334</v>
      </c>
      <c r="O33" s="306">
        <f t="shared" si="23"/>
        <v>11.333333333333334</v>
      </c>
      <c r="P33" s="320">
        <f t="shared" si="23"/>
        <v>11.333333333333334</v>
      </c>
      <c r="Q33" s="306">
        <f t="shared" si="23"/>
        <v>11.333333333333334</v>
      </c>
      <c r="R33" s="306">
        <f t="shared" si="23"/>
        <v>11.333333333333334</v>
      </c>
      <c r="S33" s="306">
        <f t="shared" si="23"/>
        <v>11.333333333333334</v>
      </c>
      <c r="T33" s="281">
        <f t="shared" si="23"/>
        <v>11.333333333333334</v>
      </c>
      <c r="U33" s="281">
        <f t="shared" si="23"/>
        <v>11.333333333333334</v>
      </c>
      <c r="V33" s="281">
        <f t="shared" si="23"/>
        <v>11.333333333333334</v>
      </c>
      <c r="W33" s="281">
        <f t="shared" si="23"/>
        <v>11.333333333333334</v>
      </c>
      <c r="X33" s="281">
        <f t="shared" si="23"/>
        <v>11.333333333333334</v>
      </c>
      <c r="Y33" s="290"/>
      <c r="Z33" s="290"/>
      <c r="AA33" s="290"/>
      <c r="AB33" s="290"/>
      <c r="AC33" s="290"/>
      <c r="AD33" s="290"/>
      <c r="AE33" s="290"/>
      <c r="AF33" s="290"/>
      <c r="AG33" s="290"/>
      <c r="AH33" s="319">
        <f t="shared" si="19"/>
        <v>33.999999999999993</v>
      </c>
      <c r="AI33" s="50"/>
    </row>
    <row r="34" spans="1:92" ht="29.25" customHeight="1" x14ac:dyDescent="0.35">
      <c r="B34" s="342" t="s">
        <v>360</v>
      </c>
      <c r="C34" s="49"/>
      <c r="D34" s="323"/>
      <c r="E34" s="49"/>
      <c r="F34" s="49"/>
      <c r="G34" s="49"/>
      <c r="H34" s="50"/>
      <c r="I34" s="50"/>
      <c r="J34" s="50"/>
      <c r="K34" s="50"/>
      <c r="L34" s="50"/>
      <c r="M34" s="306">
        <f t="shared" ref="M34:X34" si="24">$C$63/12*4</f>
        <v>0.66666666666666663</v>
      </c>
      <c r="N34" s="306">
        <f t="shared" si="24"/>
        <v>0.66666666666666663</v>
      </c>
      <c r="O34" s="306">
        <f t="shared" si="24"/>
        <v>0.66666666666666663</v>
      </c>
      <c r="P34" s="320">
        <f t="shared" si="24"/>
        <v>0.66666666666666663</v>
      </c>
      <c r="Q34" s="306">
        <f t="shared" si="24"/>
        <v>0.66666666666666663</v>
      </c>
      <c r="R34" s="306">
        <f t="shared" si="24"/>
        <v>0.66666666666666663</v>
      </c>
      <c r="S34" s="306">
        <f t="shared" si="24"/>
        <v>0.66666666666666663</v>
      </c>
      <c r="T34" s="281">
        <f t="shared" si="24"/>
        <v>0.66666666666666663</v>
      </c>
      <c r="U34" s="281">
        <f t="shared" si="24"/>
        <v>0.66666666666666663</v>
      </c>
      <c r="V34" s="281">
        <f t="shared" si="24"/>
        <v>0.66666666666666663</v>
      </c>
      <c r="W34" s="281">
        <f t="shared" si="24"/>
        <v>0.66666666666666663</v>
      </c>
      <c r="X34" s="281">
        <f t="shared" si="24"/>
        <v>0.66666666666666663</v>
      </c>
      <c r="Y34" s="290"/>
      <c r="Z34" s="290"/>
      <c r="AA34" s="290"/>
      <c r="AB34" s="290"/>
      <c r="AC34" s="290"/>
      <c r="AD34" s="290"/>
      <c r="AE34" s="290"/>
      <c r="AF34" s="290"/>
      <c r="AG34" s="290"/>
      <c r="AH34" s="319">
        <f t="shared" si="19"/>
        <v>2</v>
      </c>
      <c r="AI34" s="50"/>
    </row>
    <row r="35" spans="1:92" ht="44.25" customHeight="1" x14ac:dyDescent="0.35">
      <c r="B35" s="382" t="s">
        <v>361</v>
      </c>
      <c r="C35" s="49"/>
      <c r="D35" s="323"/>
      <c r="E35" s="49"/>
      <c r="F35" s="49"/>
      <c r="G35" s="49"/>
      <c r="H35" s="50"/>
      <c r="I35" s="50"/>
      <c r="J35" s="50"/>
      <c r="K35" s="50"/>
      <c r="L35" s="50"/>
      <c r="M35" s="306"/>
      <c r="N35" s="306">
        <f t="shared" ref="N35:AD35" si="25">SUM(N36:N40)</f>
        <v>954.03959999999972</v>
      </c>
      <c r="O35" s="306">
        <f t="shared" si="25"/>
        <v>85.500399999999999</v>
      </c>
      <c r="P35" s="320">
        <f t="shared" si="25"/>
        <v>83.481000000000009</v>
      </c>
      <c r="Q35" s="306">
        <f t="shared" si="25"/>
        <v>662.76099999999997</v>
      </c>
      <c r="R35" s="306">
        <f t="shared" si="25"/>
        <v>83.481000000000009</v>
      </c>
      <c r="S35" s="306">
        <f t="shared" si="25"/>
        <v>83.481000000000009</v>
      </c>
      <c r="T35" s="281">
        <f t="shared" si="25"/>
        <v>62.811999999999998</v>
      </c>
      <c r="U35" s="281">
        <f t="shared" si="25"/>
        <v>62.811999999999998</v>
      </c>
      <c r="V35" s="281">
        <f t="shared" si="25"/>
        <v>62.811999999999998</v>
      </c>
      <c r="W35" s="281">
        <f t="shared" si="25"/>
        <v>62.811999999999998</v>
      </c>
      <c r="X35" s="281">
        <f t="shared" si="25"/>
        <v>41.554000000000002</v>
      </c>
      <c r="Y35" s="281">
        <f t="shared" si="25"/>
        <v>41.554000000000002</v>
      </c>
      <c r="Z35" s="281">
        <f t="shared" si="25"/>
        <v>41.554000000000002</v>
      </c>
      <c r="AA35" s="281">
        <f t="shared" si="25"/>
        <v>41.554000000000002</v>
      </c>
      <c r="AB35" s="281">
        <f t="shared" si="25"/>
        <v>27.678000000000001</v>
      </c>
      <c r="AC35" s="281">
        <f t="shared" si="25"/>
        <v>27.678000000000001</v>
      </c>
      <c r="AD35" s="281">
        <f t="shared" si="25"/>
        <v>27.678000000000001</v>
      </c>
      <c r="AE35" s="281"/>
      <c r="AF35" s="281"/>
      <c r="AG35" s="281"/>
      <c r="AH35" s="319">
        <f t="shared" si="19"/>
        <v>571.77499999999986</v>
      </c>
      <c r="AI35" s="1352" t="s">
        <v>362</v>
      </c>
      <c r="AJ35" s="1353"/>
    </row>
    <row r="36" spans="1:92" ht="17.899999999999999" customHeight="1" x14ac:dyDescent="0.35">
      <c r="B36" s="342" t="s">
        <v>348</v>
      </c>
      <c r="C36" s="49"/>
      <c r="D36" s="323"/>
      <c r="E36" s="49"/>
      <c r="F36" s="49"/>
      <c r="G36" s="49"/>
      <c r="H36" s="50"/>
      <c r="I36" s="50"/>
      <c r="J36" s="50"/>
      <c r="K36" s="50"/>
      <c r="L36" s="50"/>
      <c r="M36" s="306"/>
      <c r="N36" s="306">
        <f>0.6*C65*4</f>
        <v>868.91999999999985</v>
      </c>
      <c r="O36" s="306"/>
      <c r="P36" s="320"/>
      <c r="Q36" s="306">
        <f>0.4*C65*4</f>
        <v>579.28</v>
      </c>
      <c r="R36" s="306"/>
      <c r="S36" s="306"/>
      <c r="T36" s="281"/>
      <c r="U36" s="281"/>
      <c r="V36" s="281"/>
      <c r="W36" s="281"/>
      <c r="X36" s="281"/>
      <c r="Y36" s="281"/>
      <c r="Z36" s="281"/>
      <c r="AA36" s="281"/>
      <c r="AB36" s="281"/>
      <c r="AC36" s="281"/>
      <c r="AD36" s="281"/>
      <c r="AE36" s="281"/>
      <c r="AF36" s="281"/>
      <c r="AG36" s="281"/>
      <c r="AH36" s="319">
        <f t="shared" si="19"/>
        <v>362.04999999999995</v>
      </c>
      <c r="AI36" s="362" t="s">
        <v>363</v>
      </c>
      <c r="AJ36" s="362"/>
    </row>
    <row r="37" spans="1:92" x14ac:dyDescent="0.35">
      <c r="B37" s="342" t="s">
        <v>150</v>
      </c>
      <c r="C37" s="49"/>
      <c r="D37" s="323"/>
      <c r="E37" s="49"/>
      <c r="F37" s="49"/>
      <c r="G37" s="49"/>
      <c r="H37" s="50"/>
      <c r="I37" s="50"/>
      <c r="J37" s="50"/>
      <c r="K37" s="50"/>
      <c r="L37" s="50"/>
      <c r="M37" s="306"/>
      <c r="N37" s="306">
        <f>'ARP Quarterly'!D9</f>
        <v>24.693999999999999</v>
      </c>
      <c r="O37" s="306">
        <f>'ARP Quarterly'!E9</f>
        <v>24.693999999999999</v>
      </c>
      <c r="P37" s="320">
        <f>'ARP Quarterly'!F9</f>
        <v>46.79</v>
      </c>
      <c r="Q37" s="306">
        <f>'ARP Quarterly'!G9</f>
        <v>46.79</v>
      </c>
      <c r="R37" s="306">
        <f>'ARP Quarterly'!H9</f>
        <v>46.79</v>
      </c>
      <c r="S37" s="306">
        <f>'ARP Quarterly'!I9</f>
        <v>46.79</v>
      </c>
      <c r="T37" s="281">
        <f>'ARP Quarterly'!J9</f>
        <v>38.595999999999997</v>
      </c>
      <c r="U37" s="281">
        <f>'ARP Quarterly'!K9</f>
        <v>38.595999999999997</v>
      </c>
      <c r="V37" s="281">
        <f>'ARP Quarterly'!L9</f>
        <v>38.595999999999997</v>
      </c>
      <c r="W37" s="281">
        <f>'ARP Quarterly'!M9</f>
        <v>38.595999999999997</v>
      </c>
      <c r="X37" s="281">
        <f>'ARP Quarterly'!N9</f>
        <v>31.911000000000001</v>
      </c>
      <c r="Y37" s="281">
        <f>'ARP Quarterly'!O9</f>
        <v>31.911000000000001</v>
      </c>
      <c r="Z37" s="281">
        <f>'ARP Quarterly'!P9</f>
        <v>31.911000000000001</v>
      </c>
      <c r="AA37" s="281">
        <f>'ARP Quarterly'!Q9</f>
        <v>31.911000000000001</v>
      </c>
      <c r="AB37" s="281">
        <f>'ARP Quarterly'!R9</f>
        <v>23.099</v>
      </c>
      <c r="AC37" s="281">
        <f>'ARP Quarterly'!S9</f>
        <v>23.099</v>
      </c>
      <c r="AD37" s="281">
        <f>'ARP Quarterly'!T9</f>
        <v>23.099</v>
      </c>
      <c r="AE37" s="281"/>
      <c r="AF37" s="281"/>
      <c r="AG37" s="281"/>
      <c r="AH37" s="319">
        <f t="shared" si="19"/>
        <v>113.68849999999999</v>
      </c>
      <c r="AI37" s="306"/>
    </row>
    <row r="38" spans="1:92" x14ac:dyDescent="0.35">
      <c r="B38" s="342" t="s">
        <v>152</v>
      </c>
      <c r="C38" s="49"/>
      <c r="D38" s="323"/>
      <c r="E38" s="49"/>
      <c r="F38" s="49"/>
      <c r="G38" s="49"/>
      <c r="H38" s="50"/>
      <c r="I38" s="50"/>
      <c r="J38" s="50"/>
      <c r="K38" s="50"/>
      <c r="L38" s="50"/>
      <c r="M38" s="306"/>
      <c r="N38" s="306">
        <f>'ARP Quarterly'!D14</f>
        <v>1.1696</v>
      </c>
      <c r="O38" s="306">
        <f>'ARP Quarterly'!E14</f>
        <v>1.5503999999999998</v>
      </c>
      <c r="P38" s="320">
        <f>'ARP Quarterly'!F14</f>
        <v>1.02</v>
      </c>
      <c r="Q38" s="306">
        <f>'ARP Quarterly'!G14</f>
        <v>1.02</v>
      </c>
      <c r="R38" s="306">
        <f>'ARP Quarterly'!H14</f>
        <v>1.02</v>
      </c>
      <c r="S38" s="306">
        <f>'ARP Quarterly'!I14</f>
        <v>1.02</v>
      </c>
      <c r="T38" s="281">
        <f>'ARP Quarterly'!J14</f>
        <v>0</v>
      </c>
      <c r="U38" s="281">
        <f>'ARP Quarterly'!K14</f>
        <v>0</v>
      </c>
      <c r="V38" s="281">
        <f>'ARP Quarterly'!L14</f>
        <v>0</v>
      </c>
      <c r="W38" s="281">
        <f>'ARP Quarterly'!M14</f>
        <v>0</v>
      </c>
      <c r="X38" s="281">
        <f>'ARP Quarterly'!N14</f>
        <v>0</v>
      </c>
      <c r="Y38" s="281">
        <f>'ARP Quarterly'!O14</f>
        <v>0</v>
      </c>
      <c r="Z38" s="281">
        <f>'ARP Quarterly'!P14</f>
        <v>0</v>
      </c>
      <c r="AA38" s="281">
        <f>'ARP Quarterly'!Q14</f>
        <v>0</v>
      </c>
      <c r="AB38" s="281">
        <f>'ARP Quarterly'!R14</f>
        <v>0</v>
      </c>
      <c r="AC38" s="281">
        <f>'ARP Quarterly'!S14</f>
        <v>0</v>
      </c>
      <c r="AD38" s="281">
        <f>'ARP Quarterly'!T14</f>
        <v>0</v>
      </c>
      <c r="AE38" s="281"/>
      <c r="AF38" s="281"/>
      <c r="AG38" s="281"/>
      <c r="AH38" s="319">
        <f t="shared" si="19"/>
        <v>1.6999999999999997</v>
      </c>
      <c r="AI38" s="306"/>
    </row>
    <row r="39" spans="1:92" x14ac:dyDescent="0.35">
      <c r="B39" s="342" t="s">
        <v>364</v>
      </c>
      <c r="C39" s="49"/>
      <c r="D39" s="323"/>
      <c r="E39" s="49"/>
      <c r="F39" s="49"/>
      <c r="G39" s="49"/>
      <c r="H39" s="50"/>
      <c r="I39" s="50"/>
      <c r="J39" s="50"/>
      <c r="K39" s="50"/>
      <c r="L39" s="50"/>
      <c r="M39" s="306"/>
      <c r="N39" s="306">
        <f>'ARP Quarterly'!D10</f>
        <v>59.256</v>
      </c>
      <c r="O39" s="306">
        <f>'ARP Quarterly'!E10</f>
        <v>59.256</v>
      </c>
      <c r="P39" s="320">
        <f>'ARP Quarterly'!F10</f>
        <v>35.671000000000006</v>
      </c>
      <c r="Q39" s="306">
        <f>'ARP Quarterly'!G10</f>
        <v>35.671000000000006</v>
      </c>
      <c r="R39" s="306">
        <f>'ARP Quarterly'!H10</f>
        <v>35.671000000000006</v>
      </c>
      <c r="S39" s="306">
        <f>'ARP Quarterly'!I10</f>
        <v>35.671000000000006</v>
      </c>
      <c r="T39" s="281">
        <f>'ARP Quarterly'!J10</f>
        <v>24.216000000000001</v>
      </c>
      <c r="U39" s="281">
        <f>'ARP Quarterly'!K10</f>
        <v>24.216000000000001</v>
      </c>
      <c r="V39" s="281">
        <f>'ARP Quarterly'!L10</f>
        <v>24.216000000000001</v>
      </c>
      <c r="W39" s="281">
        <f>'ARP Quarterly'!M10</f>
        <v>24.216000000000001</v>
      </c>
      <c r="X39" s="281">
        <f>'ARP Quarterly'!N10</f>
        <v>9.6430000000000007</v>
      </c>
      <c r="Y39" s="281">
        <f>'ARP Quarterly'!O10</f>
        <v>9.6430000000000007</v>
      </c>
      <c r="Z39" s="281">
        <f>'ARP Quarterly'!P10</f>
        <v>9.6430000000000007</v>
      </c>
      <c r="AA39" s="281">
        <f>'ARP Quarterly'!Q10</f>
        <v>9.6430000000000007</v>
      </c>
      <c r="AB39" s="281">
        <f>'ARP Quarterly'!R10</f>
        <v>4.5789999999999997</v>
      </c>
      <c r="AC39" s="281">
        <f>'ARP Quarterly'!S10</f>
        <v>4.5789999999999997</v>
      </c>
      <c r="AD39" s="281">
        <f>'ARP Quarterly'!T10</f>
        <v>4.5789999999999997</v>
      </c>
      <c r="AE39" s="281"/>
      <c r="AF39" s="281"/>
      <c r="AG39" s="281"/>
      <c r="AH39" s="319">
        <f t="shared" si="19"/>
        <v>94.336500000000001</v>
      </c>
      <c r="AI39" s="306"/>
    </row>
    <row r="40" spans="1:92" x14ac:dyDescent="0.35">
      <c r="A40" s="2"/>
      <c r="B40" s="357"/>
      <c r="C40" s="354"/>
      <c r="D40" s="352"/>
      <c r="E40" s="354"/>
      <c r="F40" s="354"/>
      <c r="G40" s="354"/>
      <c r="H40" s="359"/>
      <c r="I40" s="359"/>
      <c r="J40" s="359"/>
      <c r="K40" s="359"/>
      <c r="L40" s="359"/>
      <c r="M40" s="367"/>
      <c r="N40" s="367"/>
      <c r="O40" s="367"/>
      <c r="P40" s="376"/>
      <c r="Q40" s="367"/>
      <c r="R40" s="367"/>
      <c r="S40" s="367"/>
      <c r="T40" s="363"/>
      <c r="U40" s="363"/>
      <c r="V40" s="363"/>
      <c r="W40" s="363"/>
      <c r="X40" s="363"/>
      <c r="Y40" s="363"/>
      <c r="Z40" s="363"/>
      <c r="AA40" s="363"/>
      <c r="AB40" s="363"/>
      <c r="AC40" s="363"/>
      <c r="AD40" s="281"/>
      <c r="AE40" s="281"/>
      <c r="AF40" s="281"/>
      <c r="AG40" s="281"/>
      <c r="AH40" s="376"/>
      <c r="AI40" s="306"/>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row>
    <row r="41" spans="1:92" x14ac:dyDescent="0.35">
      <c r="B41" s="29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64"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6" t="s">
        <v>366</v>
      </c>
      <c r="C44" s="387" t="s">
        <v>367</v>
      </c>
      <c r="D44" s="388" t="s">
        <v>368</v>
      </c>
      <c r="E44" s="371" t="s">
        <v>369</v>
      </c>
      <c r="F44" s="50"/>
      <c r="G44" s="50"/>
      <c r="H44" s="50"/>
      <c r="I44" s="50"/>
      <c r="J44" s="50"/>
      <c r="K44" s="50"/>
      <c r="L44" s="50"/>
      <c r="M44" s="50"/>
      <c r="N44" s="50"/>
      <c r="O44" s="50"/>
      <c r="P44" s="50"/>
      <c r="Q44" s="50"/>
      <c r="R44" s="50"/>
      <c r="S44" s="50"/>
      <c r="T44" s="50"/>
      <c r="U44" s="50"/>
      <c r="V44" s="50"/>
      <c r="W44" s="50"/>
    </row>
    <row r="45" spans="1:92" ht="18.75" customHeight="1" x14ac:dyDescent="0.35">
      <c r="B45" s="392" t="s">
        <v>370</v>
      </c>
      <c r="C45" s="360">
        <f>SUM(C46:C51)</f>
        <v>898.11599999999999</v>
      </c>
      <c r="D45" s="50">
        <f>SUM(D46:D50)</f>
        <v>202.36666666666667</v>
      </c>
      <c r="E45" s="328">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91" t="s">
        <v>149</v>
      </c>
      <c r="C46" s="360">
        <f>C55</f>
        <v>150</v>
      </c>
      <c r="D46" s="50">
        <f>SUM(H12:M12)/4</f>
        <v>149.47499999999999</v>
      </c>
      <c r="E46" s="319">
        <f>C46-D46</f>
        <v>0.52500000000000568</v>
      </c>
      <c r="F46" s="50"/>
      <c r="G46" s="50"/>
      <c r="H46" s="50"/>
      <c r="I46" s="350"/>
      <c r="J46" s="350"/>
      <c r="K46" s="350"/>
      <c r="L46" s="350"/>
      <c r="M46" s="350"/>
      <c r="N46" s="350"/>
      <c r="O46" s="350"/>
      <c r="P46" s="350"/>
      <c r="Q46" s="50"/>
      <c r="R46" s="50"/>
      <c r="S46" s="50"/>
      <c r="T46" s="50"/>
      <c r="U46" s="50"/>
      <c r="V46" s="50"/>
      <c r="W46" s="50"/>
    </row>
    <row r="47" spans="1:92" x14ac:dyDescent="0.35">
      <c r="B47" s="391" t="s">
        <v>150</v>
      </c>
      <c r="C47" s="395">
        <f>C56+C60+C66</f>
        <v>273.16899999999998</v>
      </c>
      <c r="D47" s="50">
        <f>SUM(H13:M13)/4</f>
        <v>22.075000000000003</v>
      </c>
      <c r="E47" s="319">
        <f>C47-D47</f>
        <v>251.09399999999999</v>
      </c>
      <c r="F47" s="50"/>
      <c r="G47" s="50"/>
      <c r="H47" s="50"/>
      <c r="I47" s="350"/>
      <c r="J47" s="350"/>
      <c r="K47" s="350"/>
      <c r="L47" s="350"/>
      <c r="M47" s="350"/>
      <c r="N47" s="350"/>
      <c r="O47" s="350"/>
      <c r="P47" s="350"/>
      <c r="Q47" s="50"/>
      <c r="R47" s="50"/>
      <c r="S47" s="50"/>
      <c r="T47" s="50"/>
      <c r="U47" s="50"/>
      <c r="V47" s="50"/>
      <c r="W47" s="50"/>
    </row>
    <row r="48" spans="1:92" x14ac:dyDescent="0.35">
      <c r="B48" s="391" t="s">
        <v>152</v>
      </c>
      <c r="C48" s="240">
        <f>C57+C67+C61</f>
        <v>38.5</v>
      </c>
      <c r="D48" s="50">
        <f>SUM(H14:M14)/4</f>
        <v>28.400000000000002</v>
      </c>
      <c r="E48" s="319">
        <f>C48-D48</f>
        <v>10.099999999999998</v>
      </c>
      <c r="F48" s="50"/>
      <c r="G48" s="50"/>
      <c r="H48" s="50"/>
      <c r="I48" s="350"/>
      <c r="J48" s="350"/>
      <c r="K48" s="350"/>
      <c r="L48" s="350"/>
      <c r="M48" s="350"/>
      <c r="N48" s="350"/>
      <c r="O48" s="350"/>
      <c r="P48" s="350"/>
      <c r="Q48" s="1358"/>
      <c r="R48" s="1358"/>
      <c r="S48" s="1358"/>
      <c r="T48" s="1358"/>
      <c r="U48" s="1358"/>
      <c r="V48" s="1358"/>
      <c r="W48" s="1358"/>
      <c r="X48" s="1358"/>
      <c r="Y48" s="1358"/>
      <c r="Z48" s="1358"/>
      <c r="AA48" s="1358"/>
      <c r="AB48" s="1358"/>
      <c r="AC48" s="1358"/>
      <c r="AD48" s="1358"/>
      <c r="AE48" s="1358"/>
      <c r="AF48" s="1358"/>
      <c r="AG48" s="1358"/>
      <c r="AH48" s="1358"/>
      <c r="AI48" s="1358"/>
      <c r="AJ48" s="1358"/>
      <c r="AK48" s="1358"/>
      <c r="AL48" s="1358"/>
    </row>
    <row r="49" spans="1:38" ht="17.25" customHeight="1" x14ac:dyDescent="0.35">
      <c r="B49" s="391" t="s">
        <v>371</v>
      </c>
      <c r="C49" s="240">
        <f>C59</f>
        <v>29</v>
      </c>
      <c r="D49" s="50">
        <f>SUM(H15:M15)/4</f>
        <v>2.4166666666666665</v>
      </c>
      <c r="E49" s="319">
        <f>C49-D49</f>
        <v>26.583333333333332</v>
      </c>
      <c r="F49" s="50"/>
      <c r="G49" s="50"/>
      <c r="H49" s="50"/>
      <c r="I49" s="350"/>
      <c r="J49" s="350"/>
      <c r="K49" s="350"/>
      <c r="L49" s="350"/>
      <c r="M49" s="350"/>
      <c r="N49" s="350"/>
      <c r="O49" s="350"/>
      <c r="P49" s="350"/>
      <c r="Q49" s="1359"/>
      <c r="R49" s="1359"/>
      <c r="S49" s="1359"/>
      <c r="T49" s="1359"/>
      <c r="U49" s="1359"/>
      <c r="V49" s="1359"/>
      <c r="W49" s="1359"/>
      <c r="X49" s="1359"/>
      <c r="Y49" s="1359"/>
      <c r="Z49" s="188"/>
      <c r="AA49" s="188"/>
      <c r="AB49" s="188"/>
      <c r="AC49" s="188"/>
      <c r="AD49" s="188"/>
      <c r="AE49" s="188"/>
      <c r="AF49" s="188"/>
      <c r="AG49" s="188"/>
      <c r="AH49" s="1359"/>
      <c r="AI49" s="1359"/>
      <c r="AJ49" s="1359"/>
      <c r="AK49" s="1359"/>
      <c r="AL49" s="188"/>
    </row>
    <row r="50" spans="1:38" ht="15.75" customHeight="1" x14ac:dyDescent="0.35">
      <c r="B50" s="391" t="s">
        <v>348</v>
      </c>
      <c r="C50" s="240">
        <f>C65</f>
        <v>362.04999999999995</v>
      </c>
      <c r="D50" s="50">
        <v>0</v>
      </c>
      <c r="E50" s="319">
        <f>C50-D50</f>
        <v>362.04999999999995</v>
      </c>
      <c r="F50" s="50"/>
      <c r="G50" s="50"/>
      <c r="H50" s="50"/>
      <c r="I50" s="350"/>
      <c r="J50" s="350"/>
      <c r="K50" s="350"/>
      <c r="L50" s="350"/>
      <c r="M50" s="350"/>
      <c r="N50" s="350"/>
      <c r="O50" s="350"/>
      <c r="P50" s="350"/>
      <c r="Q50" s="188"/>
      <c r="R50" s="188"/>
      <c r="S50" s="188"/>
      <c r="T50" s="188"/>
      <c r="U50" s="188"/>
      <c r="V50" s="188"/>
      <c r="W50" s="188"/>
      <c r="X50" s="188"/>
      <c r="Y50" s="188"/>
      <c r="Z50" s="188"/>
      <c r="AA50" s="188"/>
      <c r="AB50" s="188"/>
      <c r="AC50" s="188"/>
      <c r="AD50" s="188"/>
      <c r="AE50" s="188"/>
      <c r="AF50" s="188"/>
      <c r="AG50" s="188"/>
      <c r="AH50" s="188"/>
      <c r="AI50" s="188"/>
      <c r="AJ50" s="188"/>
      <c r="AK50" s="188"/>
      <c r="AL50" s="188"/>
    </row>
    <row r="51" spans="1:38" ht="15" customHeight="1" x14ac:dyDescent="0.35">
      <c r="B51" s="390" t="s">
        <v>372</v>
      </c>
      <c r="C51" s="360">
        <f>C68+C69+C62+C63</f>
        <v>45.396999999999998</v>
      </c>
      <c r="D51" s="50"/>
      <c r="E51" s="319"/>
      <c r="F51" s="50"/>
      <c r="G51" s="50"/>
      <c r="H51" s="50"/>
      <c r="I51" s="350"/>
      <c r="J51" s="350"/>
      <c r="K51" s="350"/>
      <c r="L51" s="350"/>
      <c r="M51" s="350"/>
      <c r="N51" s="350"/>
      <c r="O51" s="350"/>
      <c r="P51" s="350"/>
      <c r="Q51" s="50"/>
      <c r="R51" s="50"/>
      <c r="S51" s="50"/>
      <c r="T51" s="50"/>
      <c r="U51" s="50"/>
      <c r="V51" s="50"/>
      <c r="W51" s="50"/>
    </row>
    <row r="52" spans="1:38" ht="5.25" customHeight="1" x14ac:dyDescent="0.35">
      <c r="B52" s="390"/>
      <c r="C52" s="360"/>
      <c r="D52" s="50"/>
      <c r="E52" s="319"/>
      <c r="F52" s="50"/>
      <c r="G52" s="50"/>
      <c r="H52" s="50"/>
      <c r="I52" s="350"/>
      <c r="J52" s="350"/>
      <c r="K52" s="350"/>
      <c r="L52" s="350"/>
      <c r="M52" s="350"/>
      <c r="N52" s="350"/>
      <c r="O52" s="350"/>
      <c r="P52" s="350"/>
      <c r="Q52" s="50"/>
      <c r="R52" s="50"/>
      <c r="S52" s="50"/>
      <c r="T52" s="50"/>
      <c r="U52" s="50"/>
      <c r="V52" s="50"/>
      <c r="W52" s="50"/>
    </row>
    <row r="53" spans="1:38" ht="18.75" customHeight="1" x14ac:dyDescent="0.35">
      <c r="B53" s="392" t="s">
        <v>373</v>
      </c>
      <c r="C53" s="240">
        <f>C54+C58+C64</f>
        <v>898.11599999999999</v>
      </c>
      <c r="D53" s="50"/>
      <c r="E53" s="319"/>
      <c r="F53" s="50"/>
      <c r="G53" s="50"/>
      <c r="H53" s="50"/>
      <c r="I53" s="350"/>
      <c r="J53" s="350"/>
      <c r="K53" s="350"/>
      <c r="L53" s="350"/>
      <c r="M53" s="350"/>
      <c r="N53" s="350"/>
      <c r="O53" s="350"/>
      <c r="P53" s="350"/>
      <c r="Q53" s="50"/>
      <c r="R53" s="50"/>
      <c r="S53" s="50"/>
      <c r="T53" s="50"/>
      <c r="U53" s="50"/>
      <c r="V53" s="50"/>
      <c r="W53" s="50"/>
    </row>
    <row r="54" spans="1:38" ht="16.399999999999999" customHeight="1" x14ac:dyDescent="0.35">
      <c r="B54" s="382" t="s">
        <v>354</v>
      </c>
      <c r="C54" s="240">
        <f>SUM(C55:C57)</f>
        <v>199</v>
      </c>
      <c r="D54" s="50"/>
      <c r="E54" s="319"/>
      <c r="F54" s="50"/>
      <c r="G54" s="50"/>
      <c r="H54" s="50"/>
      <c r="I54" s="350"/>
      <c r="J54" s="350"/>
      <c r="K54" s="350"/>
      <c r="L54" s="350"/>
      <c r="M54" s="350"/>
      <c r="N54" s="350"/>
      <c r="O54" s="350"/>
      <c r="P54" s="350"/>
      <c r="Q54" s="50"/>
      <c r="R54" s="50"/>
      <c r="S54" s="50"/>
      <c r="T54" s="50"/>
      <c r="U54" s="50"/>
      <c r="V54" s="50"/>
      <c r="W54" s="50"/>
    </row>
    <row r="55" spans="1:38" ht="20.9" customHeight="1" x14ac:dyDescent="0.35">
      <c r="B55" s="342" t="s">
        <v>149</v>
      </c>
      <c r="C55" s="240">
        <v>150</v>
      </c>
      <c r="D55" s="50"/>
      <c r="E55" s="319"/>
      <c r="F55" s="50"/>
      <c r="G55" s="50"/>
      <c r="H55" s="50"/>
      <c r="I55" s="350"/>
      <c r="J55" s="350"/>
      <c r="K55" s="350"/>
      <c r="L55" s="350"/>
      <c r="M55" s="350"/>
      <c r="N55" s="350"/>
      <c r="O55" s="350"/>
      <c r="P55" s="350"/>
      <c r="Q55" s="50"/>
      <c r="R55" s="50"/>
      <c r="S55" s="50"/>
      <c r="T55" s="50"/>
      <c r="U55" s="50"/>
      <c r="V55" s="50"/>
      <c r="W55" s="50"/>
    </row>
    <row r="56" spans="1:38" ht="16.5" customHeight="1" x14ac:dyDescent="0.35">
      <c r="B56" s="342" t="s">
        <v>150</v>
      </c>
      <c r="C56" s="395">
        <v>22</v>
      </c>
      <c r="D56" s="215"/>
      <c r="E56" s="319"/>
      <c r="F56" s="50"/>
      <c r="G56" s="50"/>
      <c r="H56" s="50"/>
      <c r="I56" s="350"/>
      <c r="J56" s="350"/>
      <c r="K56" s="350"/>
      <c r="L56" s="350"/>
      <c r="M56" s="350"/>
      <c r="N56" s="350"/>
      <c r="O56" s="350"/>
      <c r="P56" s="350"/>
      <c r="Q56" s="50"/>
      <c r="R56" s="50"/>
      <c r="S56" s="50"/>
      <c r="T56" s="50"/>
      <c r="U56" s="50"/>
      <c r="V56" s="50"/>
      <c r="W56" s="50"/>
    </row>
    <row r="57" spans="1:38" x14ac:dyDescent="0.35">
      <c r="B57" s="342" t="s">
        <v>152</v>
      </c>
      <c r="C57" s="240">
        <v>27</v>
      </c>
      <c r="D57" s="50"/>
      <c r="E57" s="319"/>
      <c r="F57" s="49"/>
      <c r="G57" s="50"/>
      <c r="H57" s="50"/>
      <c r="I57" s="350"/>
      <c r="J57" s="350"/>
      <c r="K57" s="350"/>
      <c r="L57" s="350"/>
      <c r="M57" s="350"/>
      <c r="N57" s="350"/>
      <c r="P57" s="350"/>
      <c r="Q57" s="50"/>
      <c r="R57" s="50"/>
      <c r="S57" s="50"/>
      <c r="T57" s="50"/>
      <c r="U57" s="50"/>
      <c r="V57" s="50"/>
      <c r="W57" s="50"/>
    </row>
    <row r="58" spans="1:38" ht="15" customHeight="1" x14ac:dyDescent="0.35">
      <c r="B58" s="382" t="s">
        <v>356</v>
      </c>
      <c r="C58" s="240">
        <f>SUM(C59:C63)</f>
        <v>150</v>
      </c>
      <c r="D58" s="50"/>
      <c r="E58" s="319"/>
      <c r="F58" s="50"/>
      <c r="G58" s="50"/>
      <c r="H58" s="50"/>
      <c r="I58" s="50"/>
      <c r="J58" s="50"/>
      <c r="K58" s="50"/>
      <c r="L58" s="50"/>
      <c r="M58" s="50"/>
      <c r="N58" s="50"/>
      <c r="P58" s="50"/>
      <c r="Q58" s="50"/>
      <c r="R58" s="50"/>
      <c r="S58" s="50"/>
      <c r="T58" s="50"/>
      <c r="U58" s="50"/>
      <c r="V58" s="50"/>
      <c r="W58" s="50"/>
    </row>
    <row r="59" spans="1:38" ht="17.25" customHeight="1" x14ac:dyDescent="0.35">
      <c r="B59" s="342" t="s">
        <v>343</v>
      </c>
      <c r="C59" s="240">
        <f>'Response and Relief Act Score'!F7</f>
        <v>29</v>
      </c>
      <c r="D59" s="50"/>
      <c r="E59" s="319"/>
      <c r="F59" s="50"/>
      <c r="G59" s="50"/>
      <c r="H59" s="50"/>
      <c r="I59" s="50"/>
    </row>
    <row r="60" spans="1:38" x14ac:dyDescent="0.35">
      <c r="B60" s="342" t="s">
        <v>150</v>
      </c>
      <c r="C60" s="240">
        <f>'Response and Relief Act Score'!F5</f>
        <v>82</v>
      </c>
      <c r="D60" s="50"/>
      <c r="E60" s="319"/>
      <c r="F60" s="50"/>
      <c r="G60" s="50"/>
      <c r="H60" s="50"/>
      <c r="I60" s="50"/>
      <c r="J60" s="50"/>
      <c r="K60" s="50"/>
      <c r="L60" s="50"/>
      <c r="M60" s="50"/>
      <c r="N60" s="50"/>
      <c r="P60" s="50"/>
      <c r="Q60" s="50"/>
      <c r="R60" s="50"/>
      <c r="S60" s="50"/>
      <c r="T60" s="50"/>
      <c r="U60" s="50"/>
      <c r="V60" s="50"/>
      <c r="W60" s="50"/>
    </row>
    <row r="61" spans="1:38" x14ac:dyDescent="0.35">
      <c r="B61" s="342" t="s">
        <v>152</v>
      </c>
      <c r="C61" s="240">
        <f>'Response and Relief Act Score'!F6</f>
        <v>3</v>
      </c>
      <c r="D61" s="50"/>
      <c r="E61" s="319"/>
      <c r="F61" s="50"/>
      <c r="G61" s="50"/>
      <c r="H61" s="50"/>
      <c r="I61" s="50"/>
      <c r="J61" s="50"/>
      <c r="K61" s="50"/>
      <c r="L61" s="50"/>
      <c r="M61" s="50"/>
      <c r="N61" s="50"/>
      <c r="P61" s="50"/>
      <c r="Q61" s="50"/>
      <c r="R61" s="50"/>
      <c r="S61" s="50"/>
      <c r="T61" s="50"/>
      <c r="U61" s="50"/>
      <c r="V61" s="50"/>
      <c r="W61" s="50"/>
    </row>
    <row r="62" spans="1:38" ht="29.25" customHeight="1" x14ac:dyDescent="0.35">
      <c r="B62" s="342" t="s">
        <v>359</v>
      </c>
      <c r="C62" s="240">
        <f>'Response and Relief Act Score'!F9</f>
        <v>34</v>
      </c>
      <c r="D62" s="50"/>
      <c r="E62" s="319"/>
      <c r="F62" s="50"/>
      <c r="G62" s="50"/>
      <c r="H62" s="50"/>
      <c r="I62" s="365"/>
      <c r="J62" s="50"/>
      <c r="K62" s="50"/>
      <c r="L62" s="50"/>
      <c r="M62" s="50"/>
      <c r="N62" s="50"/>
      <c r="O62" s="350"/>
      <c r="P62" s="50"/>
      <c r="Q62" s="50"/>
      <c r="R62" s="50"/>
      <c r="S62" s="50"/>
      <c r="T62" s="50"/>
      <c r="U62" s="50"/>
      <c r="V62" s="50"/>
      <c r="W62" s="50"/>
    </row>
    <row r="63" spans="1:38" ht="12.75" customHeight="1" x14ac:dyDescent="0.35">
      <c r="B63" s="342" t="s">
        <v>360</v>
      </c>
      <c r="C63" s="240">
        <f>'Response and Relief Act Score'!F8</f>
        <v>2</v>
      </c>
      <c r="D63" s="50"/>
      <c r="E63" s="319"/>
      <c r="F63" s="50"/>
      <c r="G63" s="50"/>
      <c r="H63" s="50"/>
      <c r="I63" s="50"/>
      <c r="J63" s="50"/>
      <c r="K63" s="50"/>
      <c r="L63" s="50"/>
      <c r="M63" s="50"/>
      <c r="N63" s="50"/>
      <c r="O63" s="50"/>
      <c r="P63" s="50"/>
      <c r="Q63" s="50"/>
      <c r="R63" s="50"/>
      <c r="S63" s="50"/>
      <c r="T63" s="50"/>
      <c r="U63" s="50"/>
      <c r="V63" s="50"/>
      <c r="W63" s="50"/>
    </row>
    <row r="64" spans="1:38" x14ac:dyDescent="0.35">
      <c r="A64" s="356"/>
      <c r="B64" s="353" t="s">
        <v>361</v>
      </c>
      <c r="C64" s="360">
        <f>SUM(C65:C69)</f>
        <v>549.11599999999999</v>
      </c>
      <c r="D64" s="50"/>
      <c r="E64" s="319"/>
      <c r="F64" s="50"/>
      <c r="G64" s="50"/>
      <c r="H64" s="50"/>
      <c r="I64" s="50"/>
      <c r="J64" s="50"/>
      <c r="K64" s="50"/>
      <c r="L64" s="50"/>
      <c r="M64" s="50"/>
      <c r="N64" s="50"/>
      <c r="P64" s="50"/>
      <c r="Q64" s="50"/>
      <c r="R64" s="50"/>
      <c r="S64" s="50"/>
      <c r="T64" s="50"/>
      <c r="U64" s="50"/>
      <c r="V64" s="50"/>
      <c r="W64" s="50"/>
    </row>
    <row r="65" spans="1:35" ht="16.399999999999999" customHeight="1" x14ac:dyDescent="0.35">
      <c r="A65" s="356"/>
      <c r="B65" s="355" t="s">
        <v>348</v>
      </c>
      <c r="C65" s="360">
        <f>'ARP Score'!AJ16</f>
        <v>362.04999999999995</v>
      </c>
      <c r="D65" s="50"/>
      <c r="E65" s="319"/>
      <c r="F65" s="50"/>
      <c r="G65" s="50"/>
      <c r="H65" s="50"/>
      <c r="I65" s="50"/>
      <c r="J65" s="50"/>
      <c r="K65" s="50"/>
      <c r="L65" s="50"/>
      <c r="M65" s="50"/>
      <c r="N65" s="50"/>
      <c r="O65" s="50"/>
      <c r="P65" s="50"/>
      <c r="Q65" s="50"/>
      <c r="R65" s="50"/>
      <c r="S65" s="50"/>
      <c r="T65" s="50"/>
      <c r="U65" s="50"/>
      <c r="V65" s="50"/>
      <c r="W65" s="50"/>
    </row>
    <row r="66" spans="1:35" ht="15" customHeight="1" x14ac:dyDescent="0.35">
      <c r="A66" s="1360"/>
      <c r="B66" s="355" t="s">
        <v>150</v>
      </c>
      <c r="C66" s="360">
        <f>'ARP Score'!AL16</f>
        <v>169.16899999999998</v>
      </c>
      <c r="D66" s="50"/>
      <c r="E66" s="319"/>
      <c r="F66" s="50"/>
      <c r="G66" s="50"/>
      <c r="H66" s="50"/>
      <c r="I66" s="50"/>
      <c r="J66" s="50"/>
      <c r="K66" s="50"/>
      <c r="L66" s="50"/>
      <c r="M66" s="50"/>
      <c r="N66" s="50"/>
      <c r="O66" s="50"/>
      <c r="P66" s="50"/>
      <c r="Q66" s="358"/>
      <c r="R66" s="50"/>
      <c r="S66" s="50"/>
      <c r="T66" s="50"/>
      <c r="U66" s="50"/>
      <c r="V66" s="50"/>
      <c r="W66" s="50"/>
    </row>
    <row r="67" spans="1:35" x14ac:dyDescent="0.35">
      <c r="A67" s="1360"/>
      <c r="B67" s="355" t="s">
        <v>152</v>
      </c>
      <c r="C67" s="360">
        <f>'ARP Score'!AK16</f>
        <v>8.5</v>
      </c>
      <c r="D67" s="50"/>
      <c r="E67" s="319"/>
      <c r="F67" s="50"/>
      <c r="G67" s="50"/>
      <c r="H67" s="50"/>
      <c r="I67" s="50"/>
      <c r="J67" s="50"/>
      <c r="K67" s="50"/>
      <c r="L67" s="50"/>
      <c r="M67" s="50"/>
      <c r="N67" s="50"/>
      <c r="O67" s="50"/>
      <c r="P67" s="50"/>
      <c r="Q67" s="50"/>
      <c r="R67" s="50"/>
      <c r="S67" s="50"/>
      <c r="T67" s="50"/>
      <c r="U67" s="50"/>
      <c r="V67" s="50"/>
      <c r="W67" s="50"/>
    </row>
    <row r="68" spans="1:35" ht="17.25" customHeight="1" x14ac:dyDescent="0.35">
      <c r="A68" s="356"/>
      <c r="B68" s="355" t="s">
        <v>364</v>
      </c>
      <c r="C68" s="360">
        <f>'ARP Score'!AM16</f>
        <v>0.79700000000000004</v>
      </c>
      <c r="D68" s="50"/>
      <c r="E68" s="319"/>
      <c r="F68" s="50"/>
      <c r="G68" s="50"/>
      <c r="H68" s="50"/>
      <c r="I68" s="50"/>
      <c r="J68" s="50"/>
      <c r="K68" s="50"/>
      <c r="L68" s="50"/>
      <c r="M68" s="50"/>
      <c r="N68" s="50"/>
      <c r="O68" s="50"/>
      <c r="P68" s="50"/>
      <c r="Q68" s="50"/>
      <c r="R68" s="50"/>
      <c r="S68" s="50"/>
      <c r="T68" s="50"/>
      <c r="U68" s="50"/>
      <c r="V68" s="50"/>
      <c r="W68" s="50"/>
    </row>
    <row r="69" spans="1:35" ht="17.25" customHeight="1" x14ac:dyDescent="0.35">
      <c r="A69" s="356"/>
      <c r="B69" s="357" t="s">
        <v>374</v>
      </c>
      <c r="C69" s="361">
        <f>'ARP Score'!AN16</f>
        <v>8.6</v>
      </c>
      <c r="D69" s="359"/>
      <c r="E69" s="346"/>
      <c r="F69" s="50"/>
      <c r="G69" s="50"/>
      <c r="H69" s="50"/>
      <c r="I69" s="50"/>
      <c r="J69" s="50"/>
      <c r="K69" s="50"/>
      <c r="L69" s="50"/>
      <c r="M69" s="50"/>
      <c r="N69" s="50"/>
      <c r="O69" s="50"/>
      <c r="P69" s="50"/>
      <c r="Q69" s="50"/>
      <c r="R69" s="50"/>
      <c r="S69" s="50"/>
      <c r="T69" s="50"/>
      <c r="U69" s="50"/>
      <c r="V69" s="50"/>
      <c r="W69" s="50"/>
    </row>
    <row r="70" spans="1:35" ht="17.25" customHeight="1" x14ac:dyDescent="0.35">
      <c r="B70" s="355"/>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43"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19" t="s">
        <v>376</v>
      </c>
      <c r="C72" s="1320"/>
      <c r="D72" s="1323" t="s">
        <v>280</v>
      </c>
      <c r="E72" s="1335"/>
      <c r="F72" s="1335"/>
      <c r="G72" s="1335"/>
      <c r="H72" s="1335"/>
      <c r="I72" s="1335"/>
      <c r="J72" s="1335"/>
      <c r="K72" s="1335"/>
      <c r="L72" s="1335"/>
      <c r="M72" s="1335"/>
      <c r="N72" s="1335"/>
      <c r="O72" s="1335"/>
      <c r="P72" s="1335"/>
      <c r="Q72" s="1335"/>
      <c r="R72" s="1335"/>
      <c r="S72" s="1335"/>
      <c r="T72" s="1335"/>
      <c r="U72" s="1335"/>
      <c r="V72" s="1324"/>
      <c r="W72" s="1361" t="s">
        <v>281</v>
      </c>
      <c r="X72" s="1362"/>
      <c r="Y72" s="1362"/>
      <c r="Z72" s="1362"/>
      <c r="AA72" s="1362"/>
      <c r="AB72" s="1362"/>
      <c r="AC72" s="1362"/>
      <c r="AD72" s="1362"/>
      <c r="AE72" s="1362"/>
      <c r="AF72" s="1362"/>
      <c r="AG72" s="1362"/>
      <c r="AH72" s="169"/>
      <c r="AI72" s="169"/>
    </row>
    <row r="73" spans="1:35" x14ac:dyDescent="0.35">
      <c r="B73" s="1321"/>
      <c r="C73" s="1322"/>
      <c r="D73" s="142">
        <v>2018</v>
      </c>
      <c r="E73" s="1310">
        <v>2019</v>
      </c>
      <c r="F73" s="1328"/>
      <c r="G73" s="1328"/>
      <c r="H73" s="1329"/>
      <c r="I73" s="1310">
        <v>2020</v>
      </c>
      <c r="J73" s="1328"/>
      <c r="K73" s="1328"/>
      <c r="L73" s="1328"/>
      <c r="M73" s="1310">
        <v>2021</v>
      </c>
      <c r="N73" s="1328"/>
      <c r="O73" s="1328"/>
      <c r="P73" s="1328"/>
      <c r="Q73" s="1344">
        <v>2022</v>
      </c>
      <c r="R73" s="1345"/>
      <c r="S73" s="256"/>
      <c r="T73" s="256"/>
      <c r="U73" s="201"/>
      <c r="V73" s="256">
        <v>2023</v>
      </c>
      <c r="W73" s="258"/>
      <c r="X73" s="226"/>
      <c r="Y73" s="1326">
        <v>2024</v>
      </c>
      <c r="Z73" s="1337"/>
      <c r="AA73" s="1337"/>
      <c r="AB73" s="1327"/>
      <c r="AC73" s="1325">
        <v>2025</v>
      </c>
      <c r="AD73" s="1326"/>
      <c r="AE73" s="1326"/>
      <c r="AF73" s="1327"/>
      <c r="AG73" s="297">
        <v>2026</v>
      </c>
      <c r="AH73" s="202"/>
      <c r="AI73" s="202"/>
    </row>
    <row r="74" spans="1:35" x14ac:dyDescent="0.35">
      <c r="B74" s="1323"/>
      <c r="C74" s="1324"/>
      <c r="D74" s="149" t="s">
        <v>282</v>
      </c>
      <c r="E74" s="149" t="s">
        <v>283</v>
      </c>
      <c r="F74" s="140" t="s">
        <v>284</v>
      </c>
      <c r="G74" s="140" t="s">
        <v>238</v>
      </c>
      <c r="H74" s="146" t="s">
        <v>282</v>
      </c>
      <c r="I74" s="140" t="s">
        <v>283</v>
      </c>
      <c r="J74" s="140" t="s">
        <v>284</v>
      </c>
      <c r="K74" s="140" t="s">
        <v>238</v>
      </c>
      <c r="L74" s="140" t="s">
        <v>282</v>
      </c>
      <c r="M74" s="149" t="s">
        <v>283</v>
      </c>
      <c r="N74" s="140" t="s">
        <v>284</v>
      </c>
      <c r="O74" s="140" t="s">
        <v>238</v>
      </c>
      <c r="P74" s="140" t="s">
        <v>282</v>
      </c>
      <c r="Q74" s="149" t="s">
        <v>283</v>
      </c>
      <c r="R74" s="140" t="s">
        <v>284</v>
      </c>
      <c r="S74" s="140" t="s">
        <v>238</v>
      </c>
      <c r="T74" s="140" t="s">
        <v>282</v>
      </c>
      <c r="U74" s="252" t="s">
        <v>283</v>
      </c>
      <c r="V74" s="253" t="s">
        <v>284</v>
      </c>
      <c r="W74" s="236" t="s">
        <v>238</v>
      </c>
      <c r="X74" s="237" t="s">
        <v>282</v>
      </c>
      <c r="Y74" s="236" t="s">
        <v>283</v>
      </c>
      <c r="Z74" s="233" t="s">
        <v>284</v>
      </c>
      <c r="AA74" s="236" t="s">
        <v>238</v>
      </c>
      <c r="AB74" s="236" t="s">
        <v>282</v>
      </c>
      <c r="AC74" s="235" t="s">
        <v>283</v>
      </c>
      <c r="AD74" s="233" t="s">
        <v>284</v>
      </c>
      <c r="AE74" s="236" t="s">
        <v>238</v>
      </c>
      <c r="AF74" s="237" t="s">
        <v>282</v>
      </c>
      <c r="AG74" s="298" t="s">
        <v>283</v>
      </c>
      <c r="AH74" s="295"/>
      <c r="AI74" s="295"/>
    </row>
    <row r="75" spans="1:35" ht="29.25" customHeight="1" x14ac:dyDescent="0.35">
      <c r="B75" s="313" t="s">
        <v>377</v>
      </c>
      <c r="C75" s="384"/>
      <c r="D75" s="314"/>
      <c r="E75" s="315"/>
      <c r="F75" s="315"/>
      <c r="G75" s="315"/>
      <c r="H75" s="316">
        <f t="shared" ref="H75:O75" si="26">SUM(H77:H85)</f>
        <v>205.80500000000001</v>
      </c>
      <c r="I75" s="316">
        <f t="shared" si="26"/>
        <v>210.29200000000003</v>
      </c>
      <c r="J75" s="316">
        <f t="shared" si="26"/>
        <v>325.28399999999999</v>
      </c>
      <c r="K75" s="316">
        <f t="shared" si="26"/>
        <v>297.32000000000005</v>
      </c>
      <c r="L75" s="316">
        <f t="shared" si="26"/>
        <v>289.54199999999997</v>
      </c>
      <c r="M75" s="316">
        <f t="shared" si="26"/>
        <v>315.67900000000003</v>
      </c>
      <c r="N75" s="316">
        <f t="shared" si="26"/>
        <v>361.52700000000004</v>
      </c>
      <c r="O75" s="316">
        <f t="shared" si="26"/>
        <v>374.99100000000004</v>
      </c>
      <c r="P75" s="316">
        <f>SUM(P77:P86)</f>
        <v>401.58485200000007</v>
      </c>
      <c r="Q75" s="316">
        <f>SUM(Q77:Q86)</f>
        <v>438.45827479999997</v>
      </c>
      <c r="R75" s="316">
        <f>SUM(R77:R86)</f>
        <v>505.04903199999995</v>
      </c>
      <c r="S75" s="316">
        <f>SUM(S77:S86)</f>
        <v>492.38786800000003</v>
      </c>
      <c r="T75" s="337">
        <f t="shared" ref="T75:AG75" si="27">SUM(T77:T86)</f>
        <v>454.86592799999988</v>
      </c>
      <c r="U75" s="306">
        <f>SUM(U77:U86)</f>
        <v>448.64654320000005</v>
      </c>
      <c r="V75" s="306">
        <f>SUM(V77:V86)</f>
        <v>438.19272000000001</v>
      </c>
      <c r="W75" s="281">
        <f t="shared" si="27"/>
        <v>434.56409023036463</v>
      </c>
      <c r="X75" s="281">
        <f t="shared" si="27"/>
        <v>434.80322503004311</v>
      </c>
      <c r="Y75" s="378">
        <f t="shared" si="27"/>
        <v>423.27055875710062</v>
      </c>
      <c r="Z75" s="378">
        <f t="shared" si="27"/>
        <v>403.28458899999998</v>
      </c>
      <c r="AA75" s="378">
        <f t="shared" si="27"/>
        <v>407.61950159957922</v>
      </c>
      <c r="AB75" s="378">
        <f t="shared" si="27"/>
        <v>412.24408037124488</v>
      </c>
      <c r="AC75" s="281">
        <f t="shared" si="27"/>
        <v>395.28546162738473</v>
      </c>
      <c r="AD75" s="281">
        <f t="shared" si="27"/>
        <v>390.48315869999999</v>
      </c>
      <c r="AE75" s="281">
        <f>SUM(AE77:AE86)</f>
        <v>392.8811464635624</v>
      </c>
      <c r="AF75" s="281">
        <f t="shared" si="27"/>
        <v>391.41706365809478</v>
      </c>
      <c r="AG75" s="279">
        <f t="shared" si="27"/>
        <v>266.36236321248009</v>
      </c>
      <c r="AH75" s="296"/>
      <c r="AI75" s="296"/>
    </row>
    <row r="76" spans="1:35" ht="19.399999999999999" customHeight="1" x14ac:dyDescent="0.35">
      <c r="B76" s="392" t="s">
        <v>378</v>
      </c>
      <c r="C76" s="215"/>
      <c r="D76" s="240"/>
      <c r="E76" s="215"/>
      <c r="F76" s="215"/>
      <c r="G76" s="215"/>
      <c r="H76" s="306"/>
      <c r="I76" s="306"/>
      <c r="J76" s="306"/>
      <c r="K76" s="306"/>
      <c r="L76" s="306"/>
      <c r="M76" s="306"/>
      <c r="N76" s="306"/>
      <c r="O76" s="306"/>
      <c r="P76" s="306"/>
      <c r="Q76" s="306"/>
      <c r="R76" s="306"/>
      <c r="S76" s="306"/>
      <c r="T76" s="306"/>
      <c r="U76" s="306"/>
      <c r="V76" s="306"/>
      <c r="W76" s="282"/>
      <c r="X76" s="282"/>
      <c r="Y76" s="282"/>
      <c r="Z76" s="282"/>
      <c r="AA76" s="282"/>
      <c r="AB76" s="282"/>
      <c r="AC76" s="282"/>
      <c r="AD76" s="282"/>
      <c r="AE76" s="282"/>
      <c r="AF76" s="282"/>
      <c r="AG76" s="282"/>
      <c r="AH76" s="296"/>
      <c r="AI76" s="296"/>
    </row>
    <row r="77" spans="1:35" x14ac:dyDescent="0.35">
      <c r="B77" s="327" t="s">
        <v>152</v>
      </c>
      <c r="C77" s="49"/>
      <c r="D77" s="323"/>
      <c r="E77" s="49"/>
      <c r="F77" s="49"/>
      <c r="G77" s="49"/>
      <c r="H77" s="306"/>
      <c r="I77" s="306"/>
      <c r="J77" s="306">
        <f t="shared" ref="J77:AC77" si="28">J14</f>
        <v>64.400000000000006</v>
      </c>
      <c r="K77" s="306">
        <f t="shared" si="28"/>
        <v>23.4</v>
      </c>
      <c r="L77" s="306">
        <f t="shared" si="28"/>
        <v>13.8</v>
      </c>
      <c r="M77" s="306">
        <f t="shared" si="28"/>
        <v>12</v>
      </c>
      <c r="N77" s="306">
        <f t="shared" si="28"/>
        <v>7.5</v>
      </c>
      <c r="O77" s="306">
        <f t="shared" si="28"/>
        <v>10.5</v>
      </c>
      <c r="P77" s="306">
        <f t="shared" si="28"/>
        <v>18</v>
      </c>
      <c r="Q77" s="306">
        <f t="shared" si="28"/>
        <v>15</v>
      </c>
      <c r="R77" s="306">
        <f t="shared" si="28"/>
        <v>11.2</v>
      </c>
      <c r="S77" s="306">
        <f t="shared" si="28"/>
        <v>7.5</v>
      </c>
      <c r="T77" s="306">
        <f t="shared" si="28"/>
        <v>6.2</v>
      </c>
      <c r="U77" s="306">
        <f t="shared" si="28"/>
        <v>0</v>
      </c>
      <c r="V77" s="306">
        <f t="shared" si="28"/>
        <v>0</v>
      </c>
      <c r="W77" s="282">
        <f t="shared" si="28"/>
        <v>0</v>
      </c>
      <c r="X77" s="282">
        <f t="shared" si="28"/>
        <v>0</v>
      </c>
      <c r="Y77" s="282">
        <f t="shared" si="28"/>
        <v>0</v>
      </c>
      <c r="Z77" s="282">
        <f t="shared" si="28"/>
        <v>0</v>
      </c>
      <c r="AA77" s="282">
        <f t="shared" si="28"/>
        <v>0</v>
      </c>
      <c r="AB77" s="282">
        <f t="shared" si="28"/>
        <v>0</v>
      </c>
      <c r="AC77" s="282">
        <f t="shared" si="28"/>
        <v>0</v>
      </c>
      <c r="AD77" s="282">
        <f t="shared" ref="AD77:AG77" si="29">AD14</f>
        <v>0</v>
      </c>
      <c r="AE77" s="282">
        <f t="shared" si="29"/>
        <v>0</v>
      </c>
      <c r="AF77" s="282">
        <f t="shared" si="29"/>
        <v>0</v>
      </c>
      <c r="AG77" s="282">
        <f t="shared" si="29"/>
        <v>0</v>
      </c>
      <c r="AH77" s="306"/>
      <c r="AI77" s="306"/>
    </row>
    <row r="78" spans="1:35" x14ac:dyDescent="0.35">
      <c r="B78" s="327" t="s">
        <v>343</v>
      </c>
      <c r="C78" s="49"/>
      <c r="D78" s="323"/>
      <c r="E78" s="49"/>
      <c r="F78" s="49"/>
      <c r="G78" s="49"/>
      <c r="H78" s="306"/>
      <c r="I78" s="306"/>
      <c r="J78" s="306"/>
      <c r="K78" s="306"/>
      <c r="L78" s="306"/>
      <c r="M78" s="306">
        <f>M30</f>
        <v>9.6666666666666661</v>
      </c>
      <c r="N78" s="306">
        <f t="shared" ref="N78:AC78" si="30">N30</f>
        <v>9.6666666666666661</v>
      </c>
      <c r="O78" s="306">
        <f t="shared" si="30"/>
        <v>9.6666666666666661</v>
      </c>
      <c r="P78" s="306">
        <f t="shared" si="30"/>
        <v>9.6666666666666661</v>
      </c>
      <c r="Q78" s="306">
        <f>Q30</f>
        <v>9.6666666666666661</v>
      </c>
      <c r="R78" s="306">
        <f>R30</f>
        <v>9.6666666666666661</v>
      </c>
      <c r="S78" s="306">
        <f>S30</f>
        <v>9.6666666666666661</v>
      </c>
      <c r="T78" s="306">
        <f t="shared" si="30"/>
        <v>9.6666666666666661</v>
      </c>
      <c r="U78" s="306">
        <f t="shared" si="30"/>
        <v>9.6666666666666661</v>
      </c>
      <c r="V78" s="306">
        <f t="shared" si="30"/>
        <v>9.6666666666666661</v>
      </c>
      <c r="W78" s="282">
        <f t="shared" si="30"/>
        <v>9.6666666666666661</v>
      </c>
      <c r="X78" s="282">
        <f t="shared" si="30"/>
        <v>9.6666666666666661</v>
      </c>
      <c r="Y78" s="282">
        <f t="shared" si="30"/>
        <v>0</v>
      </c>
      <c r="Z78" s="282">
        <f t="shared" si="30"/>
        <v>0</v>
      </c>
      <c r="AA78" s="282">
        <f t="shared" si="30"/>
        <v>0</v>
      </c>
      <c r="AB78" s="282">
        <f t="shared" si="30"/>
        <v>0</v>
      </c>
      <c r="AC78" s="282">
        <f t="shared" si="30"/>
        <v>0</v>
      </c>
      <c r="AD78" s="282">
        <f t="shared" ref="AD78:AG78" si="31">AD30</f>
        <v>0</v>
      </c>
      <c r="AE78" s="282">
        <f t="shared" si="31"/>
        <v>0</v>
      </c>
      <c r="AF78" s="282">
        <f t="shared" si="31"/>
        <v>0</v>
      </c>
      <c r="AG78" s="282">
        <f t="shared" si="31"/>
        <v>0</v>
      </c>
      <c r="AH78" s="306"/>
      <c r="AI78" s="306"/>
    </row>
    <row r="79" spans="1:35" x14ac:dyDescent="0.35">
      <c r="B79" s="327" t="s">
        <v>379</v>
      </c>
      <c r="C79" s="49"/>
      <c r="D79" s="323"/>
      <c r="E79" s="49"/>
      <c r="F79" s="49"/>
      <c r="G79" s="49"/>
      <c r="H79" s="306"/>
      <c r="I79" s="306"/>
      <c r="J79" s="306"/>
      <c r="K79" s="306"/>
      <c r="L79" s="306"/>
      <c r="M79" s="306">
        <f t="shared" ref="M79:AC79" si="32">M16</f>
        <v>12</v>
      </c>
      <c r="N79" s="306">
        <f t="shared" si="32"/>
        <v>12</v>
      </c>
      <c r="O79" s="306">
        <f t="shared" si="32"/>
        <v>12</v>
      </c>
      <c r="P79" s="306">
        <f t="shared" si="32"/>
        <v>12</v>
      </c>
      <c r="Q79" s="306">
        <f t="shared" si="32"/>
        <v>12</v>
      </c>
      <c r="R79" s="306">
        <f t="shared" si="32"/>
        <v>12</v>
      </c>
      <c r="S79" s="306">
        <f t="shared" si="32"/>
        <v>12</v>
      </c>
      <c r="T79" s="306">
        <f t="shared" si="32"/>
        <v>12</v>
      </c>
      <c r="U79" s="306">
        <f t="shared" si="32"/>
        <v>12</v>
      </c>
      <c r="V79" s="306">
        <f t="shared" si="32"/>
        <v>12</v>
      </c>
      <c r="W79" s="282">
        <f t="shared" si="32"/>
        <v>12</v>
      </c>
      <c r="X79" s="282">
        <f t="shared" si="32"/>
        <v>12</v>
      </c>
      <c r="Y79" s="282">
        <f t="shared" si="32"/>
        <v>0</v>
      </c>
      <c r="Z79" s="282">
        <f t="shared" si="32"/>
        <v>0</v>
      </c>
      <c r="AA79" s="282">
        <f t="shared" si="32"/>
        <v>0</v>
      </c>
      <c r="AB79" s="282">
        <f t="shared" si="32"/>
        <v>0</v>
      </c>
      <c r="AC79" s="282">
        <f t="shared" si="32"/>
        <v>0</v>
      </c>
      <c r="AD79" s="282">
        <f t="shared" ref="AD79:AG79" si="33">AD16</f>
        <v>0</v>
      </c>
      <c r="AE79" s="282">
        <f t="shared" si="33"/>
        <v>0</v>
      </c>
      <c r="AF79" s="282">
        <f t="shared" si="33"/>
        <v>0</v>
      </c>
      <c r="AG79" s="282">
        <f t="shared" si="33"/>
        <v>0</v>
      </c>
      <c r="AH79" s="306"/>
      <c r="AI79" s="306"/>
    </row>
    <row r="80" spans="1:35" x14ac:dyDescent="0.35">
      <c r="B80" s="327" t="s">
        <v>380</v>
      </c>
      <c r="C80" s="49"/>
      <c r="D80" s="323"/>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307">
        <f>U20</f>
        <v>245.86000000000007</v>
      </c>
      <c r="V80" s="52">
        <f>V20</f>
        <v>236.61200000000002</v>
      </c>
      <c r="W80" s="283">
        <f t="shared" si="34"/>
        <v>238.94343423036463</v>
      </c>
      <c r="X80" s="283">
        <f t="shared" si="34"/>
        <v>241.2978410300432</v>
      </c>
      <c r="Y80" s="283">
        <f t="shared" si="34"/>
        <v>243.67544675710067</v>
      </c>
      <c r="Z80" s="283">
        <f t="shared" si="34"/>
        <v>246.07648</v>
      </c>
      <c r="AA80" s="283">
        <f t="shared" si="34"/>
        <v>248.50117159957921</v>
      </c>
      <c r="AB80" s="283">
        <f t="shared" si="34"/>
        <v>250.94975467124493</v>
      </c>
      <c r="AC80" s="283">
        <f t="shared" si="34"/>
        <v>253.4224646273847</v>
      </c>
      <c r="AD80" s="283">
        <f>AD20</f>
        <v>255.9195392</v>
      </c>
      <c r="AE80" s="283">
        <f>AE20</f>
        <v>258.44121846356239</v>
      </c>
      <c r="AF80" s="283">
        <f t="shared" ref="AF80" si="35">AF20</f>
        <v>260.98774485809474</v>
      </c>
      <c r="AG80" s="283">
        <f>AG20</f>
        <v>263.55936321248009</v>
      </c>
      <c r="AH80" s="52"/>
      <c r="AI80" s="52"/>
    </row>
    <row r="81" spans="2:35" x14ac:dyDescent="0.35">
      <c r="B81" s="327" t="s">
        <v>1191</v>
      </c>
      <c r="C81" s="49"/>
      <c r="D81" s="323"/>
      <c r="E81" s="49"/>
      <c r="F81" s="49"/>
      <c r="G81" s="49"/>
      <c r="H81" s="52"/>
      <c r="I81" s="52"/>
      <c r="J81" s="52"/>
      <c r="K81" s="52"/>
      <c r="L81" s="52"/>
      <c r="M81" s="52"/>
      <c r="N81" s="52"/>
      <c r="O81" s="52"/>
      <c r="P81" s="52"/>
      <c r="Q81" s="52"/>
      <c r="R81" s="52"/>
      <c r="S81" s="308">
        <f>'IRA and CHIPS'!E184</f>
        <v>0</v>
      </c>
      <c r="T81" s="308">
        <f>'IRA and CHIPS'!F184</f>
        <v>6.8000000000000005E-2</v>
      </c>
      <c r="U81" s="308">
        <f>'IRA and CHIPS'!G184</f>
        <v>6.8000000000000005E-2</v>
      </c>
      <c r="V81" s="308">
        <f>'IRA and CHIPS'!H184</f>
        <v>6.8000000000000005E-2</v>
      </c>
      <c r="W81" s="301">
        <f>'IRA and CHIPS'!I184</f>
        <v>6.8000000000000005E-2</v>
      </c>
      <c r="X81" s="301">
        <f>'IRA and CHIPS'!J184</f>
        <v>1.363</v>
      </c>
      <c r="Y81" s="301">
        <f>'IRA and CHIPS'!K184</f>
        <v>1.363</v>
      </c>
      <c r="Z81" s="301">
        <f>'IRA and CHIPS'!L184</f>
        <v>1.363</v>
      </c>
      <c r="AA81" s="301">
        <f>'IRA and CHIPS'!M184</f>
        <v>1.363</v>
      </c>
      <c r="AB81" s="301">
        <f>'IRA and CHIPS'!N184</f>
        <v>2.4329999999999998</v>
      </c>
      <c r="AC81" s="301">
        <f>'IRA and CHIPS'!O184</f>
        <v>2.4329999999999998</v>
      </c>
      <c r="AD81" s="301">
        <f>'IRA and CHIPS'!P184</f>
        <v>2.4329999999999998</v>
      </c>
      <c r="AE81" s="301">
        <f>'IRA and CHIPS'!Q184</f>
        <v>2.4329999999999998</v>
      </c>
      <c r="AF81" s="301">
        <f>'IRA and CHIPS'!R184</f>
        <v>2.8029999999999999</v>
      </c>
      <c r="AG81" s="301">
        <f>'IRA and CHIPS'!S184</f>
        <v>2.8029999999999999</v>
      </c>
      <c r="AH81" s="52"/>
      <c r="AI81" s="52"/>
    </row>
    <row r="82" spans="2:35" ht="14.9" customHeight="1" x14ac:dyDescent="0.35">
      <c r="B82" s="370" t="s">
        <v>381</v>
      </c>
      <c r="C82" s="49"/>
      <c r="D82" s="323"/>
      <c r="E82" s="49"/>
      <c r="F82" s="49"/>
      <c r="G82" s="49"/>
      <c r="H82" s="306"/>
      <c r="I82" s="306"/>
      <c r="J82" s="306"/>
      <c r="K82" s="306"/>
      <c r="L82" s="306"/>
      <c r="M82" s="306"/>
      <c r="N82" s="306"/>
      <c r="O82" s="306"/>
      <c r="P82" s="306"/>
      <c r="Q82" s="306"/>
      <c r="R82" s="306"/>
      <c r="S82" s="306"/>
      <c r="T82" s="306"/>
      <c r="U82" s="306"/>
      <c r="V82" s="306"/>
      <c r="W82" s="282"/>
      <c r="X82" s="282"/>
      <c r="Y82" s="282"/>
      <c r="Z82" s="282"/>
      <c r="AA82" s="282"/>
      <c r="AB82" s="282"/>
      <c r="AC82" s="282"/>
      <c r="AD82" s="282"/>
      <c r="AE82" s="282"/>
      <c r="AF82" s="282"/>
      <c r="AG82" s="282"/>
      <c r="AH82" s="306"/>
      <c r="AI82" s="306"/>
    </row>
    <row r="83" spans="2:35" ht="14.9" customHeight="1" x14ac:dyDescent="0.35">
      <c r="B83" s="327" t="s">
        <v>150</v>
      </c>
      <c r="C83" s="49"/>
      <c r="D83" s="323"/>
      <c r="E83" s="49"/>
      <c r="F83" s="49"/>
      <c r="G83" s="49"/>
      <c r="H83" s="306"/>
      <c r="I83" s="306"/>
      <c r="J83" s="306">
        <f t="shared" ref="J83:T83" si="36">J13</f>
        <v>28.4</v>
      </c>
      <c r="K83" s="306">
        <f t="shared" si="36"/>
        <v>15.8</v>
      </c>
      <c r="L83" s="306">
        <f t="shared" si="36"/>
        <v>15.2</v>
      </c>
      <c r="M83" s="306">
        <f t="shared" si="36"/>
        <v>28.9</v>
      </c>
      <c r="N83" s="306">
        <f t="shared" si="36"/>
        <v>67.599999999999994</v>
      </c>
      <c r="O83" s="306">
        <f t="shared" si="36"/>
        <v>80.7</v>
      </c>
      <c r="P83" s="306">
        <f t="shared" si="36"/>
        <v>87.2</v>
      </c>
      <c r="Q83" s="306">
        <f t="shared" si="36"/>
        <v>72.400000000000006</v>
      </c>
      <c r="R83" s="306">
        <f t="shared" si="36"/>
        <v>85.9</v>
      </c>
      <c r="S83" s="318">
        <f t="shared" si="36"/>
        <v>68.3</v>
      </c>
      <c r="T83" s="318">
        <f t="shared" si="36"/>
        <v>64</v>
      </c>
      <c r="U83" s="309">
        <f>U13</f>
        <v>60.929333333333297</v>
      </c>
      <c r="V83" s="306">
        <f>V13</f>
        <v>60.929333333333297</v>
      </c>
      <c r="W83" s="282">
        <f>W27+W31+'ARP Quarterly'!M28</f>
        <v>61.672045333333294</v>
      </c>
      <c r="X83" s="282">
        <f>X27+X31+'ARP Quarterly'!N28</f>
        <v>63.261773333333295</v>
      </c>
      <c r="Y83" s="282">
        <f>Y27+Y31+'ARP Quarterly'!O28</f>
        <v>61.518167999999996</v>
      </c>
      <c r="Z83" s="282">
        <f>Z27+Z31+'ARP Quarterly'!P28</f>
        <v>44.428388999999996</v>
      </c>
      <c r="AA83" s="282">
        <f>AA27+AA31+'ARP Quarterly'!Q28</f>
        <v>46.338610000000003</v>
      </c>
      <c r="AB83" s="282">
        <f>AB27+AB31+'ARP Quarterly'!R28</f>
        <v>47.279744500000007</v>
      </c>
      <c r="AC83" s="282">
        <f>AC27+AC31+'ARP Quarterly'!S28</f>
        <v>46.283419000000009</v>
      </c>
      <c r="AD83" s="282">
        <f>AD27+AD31+'ARP Quarterly'!T28</f>
        <v>45.578489500000011</v>
      </c>
      <c r="AE83" s="282">
        <f>AE27+AE31+'ARP Quarterly'!U28</f>
        <v>45.454798000000011</v>
      </c>
      <c r="AF83" s="282">
        <f>AF27+AF31+'ARP Quarterly'!V28</f>
        <v>45.360580000000013</v>
      </c>
      <c r="AG83" s="279"/>
      <c r="AH83" s="299"/>
      <c r="AI83" s="306"/>
    </row>
    <row r="84" spans="2:35" x14ac:dyDescent="0.35">
      <c r="B84" s="327" t="s">
        <v>149</v>
      </c>
      <c r="C84" s="52"/>
      <c r="D84" s="397"/>
      <c r="E84" s="52"/>
      <c r="F84" s="52"/>
      <c r="G84" s="52"/>
      <c r="H84" s="306"/>
      <c r="I84" s="306"/>
      <c r="J84" s="306">
        <v>35</v>
      </c>
      <c r="K84" s="306">
        <v>45</v>
      </c>
      <c r="L84" s="306">
        <v>45</v>
      </c>
      <c r="M84" s="306">
        <v>40</v>
      </c>
      <c r="N84" s="306">
        <v>40</v>
      </c>
      <c r="O84" s="306">
        <v>40</v>
      </c>
      <c r="P84" s="306">
        <v>40</v>
      </c>
      <c r="Q84" s="306">
        <v>50</v>
      </c>
      <c r="R84" s="306">
        <v>50</v>
      </c>
      <c r="S84" s="306">
        <v>50</v>
      </c>
      <c r="T84" s="306">
        <v>50</v>
      </c>
      <c r="U84" s="310">
        <v>40</v>
      </c>
      <c r="V84" s="306">
        <v>30</v>
      </c>
      <c r="W84" s="282">
        <v>20</v>
      </c>
      <c r="X84" s="282">
        <v>15</v>
      </c>
      <c r="Y84" s="282">
        <v>10</v>
      </c>
      <c r="Z84" s="282">
        <v>0</v>
      </c>
      <c r="AA84" s="282">
        <v>0</v>
      </c>
      <c r="AB84" s="282">
        <v>0</v>
      </c>
      <c r="AC84" s="282">
        <v>0</v>
      </c>
      <c r="AD84" s="282">
        <v>0</v>
      </c>
      <c r="AE84" s="282">
        <v>0</v>
      </c>
      <c r="AF84" s="282">
        <v>0</v>
      </c>
      <c r="AG84" s="282">
        <v>0</v>
      </c>
      <c r="AH84" s="122"/>
    </row>
    <row r="85" spans="2:35" ht="28.5" customHeight="1" x14ac:dyDescent="0.35">
      <c r="B85" s="340" t="s">
        <v>382</v>
      </c>
      <c r="C85" s="354"/>
      <c r="D85" s="323"/>
      <c r="E85" s="49"/>
      <c r="F85" s="49"/>
      <c r="G85" s="49"/>
      <c r="H85" s="306"/>
      <c r="I85" s="306"/>
      <c r="J85" s="306"/>
      <c r="K85" s="306"/>
      <c r="L85" s="306"/>
      <c r="M85" s="306"/>
      <c r="N85" s="306">
        <f>'ARP Quarterly'!D47</f>
        <v>0</v>
      </c>
      <c r="O85" s="306">
        <f>'ARP Quarterly'!E47</f>
        <v>0</v>
      </c>
      <c r="P85" s="306">
        <f>'ARP Quarterly'!F47</f>
        <v>34.620851999999999</v>
      </c>
      <c r="Q85" s="306">
        <f>'ARP Quarterly'!G47</f>
        <v>50.996274799999995</v>
      </c>
      <c r="R85" s="306">
        <f>'ARP Quarterly'!H47</f>
        <v>69.350031999999999</v>
      </c>
      <c r="S85" s="306">
        <f>'ARP Quarterly'!I47</f>
        <v>79.295867999999999</v>
      </c>
      <c r="T85" s="306">
        <f>'ARP Quarterly'!J47</f>
        <v>80.538927999999999</v>
      </c>
      <c r="U85" s="306">
        <f>'ARP Quarterly'!K47</f>
        <v>80.122543199999996</v>
      </c>
      <c r="V85" s="306">
        <f>'ARP Quarterly'!L47</f>
        <v>88.916719999999998</v>
      </c>
      <c r="W85" s="381">
        <f>'ARP Quarterly'!M47</f>
        <v>92.213943999999998</v>
      </c>
      <c r="X85" s="381">
        <f>'ARP Quarterly'!N47</f>
        <v>92.213943999999998</v>
      </c>
      <c r="Y85" s="381">
        <f>'ARP Quarterly'!O47</f>
        <v>94.213943999999998</v>
      </c>
      <c r="Z85" s="381">
        <f>'ARP Quarterly'!P47</f>
        <v>98.916719999999998</v>
      </c>
      <c r="AA85" s="381">
        <f>'ARP Quarterly'!Q47</f>
        <v>98.916719999999998</v>
      </c>
      <c r="AB85" s="381">
        <f>'ARP Quarterly'!R47</f>
        <v>99.081581199999988</v>
      </c>
      <c r="AC85" s="282">
        <f>'ARP Quarterly'!S47</f>
        <v>93.146578000000005</v>
      </c>
      <c r="AD85" s="282">
        <f>'ARP Quarterly'!T47</f>
        <v>86.552129999999991</v>
      </c>
      <c r="AE85" s="282">
        <f>'ARP Quarterly'!U47</f>
        <v>86.552129999999991</v>
      </c>
      <c r="AF85" s="282">
        <f>'ARP Quarterly'!V47</f>
        <v>82.265738799999994</v>
      </c>
      <c r="AG85" s="279"/>
      <c r="AH85" s="368"/>
    </row>
    <row r="86" spans="2:35" ht="55.4" customHeight="1" x14ac:dyDescent="0.35">
      <c r="B86" s="347" t="s">
        <v>833</v>
      </c>
      <c r="C86" s="348"/>
      <c r="D86" s="321"/>
      <c r="E86" s="322"/>
      <c r="F86" s="322"/>
      <c r="G86" s="322"/>
      <c r="H86" s="322"/>
      <c r="I86" s="348"/>
      <c r="J86" s="348"/>
      <c r="K86" s="348"/>
      <c r="L86" s="348"/>
      <c r="M86" s="348"/>
      <c r="N86" s="348"/>
      <c r="O86" s="348"/>
      <c r="P86" s="348">
        <v>-50</v>
      </c>
      <c r="Q86" s="348">
        <v>-25</v>
      </c>
      <c r="R86" s="348"/>
      <c r="S86" s="348"/>
      <c r="T86" s="348"/>
      <c r="U86" s="398"/>
      <c r="V86" s="322"/>
      <c r="W86" s="348"/>
      <c r="X86" s="348"/>
      <c r="Y86" s="348">
        <v>12.5</v>
      </c>
      <c r="Z86" s="348">
        <v>12.5</v>
      </c>
      <c r="AA86" s="348">
        <v>12.5</v>
      </c>
      <c r="AB86" s="348">
        <v>12.5</v>
      </c>
      <c r="AC86" s="398"/>
      <c r="AD86" s="202"/>
      <c r="AE86" s="202"/>
      <c r="AF86" s="202"/>
      <c r="AG86" s="202"/>
    </row>
    <row r="87" spans="2:35" ht="14.5" customHeight="1" x14ac:dyDescent="0.35">
      <c r="B87" s="249"/>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c r="AA87" s="202"/>
      <c r="AB87" s="202"/>
      <c r="AC87" s="202"/>
      <c r="AD87" s="202"/>
      <c r="AE87" s="202"/>
      <c r="AF87" s="202"/>
      <c r="AG87" s="202"/>
    </row>
    <row r="88" spans="2:35" x14ac:dyDescent="0.35">
      <c r="B88" s="1314" t="s">
        <v>134</v>
      </c>
      <c r="C88" s="1314"/>
      <c r="D88" s="1314"/>
      <c r="E88" s="1314"/>
      <c r="F88" s="1314"/>
      <c r="G88" s="1314"/>
      <c r="H88" s="1314"/>
      <c r="I88" s="1314"/>
      <c r="J88" s="1314"/>
      <c r="K88" s="1314"/>
      <c r="L88" s="1314"/>
      <c r="M88" s="1314"/>
      <c r="N88" s="1314"/>
      <c r="O88" s="1314"/>
      <c r="P88" s="1314"/>
      <c r="Q88" s="1314"/>
      <c r="R88" s="1314"/>
      <c r="S88" s="1314"/>
      <c r="T88" s="1314"/>
      <c r="U88" s="1314"/>
      <c r="V88" s="1314"/>
      <c r="W88" s="1314"/>
      <c r="X88" s="1314"/>
      <c r="Y88" s="1314"/>
      <c r="Z88" s="182"/>
      <c r="AA88" s="182"/>
      <c r="AB88" s="182"/>
      <c r="AC88" s="182"/>
      <c r="AD88" s="182"/>
      <c r="AE88" s="182"/>
      <c r="AF88" s="182"/>
      <c r="AG88" s="182"/>
      <c r="AH88" s="169"/>
      <c r="AI88" s="169"/>
    </row>
    <row r="89" spans="2:35" ht="19.399999999999999" customHeight="1" x14ac:dyDescent="0.35">
      <c r="B89" s="1315" t="s">
        <v>1898</v>
      </c>
      <c r="C89" s="1315"/>
      <c r="D89" s="1315"/>
      <c r="E89" s="1315"/>
      <c r="F89" s="1315"/>
      <c r="G89" s="1315"/>
      <c r="H89" s="1315"/>
      <c r="I89" s="1315"/>
      <c r="J89" s="1315"/>
      <c r="K89" s="1315"/>
      <c r="L89" s="1315"/>
      <c r="M89" s="1315"/>
      <c r="N89" s="1315"/>
      <c r="O89" s="1315"/>
      <c r="P89" s="1315"/>
      <c r="Q89" s="1315"/>
      <c r="R89" s="1315"/>
      <c r="S89" s="1315"/>
      <c r="T89" s="1315"/>
      <c r="U89" s="1315"/>
      <c r="V89" s="1315"/>
      <c r="W89" s="1315"/>
      <c r="X89" s="1315"/>
      <c r="Y89" s="1315"/>
      <c r="Z89" s="1315"/>
      <c r="AA89" s="1315"/>
      <c r="AB89" s="1315"/>
      <c r="AC89" s="1315"/>
      <c r="AD89" s="183"/>
      <c r="AE89" s="183"/>
      <c r="AF89" s="183"/>
      <c r="AG89" s="183"/>
      <c r="AH89" s="183"/>
      <c r="AI89" s="183"/>
    </row>
    <row r="90" spans="2:35" ht="11.9" customHeight="1" x14ac:dyDescent="0.35">
      <c r="B90" s="209"/>
      <c r="C90" s="209"/>
      <c r="D90" s="209"/>
      <c r="E90" s="209"/>
      <c r="F90" s="209"/>
      <c r="G90" s="209"/>
      <c r="H90" s="209"/>
      <c r="I90" s="209"/>
      <c r="J90" s="209"/>
      <c r="K90" s="209"/>
      <c r="L90" s="209"/>
      <c r="M90" s="209"/>
      <c r="V90" s="188"/>
      <c r="W90" s="188"/>
      <c r="X90" s="188"/>
      <c r="Y90" s="188"/>
      <c r="Z90" s="188"/>
      <c r="AA90" s="188"/>
      <c r="AB90" s="188"/>
      <c r="AC90" s="188"/>
      <c r="AD90" s="188"/>
      <c r="AE90" s="188"/>
      <c r="AF90" s="188"/>
      <c r="AG90" s="188"/>
      <c r="AH90" s="188"/>
      <c r="AI90" s="188"/>
    </row>
    <row r="91" spans="2:35" ht="14.9" customHeight="1" x14ac:dyDescent="0.35">
      <c r="B91" s="1319" t="s">
        <v>279</v>
      </c>
      <c r="C91" s="1320"/>
      <c r="D91" s="1323" t="s">
        <v>280</v>
      </c>
      <c r="E91" s="1335"/>
      <c r="F91" s="1335"/>
      <c r="G91" s="1335"/>
      <c r="H91" s="1335"/>
      <c r="I91" s="1335"/>
      <c r="J91" s="1335"/>
      <c r="K91" s="1335"/>
      <c r="L91" s="1335"/>
      <c r="M91" s="1335"/>
      <c r="N91" s="1335"/>
      <c r="O91" s="1335"/>
      <c r="P91" s="1335"/>
      <c r="Q91" s="1335"/>
      <c r="R91" s="1335"/>
      <c r="S91" s="1335"/>
      <c r="T91" s="1335"/>
      <c r="U91" s="1336"/>
      <c r="V91" s="1322"/>
      <c r="W91" s="1363" t="s">
        <v>281</v>
      </c>
      <c r="X91" s="1364"/>
      <c r="Y91" s="1362"/>
      <c r="Z91" s="1362"/>
      <c r="AA91" s="1362"/>
      <c r="AB91" s="1362"/>
      <c r="AC91" s="1362"/>
      <c r="AD91" s="1362"/>
      <c r="AE91" s="1362"/>
      <c r="AF91" s="1362"/>
      <c r="AG91" s="1362"/>
      <c r="AH91" s="169"/>
      <c r="AI91" s="169"/>
    </row>
    <row r="92" spans="2:35" x14ac:dyDescent="0.35">
      <c r="B92" s="1321"/>
      <c r="C92" s="1322"/>
      <c r="D92" s="186">
        <v>2018</v>
      </c>
      <c r="E92" s="1310">
        <v>2019</v>
      </c>
      <c r="F92" s="1328"/>
      <c r="G92" s="1328"/>
      <c r="H92" s="1329"/>
      <c r="I92" s="1310">
        <v>2020</v>
      </c>
      <c r="J92" s="1328"/>
      <c r="K92" s="1328"/>
      <c r="L92" s="1328"/>
      <c r="M92" s="1310">
        <v>2021</v>
      </c>
      <c r="N92" s="1328"/>
      <c r="O92" s="1328"/>
      <c r="P92" s="1328"/>
      <c r="Q92" s="1310">
        <v>2022</v>
      </c>
      <c r="R92" s="1311"/>
      <c r="S92" s="1311"/>
      <c r="T92" s="1311"/>
      <c r="U92" s="201"/>
      <c r="V92" s="256">
        <v>2023</v>
      </c>
      <c r="W92" s="258"/>
      <c r="X92" s="226"/>
      <c r="Y92" s="1326">
        <v>2024</v>
      </c>
      <c r="Z92" s="1337"/>
      <c r="AA92" s="1337"/>
      <c r="AB92" s="1326"/>
      <c r="AC92" s="1325">
        <v>2025</v>
      </c>
      <c r="AD92" s="1326"/>
      <c r="AE92" s="1326"/>
      <c r="AF92" s="1327"/>
      <c r="AG92" s="297">
        <v>2026</v>
      </c>
      <c r="AH92" s="188"/>
      <c r="AI92" s="188"/>
    </row>
    <row r="93" spans="2:35" x14ac:dyDescent="0.35">
      <c r="B93" s="1321"/>
      <c r="C93" s="1322"/>
      <c r="D93" s="140" t="s">
        <v>282</v>
      </c>
      <c r="E93" s="149" t="s">
        <v>283</v>
      </c>
      <c r="F93" s="140" t="s">
        <v>284</v>
      </c>
      <c r="G93" s="140" t="s">
        <v>238</v>
      </c>
      <c r="H93" s="146" t="s">
        <v>282</v>
      </c>
      <c r="I93" s="140" t="s">
        <v>283</v>
      </c>
      <c r="J93" s="140" t="s">
        <v>284</v>
      </c>
      <c r="K93" s="140" t="s">
        <v>238</v>
      </c>
      <c r="L93" s="140" t="s">
        <v>282</v>
      </c>
      <c r="M93" s="149" t="s">
        <v>283</v>
      </c>
      <c r="N93" s="140" t="s">
        <v>284</v>
      </c>
      <c r="O93" s="140" t="s">
        <v>238</v>
      </c>
      <c r="P93" s="140" t="s">
        <v>282</v>
      </c>
      <c r="Q93" s="149" t="s">
        <v>283</v>
      </c>
      <c r="R93" s="140" t="s">
        <v>284</v>
      </c>
      <c r="S93" s="140" t="s">
        <v>238</v>
      </c>
      <c r="T93" s="140" t="s">
        <v>282</v>
      </c>
      <c r="U93" s="149" t="s">
        <v>283</v>
      </c>
      <c r="V93" s="140" t="s">
        <v>284</v>
      </c>
      <c r="W93" s="280" t="s">
        <v>238</v>
      </c>
      <c r="X93" s="399" t="s">
        <v>282</v>
      </c>
      <c r="Y93" s="280" t="s">
        <v>283</v>
      </c>
      <c r="Z93" s="289" t="s">
        <v>284</v>
      </c>
      <c r="AA93" s="280" t="s">
        <v>238</v>
      </c>
      <c r="AB93" s="280" t="s">
        <v>282</v>
      </c>
      <c r="AC93" s="400" t="s">
        <v>283</v>
      </c>
      <c r="AD93" s="289" t="s">
        <v>284</v>
      </c>
      <c r="AE93" s="280" t="s">
        <v>238</v>
      </c>
      <c r="AF93" s="399" t="s">
        <v>282</v>
      </c>
      <c r="AG93" s="300" t="s">
        <v>283</v>
      </c>
      <c r="AH93" s="188"/>
      <c r="AI93" s="188"/>
    </row>
    <row r="94" spans="2:35" ht="14.9" customHeight="1" x14ac:dyDescent="0.35">
      <c r="B94" s="396" t="s">
        <v>383</v>
      </c>
      <c r="C94" s="333" t="s">
        <v>384</v>
      </c>
      <c r="D94" s="334"/>
      <c r="E94" s="335"/>
      <c r="F94" s="335"/>
      <c r="G94" s="335"/>
      <c r="H94" s="311">
        <f>'Haver Pivoted'!GS41</f>
        <v>72.367000000000004</v>
      </c>
      <c r="I94" s="311">
        <f>'Haver Pivoted'!GT41</f>
        <v>75.578999999999994</v>
      </c>
      <c r="J94" s="311">
        <f>'Haver Pivoted'!GU41</f>
        <v>76.015000000000001</v>
      </c>
      <c r="K94" s="311">
        <f>'Haver Pivoted'!GV41</f>
        <v>78.872</v>
      </c>
      <c r="L94" s="311">
        <f>'Haver Pivoted'!GW41</f>
        <v>75.819000000000003</v>
      </c>
      <c r="M94" s="311">
        <f>'Haver Pivoted'!GX41</f>
        <v>73.662000000000006</v>
      </c>
      <c r="N94" s="311">
        <f>'Haver Pivoted'!GY41</f>
        <v>75.066000000000003</v>
      </c>
      <c r="O94" s="311">
        <f>'Haver Pivoted'!GZ41</f>
        <v>69.344999999999999</v>
      </c>
      <c r="P94" s="311">
        <f>'Haver Pivoted'!HA41</f>
        <v>72.477000000000004</v>
      </c>
      <c r="Q94" s="311">
        <f>'Haver Pivoted'!HB41</f>
        <v>72.528999999999996</v>
      </c>
      <c r="R94" s="311">
        <f t="shared" ref="R94:S94" si="37">AVERAGE($H$94:$N$94)</f>
        <v>75.340000000000018</v>
      </c>
      <c r="S94" s="311">
        <f t="shared" si="37"/>
        <v>75.340000000000018</v>
      </c>
      <c r="T94" s="311">
        <f t="shared" ref="T94:AC94" si="38">AVERAGE($H$94:$N$94)+T95</f>
        <v>76.15900000000002</v>
      </c>
      <c r="U94" s="311">
        <f t="shared" si="38"/>
        <v>76.15900000000002</v>
      </c>
      <c r="V94" s="311">
        <f t="shared" si="38"/>
        <v>76.15900000000002</v>
      </c>
      <c r="W94" s="325">
        <f t="shared" si="38"/>
        <v>76.15900000000002</v>
      </c>
      <c r="X94" s="325">
        <f t="shared" si="38"/>
        <v>77.818000000000012</v>
      </c>
      <c r="Y94" s="325">
        <f t="shared" si="38"/>
        <v>77.818000000000012</v>
      </c>
      <c r="Z94" s="325">
        <f t="shared" si="38"/>
        <v>77.818000000000012</v>
      </c>
      <c r="AA94" s="325">
        <f t="shared" si="38"/>
        <v>77.818000000000012</v>
      </c>
      <c r="AB94" s="325">
        <f t="shared" si="38"/>
        <v>79.41200000000002</v>
      </c>
      <c r="AC94" s="325">
        <f t="shared" si="38"/>
        <v>79.41200000000002</v>
      </c>
      <c r="AD94" s="325">
        <f>AVERAGE($H$94:$N$94)+AD95</f>
        <v>75.340000000000018</v>
      </c>
      <c r="AE94" s="325">
        <f t="shared" ref="AE94:AG94" si="39">AVERAGE($H$94:$N$94)+AE95</f>
        <v>75.340000000000018</v>
      </c>
      <c r="AF94" s="325">
        <f t="shared" si="39"/>
        <v>75.340000000000018</v>
      </c>
      <c r="AG94" s="325">
        <f t="shared" si="39"/>
        <v>75.340000000000018</v>
      </c>
      <c r="AH94" s="216"/>
      <c r="AI94" s="216"/>
    </row>
    <row r="95" spans="2:35" x14ac:dyDescent="0.35">
      <c r="B95" s="155" t="s">
        <v>1190</v>
      </c>
      <c r="C95" s="36"/>
      <c r="D95" s="155"/>
      <c r="E95" s="36"/>
      <c r="F95" s="36"/>
      <c r="G95" s="36"/>
      <c r="H95" s="36"/>
      <c r="I95" s="36"/>
      <c r="J95" s="36"/>
      <c r="K95" s="36"/>
      <c r="L95" s="36"/>
      <c r="M95" s="36"/>
      <c r="N95" s="36"/>
      <c r="O95" s="36"/>
      <c r="P95" s="36"/>
      <c r="Q95" s="36"/>
      <c r="R95" s="36"/>
      <c r="S95" s="312">
        <f>'IRA and CHIPS'!E185</f>
        <v>0</v>
      </c>
      <c r="T95" s="312">
        <f>'IRA and CHIPS'!F185</f>
        <v>0.81899999999999995</v>
      </c>
      <c r="U95" s="312">
        <f>'IRA and CHIPS'!G185</f>
        <v>0.81899999999999995</v>
      </c>
      <c r="V95" s="312">
        <f>'IRA and CHIPS'!H185</f>
        <v>0.81899999999999995</v>
      </c>
      <c r="W95" s="324">
        <f>'IRA and CHIPS'!I185</f>
        <v>0.81899999999999995</v>
      </c>
      <c r="X95" s="324">
        <f>'IRA and CHIPS'!J185</f>
        <v>2.4780000000000002</v>
      </c>
      <c r="Y95" s="324">
        <f>'IRA and CHIPS'!K185</f>
        <v>2.4780000000000002</v>
      </c>
      <c r="Z95" s="324">
        <f>'IRA and CHIPS'!L185</f>
        <v>2.4780000000000002</v>
      </c>
      <c r="AA95" s="324">
        <f>'IRA and CHIPS'!M185</f>
        <v>2.4780000000000002</v>
      </c>
      <c r="AB95" s="324">
        <f>'IRA and CHIPS'!N185</f>
        <v>4.0720000000000001</v>
      </c>
      <c r="AC95" s="324">
        <f>'IRA and CHIPS'!O185</f>
        <v>4.0720000000000001</v>
      </c>
      <c r="AD95" s="324">
        <f>'IRA and CHIPS'!T185</f>
        <v>0</v>
      </c>
      <c r="AE95" s="324">
        <v>0</v>
      </c>
      <c r="AF95" s="324">
        <v>0</v>
      </c>
      <c r="AG95" s="326">
        <v>0</v>
      </c>
    </row>
    <row r="96" spans="2:35" ht="18.75" customHeight="1" x14ac:dyDescent="0.35"/>
    <row r="97" ht="21.75" customHeight="1" x14ac:dyDescent="0.35"/>
  </sheetData>
  <mergeCells count="42">
    <mergeCell ref="AC92:AF92"/>
    <mergeCell ref="D72:V72"/>
    <mergeCell ref="W72:AG72"/>
    <mergeCell ref="W91:AG91"/>
    <mergeCell ref="D91:V91"/>
    <mergeCell ref="A66:A67"/>
    <mergeCell ref="B89:AC89"/>
    <mergeCell ref="Y73:AB73"/>
    <mergeCell ref="B72:C74"/>
    <mergeCell ref="I73:L73"/>
    <mergeCell ref="B88:Y88"/>
    <mergeCell ref="E73:H73"/>
    <mergeCell ref="M73:P73"/>
    <mergeCell ref="AC73:AF73"/>
    <mergeCell ref="AI25:AJ25"/>
    <mergeCell ref="AI29:AJ30"/>
    <mergeCell ref="AI35:AJ35"/>
    <mergeCell ref="B24:AC24"/>
    <mergeCell ref="Q73:R73"/>
    <mergeCell ref="Q48:AL48"/>
    <mergeCell ref="Q49:S49"/>
    <mergeCell ref="T49:Y49"/>
    <mergeCell ref="AH49:AK49"/>
    <mergeCell ref="B91:C93"/>
    <mergeCell ref="I92:L92"/>
    <mergeCell ref="E92:H92"/>
    <mergeCell ref="Y92:AB92"/>
    <mergeCell ref="B1:Y1"/>
    <mergeCell ref="B6:C8"/>
    <mergeCell ref="I7:L7"/>
    <mergeCell ref="M92:P92"/>
    <mergeCell ref="Q92:T92"/>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14" t="s">
        <v>385</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c r="AD1" s="182"/>
      <c r="AE1" s="182"/>
      <c r="AF1" s="182"/>
      <c r="AG1" s="182"/>
    </row>
    <row r="2" spans="2:43" ht="14.25" customHeight="1" x14ac:dyDescent="0.35">
      <c r="B2" s="1353" t="s">
        <v>386</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c r="AD2" s="209"/>
      <c r="AE2" s="209"/>
      <c r="AF2" s="209"/>
      <c r="AG2" s="209"/>
    </row>
    <row r="3" spans="2:43" ht="9" customHeight="1"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c r="AD3" s="209"/>
      <c r="AE3" s="209"/>
      <c r="AF3" s="209"/>
      <c r="AG3" s="209"/>
    </row>
    <row r="4" spans="2:43" ht="27" customHeight="1"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c r="AD4" s="209"/>
      <c r="AE4" s="209"/>
      <c r="AF4" s="209"/>
      <c r="AG4" s="209"/>
      <c r="AI4" s="459"/>
      <c r="AJ4" s="459"/>
      <c r="AK4" s="459"/>
      <c r="AL4" s="459"/>
      <c r="AM4" s="459"/>
      <c r="AN4" s="459"/>
      <c r="AO4" s="459"/>
      <c r="AP4" s="459"/>
      <c r="AQ4" s="459"/>
    </row>
    <row r="5" spans="2:43" x14ac:dyDescent="0.35">
      <c r="B5" s="249"/>
      <c r="AC5" s="193"/>
      <c r="AD5" s="193"/>
      <c r="AE5" s="193"/>
      <c r="AF5" s="193"/>
      <c r="AG5" s="193"/>
      <c r="AH5" s="193"/>
      <c r="AI5" s="193"/>
      <c r="AJ5" s="193"/>
    </row>
    <row r="6" spans="2:43" ht="14.9" customHeight="1" x14ac:dyDescent="0.35">
      <c r="B6" s="1365" t="s">
        <v>279</v>
      </c>
      <c r="C6" s="1366"/>
      <c r="D6" s="1373" t="s">
        <v>280</v>
      </c>
      <c r="E6" s="1374"/>
      <c r="F6" s="1374"/>
      <c r="G6" s="1374"/>
      <c r="H6" s="1374"/>
      <c r="I6" s="1374"/>
      <c r="J6" s="1374"/>
      <c r="K6" s="1374"/>
      <c r="L6" s="1374"/>
      <c r="M6" s="1374"/>
      <c r="N6" s="1374"/>
      <c r="O6" s="1374"/>
      <c r="P6" s="1374"/>
      <c r="Q6" s="1374"/>
      <c r="R6" s="1374"/>
      <c r="S6" s="1374"/>
      <c r="T6" s="1374"/>
      <c r="U6" s="1375"/>
      <c r="V6" s="1368"/>
      <c r="W6" s="1363" t="s">
        <v>281</v>
      </c>
      <c r="X6" s="1364"/>
      <c r="Y6" s="1362"/>
      <c r="Z6" s="1362"/>
      <c r="AA6" s="1362"/>
      <c r="AB6" s="1362"/>
      <c r="AC6" s="1362"/>
      <c r="AD6" s="1362"/>
      <c r="AE6" s="1362"/>
      <c r="AF6" s="1362"/>
      <c r="AG6" s="1362"/>
    </row>
    <row r="7" spans="2:43" ht="14.9" customHeight="1" x14ac:dyDescent="0.35">
      <c r="B7" s="1367"/>
      <c r="C7" s="1368"/>
      <c r="D7" s="407">
        <v>2018</v>
      </c>
      <c r="E7" s="1369">
        <v>2019</v>
      </c>
      <c r="F7" s="1370"/>
      <c r="G7" s="1370"/>
      <c r="H7" s="1371"/>
      <c r="I7" s="1369">
        <v>2020</v>
      </c>
      <c r="J7" s="1370"/>
      <c r="K7" s="1370"/>
      <c r="L7" s="1370"/>
      <c r="M7" s="1369">
        <v>2021</v>
      </c>
      <c r="N7" s="1370"/>
      <c r="O7" s="1370"/>
      <c r="P7" s="1370"/>
      <c r="Q7" s="1369">
        <v>2022</v>
      </c>
      <c r="R7" s="1372"/>
      <c r="S7" s="1372"/>
      <c r="T7" s="1372"/>
      <c r="U7" s="201"/>
      <c r="V7" s="256">
        <v>2023</v>
      </c>
      <c r="W7" s="258"/>
      <c r="X7" s="226"/>
      <c r="Y7" s="1326">
        <v>2024</v>
      </c>
      <c r="Z7" s="1337"/>
      <c r="AA7" s="1337"/>
      <c r="AB7" s="1327"/>
      <c r="AC7" s="1325">
        <v>2025</v>
      </c>
      <c r="AD7" s="1326"/>
      <c r="AE7" s="1326"/>
      <c r="AF7" s="1326"/>
      <c r="AG7" s="213">
        <v>2026</v>
      </c>
    </row>
    <row r="8" spans="2:43" x14ac:dyDescent="0.35">
      <c r="B8" s="1367"/>
      <c r="C8" s="1368"/>
      <c r="D8" s="440" t="s">
        <v>282</v>
      </c>
      <c r="E8" s="440" t="s">
        <v>283</v>
      </c>
      <c r="F8" s="414" t="s">
        <v>284</v>
      </c>
      <c r="G8" s="414" t="s">
        <v>238</v>
      </c>
      <c r="H8" s="441" t="s">
        <v>282</v>
      </c>
      <c r="I8" s="414" t="s">
        <v>283</v>
      </c>
      <c r="J8" s="414" t="s">
        <v>284</v>
      </c>
      <c r="K8" s="414" t="s">
        <v>238</v>
      </c>
      <c r="L8" s="414" t="s">
        <v>282</v>
      </c>
      <c r="M8" s="440" t="s">
        <v>283</v>
      </c>
      <c r="N8" s="414" t="s">
        <v>284</v>
      </c>
      <c r="O8" s="414" t="s">
        <v>238</v>
      </c>
      <c r="P8" s="414" t="s">
        <v>282</v>
      </c>
      <c r="Q8" s="440" t="s">
        <v>283</v>
      </c>
      <c r="R8" s="414" t="s">
        <v>284</v>
      </c>
      <c r="S8" s="414" t="s">
        <v>238</v>
      </c>
      <c r="T8" s="414" t="s">
        <v>282</v>
      </c>
      <c r="U8" s="149" t="s">
        <v>283</v>
      </c>
      <c r="V8" s="140" t="s">
        <v>284</v>
      </c>
      <c r="W8" s="280" t="s">
        <v>238</v>
      </c>
      <c r="X8" s="399" t="s">
        <v>282</v>
      </c>
      <c r="Y8" s="236" t="s">
        <v>283</v>
      </c>
      <c r="Z8" s="233" t="s">
        <v>284</v>
      </c>
      <c r="AA8" s="236" t="s">
        <v>238</v>
      </c>
      <c r="AB8" s="236" t="s">
        <v>282</v>
      </c>
      <c r="AC8" s="400" t="s">
        <v>283</v>
      </c>
      <c r="AD8" s="289" t="s">
        <v>284</v>
      </c>
      <c r="AE8" s="236" t="s">
        <v>238</v>
      </c>
      <c r="AF8" s="236" t="s">
        <v>282</v>
      </c>
      <c r="AG8" s="238" t="s">
        <v>283</v>
      </c>
    </row>
    <row r="9" spans="2:43" ht="18" customHeight="1" x14ac:dyDescent="0.35">
      <c r="B9" s="432" t="s">
        <v>1913</v>
      </c>
      <c r="C9" s="433"/>
      <c r="D9" s="434"/>
      <c r="E9" s="434"/>
      <c r="F9" s="434"/>
      <c r="G9" s="434"/>
      <c r="H9" s="434"/>
      <c r="I9" s="434"/>
      <c r="J9" s="434"/>
      <c r="K9" s="434"/>
      <c r="L9" s="434"/>
      <c r="M9" s="434"/>
      <c r="N9" s="434"/>
      <c r="O9" s="434"/>
      <c r="P9" s="434"/>
      <c r="Q9" s="401">
        <v>1613.1</v>
      </c>
      <c r="R9" s="401">
        <v>1622.7</v>
      </c>
      <c r="S9" s="401">
        <v>1657.1</v>
      </c>
      <c r="T9" s="401">
        <v>1693.8</v>
      </c>
      <c r="U9" s="401">
        <v>1739.9</v>
      </c>
      <c r="V9" s="401">
        <v>1748.3</v>
      </c>
      <c r="W9" s="402">
        <v>1760.1</v>
      </c>
      <c r="X9" s="402">
        <v>1773.6</v>
      </c>
      <c r="Y9" s="402">
        <v>1785.5</v>
      </c>
      <c r="Z9" s="402">
        <v>1803.2</v>
      </c>
      <c r="AA9" s="402">
        <v>1817.2</v>
      </c>
      <c r="AB9" s="402">
        <v>1829.8</v>
      </c>
      <c r="AC9" s="402">
        <v>1841.3</v>
      </c>
      <c r="AD9" s="402">
        <v>1853.9</v>
      </c>
      <c r="AE9" s="402">
        <v>1867.1</v>
      </c>
      <c r="AF9" s="402">
        <v>1881.5</v>
      </c>
      <c r="AG9" s="408"/>
    </row>
    <row r="10" spans="2:43" ht="17.25" customHeight="1" x14ac:dyDescent="0.35">
      <c r="B10" s="439" t="s">
        <v>1914</v>
      </c>
      <c r="C10" s="429"/>
      <c r="D10" s="429"/>
      <c r="E10" s="429"/>
      <c r="F10" s="429"/>
      <c r="G10" s="429"/>
      <c r="H10" s="430"/>
      <c r="I10" s="430"/>
      <c r="J10" s="430"/>
      <c r="K10" s="430"/>
      <c r="L10" s="430"/>
      <c r="M10" s="430"/>
      <c r="N10" s="430"/>
      <c r="O10" s="430"/>
      <c r="P10" s="430"/>
      <c r="Q10" s="193">
        <v>8.6999999999999994E-2</v>
      </c>
      <c r="R10" s="193">
        <v>2.3969999999999998</v>
      </c>
      <c r="S10" s="193">
        <v>8.7430000000000003</v>
      </c>
      <c r="T10" s="193">
        <v>9.1549999999999994</v>
      </c>
      <c r="U10" s="193">
        <v>11.35</v>
      </c>
      <c r="V10" s="193">
        <v>1.9379999999999999</v>
      </c>
      <c r="W10" s="199">
        <v>2.72</v>
      </c>
      <c r="X10" s="199">
        <v>3.1190000000000002</v>
      </c>
      <c r="Y10" s="199">
        <v>2.7029999999999998</v>
      </c>
      <c r="Z10" s="199">
        <v>4.0229999999999997</v>
      </c>
      <c r="AA10" s="199">
        <v>3.1320000000000001</v>
      </c>
      <c r="AB10" s="199">
        <v>2.8050000000000002</v>
      </c>
      <c r="AC10" s="199">
        <v>2.5409999999999999</v>
      </c>
      <c r="AD10" s="199"/>
      <c r="AE10" s="199">
        <v>2.8650000000000002</v>
      </c>
      <c r="AF10" s="199">
        <v>3.1269999999999998</v>
      </c>
      <c r="AG10" s="409"/>
    </row>
    <row r="11" spans="2:43" ht="17.25" customHeight="1" x14ac:dyDescent="0.35">
      <c r="B11" s="439" t="s">
        <v>1912</v>
      </c>
      <c r="C11" s="429"/>
      <c r="D11" s="429"/>
      <c r="E11" s="429"/>
      <c r="F11" s="429"/>
      <c r="G11" s="429"/>
      <c r="H11" s="430"/>
      <c r="I11" s="430"/>
      <c r="J11" s="430"/>
      <c r="K11" s="430"/>
      <c r="L11" s="430"/>
      <c r="M11" s="430"/>
      <c r="N11" s="430"/>
      <c r="O11" s="430"/>
      <c r="P11" s="430"/>
      <c r="Q11" s="415"/>
      <c r="R11" s="415"/>
      <c r="S11" s="415"/>
      <c r="T11" s="415"/>
      <c r="U11" s="415"/>
      <c r="V11" s="415">
        <v>0</v>
      </c>
      <c r="W11" s="409">
        <v>4.3</v>
      </c>
      <c r="X11" s="409">
        <v>2.5</v>
      </c>
      <c r="Y11" s="409">
        <v>2.5</v>
      </c>
      <c r="Z11" s="409">
        <v>2.5</v>
      </c>
      <c r="AA11" s="409">
        <v>2.5</v>
      </c>
      <c r="AB11" s="409">
        <v>2</v>
      </c>
      <c r="AC11" s="409">
        <v>2</v>
      </c>
      <c r="AD11" s="409">
        <f>AD10</f>
        <v>0</v>
      </c>
      <c r="AE11" s="409">
        <f>AE10</f>
        <v>2.8650000000000002</v>
      </c>
      <c r="AF11" s="409">
        <f>AF10</f>
        <v>3.1269999999999998</v>
      </c>
      <c r="AG11" s="403"/>
      <c r="AH11" t="s">
        <v>1899</v>
      </c>
    </row>
    <row r="12" spans="2:43" ht="17.25" customHeight="1" x14ac:dyDescent="0.35">
      <c r="B12" s="447" t="s">
        <v>195</v>
      </c>
      <c r="C12" s="429" t="s">
        <v>914</v>
      </c>
      <c r="D12" s="429"/>
      <c r="E12" s="429"/>
      <c r="F12" s="429"/>
      <c r="G12" s="429"/>
      <c r="H12" s="415">
        <f>'Haver Pivoted'!GS23</f>
        <v>1437.7</v>
      </c>
      <c r="I12" s="415">
        <f>'Haver Pivoted'!GT23</f>
        <v>1455.6</v>
      </c>
      <c r="J12" s="415">
        <f>'Haver Pivoted'!GU23</f>
        <v>1560</v>
      </c>
      <c r="K12" s="415">
        <f>'Haver Pivoted'!GV23</f>
        <v>1525.3</v>
      </c>
      <c r="L12" s="415">
        <f>'Haver Pivoted'!GW23</f>
        <v>1541.3</v>
      </c>
      <c r="M12" s="415">
        <f>'Haver Pivoted'!GX23</f>
        <v>1620.3</v>
      </c>
      <c r="N12" s="415">
        <f>'Haver Pivoted'!GY23</f>
        <v>1608</v>
      </c>
      <c r="O12" s="415">
        <f>'Haver Pivoted'!GZ23</f>
        <v>1595.5</v>
      </c>
      <c r="P12" s="415">
        <f>'Haver Pivoted'!HA23</f>
        <v>1612.8</v>
      </c>
      <c r="Q12" s="415">
        <f>'Haver Pivoted'!HB23</f>
        <v>1613.1</v>
      </c>
      <c r="R12" s="415">
        <f>'Haver Pivoted'!HC23</f>
        <v>1622.7</v>
      </c>
      <c r="S12" s="431">
        <f>'Haver Pivoted'!HD23</f>
        <v>1657.1</v>
      </c>
      <c r="T12" s="431">
        <f>'Haver Pivoted'!HE23</f>
        <v>1693.8</v>
      </c>
      <c r="U12" s="415">
        <f>'Haver Pivoted'!HF23</f>
        <v>1732.1</v>
      </c>
      <c r="V12" s="415">
        <f>'Haver Pivoted'!HG23</f>
        <v>1747.4</v>
      </c>
      <c r="W12" s="411">
        <f t="shared" ref="W12:AB12" si="0">(1+(W11/100))^(1/4)*V12</f>
        <v>1765.8890292912815</v>
      </c>
      <c r="X12" s="411">
        <f t="shared" si="0"/>
        <v>1776.8238491443915</v>
      </c>
      <c r="Y12" s="411">
        <f t="shared" si="0"/>
        <v>1787.8263800955583</v>
      </c>
      <c r="Z12" s="411">
        <f t="shared" si="0"/>
        <v>1798.8970414285802</v>
      </c>
      <c r="AA12" s="411">
        <f t="shared" si="0"/>
        <v>1810.0362550235641</v>
      </c>
      <c r="AB12" s="411">
        <f t="shared" si="0"/>
        <v>1819.0193411022642</v>
      </c>
      <c r="AC12" s="411">
        <f>(1+(AC11/100))^(1/4)*AB12</f>
        <v>1828.047009622489</v>
      </c>
      <c r="AD12" s="411">
        <f>(1+(AD11/100))^(1/4)*AC12</f>
        <v>1828.047009622489</v>
      </c>
      <c r="AE12" s="411">
        <f t="shared" ref="AE12:AF12" si="1">(1+(AE11/100))^(1/4)*AD12</f>
        <v>1841.0020299034832</v>
      </c>
      <c r="AF12" s="411">
        <f t="shared" si="1"/>
        <v>1855.2283124322175</v>
      </c>
      <c r="AG12" s="404">
        <f>(1+(AG11/100))^(1/4)*AF12</f>
        <v>1855.2283124322175</v>
      </c>
    </row>
    <row r="13" spans="2:43" x14ac:dyDescent="0.35">
      <c r="B13" s="442" t="s">
        <v>387</v>
      </c>
      <c r="C13" s="443"/>
      <c r="D13" s="443"/>
      <c r="E13" s="443"/>
      <c r="F13" s="443"/>
      <c r="G13" s="443"/>
      <c r="H13" s="446">
        <f t="shared" ref="H13:AB13" si="2">H12+H49</f>
        <v>1715.8720000000001</v>
      </c>
      <c r="I13" s="446">
        <f t="shared" si="2"/>
        <v>1741.471</v>
      </c>
      <c r="J13" s="446">
        <f t="shared" si="2"/>
        <v>1961.299</v>
      </c>
      <c r="K13" s="446">
        <f t="shared" si="2"/>
        <v>1901.492</v>
      </c>
      <c r="L13" s="446">
        <f t="shared" si="2"/>
        <v>1906.6610000000001</v>
      </c>
      <c r="M13" s="446">
        <f t="shared" si="2"/>
        <v>2009.6410000000001</v>
      </c>
      <c r="N13" s="446">
        <f t="shared" si="2"/>
        <v>2044.5930000000001</v>
      </c>
      <c r="O13" s="446">
        <f t="shared" si="2"/>
        <v>2039.836</v>
      </c>
      <c r="P13" s="446">
        <f t="shared" si="2"/>
        <v>2086.861852</v>
      </c>
      <c r="Q13" s="446">
        <f t="shared" si="2"/>
        <v>2124.0872747999997</v>
      </c>
      <c r="R13" s="446">
        <f t="shared" si="2"/>
        <v>2203.0890319999999</v>
      </c>
      <c r="S13" s="445">
        <f t="shared" si="2"/>
        <v>2224.8278679999999</v>
      </c>
      <c r="T13" s="445">
        <f t="shared" si="2"/>
        <v>2224.824928</v>
      </c>
      <c r="U13" s="416">
        <f t="shared" si="2"/>
        <v>2256.9055432</v>
      </c>
      <c r="V13" s="416">
        <f t="shared" si="2"/>
        <v>2261.7517200000002</v>
      </c>
      <c r="W13" s="410">
        <f t="shared" si="2"/>
        <v>2276.612119521646</v>
      </c>
      <c r="X13" s="410">
        <f t="shared" si="2"/>
        <v>2289.4450741744345</v>
      </c>
      <c r="Y13" s="444">
        <f t="shared" si="2"/>
        <v>2288.9149388526589</v>
      </c>
      <c r="Z13" s="444">
        <f t="shared" si="2"/>
        <v>2279.9996304285801</v>
      </c>
      <c r="AA13" s="444">
        <f t="shared" si="2"/>
        <v>2295.4737566231433</v>
      </c>
      <c r="AB13" s="444">
        <f t="shared" si="2"/>
        <v>2310.6754214735092</v>
      </c>
      <c r="AC13" s="410">
        <f>AC12+AC49</f>
        <v>2302.7444712498736</v>
      </c>
      <c r="AD13" s="410"/>
      <c r="AE13" s="410"/>
      <c r="AF13" s="410"/>
      <c r="AG13" s="410"/>
      <c r="AH13" s="202" t="s">
        <v>388</v>
      </c>
    </row>
    <row r="14" spans="2:43" ht="15.75" customHeight="1" x14ac:dyDescent="0.35">
      <c r="B14" s="211"/>
      <c r="C14" s="211"/>
      <c r="D14" s="211"/>
      <c r="E14" s="211"/>
      <c r="F14" s="211"/>
      <c r="G14" s="211"/>
      <c r="H14" s="214"/>
      <c r="I14" s="214"/>
      <c r="J14" s="214"/>
      <c r="K14" s="214"/>
      <c r="L14" s="214"/>
      <c r="M14" s="214"/>
      <c r="N14" s="214"/>
      <c r="O14" s="214"/>
      <c r="AC14" s="295"/>
      <c r="AD14" s="295"/>
      <c r="AH14" s="202"/>
    </row>
    <row r="15" spans="2:43" x14ac:dyDescent="0.35">
      <c r="B15" s="211"/>
      <c r="C15" s="211"/>
      <c r="D15" s="211"/>
      <c r="E15" s="211"/>
      <c r="F15" s="211"/>
      <c r="G15" s="211"/>
      <c r="H15" s="214"/>
      <c r="I15" s="214"/>
      <c r="J15" s="214"/>
      <c r="K15" s="214"/>
      <c r="L15" s="214"/>
      <c r="M15" s="214"/>
      <c r="N15" s="214"/>
      <c r="O15" s="214"/>
      <c r="P15" s="454"/>
      <c r="Q15" s="454"/>
      <c r="R15" s="454"/>
      <c r="S15" s="454"/>
      <c r="T15" s="454"/>
      <c r="U15" s="454"/>
      <c r="V15" s="454"/>
      <c r="W15" s="454"/>
      <c r="X15" s="454"/>
      <c r="Y15" s="454"/>
      <c r="Z15" s="454"/>
      <c r="AA15" s="454"/>
      <c r="AB15" s="454"/>
      <c r="AC15" s="454"/>
      <c r="AD15" s="454"/>
      <c r="AE15" s="454"/>
      <c r="AF15" s="454"/>
      <c r="AG15" s="454"/>
    </row>
    <row r="16" spans="2:43" ht="21.75" customHeight="1" x14ac:dyDescent="0.35">
      <c r="B16" s="1314" t="s">
        <v>165</v>
      </c>
      <c r="C16" s="1314"/>
      <c r="D16" s="1314"/>
      <c r="E16" s="1314"/>
      <c r="F16" s="1314"/>
      <c r="G16" s="1314"/>
      <c r="H16" s="1314"/>
      <c r="I16" s="1314"/>
      <c r="J16" s="1314"/>
      <c r="K16" s="1314"/>
      <c r="L16" s="1314"/>
      <c r="M16" s="1314"/>
      <c r="N16" s="1314"/>
      <c r="O16" s="1314"/>
      <c r="P16" s="1314"/>
      <c r="Q16" s="1314"/>
      <c r="R16" s="1314"/>
      <c r="S16" s="1314"/>
      <c r="T16" s="1314"/>
      <c r="U16" s="1314"/>
      <c r="V16" s="1314"/>
      <c r="W16" s="1314"/>
      <c r="X16" s="1314"/>
      <c r="Y16" s="1314"/>
      <c r="Z16" s="1314"/>
      <c r="AA16" s="1314"/>
      <c r="AB16" s="1314"/>
      <c r="AC16" s="1314"/>
      <c r="AD16" s="182"/>
      <c r="AE16" s="182"/>
      <c r="AF16" s="182"/>
      <c r="AG16" s="182"/>
      <c r="AI16" s="151"/>
    </row>
    <row r="17" spans="2:35" ht="14.25" customHeight="1" x14ac:dyDescent="0.35">
      <c r="B17" s="1315" t="s">
        <v>389</v>
      </c>
      <c r="C17" s="1315"/>
      <c r="D17" s="1315"/>
      <c r="E17" s="1315"/>
      <c r="F17" s="1315"/>
      <c r="G17" s="1315"/>
      <c r="H17" s="1315"/>
      <c r="I17" s="1315"/>
      <c r="J17" s="1315"/>
      <c r="K17" s="1315"/>
      <c r="L17" s="1315"/>
      <c r="M17" s="1315"/>
      <c r="N17" s="1315"/>
      <c r="O17" s="1315"/>
      <c r="P17" s="1315"/>
      <c r="Q17" s="1315"/>
      <c r="R17" s="1315"/>
      <c r="S17" s="1315"/>
      <c r="T17" s="1315"/>
      <c r="U17" s="1315"/>
      <c r="V17" s="1315"/>
      <c r="W17" s="1315"/>
      <c r="X17" s="1315"/>
      <c r="Y17" s="1315"/>
      <c r="Z17" s="1315"/>
      <c r="AA17" s="1315"/>
      <c r="AB17" s="1315"/>
      <c r="AC17" s="1315"/>
      <c r="AD17" s="183"/>
      <c r="AE17" s="183"/>
      <c r="AF17" s="183"/>
      <c r="AG17" s="183"/>
      <c r="AI17" s="151"/>
    </row>
    <row r="18" spans="2:35" x14ac:dyDescent="0.35">
      <c r="B18" s="1315"/>
      <c r="C18" s="1315"/>
      <c r="D18" s="1315"/>
      <c r="E18" s="1315"/>
      <c r="F18" s="1315"/>
      <c r="G18" s="1315"/>
      <c r="H18" s="1315"/>
      <c r="I18" s="1315"/>
      <c r="J18" s="1315"/>
      <c r="K18" s="1315"/>
      <c r="L18" s="1315"/>
      <c r="M18" s="1315"/>
      <c r="N18" s="1315"/>
      <c r="O18" s="1315"/>
      <c r="P18" s="1315"/>
      <c r="Q18" s="1315"/>
      <c r="R18" s="1315"/>
      <c r="S18" s="1315"/>
      <c r="T18" s="1315"/>
      <c r="U18" s="1315"/>
      <c r="V18" s="1315"/>
      <c r="W18" s="1315"/>
      <c r="X18" s="1315"/>
      <c r="Y18" s="1315"/>
      <c r="Z18" s="1315"/>
      <c r="AA18" s="1315"/>
      <c r="AB18" s="1315"/>
      <c r="AC18" s="1315"/>
      <c r="AD18" s="183"/>
      <c r="AE18" s="183"/>
      <c r="AF18" s="183"/>
      <c r="AG18" s="183"/>
    </row>
    <row r="19" spans="2:35" x14ac:dyDescent="0.35">
      <c r="B19" s="1315"/>
      <c r="C19" s="1315"/>
      <c r="D19" s="1315"/>
      <c r="E19" s="1315"/>
      <c r="F19" s="1315"/>
      <c r="G19" s="1315"/>
      <c r="H19" s="1315"/>
      <c r="I19" s="1315"/>
      <c r="J19" s="1315"/>
      <c r="K19" s="1315"/>
      <c r="L19" s="1315"/>
      <c r="M19" s="1315"/>
      <c r="N19" s="1315"/>
      <c r="O19" s="1315"/>
      <c r="P19" s="1315"/>
      <c r="Q19" s="1315"/>
      <c r="R19" s="1315"/>
      <c r="S19" s="1315"/>
      <c r="T19" s="1315"/>
      <c r="U19" s="1315"/>
      <c r="V19" s="1315"/>
      <c r="W19" s="1315"/>
      <c r="X19" s="1315"/>
      <c r="Y19" s="1315"/>
      <c r="Z19" s="1315"/>
      <c r="AA19" s="1315"/>
      <c r="AB19" s="1315"/>
      <c r="AC19" s="1315"/>
      <c r="AD19" s="183"/>
      <c r="AE19" s="183"/>
      <c r="AF19" s="183"/>
      <c r="AG19" s="183"/>
    </row>
    <row r="21" spans="2:35" x14ac:dyDescent="0.35">
      <c r="B21" s="1319" t="s">
        <v>279</v>
      </c>
      <c r="C21" s="1320"/>
      <c r="D21" s="1321" t="s">
        <v>280</v>
      </c>
      <c r="E21" s="1336"/>
      <c r="F21" s="1336"/>
      <c r="G21" s="1336"/>
      <c r="H21" s="1336"/>
      <c r="I21" s="1336"/>
      <c r="J21" s="1336"/>
      <c r="K21" s="1336"/>
      <c r="L21" s="1336"/>
      <c r="M21" s="1336"/>
      <c r="N21" s="1336"/>
      <c r="O21" s="1336"/>
      <c r="P21" s="1336"/>
      <c r="Q21" s="1336"/>
      <c r="R21" s="1336"/>
      <c r="S21" s="1336"/>
      <c r="T21" s="1336"/>
      <c r="U21" s="1336"/>
      <c r="V21" s="1336"/>
      <c r="W21" s="1364" t="s">
        <v>281</v>
      </c>
      <c r="X21" s="1364"/>
      <c r="Y21" s="1364"/>
      <c r="Z21" s="1364"/>
      <c r="AA21" s="1364"/>
      <c r="AB21" s="1364"/>
      <c r="AC21" s="1364"/>
      <c r="AD21" s="1364"/>
      <c r="AE21" s="1364"/>
      <c r="AF21" s="1364"/>
      <c r="AG21" s="1364"/>
    </row>
    <row r="22" spans="2:35" x14ac:dyDescent="0.35">
      <c r="B22" s="1321"/>
      <c r="C22" s="1322"/>
      <c r="D22" s="142">
        <v>2018</v>
      </c>
      <c r="E22" s="1310">
        <v>2019</v>
      </c>
      <c r="F22" s="1311"/>
      <c r="G22" s="1311"/>
      <c r="H22" s="1329"/>
      <c r="I22" s="1310">
        <v>2020</v>
      </c>
      <c r="J22" s="1311"/>
      <c r="K22" s="1311"/>
      <c r="L22" s="1311"/>
      <c r="M22" s="1310">
        <v>2021</v>
      </c>
      <c r="N22" s="1311"/>
      <c r="O22" s="1311"/>
      <c r="P22" s="1311"/>
      <c r="Q22" s="1310">
        <v>2022</v>
      </c>
      <c r="R22" s="1311"/>
      <c r="S22" s="1311"/>
      <c r="T22" s="1329"/>
      <c r="U22" s="201"/>
      <c r="V22" s="256">
        <v>2023</v>
      </c>
      <c r="W22" s="258"/>
      <c r="X22" s="226"/>
      <c r="Y22" s="1325">
        <v>2024</v>
      </c>
      <c r="Z22" s="1326"/>
      <c r="AA22" s="1326"/>
      <c r="AB22" s="1327"/>
      <c r="AC22" s="1325">
        <v>2025</v>
      </c>
      <c r="AD22" s="1326"/>
      <c r="AE22" s="1326"/>
      <c r="AF22" s="1327"/>
      <c r="AG22" s="213">
        <v>2026</v>
      </c>
    </row>
    <row r="23" spans="2:35" x14ac:dyDescent="0.35">
      <c r="B23" s="1321"/>
      <c r="C23" s="1322"/>
      <c r="D23" s="149" t="s">
        <v>282</v>
      </c>
      <c r="E23" s="149" t="s">
        <v>283</v>
      </c>
      <c r="F23" s="140" t="s">
        <v>284</v>
      </c>
      <c r="G23" s="140" t="s">
        <v>238</v>
      </c>
      <c r="H23" s="146" t="s">
        <v>282</v>
      </c>
      <c r="I23" s="140" t="s">
        <v>283</v>
      </c>
      <c r="J23" s="140" t="s">
        <v>284</v>
      </c>
      <c r="K23" s="140" t="s">
        <v>238</v>
      </c>
      <c r="L23" s="140" t="s">
        <v>282</v>
      </c>
      <c r="M23" s="149" t="s">
        <v>283</v>
      </c>
      <c r="N23" s="140" t="s">
        <v>284</v>
      </c>
      <c r="O23" s="140" t="s">
        <v>238</v>
      </c>
      <c r="P23" s="140" t="s">
        <v>282</v>
      </c>
      <c r="Q23" s="149" t="s">
        <v>283</v>
      </c>
      <c r="R23" s="140" t="s">
        <v>284</v>
      </c>
      <c r="S23" s="140" t="s">
        <v>238</v>
      </c>
      <c r="T23" s="146" t="s">
        <v>282</v>
      </c>
      <c r="U23" s="252" t="s">
        <v>283</v>
      </c>
      <c r="V23" s="253" t="s">
        <v>284</v>
      </c>
      <c r="W23" s="236" t="s">
        <v>238</v>
      </c>
      <c r="X23" s="237" t="s">
        <v>282</v>
      </c>
      <c r="Y23" s="235" t="s">
        <v>283</v>
      </c>
      <c r="Z23" s="233" t="s">
        <v>284</v>
      </c>
      <c r="AA23" s="236" t="s">
        <v>238</v>
      </c>
      <c r="AB23" s="237" t="s">
        <v>282</v>
      </c>
      <c r="AC23" s="235" t="s">
        <v>283</v>
      </c>
      <c r="AD23" s="233" t="s">
        <v>284</v>
      </c>
      <c r="AE23" s="236" t="s">
        <v>238</v>
      </c>
      <c r="AF23" s="237" t="s">
        <v>282</v>
      </c>
      <c r="AG23" s="238" t="s">
        <v>283</v>
      </c>
    </row>
    <row r="24" spans="2:35" x14ac:dyDescent="0.35">
      <c r="B24" s="461" t="s">
        <v>111</v>
      </c>
      <c r="C24" s="451" t="s">
        <v>390</v>
      </c>
      <c r="D24" s="451"/>
      <c r="E24" s="451"/>
      <c r="F24" s="451"/>
      <c r="G24" s="451"/>
      <c r="H24" s="421">
        <f>'Haver Pivoted'!GS24</f>
        <v>2384.1999999999998</v>
      </c>
      <c r="I24" s="421">
        <f>'Haver Pivoted'!GT24</f>
        <v>2427.4</v>
      </c>
      <c r="J24" s="421">
        <f>'Haver Pivoted'!GU24</f>
        <v>2391.8000000000002</v>
      </c>
      <c r="K24" s="421">
        <f>'Haver Pivoted'!GV24</f>
        <v>2397.6</v>
      </c>
      <c r="L24" s="421">
        <f>'Haver Pivoted'!GW24</f>
        <v>2416.5</v>
      </c>
      <c r="M24" s="421">
        <f>'Haver Pivoted'!GX24</f>
        <v>2468.4</v>
      </c>
      <c r="N24" s="421">
        <f>'Haver Pivoted'!GY24</f>
        <v>2516.4</v>
      </c>
      <c r="O24" s="421">
        <f>'Haver Pivoted'!GZ24</f>
        <v>2587.6</v>
      </c>
      <c r="P24" s="421">
        <f>'Haver Pivoted'!HA24</f>
        <v>2633.9</v>
      </c>
      <c r="Q24" s="421">
        <f>'Haver Pivoted'!HB24</f>
        <v>2698.2</v>
      </c>
      <c r="R24" s="421">
        <f>'Haver Pivoted'!HC24</f>
        <v>2790</v>
      </c>
      <c r="S24" s="438">
        <f>'Haver Pivoted'!HD24</f>
        <v>2836</v>
      </c>
      <c r="T24" s="438">
        <f>'Haver Pivoted'!HE24</f>
        <v>2881.6</v>
      </c>
      <c r="U24" s="189">
        <f>'Haver Pivoted'!HF24</f>
        <v>2917.7</v>
      </c>
      <c r="V24" s="189">
        <f>'Haver Pivoted'!HG24</f>
        <v>2938.9</v>
      </c>
      <c r="W24" s="197"/>
      <c r="X24" s="197"/>
      <c r="Y24" s="197"/>
      <c r="Z24" s="197"/>
      <c r="AA24" s="197"/>
      <c r="AB24" s="197"/>
      <c r="AC24" s="197"/>
      <c r="AD24" s="197"/>
      <c r="AE24" s="197"/>
      <c r="AF24" s="197"/>
      <c r="AG24" s="197"/>
    </row>
    <row r="25" spans="2:35" ht="29.25" customHeight="1" x14ac:dyDescent="0.35">
      <c r="B25" s="468" t="s">
        <v>1916</v>
      </c>
      <c r="C25" s="437"/>
      <c r="D25" s="437"/>
      <c r="E25" s="437"/>
      <c r="F25" s="437"/>
      <c r="G25" s="437"/>
      <c r="H25" s="214"/>
      <c r="I25" s="214"/>
      <c r="J25" s="214"/>
      <c r="K25" s="214"/>
      <c r="L25" s="214"/>
      <c r="M25" s="214"/>
      <c r="N25" s="214"/>
      <c r="O25" s="214"/>
      <c r="P25" s="214"/>
      <c r="Q25" s="401">
        <v>2698.2</v>
      </c>
      <c r="R25" s="401">
        <v>2790</v>
      </c>
      <c r="S25" s="401">
        <v>2836</v>
      </c>
      <c r="T25" s="401">
        <v>2881.6</v>
      </c>
      <c r="U25" s="401">
        <v>2914.9</v>
      </c>
      <c r="V25" s="401">
        <v>2937.5</v>
      </c>
      <c r="W25" s="402">
        <v>2965.6</v>
      </c>
      <c r="X25" s="402">
        <v>2999.3</v>
      </c>
      <c r="Y25" s="402">
        <v>3033.6</v>
      </c>
      <c r="Z25" s="402">
        <v>3065</v>
      </c>
      <c r="AA25" s="402">
        <v>3094.6</v>
      </c>
      <c r="AB25" s="402">
        <v>3122.8</v>
      </c>
      <c r="AC25" s="402">
        <v>3151.7</v>
      </c>
      <c r="AD25" s="402">
        <v>3180.3</v>
      </c>
      <c r="AE25" s="402">
        <v>3208.1</v>
      </c>
      <c r="AF25" s="402">
        <v>3236.5</v>
      </c>
      <c r="AG25" s="405"/>
    </row>
    <row r="26" spans="2:35" ht="21" customHeight="1" x14ac:dyDescent="0.35">
      <c r="B26" s="448" t="s">
        <v>391</v>
      </c>
      <c r="C26" s="211"/>
      <c r="D26" s="211"/>
      <c r="E26" s="211"/>
      <c r="F26" s="211"/>
      <c r="G26" s="211"/>
      <c r="H26" s="192"/>
      <c r="I26" s="192"/>
      <c r="J26" s="192"/>
      <c r="K26" s="192"/>
      <c r="L26" s="192"/>
      <c r="M26" s="435">
        <f>((M27/L27)^4-1)*100</f>
        <v>8.8716871433844435</v>
      </c>
      <c r="N26" s="435">
        <f t="shared" ref="N26:Q26" si="3">((N27/M27)^4-1)*100</f>
        <v>8.0081568848658691</v>
      </c>
      <c r="O26" s="435">
        <f t="shared" si="3"/>
        <v>11.807223761379305</v>
      </c>
      <c r="P26" s="435">
        <f t="shared" si="3"/>
        <v>7.3516092986590564</v>
      </c>
      <c r="Q26" s="435">
        <f t="shared" si="3"/>
        <v>10.128423587170188</v>
      </c>
      <c r="R26" s="435">
        <f>((R27/Q27)^4-1)*100</f>
        <v>14.319485516488072</v>
      </c>
      <c r="S26" s="417">
        <f>((S27/R27)^4-1)*100</f>
        <v>6.7598839303983915</v>
      </c>
      <c r="T26" s="417">
        <f>((T27/S27)^4-1)*100</f>
        <v>6.5883835073017982</v>
      </c>
      <c r="U26" s="417">
        <f>((U27/T27)^4-1)*100</f>
        <v>5.1060607696409521</v>
      </c>
      <c r="V26" s="192">
        <f t="shared" ref="V26:AA26" si="4">((V25/U25)^4-1)*100</f>
        <v>3.137561764114194</v>
      </c>
      <c r="W26" s="197">
        <f t="shared" si="4"/>
        <v>3.8816384841115825</v>
      </c>
      <c r="X26" s="197">
        <f t="shared" si="4"/>
        <v>4.6235225164990901</v>
      </c>
      <c r="Y26" s="197">
        <f t="shared" si="4"/>
        <v>4.6534699351762798</v>
      </c>
      <c r="Z26" s="197">
        <f t="shared" si="4"/>
        <v>4.2050227597890233</v>
      </c>
      <c r="AA26" s="197">
        <f t="shared" si="4"/>
        <v>3.9192896434245394</v>
      </c>
      <c r="AB26" s="197">
        <f>((AB25/AA25)^4-1)*100</f>
        <v>3.6951867222000168</v>
      </c>
      <c r="AC26" s="197">
        <f>((AC25/AB25)^4-1)*100</f>
        <v>3.7535114807866421</v>
      </c>
      <c r="AD26" s="197">
        <f t="shared" ref="AD26:AF26" si="5">((AD25/AC25)^4-1)*100</f>
        <v>3.6794942543737719</v>
      </c>
      <c r="AE26" s="197">
        <f t="shared" si="5"/>
        <v>3.5426395796165355</v>
      </c>
      <c r="AF26" s="197">
        <f t="shared" si="5"/>
        <v>3.5883358999715842</v>
      </c>
      <c r="AG26" s="179"/>
      <c r="AH26" s="459" t="s">
        <v>392</v>
      </c>
    </row>
    <row r="27" spans="2:35" ht="17.899999999999999" customHeight="1" x14ac:dyDescent="0.35">
      <c r="B27" s="466" t="s">
        <v>393</v>
      </c>
      <c r="C27" s="221"/>
      <c r="D27" s="221"/>
      <c r="E27" s="221"/>
      <c r="F27" s="221"/>
      <c r="G27" s="221"/>
      <c r="H27" s="217">
        <f t="shared" ref="H27:T27" si="6">H24</f>
        <v>2384.1999999999998</v>
      </c>
      <c r="I27" s="217">
        <f t="shared" si="6"/>
        <v>2427.4</v>
      </c>
      <c r="J27" s="217">
        <f t="shared" si="6"/>
        <v>2391.8000000000002</v>
      </c>
      <c r="K27" s="217">
        <f t="shared" si="6"/>
        <v>2397.6</v>
      </c>
      <c r="L27" s="217">
        <f t="shared" si="6"/>
        <v>2416.5</v>
      </c>
      <c r="M27" s="217">
        <f t="shared" si="6"/>
        <v>2468.4</v>
      </c>
      <c r="N27" s="217">
        <f t="shared" si="6"/>
        <v>2516.4</v>
      </c>
      <c r="O27" s="217">
        <f t="shared" si="6"/>
        <v>2587.6</v>
      </c>
      <c r="P27" s="217">
        <f t="shared" si="6"/>
        <v>2633.9</v>
      </c>
      <c r="Q27" s="217">
        <f t="shared" si="6"/>
        <v>2698.2</v>
      </c>
      <c r="R27" s="217">
        <f t="shared" si="6"/>
        <v>2790</v>
      </c>
      <c r="S27" s="191">
        <f t="shared" si="6"/>
        <v>2836</v>
      </c>
      <c r="T27" s="191">
        <f t="shared" si="6"/>
        <v>2881.6</v>
      </c>
      <c r="U27" s="191">
        <f>U24</f>
        <v>2917.7</v>
      </c>
      <c r="V27" s="191">
        <f>V24</f>
        <v>2938.9</v>
      </c>
      <c r="W27" s="418">
        <f>V27*((1+W26/100)^0.25)</f>
        <v>2967.0133923404255</v>
      </c>
      <c r="X27" s="418">
        <f t="shared" ref="X27:AA27" si="7">W27*((1+X26/100)^0.25)</f>
        <v>3000.7294536170216</v>
      </c>
      <c r="Y27" s="418">
        <f t="shared" si="7"/>
        <v>3035.0458008510641</v>
      </c>
      <c r="Z27" s="418">
        <f t="shared" si="7"/>
        <v>3066.4607659574476</v>
      </c>
      <c r="AA27" s="418">
        <f t="shared" si="7"/>
        <v>3096.0748731914896</v>
      </c>
      <c r="AB27" s="418">
        <f>AA27*((1+AB26/100)^0.25)</f>
        <v>3124.28831319149</v>
      </c>
      <c r="AC27" s="418">
        <f>AB27*((1+AC26/100)^0.25)</f>
        <v>3153.2020868085106</v>
      </c>
      <c r="AD27" s="418">
        <f>AC27*((1+AD26/100)^0.25)</f>
        <v>3181.8157174468088</v>
      </c>
      <c r="AE27" s="418">
        <f t="shared" ref="AE27:AF27" si="8">AD27*((1+AE26/100)^0.25)</f>
        <v>3209.6289668085105</v>
      </c>
      <c r="AF27" s="418">
        <f t="shared" si="8"/>
        <v>3238.0425021276596</v>
      </c>
      <c r="AG27" s="406"/>
    </row>
    <row r="28" spans="2:35" x14ac:dyDescent="0.35">
      <c r="B28" s="449" t="s">
        <v>394</v>
      </c>
      <c r="C28" s="450"/>
      <c r="D28" s="450"/>
      <c r="E28" s="450"/>
      <c r="F28" s="450"/>
      <c r="G28" s="450"/>
      <c r="H28" s="458">
        <f t="shared" ref="H28:P28" si="9">H24-H49</f>
        <v>2106.0279999999998</v>
      </c>
      <c r="I28" s="458">
        <f t="shared" si="9"/>
        <v>2141.529</v>
      </c>
      <c r="J28" s="458">
        <f t="shared" si="9"/>
        <v>1990.5010000000002</v>
      </c>
      <c r="K28" s="458">
        <f t="shared" si="9"/>
        <v>2021.4079999999999</v>
      </c>
      <c r="L28" s="458">
        <f t="shared" si="9"/>
        <v>2051.1390000000001</v>
      </c>
      <c r="M28" s="458">
        <f t="shared" si="9"/>
        <v>2079.0590000000002</v>
      </c>
      <c r="N28" s="458">
        <f t="shared" si="9"/>
        <v>2079.8069999999998</v>
      </c>
      <c r="O28" s="458">
        <f t="shared" si="9"/>
        <v>2143.2640000000001</v>
      </c>
      <c r="P28" s="458">
        <f t="shared" si="9"/>
        <v>2159.8381479999998</v>
      </c>
      <c r="Q28" s="458">
        <f t="shared" ref="Q28:AC28" si="10">Q27-Q49</f>
        <v>2187.2127252</v>
      </c>
      <c r="R28" s="458">
        <f t="shared" si="10"/>
        <v>2209.610968</v>
      </c>
      <c r="S28" s="458">
        <f t="shared" si="10"/>
        <v>2268.2721320000001</v>
      </c>
      <c r="T28" s="458">
        <f t="shared" si="10"/>
        <v>2350.5750720000001</v>
      </c>
      <c r="U28" s="458">
        <f t="shared" si="10"/>
        <v>2392.8944567999997</v>
      </c>
      <c r="V28" s="214">
        <f t="shared" si="10"/>
        <v>2424.54828</v>
      </c>
      <c r="W28" s="289">
        <f t="shared" si="10"/>
        <v>2456.290302110061</v>
      </c>
      <c r="X28" s="289">
        <f t="shared" si="10"/>
        <v>2488.1082285869784</v>
      </c>
      <c r="Y28" s="289">
        <f t="shared" si="10"/>
        <v>2533.9572420939635</v>
      </c>
      <c r="Z28" s="289">
        <f t="shared" si="10"/>
        <v>2585.3581769574475</v>
      </c>
      <c r="AA28" s="289">
        <f t="shared" si="10"/>
        <v>2610.6373715919103</v>
      </c>
      <c r="AB28" s="289">
        <f t="shared" si="10"/>
        <v>2632.632232820245</v>
      </c>
      <c r="AC28" s="289">
        <f t="shared" si="10"/>
        <v>2678.5046251811259</v>
      </c>
      <c r="AD28" s="289"/>
      <c r="AE28" s="289"/>
      <c r="AF28" s="289"/>
      <c r="AG28" s="289"/>
      <c r="AH28" s="202" t="s">
        <v>395</v>
      </c>
    </row>
    <row r="29" spans="2:35" x14ac:dyDescent="0.35">
      <c r="B29" s="35"/>
      <c r="C29" s="35"/>
      <c r="D29" s="35"/>
      <c r="E29" s="35"/>
      <c r="F29" s="35"/>
      <c r="G29" s="35"/>
      <c r="H29" s="35"/>
      <c r="I29" s="35"/>
      <c r="J29" s="35"/>
      <c r="K29" s="35"/>
      <c r="L29" s="35"/>
      <c r="M29" s="151"/>
      <c r="N29" s="151"/>
      <c r="O29" s="151"/>
      <c r="P29" s="151"/>
      <c r="Q29" s="151"/>
      <c r="R29" s="151"/>
      <c r="S29" s="79"/>
      <c r="T29" s="79"/>
      <c r="U29" s="79"/>
      <c r="V29" s="79"/>
      <c r="W29" s="79"/>
      <c r="X29" s="79"/>
      <c r="Y29" s="79"/>
      <c r="Z29" s="79"/>
      <c r="AA29" s="79"/>
      <c r="AB29" s="79"/>
      <c r="AC29" s="79"/>
      <c r="AD29" s="79"/>
      <c r="AE29" s="79"/>
      <c r="AF29" s="79"/>
      <c r="AG29" s="79"/>
    </row>
    <row r="30" spans="2:35" x14ac:dyDescent="0.35">
      <c r="B30" s="35"/>
      <c r="C30" s="35"/>
      <c r="D30" s="35"/>
      <c r="E30" s="35"/>
      <c r="F30" s="35"/>
      <c r="G30" s="35"/>
      <c r="H30" s="35"/>
      <c r="I30" s="35"/>
      <c r="J30" s="35"/>
      <c r="K30" s="35"/>
      <c r="L30" s="35"/>
      <c r="M30" s="151"/>
      <c r="N30" s="151"/>
      <c r="O30" s="151"/>
      <c r="P30" s="151"/>
      <c r="Q30" s="151"/>
      <c r="R30" s="151"/>
      <c r="S30" s="79"/>
      <c r="T30" s="79"/>
      <c r="U30" s="79"/>
      <c r="V30" s="79"/>
      <c r="W30" s="79"/>
      <c r="X30" s="79"/>
      <c r="Y30" s="79"/>
      <c r="Z30" s="79"/>
      <c r="AA30" s="79"/>
      <c r="AB30" s="79"/>
      <c r="AC30" s="79"/>
      <c r="AD30" s="79"/>
      <c r="AE30" s="79"/>
      <c r="AF30" s="79"/>
      <c r="AG30" s="79"/>
    </row>
    <row r="31" spans="2:35" x14ac:dyDescent="0.35">
      <c r="B31" s="211"/>
      <c r="C31" s="211"/>
      <c r="D31" s="211"/>
      <c r="E31" s="211"/>
      <c r="F31" s="211"/>
      <c r="G31" s="211"/>
      <c r="H31" s="214"/>
      <c r="I31" s="214"/>
      <c r="J31" s="214"/>
      <c r="K31" s="214"/>
      <c r="L31" s="214"/>
      <c r="M31" s="214"/>
      <c r="N31" s="214"/>
      <c r="O31" s="214"/>
      <c r="P31" s="214"/>
      <c r="Q31" s="455"/>
      <c r="R31" s="214"/>
      <c r="S31" s="214"/>
      <c r="T31" s="214"/>
      <c r="U31" s="214"/>
      <c r="V31" s="214"/>
      <c r="W31" s="214"/>
      <c r="X31" s="214"/>
      <c r="Y31" s="214"/>
      <c r="Z31" s="214"/>
    </row>
    <row r="32" spans="2:35" ht="85.4" customHeight="1" x14ac:dyDescent="0.35">
      <c r="B32" s="460" t="s">
        <v>886</v>
      </c>
      <c r="C32" s="465" t="s">
        <v>885</v>
      </c>
      <c r="D32" s="463">
        <v>44197</v>
      </c>
      <c r="E32" s="464">
        <v>44228</v>
      </c>
      <c r="F32" s="464">
        <v>44256</v>
      </c>
      <c r="G32" s="464">
        <v>44287</v>
      </c>
      <c r="H32" s="464">
        <v>44317</v>
      </c>
      <c r="I32" s="464">
        <v>44348</v>
      </c>
      <c r="J32" s="464">
        <v>44378</v>
      </c>
      <c r="K32" s="464">
        <v>44409</v>
      </c>
      <c r="L32" s="464">
        <v>44440</v>
      </c>
      <c r="M32" s="464">
        <v>44470</v>
      </c>
      <c r="N32" s="464">
        <v>44501</v>
      </c>
      <c r="O32" s="464">
        <v>44531</v>
      </c>
      <c r="P32" s="457">
        <v>44562</v>
      </c>
      <c r="Q32" s="456">
        <v>44593</v>
      </c>
      <c r="R32" s="457">
        <v>44621</v>
      </c>
      <c r="S32" s="457">
        <v>44652</v>
      </c>
      <c r="T32" s="457">
        <v>44682</v>
      </c>
      <c r="U32" s="457">
        <v>44713</v>
      </c>
      <c r="V32" s="457">
        <v>44743</v>
      </c>
      <c r="W32" s="457">
        <v>44774</v>
      </c>
      <c r="X32" s="457">
        <v>44805</v>
      </c>
      <c r="Y32" s="457">
        <v>44835</v>
      </c>
      <c r="Z32" s="457">
        <v>44866</v>
      </c>
      <c r="AA32" s="457">
        <v>44896</v>
      </c>
      <c r="AB32" s="457">
        <v>44927</v>
      </c>
      <c r="AC32" s="457">
        <v>44958</v>
      </c>
      <c r="AD32" s="412"/>
      <c r="AE32" s="412"/>
      <c r="AF32" s="412"/>
      <c r="AG32" s="412"/>
      <c r="AH32" s="457">
        <v>44986</v>
      </c>
    </row>
    <row r="33" spans="2:37" ht="19.5" customHeight="1" x14ac:dyDescent="0.35">
      <c r="B33" s="313" t="s">
        <v>396</v>
      </c>
      <c r="C33" s="453"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20">
        <v>5104</v>
      </c>
      <c r="Z33" s="421">
        <v>5116</v>
      </c>
      <c r="AA33" s="422">
        <v>5087</v>
      </c>
      <c r="AB33" s="422">
        <v>5156</v>
      </c>
      <c r="AC33" s="422">
        <v>5171</v>
      </c>
      <c r="AD33" s="422"/>
      <c r="AE33" s="422"/>
      <c r="AF33" s="422"/>
      <c r="AG33" s="422"/>
      <c r="AH33" s="424">
        <v>5184</v>
      </c>
    </row>
    <row r="34" spans="2:37" ht="18" customHeight="1" x14ac:dyDescent="0.35">
      <c r="B34" s="210" t="s">
        <v>398</v>
      </c>
      <c r="C34" s="202"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14">
        <v>14335</v>
      </c>
      <c r="AA34" s="295">
        <v>14370</v>
      </c>
      <c r="AB34" s="295">
        <v>14408</v>
      </c>
      <c r="AC34" s="295">
        <v>14444</v>
      </c>
      <c r="AD34" s="295"/>
      <c r="AE34" s="295"/>
      <c r="AF34" s="295"/>
      <c r="AG34" s="295"/>
      <c r="AH34" s="425">
        <v>14470</v>
      </c>
      <c r="AK34" s="202"/>
    </row>
    <row r="35" spans="2:37" ht="19.5" customHeight="1" x14ac:dyDescent="0.35">
      <c r="B35" s="449" t="s">
        <v>400</v>
      </c>
      <c r="C35" s="322"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58">
        <v>355898</v>
      </c>
      <c r="AA35" s="423">
        <v>359372</v>
      </c>
      <c r="AB35" s="423">
        <v>360187</v>
      </c>
      <c r="AC35" s="423">
        <v>359010</v>
      </c>
      <c r="AD35" s="423"/>
      <c r="AE35" s="423"/>
      <c r="AF35" s="423"/>
      <c r="AG35" s="423"/>
      <c r="AH35" s="426" t="s">
        <v>1885</v>
      </c>
      <c r="AK35" s="202"/>
    </row>
    <row r="36" spans="2:37" ht="15.65" customHeight="1" x14ac:dyDescent="0.35">
      <c r="B36" s="221"/>
      <c r="C36" s="211"/>
      <c r="D36" s="211"/>
      <c r="E36" s="211"/>
      <c r="F36" s="211"/>
      <c r="G36" s="211"/>
      <c r="H36" s="214"/>
      <c r="I36" s="214"/>
      <c r="J36" s="214"/>
      <c r="Q36" s="467"/>
      <c r="R36" s="214"/>
      <c r="S36" s="214"/>
      <c r="T36" s="214"/>
      <c r="U36" s="214"/>
      <c r="V36" s="214"/>
      <c r="W36" s="214"/>
      <c r="X36" s="214"/>
      <c r="Y36" s="214"/>
      <c r="Z36" s="214"/>
      <c r="AK36" s="202"/>
    </row>
    <row r="37" spans="2:37" ht="12.75" customHeight="1" x14ac:dyDescent="0.35">
      <c r="AK37" s="202"/>
    </row>
    <row r="38" spans="2:37" x14ac:dyDescent="0.35">
      <c r="B38" s="1314" t="s">
        <v>402</v>
      </c>
      <c r="C38" s="1314"/>
      <c r="D38" s="1314"/>
      <c r="E38" s="1314"/>
      <c r="F38" s="1314"/>
      <c r="G38" s="1314"/>
      <c r="H38" s="1314"/>
      <c r="I38" s="1314"/>
      <c r="J38" s="1314"/>
      <c r="K38" s="1314"/>
      <c r="L38" s="1314"/>
      <c r="M38" s="1314"/>
      <c r="N38" s="1314"/>
      <c r="O38" s="1314"/>
      <c r="P38" s="1314"/>
      <c r="Q38" s="1314"/>
      <c r="R38" s="1314"/>
      <c r="S38" s="1314"/>
      <c r="T38" s="1314"/>
      <c r="U38" s="1314"/>
      <c r="V38" s="1314"/>
      <c r="W38" s="1314"/>
      <c r="X38" s="1314"/>
      <c r="Y38" s="1314"/>
      <c r="Z38" s="1314"/>
      <c r="AA38" s="1314"/>
      <c r="AB38" s="1314"/>
      <c r="AC38" s="1314"/>
      <c r="AD38" s="182"/>
      <c r="AE38" s="182"/>
      <c r="AF38" s="182"/>
      <c r="AG38" s="182"/>
      <c r="AK38" s="202"/>
    </row>
    <row r="39" spans="2:37" ht="9" customHeight="1" x14ac:dyDescent="0.35">
      <c r="B39" s="1314"/>
      <c r="C39" s="1314"/>
      <c r="D39" s="1314"/>
      <c r="E39" s="1314"/>
      <c r="F39" s="1314"/>
      <c r="G39" s="1314"/>
      <c r="H39" s="1314"/>
      <c r="I39" s="1314"/>
      <c r="J39" s="1314"/>
      <c r="K39" s="1314"/>
      <c r="L39" s="1314"/>
      <c r="M39" s="1314"/>
      <c r="N39" s="1314"/>
      <c r="O39" s="1314"/>
      <c r="P39" s="1314"/>
      <c r="Q39" s="1314"/>
      <c r="R39" s="1314"/>
      <c r="S39" s="1314"/>
      <c r="T39" s="1314"/>
      <c r="U39" s="1314"/>
      <c r="V39" s="1314"/>
      <c r="W39" s="1314"/>
      <c r="X39" s="1314"/>
      <c r="Y39" s="1314"/>
      <c r="Z39" s="1314"/>
      <c r="AA39" s="1314"/>
      <c r="AB39" s="1314"/>
      <c r="AC39" s="1314"/>
      <c r="AD39" s="182"/>
      <c r="AE39" s="182"/>
      <c r="AF39" s="182"/>
      <c r="AG39" s="182"/>
      <c r="AK39" s="202"/>
    </row>
    <row r="40" spans="2:37" ht="14.25" customHeight="1" x14ac:dyDescent="0.35">
      <c r="B40" s="1376" t="s">
        <v>403</v>
      </c>
      <c r="C40" s="1376"/>
      <c r="D40" s="1376"/>
      <c r="E40" s="1376"/>
      <c r="F40" s="1376"/>
      <c r="G40" s="1376"/>
      <c r="H40" s="1376"/>
      <c r="I40" s="1376"/>
      <c r="J40" s="1376"/>
      <c r="K40" s="1376"/>
      <c r="L40" s="1376"/>
      <c r="M40" s="1376"/>
      <c r="N40" s="1376"/>
      <c r="O40" s="1376"/>
      <c r="P40" s="1376"/>
      <c r="Q40" s="1376"/>
      <c r="R40" s="1376"/>
      <c r="S40" s="1376"/>
      <c r="T40" s="1376"/>
      <c r="U40" s="1376"/>
      <c r="V40" s="1376"/>
      <c r="W40" s="1376"/>
      <c r="X40" s="1376"/>
      <c r="Y40" s="1376"/>
      <c r="Z40" s="1376"/>
      <c r="AA40" s="1376"/>
      <c r="AB40" s="1376"/>
      <c r="AC40" s="1376"/>
      <c r="AD40" s="343"/>
      <c r="AE40" s="343"/>
      <c r="AF40" s="343"/>
      <c r="AG40" s="343"/>
      <c r="AK40" s="202"/>
    </row>
    <row r="41" spans="2:37" x14ac:dyDescent="0.35">
      <c r="B41" s="1376"/>
      <c r="C41" s="1376"/>
      <c r="D41" s="1376"/>
      <c r="E41" s="1376"/>
      <c r="F41" s="1376"/>
      <c r="G41" s="1376"/>
      <c r="H41" s="1376"/>
      <c r="I41" s="1376"/>
      <c r="J41" s="1376"/>
      <c r="K41" s="1376"/>
      <c r="L41" s="1376"/>
      <c r="M41" s="1376"/>
      <c r="N41" s="1376"/>
      <c r="O41" s="1376"/>
      <c r="P41" s="1376"/>
      <c r="Q41" s="1376"/>
      <c r="R41" s="1376"/>
      <c r="S41" s="1376"/>
      <c r="T41" s="1376"/>
      <c r="U41" s="1376"/>
      <c r="V41" s="1376"/>
      <c r="W41" s="1376"/>
      <c r="X41" s="1376"/>
      <c r="Y41" s="1376"/>
      <c r="Z41" s="1376"/>
      <c r="AA41" s="1376"/>
      <c r="AB41" s="1376"/>
      <c r="AC41" s="1376"/>
      <c r="AD41" s="343"/>
      <c r="AE41" s="343"/>
      <c r="AF41" s="343"/>
      <c r="AG41" s="343"/>
      <c r="AK41" s="202"/>
    </row>
    <row r="42" spans="2:37" ht="8.9" customHeight="1" x14ac:dyDescent="0.35">
      <c r="B42" s="1376"/>
      <c r="C42" s="1376"/>
      <c r="D42" s="1376"/>
      <c r="E42" s="1376"/>
      <c r="F42" s="1376"/>
      <c r="G42" s="1376"/>
      <c r="H42" s="1376"/>
      <c r="I42" s="1376"/>
      <c r="J42" s="1376"/>
      <c r="K42" s="1376"/>
      <c r="L42" s="1376"/>
      <c r="M42" s="1376"/>
      <c r="N42" s="1376"/>
      <c r="O42" s="1376"/>
      <c r="P42" s="1376"/>
      <c r="Q42" s="1376"/>
      <c r="R42" s="1376"/>
      <c r="S42" s="1376"/>
      <c r="T42" s="1376"/>
      <c r="U42" s="1376"/>
      <c r="V42" s="1376"/>
      <c r="W42" s="1376"/>
      <c r="X42" s="1376"/>
      <c r="Y42" s="1376"/>
      <c r="Z42" s="1376"/>
      <c r="AA42" s="1376"/>
      <c r="AB42" s="1376"/>
      <c r="AC42" s="1376"/>
      <c r="AD42" s="343"/>
      <c r="AE42" s="343"/>
      <c r="AF42" s="343"/>
      <c r="AG42" s="343"/>
      <c r="AK42" s="202"/>
    </row>
    <row r="43" spans="2:37" ht="12.75" customHeight="1" x14ac:dyDescent="0.35">
      <c r="AK43" s="202"/>
    </row>
    <row r="44" spans="2:37" ht="30.75" customHeight="1" x14ac:dyDescent="0.35">
      <c r="B44" s="1319" t="s">
        <v>279</v>
      </c>
      <c r="C44" s="1377"/>
      <c r="D44" s="1323" t="s">
        <v>280</v>
      </c>
      <c r="E44" s="1335"/>
      <c r="F44" s="1335"/>
      <c r="G44" s="1335"/>
      <c r="H44" s="1335"/>
      <c r="I44" s="1335"/>
      <c r="J44" s="1335"/>
      <c r="K44" s="1335"/>
      <c r="L44" s="1335"/>
      <c r="M44" s="1335"/>
      <c r="N44" s="1335"/>
      <c r="O44" s="1335"/>
      <c r="P44" s="1335"/>
      <c r="Q44" s="1335"/>
      <c r="R44" s="1335"/>
      <c r="S44" s="1335"/>
      <c r="T44" s="1335"/>
      <c r="U44" s="1336"/>
      <c r="V44" s="1322"/>
      <c r="W44" s="1363" t="s">
        <v>281</v>
      </c>
      <c r="X44" s="1364"/>
      <c r="Y44" s="1364"/>
      <c r="Z44" s="1364"/>
      <c r="AA44" s="1364"/>
      <c r="AB44" s="1364"/>
      <c r="AC44" s="1364"/>
      <c r="AD44" s="1364"/>
      <c r="AE44" s="1364"/>
      <c r="AF44" s="1364"/>
      <c r="AG44" s="1364"/>
      <c r="AK44" s="202"/>
    </row>
    <row r="45" spans="2:37" x14ac:dyDescent="0.35">
      <c r="B45" s="1321"/>
      <c r="C45" s="1336"/>
      <c r="D45" s="142">
        <v>2018</v>
      </c>
      <c r="E45" s="1310">
        <v>2019</v>
      </c>
      <c r="F45" s="1328"/>
      <c r="G45" s="1328"/>
      <c r="H45" s="1329"/>
      <c r="I45" s="1310">
        <v>2020</v>
      </c>
      <c r="J45" s="1328"/>
      <c r="K45" s="1328"/>
      <c r="L45" s="1328"/>
      <c r="M45" s="1310">
        <v>2021</v>
      </c>
      <c r="N45" s="1328"/>
      <c r="O45" s="1328"/>
      <c r="P45" s="1328"/>
      <c r="Q45" s="1310">
        <v>2022</v>
      </c>
      <c r="R45" s="1311"/>
      <c r="S45" s="1311"/>
      <c r="T45" s="1311"/>
      <c r="U45" s="201"/>
      <c r="V45" s="256">
        <v>2023</v>
      </c>
      <c r="W45" s="258"/>
      <c r="X45" s="226"/>
      <c r="Y45" s="1325">
        <v>2024</v>
      </c>
      <c r="Z45" s="1326"/>
      <c r="AA45" s="1326"/>
      <c r="AB45" s="1327"/>
      <c r="AC45" s="1325">
        <v>2025</v>
      </c>
      <c r="AD45" s="1326"/>
      <c r="AE45" s="1326"/>
      <c r="AF45" s="1327"/>
      <c r="AG45" s="213">
        <v>2026</v>
      </c>
      <c r="AK45" s="202"/>
    </row>
    <row r="46" spans="2:37" x14ac:dyDescent="0.35">
      <c r="B46" s="1323"/>
      <c r="C46" s="1335"/>
      <c r="D46" s="149" t="s">
        <v>282</v>
      </c>
      <c r="E46" s="149" t="s">
        <v>283</v>
      </c>
      <c r="F46" s="140" t="s">
        <v>284</v>
      </c>
      <c r="G46" s="140" t="s">
        <v>238</v>
      </c>
      <c r="H46" s="146" t="s">
        <v>282</v>
      </c>
      <c r="I46" s="140" t="s">
        <v>283</v>
      </c>
      <c r="J46" s="140" t="s">
        <v>284</v>
      </c>
      <c r="K46" s="140" t="s">
        <v>238</v>
      </c>
      <c r="L46" s="140" t="s">
        <v>282</v>
      </c>
      <c r="M46" s="149" t="s">
        <v>283</v>
      </c>
      <c r="N46" s="140" t="s">
        <v>284</v>
      </c>
      <c r="O46" s="140" t="s">
        <v>238</v>
      </c>
      <c r="P46" s="140" t="s">
        <v>282</v>
      </c>
      <c r="Q46" s="149" t="s">
        <v>283</v>
      </c>
      <c r="R46" s="140" t="s">
        <v>284</v>
      </c>
      <c r="S46" s="140" t="s">
        <v>238</v>
      </c>
      <c r="T46" s="140" t="s">
        <v>282</v>
      </c>
      <c r="U46" s="252" t="s">
        <v>283</v>
      </c>
      <c r="V46" s="253" t="s">
        <v>284</v>
      </c>
      <c r="W46" s="236" t="s">
        <v>238</v>
      </c>
      <c r="X46" s="237" t="s">
        <v>282</v>
      </c>
      <c r="Y46" s="235" t="s">
        <v>283</v>
      </c>
      <c r="Z46" s="233" t="s">
        <v>284</v>
      </c>
      <c r="AA46" s="236" t="s">
        <v>238</v>
      </c>
      <c r="AB46" s="237" t="s">
        <v>282</v>
      </c>
      <c r="AC46" s="235" t="s">
        <v>283</v>
      </c>
      <c r="AD46" s="233" t="s">
        <v>284</v>
      </c>
      <c r="AE46" s="236" t="s">
        <v>238</v>
      </c>
      <c r="AF46" s="237" t="s">
        <v>282</v>
      </c>
      <c r="AG46" s="238" t="s">
        <v>283</v>
      </c>
      <c r="AK46" s="202"/>
    </row>
    <row r="47" spans="2:37" x14ac:dyDescent="0.35">
      <c r="B47" s="461" t="s">
        <v>134</v>
      </c>
      <c r="C47" s="239"/>
      <c r="D47" s="212"/>
      <c r="E47" s="451"/>
      <c r="F47" s="451"/>
      <c r="G47" s="451"/>
      <c r="H47" s="436">
        <f>Grants!H94</f>
        <v>72.367000000000004</v>
      </c>
      <c r="I47" s="436">
        <f>Grants!I94</f>
        <v>75.578999999999994</v>
      </c>
      <c r="J47" s="436">
        <f>Grants!J94</f>
        <v>76.015000000000001</v>
      </c>
      <c r="K47" s="436">
        <f>Grants!K94</f>
        <v>78.872</v>
      </c>
      <c r="L47" s="436">
        <f>Grants!L94</f>
        <v>75.819000000000003</v>
      </c>
      <c r="M47" s="436">
        <f>Grants!M94</f>
        <v>73.662000000000006</v>
      </c>
      <c r="N47" s="436">
        <f>Grants!N94</f>
        <v>75.066000000000003</v>
      </c>
      <c r="O47" s="436">
        <f>Grants!O94</f>
        <v>69.344999999999999</v>
      </c>
      <c r="P47" s="436">
        <f>Grants!P94</f>
        <v>72.477000000000004</v>
      </c>
      <c r="Q47" s="436">
        <f>Grants!Q94</f>
        <v>72.528999999999996</v>
      </c>
      <c r="R47" s="436">
        <f>Grants!R94</f>
        <v>75.340000000000018</v>
      </c>
      <c r="S47" s="452">
        <f>Grants!S94</f>
        <v>75.340000000000018</v>
      </c>
      <c r="T47" s="427">
        <f>Grants!T94</f>
        <v>76.15900000000002</v>
      </c>
      <c r="U47" s="192">
        <f>Grants!U94</f>
        <v>76.15900000000002</v>
      </c>
      <c r="V47" s="192">
        <f>Grants!V94</f>
        <v>76.15900000000002</v>
      </c>
      <c r="W47" s="197">
        <f>Grants!W94</f>
        <v>76.15900000000002</v>
      </c>
      <c r="X47" s="197">
        <f>Grants!X94</f>
        <v>77.818000000000012</v>
      </c>
      <c r="Y47" s="197">
        <f>Grants!Y94</f>
        <v>77.818000000000012</v>
      </c>
      <c r="Z47" s="197">
        <f>Grants!Z94</f>
        <v>77.818000000000012</v>
      </c>
      <c r="AA47" s="197">
        <f>Grants!AA94</f>
        <v>77.818000000000012</v>
      </c>
      <c r="AB47" s="197">
        <f>Grants!AB94</f>
        <v>79.41200000000002</v>
      </c>
      <c r="AC47" s="197">
        <f>Grants!AC94</f>
        <v>79.41200000000002</v>
      </c>
      <c r="AD47" s="197">
        <f>Grants!AD94</f>
        <v>75.340000000000018</v>
      </c>
      <c r="AE47" s="197">
        <f>Grants!AE94</f>
        <v>75.340000000000018</v>
      </c>
      <c r="AF47" s="197">
        <f>Grants!AF94</f>
        <v>75.340000000000018</v>
      </c>
      <c r="AG47" s="197">
        <f>Grants!AG94</f>
        <v>75.340000000000018</v>
      </c>
    </row>
    <row r="48" spans="2:37" x14ac:dyDescent="0.35">
      <c r="B48" s="448" t="s">
        <v>192</v>
      </c>
      <c r="C48" s="437"/>
      <c r="D48" s="419"/>
      <c r="E48" s="437"/>
      <c r="F48" s="437"/>
      <c r="G48" s="437"/>
      <c r="H48" s="192">
        <f>Grants!H75</f>
        <v>205.80500000000001</v>
      </c>
      <c r="I48" s="192">
        <f>Grants!I75</f>
        <v>210.29200000000003</v>
      </c>
      <c r="J48" s="192">
        <f>Grants!J75</f>
        <v>325.28399999999999</v>
      </c>
      <c r="K48" s="192">
        <f>Grants!K75</f>
        <v>297.32000000000005</v>
      </c>
      <c r="L48" s="192">
        <f>Grants!L75</f>
        <v>289.54199999999997</v>
      </c>
      <c r="M48" s="192">
        <f>Grants!M75</f>
        <v>315.67900000000003</v>
      </c>
      <c r="N48" s="192">
        <f>Grants!N75</f>
        <v>361.52700000000004</v>
      </c>
      <c r="O48" s="192">
        <f>Grants!O75</f>
        <v>374.99100000000004</v>
      </c>
      <c r="P48" s="192">
        <f>Grants!P75</f>
        <v>401.58485200000007</v>
      </c>
      <c r="Q48" s="192">
        <f>Grants!Q75</f>
        <v>438.45827479999997</v>
      </c>
      <c r="R48" s="192">
        <f>Grants!R75</f>
        <v>505.04903199999995</v>
      </c>
      <c r="S48" s="192">
        <f>Grants!S75</f>
        <v>492.38786800000003</v>
      </c>
      <c r="T48" s="192">
        <f>Grants!T75</f>
        <v>454.86592799999988</v>
      </c>
      <c r="U48" s="413">
        <f>Grants!U75</f>
        <v>448.64654320000005</v>
      </c>
      <c r="V48" s="413">
        <f>Grants!V75</f>
        <v>438.19272000000001</v>
      </c>
      <c r="W48" s="413">
        <f>Grants!W75</f>
        <v>434.56409023036463</v>
      </c>
      <c r="X48" s="413">
        <f>Grants!X75</f>
        <v>434.80322503004311</v>
      </c>
      <c r="Y48" s="413">
        <f>Grants!Y75</f>
        <v>423.27055875710062</v>
      </c>
      <c r="Z48" s="413">
        <f>Grants!Z75</f>
        <v>403.28458899999998</v>
      </c>
      <c r="AA48" s="413">
        <f>Grants!AA75</f>
        <v>407.61950159957922</v>
      </c>
      <c r="AB48" s="413">
        <f>Grants!AB75</f>
        <v>412.24408037124488</v>
      </c>
      <c r="AC48" s="413">
        <f>Grants!AC75</f>
        <v>395.28546162738473</v>
      </c>
      <c r="AD48" s="413">
        <f>Grants!AD75</f>
        <v>390.48315869999999</v>
      </c>
      <c r="AE48" s="413">
        <f>Grants!AE75</f>
        <v>392.8811464635624</v>
      </c>
      <c r="AF48" s="413">
        <f>Grants!AF75</f>
        <v>391.41706365809478</v>
      </c>
      <c r="AG48" s="413">
        <f>Grants!AG75</f>
        <v>266.36236321248009</v>
      </c>
    </row>
    <row r="49" spans="2:62" x14ac:dyDescent="0.35">
      <c r="B49" s="462" t="s">
        <v>404</v>
      </c>
      <c r="C49" s="450"/>
      <c r="D49" s="449"/>
      <c r="E49" s="450"/>
      <c r="F49" s="450"/>
      <c r="G49" s="450"/>
      <c r="H49" s="428">
        <f>H47+H48</f>
        <v>278.17200000000003</v>
      </c>
      <c r="I49" s="428">
        <f t="shared" ref="I49:AG49" si="11">I47+I48</f>
        <v>285.87100000000004</v>
      </c>
      <c r="J49" s="428">
        <f t="shared" si="11"/>
        <v>401.29899999999998</v>
      </c>
      <c r="K49" s="428">
        <f t="shared" si="11"/>
        <v>376.19200000000006</v>
      </c>
      <c r="L49" s="428">
        <f t="shared" si="11"/>
        <v>365.36099999999999</v>
      </c>
      <c r="M49" s="428">
        <f t="shared" si="11"/>
        <v>389.34100000000001</v>
      </c>
      <c r="N49" s="428">
        <f t="shared" si="11"/>
        <v>436.59300000000007</v>
      </c>
      <c r="O49" s="428">
        <f t="shared" si="11"/>
        <v>444.33600000000001</v>
      </c>
      <c r="P49" s="428">
        <f t="shared" si="11"/>
        <v>474.06185200000004</v>
      </c>
      <c r="Q49" s="428">
        <f t="shared" si="11"/>
        <v>510.98727479999997</v>
      </c>
      <c r="R49" s="428">
        <f t="shared" si="11"/>
        <v>580.38903199999993</v>
      </c>
      <c r="S49" s="428">
        <f t="shared" si="11"/>
        <v>567.72786800000006</v>
      </c>
      <c r="T49" s="428">
        <f t="shared" si="11"/>
        <v>531.02492799999993</v>
      </c>
      <c r="U49" s="428">
        <f t="shared" si="11"/>
        <v>524.8055432000001</v>
      </c>
      <c r="V49" s="192">
        <f t="shared" si="11"/>
        <v>514.35172</v>
      </c>
      <c r="W49" s="197">
        <f t="shared" si="11"/>
        <v>510.72309023036462</v>
      </c>
      <c r="X49" s="197">
        <f t="shared" si="11"/>
        <v>512.62122503004309</v>
      </c>
      <c r="Y49" s="197">
        <f t="shared" si="11"/>
        <v>501.0885587571006</v>
      </c>
      <c r="Z49" s="197">
        <f t="shared" si="11"/>
        <v>481.10258899999997</v>
      </c>
      <c r="AA49" s="197">
        <f t="shared" si="11"/>
        <v>485.43750159957926</v>
      </c>
      <c r="AB49" s="197">
        <f t="shared" si="11"/>
        <v>491.65608037124491</v>
      </c>
      <c r="AC49" s="197">
        <f t="shared" si="11"/>
        <v>474.69746162738477</v>
      </c>
      <c r="AD49" s="197">
        <f t="shared" si="11"/>
        <v>465.82315870000002</v>
      </c>
      <c r="AE49" s="197">
        <f t="shared" si="11"/>
        <v>468.22114646356243</v>
      </c>
      <c r="AF49" s="197">
        <f t="shared" si="11"/>
        <v>466.75706365809481</v>
      </c>
      <c r="AG49" s="197">
        <f t="shared" si="11"/>
        <v>341.70236321248012</v>
      </c>
    </row>
    <row r="51" spans="2:62" x14ac:dyDescent="0.35">
      <c r="S51" s="122"/>
      <c r="T51" s="122"/>
      <c r="U51" s="122"/>
      <c r="V51" s="122"/>
      <c r="W51" s="122"/>
      <c r="X51" s="122"/>
      <c r="Y51" s="122"/>
      <c r="Z51" s="122"/>
      <c r="AA51" s="122"/>
      <c r="AB51" s="122"/>
      <c r="AC51" s="122"/>
      <c r="AD51" s="122"/>
      <c r="AE51" s="122"/>
      <c r="AF51" s="122"/>
      <c r="AG51" s="122"/>
    </row>
    <row r="52" spans="2:62" x14ac:dyDescent="0.35">
      <c r="S52" s="122"/>
      <c r="T52" s="122"/>
      <c r="U52" s="122"/>
      <c r="V52" s="122"/>
      <c r="W52" s="122"/>
      <c r="X52" s="122"/>
      <c r="Y52" s="122"/>
      <c r="Z52" s="122"/>
      <c r="AA52" s="122"/>
      <c r="AB52" s="122"/>
      <c r="AC52" s="122"/>
      <c r="AD52" s="122"/>
      <c r="AE52" s="122"/>
      <c r="AF52" s="122"/>
      <c r="AG52" s="122"/>
    </row>
    <row r="53" spans="2:62" ht="27.65" customHeight="1" x14ac:dyDescent="0.35">
      <c r="S53" s="122"/>
      <c r="T53" s="122"/>
      <c r="U53" s="122"/>
      <c r="V53" s="122"/>
      <c r="W53" s="122"/>
      <c r="X53" s="122"/>
      <c r="Y53" s="122"/>
      <c r="Z53" s="122"/>
      <c r="AA53" s="122"/>
      <c r="AB53" s="122"/>
      <c r="AC53" s="122"/>
      <c r="AD53" s="122"/>
      <c r="AE53" s="122"/>
      <c r="AF53" s="122"/>
      <c r="AG53" s="122"/>
    </row>
    <row r="54" spans="2:62" ht="27.65" customHeight="1" x14ac:dyDescent="0.35"/>
    <row r="55" spans="2:62" ht="27.65" customHeight="1" x14ac:dyDescent="0.35">
      <c r="BH55" s="401"/>
      <c r="BI55" s="401"/>
      <c r="BJ55" s="401"/>
    </row>
    <row r="57" spans="2:62" ht="27.65" customHeight="1" x14ac:dyDescent="0.35"/>
    <row r="58" spans="2:62" ht="27.65" customHeight="1" x14ac:dyDescent="0.35"/>
    <row r="59" spans="2:62" ht="27.65" customHeight="1" x14ac:dyDescent="0.35"/>
  </sheetData>
  <mergeCells count="33">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 ref="W21:AG21"/>
    <mergeCell ref="AC22:AF22"/>
    <mergeCell ref="D21:V21"/>
    <mergeCell ref="I22:L22"/>
    <mergeCell ref="B16:AC16"/>
    <mergeCell ref="B17:AC19"/>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314" t="s">
        <v>52</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row>
    <row r="2" spans="2:36" ht="14.9" customHeight="1" x14ac:dyDescent="0.35">
      <c r="B2" s="1315" t="s">
        <v>862</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36" ht="14.9" customHeight="1" x14ac:dyDescent="0.3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36" ht="5.9" customHeight="1" x14ac:dyDescent="0.3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2:36" ht="1.5" customHeight="1" x14ac:dyDescent="0.35">
      <c r="B5" s="1315"/>
      <c r="C5" s="1315"/>
      <c r="D5" s="1315"/>
      <c r="E5" s="1315"/>
      <c r="F5" s="1315"/>
      <c r="G5" s="1315"/>
      <c r="H5" s="1315"/>
      <c r="I5" s="1315"/>
      <c r="J5" s="1315"/>
      <c r="K5" s="1315"/>
      <c r="L5" s="1315"/>
      <c r="M5" s="1315"/>
      <c r="N5" s="1315"/>
      <c r="O5" s="1315"/>
      <c r="P5" s="1315"/>
      <c r="Q5" s="1315"/>
      <c r="R5" s="1315"/>
      <c r="S5" s="1315"/>
      <c r="T5" s="1315"/>
      <c r="U5" s="1315"/>
      <c r="V5" s="1315"/>
      <c r="W5" s="1315"/>
      <c r="X5" s="1315"/>
      <c r="Y5" s="1315"/>
      <c r="Z5" s="1315"/>
      <c r="AA5" s="1315"/>
      <c r="AB5" s="1315"/>
      <c r="AC5" s="1315"/>
    </row>
    <row r="6" spans="2:36" ht="14.9" customHeight="1" x14ac:dyDescent="0.35">
      <c r="B6" s="1315"/>
      <c r="C6" s="1315"/>
      <c r="D6" s="1315"/>
      <c r="E6" s="1315"/>
      <c r="F6" s="1315"/>
      <c r="G6" s="1315"/>
      <c r="H6" s="1315"/>
      <c r="I6" s="1315"/>
      <c r="J6" s="1315"/>
      <c r="K6" s="1315"/>
      <c r="L6" s="1315"/>
      <c r="M6" s="1315"/>
      <c r="N6" s="1315"/>
      <c r="O6" s="1315"/>
      <c r="P6" s="1315"/>
      <c r="Q6" s="1315"/>
      <c r="R6" s="1315"/>
      <c r="S6" s="1315"/>
      <c r="T6" s="1315"/>
      <c r="U6" s="1315"/>
      <c r="V6" s="1315"/>
      <c r="W6" s="1315"/>
      <c r="X6" s="1315"/>
      <c r="Y6" s="1315"/>
      <c r="Z6" s="1315"/>
      <c r="AA6" s="1315"/>
      <c r="AB6" s="1315"/>
      <c r="AC6" s="1315"/>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19" t="s">
        <v>405</v>
      </c>
      <c r="C8" s="1320"/>
      <c r="D8" s="1382" t="s">
        <v>280</v>
      </c>
      <c r="E8" s="1383"/>
      <c r="F8" s="1383"/>
      <c r="G8" s="1383"/>
      <c r="H8" s="1383"/>
      <c r="I8" s="1383"/>
      <c r="J8" s="1383"/>
      <c r="K8" s="1383"/>
      <c r="L8" s="1383"/>
      <c r="M8" s="1383"/>
      <c r="N8" s="1383"/>
      <c r="O8" s="1383"/>
      <c r="P8" s="1383"/>
      <c r="Q8" s="1383"/>
      <c r="R8" s="1383"/>
      <c r="S8" s="1383"/>
      <c r="T8" s="1383"/>
      <c r="U8" s="1384"/>
      <c r="V8" s="1320"/>
      <c r="W8" s="1361" t="s">
        <v>281</v>
      </c>
      <c r="X8" s="1362"/>
      <c r="Y8" s="1362"/>
      <c r="Z8" s="1362"/>
      <c r="AA8" s="1362"/>
      <c r="AB8" s="1362"/>
      <c r="AC8" s="1362"/>
      <c r="AD8" s="1362"/>
      <c r="AE8" s="1362"/>
      <c r="AF8" s="1362"/>
      <c r="AG8" s="1362"/>
    </row>
    <row r="9" spans="2:36" x14ac:dyDescent="0.35">
      <c r="B9" s="1321"/>
      <c r="C9" s="1322"/>
      <c r="D9" s="149">
        <v>2018</v>
      </c>
      <c r="E9" s="1316">
        <v>2019</v>
      </c>
      <c r="F9" s="1317"/>
      <c r="G9" s="1317"/>
      <c r="H9" s="1318"/>
      <c r="I9" s="1316">
        <v>2020</v>
      </c>
      <c r="J9" s="1317"/>
      <c r="K9" s="1317"/>
      <c r="L9" s="1317"/>
      <c r="M9" s="1316">
        <v>2021</v>
      </c>
      <c r="N9" s="1317"/>
      <c r="O9" s="1317"/>
      <c r="P9" s="1317"/>
      <c r="Q9" s="1310">
        <v>2022</v>
      </c>
      <c r="R9" s="1311"/>
      <c r="S9" s="1311"/>
      <c r="T9" s="1311"/>
      <c r="U9" s="201"/>
      <c r="V9" s="256">
        <v>2023</v>
      </c>
      <c r="W9" s="258"/>
      <c r="X9" s="226"/>
      <c r="Y9" s="1325">
        <v>2024</v>
      </c>
      <c r="Z9" s="1337"/>
      <c r="AA9" s="1337"/>
      <c r="AB9" s="1327"/>
      <c r="AC9" s="1325">
        <v>2025</v>
      </c>
      <c r="AD9" s="1337"/>
      <c r="AE9" s="1337"/>
      <c r="AF9" s="1327"/>
      <c r="AG9" s="475">
        <v>2026</v>
      </c>
      <c r="AH9" s="202"/>
      <c r="AI9" s="202"/>
      <c r="AJ9" s="202"/>
    </row>
    <row r="10" spans="2:36" x14ac:dyDescent="0.35">
      <c r="B10" s="1323"/>
      <c r="C10" s="1324"/>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0" t="s">
        <v>282</v>
      </c>
      <c r="U10" s="252" t="s">
        <v>283</v>
      </c>
      <c r="V10" s="253" t="s">
        <v>284</v>
      </c>
      <c r="W10" s="236" t="s">
        <v>238</v>
      </c>
      <c r="X10" s="237" t="s">
        <v>282</v>
      </c>
      <c r="Y10" s="235" t="s">
        <v>283</v>
      </c>
      <c r="Z10" s="233" t="s">
        <v>284</v>
      </c>
      <c r="AA10" s="236" t="s">
        <v>238</v>
      </c>
      <c r="AB10" s="236" t="s">
        <v>282</v>
      </c>
      <c r="AC10" s="235" t="s">
        <v>283</v>
      </c>
      <c r="AD10" s="233" t="s">
        <v>284</v>
      </c>
      <c r="AE10" s="236" t="s">
        <v>238</v>
      </c>
      <c r="AF10" s="236" t="s">
        <v>282</v>
      </c>
      <c r="AG10" s="235" t="s">
        <v>283</v>
      </c>
    </row>
    <row r="11" spans="2:36" x14ac:dyDescent="0.35">
      <c r="B11" s="503" t="s">
        <v>868</v>
      </c>
      <c r="C11" s="69" t="s">
        <v>523</v>
      </c>
      <c r="D11" s="471"/>
      <c r="E11" s="509"/>
      <c r="F11" s="514">
        <v>60.5</v>
      </c>
      <c r="G11" s="514">
        <v>81.400000000000006</v>
      </c>
      <c r="H11" s="514">
        <f>'Haver Pivoted'!GS42</f>
        <v>82.1</v>
      </c>
      <c r="I11" s="514">
        <f>'Haver Pivoted'!GT42</f>
        <v>80</v>
      </c>
      <c r="J11" s="514">
        <f>'Haver Pivoted'!GU42</f>
        <v>975.7</v>
      </c>
      <c r="K11" s="514">
        <f>'Haver Pivoted'!GV42</f>
        <v>1108.8</v>
      </c>
      <c r="L11" s="514">
        <f>'Haver Pivoted'!GW42</f>
        <v>462.2</v>
      </c>
      <c r="M11" s="514">
        <f>'Haver Pivoted'!GX42</f>
        <v>387.4</v>
      </c>
      <c r="N11" s="514">
        <f>'Haver Pivoted'!GY42</f>
        <v>693.9</v>
      </c>
      <c r="O11" s="514">
        <f>'Haver Pivoted'!GZ42</f>
        <v>545.6</v>
      </c>
      <c r="P11" s="514">
        <f>'Haver Pivoted'!HA42</f>
        <v>288.3</v>
      </c>
      <c r="Q11" s="514">
        <f>'Haver Pivoted'!HB42</f>
        <v>144.5</v>
      </c>
      <c r="R11" s="514">
        <f>'Haver Pivoted'!HC42</f>
        <v>122.9</v>
      </c>
      <c r="S11" s="515">
        <f>'Haver Pivoted'!HD42</f>
        <v>113.8</v>
      </c>
      <c r="T11" s="515">
        <f>'Haver Pivoted'!HE42</f>
        <v>110.8</v>
      </c>
      <c r="U11" s="476">
        <f>'Haver Pivoted'!HF42</f>
        <v>104.8</v>
      </c>
      <c r="V11" s="476">
        <f>'Haver Pivoted'!HG42</f>
        <v>102.4</v>
      </c>
      <c r="W11" s="290">
        <f t="shared" ref="W11:AC11" si="0">W12+W13</f>
        <v>88.50800000000001</v>
      </c>
      <c r="X11" s="290">
        <f t="shared" si="0"/>
        <v>85.631</v>
      </c>
      <c r="Y11" s="524">
        <f t="shared" si="0"/>
        <v>85.631</v>
      </c>
      <c r="Z11" s="524">
        <f t="shared" si="0"/>
        <v>85.631</v>
      </c>
      <c r="AA11" s="524">
        <f t="shared" si="0"/>
        <v>85.631</v>
      </c>
      <c r="AB11" s="524">
        <f t="shared" si="0"/>
        <v>90.463999999999999</v>
      </c>
      <c r="AC11" s="486">
        <f t="shared" si="0"/>
        <v>90.463999999999999</v>
      </c>
      <c r="AD11" s="486">
        <f t="shared" ref="AD11:AE11" si="1">AD12+AD13</f>
        <v>83.442000000000007</v>
      </c>
      <c r="AE11" s="486">
        <f t="shared" si="1"/>
        <v>84.442000000000007</v>
      </c>
      <c r="AF11" s="486">
        <f t="shared" ref="AF11:AG11" si="2">AF12+AF13</f>
        <v>88.531999999999996</v>
      </c>
      <c r="AG11" s="486">
        <f t="shared" si="2"/>
        <v>89.531999999999996</v>
      </c>
    </row>
    <row r="12" spans="2:36" ht="16.5" customHeight="1" x14ac:dyDescent="0.35">
      <c r="B12" s="391" t="s">
        <v>406</v>
      </c>
      <c r="C12" s="69"/>
      <c r="D12" s="503"/>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84">
        <f t="shared" si="4"/>
        <v>71.099999999999994</v>
      </c>
      <c r="T12" s="284">
        <f t="shared" si="4"/>
        <v>78.977999999999994</v>
      </c>
      <c r="U12" s="284">
        <f t="shared" ref="U12:V12" si="5">U11-U13</f>
        <v>92.292000000000002</v>
      </c>
      <c r="V12" s="284">
        <f t="shared" si="5"/>
        <v>89.891999999999996</v>
      </c>
      <c r="W12" s="290">
        <f t="shared" ref="W12:AG12" si="6">AVERAGE($F$11:$I$11)</f>
        <v>76</v>
      </c>
      <c r="X12" s="290">
        <f t="shared" si="6"/>
        <v>76</v>
      </c>
      <c r="Y12" s="290">
        <f t="shared" si="6"/>
        <v>76</v>
      </c>
      <c r="Z12" s="290">
        <f t="shared" si="6"/>
        <v>76</v>
      </c>
      <c r="AA12" s="290">
        <f t="shared" si="6"/>
        <v>76</v>
      </c>
      <c r="AB12" s="290">
        <f t="shared" si="6"/>
        <v>76</v>
      </c>
      <c r="AC12" s="290">
        <f t="shared" si="6"/>
        <v>76</v>
      </c>
      <c r="AD12" s="290">
        <f t="shared" si="6"/>
        <v>76</v>
      </c>
      <c r="AE12" s="290">
        <f t="shared" si="6"/>
        <v>76</v>
      </c>
      <c r="AF12" s="290">
        <f t="shared" si="6"/>
        <v>76</v>
      </c>
      <c r="AG12" s="290">
        <f t="shared" si="6"/>
        <v>76</v>
      </c>
    </row>
    <row r="13" spans="2:36" x14ac:dyDescent="0.35">
      <c r="B13" s="390" t="s">
        <v>407</v>
      </c>
      <c r="C13" s="69"/>
      <c r="D13" s="503"/>
      <c r="E13" s="69"/>
      <c r="F13" s="512"/>
      <c r="G13" s="512"/>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90">
        <f t="shared" si="8"/>
        <v>12.508000000000003</v>
      </c>
      <c r="X13" s="290">
        <f t="shared" si="8"/>
        <v>9.6310000000000002</v>
      </c>
      <c r="Y13" s="290">
        <f t="shared" si="8"/>
        <v>9.6310000000000002</v>
      </c>
      <c r="Z13" s="290">
        <f t="shared" si="8"/>
        <v>9.6310000000000002</v>
      </c>
      <c r="AA13" s="290">
        <f t="shared" si="8"/>
        <v>9.6310000000000002</v>
      </c>
      <c r="AB13" s="290">
        <f t="shared" si="8"/>
        <v>14.464</v>
      </c>
      <c r="AC13" s="290">
        <f t="shared" si="8"/>
        <v>14.464</v>
      </c>
      <c r="AD13" s="290">
        <f t="shared" ref="AD13:AE13" si="9">SUM(AD16:AD27)+AD14</f>
        <v>7.4420000000000002</v>
      </c>
      <c r="AE13" s="290">
        <f t="shared" si="9"/>
        <v>8.4420000000000002</v>
      </c>
      <c r="AF13" s="290">
        <f t="shared" ref="AF13:AG13" si="10">SUM(AF16:AF27)+AF14</f>
        <v>12.532</v>
      </c>
      <c r="AG13" s="290">
        <f t="shared" si="10"/>
        <v>13.532</v>
      </c>
    </row>
    <row r="14" spans="2:36" x14ac:dyDescent="0.35">
      <c r="B14" s="327" t="s">
        <v>50</v>
      </c>
      <c r="C14" s="49" t="s">
        <v>329</v>
      </c>
      <c r="D14" s="323"/>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4">
        <f>'Haver Pivoted'!HD49</f>
        <v>0</v>
      </c>
      <c r="T14" s="284">
        <f>'Haver Pivoted'!HE49</f>
        <v>0</v>
      </c>
      <c r="U14" s="284">
        <f>'Haver Pivoted'!HF49</f>
        <v>0</v>
      </c>
      <c r="V14" s="284">
        <f>'Haver Pivoted'!HG49</f>
        <v>0</v>
      </c>
      <c r="W14" s="290"/>
      <c r="X14" s="290"/>
      <c r="Y14" s="290"/>
      <c r="Z14" s="480"/>
      <c r="AA14" s="480"/>
      <c r="AB14" s="480"/>
      <c r="AC14" s="480"/>
      <c r="AD14" s="480"/>
      <c r="AE14" s="480"/>
      <c r="AF14" s="480"/>
      <c r="AG14" s="480"/>
    </row>
    <row r="15" spans="2:36" x14ac:dyDescent="0.35">
      <c r="B15" s="390" t="s">
        <v>408</v>
      </c>
      <c r="C15" s="69"/>
      <c r="D15" s="503"/>
      <c r="E15" s="69"/>
      <c r="F15" s="512"/>
      <c r="G15" s="512"/>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87">
        <f t="shared" si="11"/>
        <v>8.886000000000001</v>
      </c>
      <c r="X15" s="487">
        <f t="shared" si="11"/>
        <v>0.2</v>
      </c>
      <c r="Y15" s="487">
        <f t="shared" si="11"/>
        <v>0.2</v>
      </c>
      <c r="Z15" s="487">
        <f t="shared" si="11"/>
        <v>0.2</v>
      </c>
      <c r="AA15" s="487">
        <f t="shared" si="11"/>
        <v>0.2</v>
      </c>
      <c r="AB15" s="487">
        <f t="shared" si="11"/>
        <v>0</v>
      </c>
      <c r="AC15" s="487">
        <f t="shared" si="11"/>
        <v>0</v>
      </c>
      <c r="AD15" s="487">
        <f t="shared" ref="AD15:AE15" si="12">SUM(AD16:AD25)</f>
        <v>1</v>
      </c>
      <c r="AE15" s="487">
        <f t="shared" si="12"/>
        <v>2</v>
      </c>
      <c r="AF15" s="487">
        <f t="shared" ref="AF15:AG15" si="13">SUM(AF16:AF25)</f>
        <v>3</v>
      </c>
      <c r="AG15" s="487">
        <f t="shared" si="13"/>
        <v>4</v>
      </c>
    </row>
    <row r="16" spans="2:36" x14ac:dyDescent="0.35">
      <c r="B16" s="499" t="s">
        <v>145</v>
      </c>
      <c r="C16" s="52" t="s">
        <v>409</v>
      </c>
      <c r="D16" s="397"/>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4">
        <f>'Haver Pivoted'!HD53</f>
        <v>0</v>
      </c>
      <c r="T16" s="284">
        <f>'Haver Pivoted'!HE53</f>
        <v>0</v>
      </c>
      <c r="U16" s="284">
        <f>'Haver Pivoted'!HF53</f>
        <v>0</v>
      </c>
      <c r="V16" s="284">
        <f>'Haver Pivoted'!HG53</f>
        <v>0</v>
      </c>
      <c r="W16" s="518"/>
      <c r="X16" s="518"/>
      <c r="Y16" s="518"/>
      <c r="Z16" s="480"/>
      <c r="AA16" s="480"/>
      <c r="AB16" s="480"/>
      <c r="AC16" s="480"/>
      <c r="AD16" s="480"/>
      <c r="AE16" s="480"/>
      <c r="AF16" s="480"/>
      <c r="AG16" s="480"/>
    </row>
    <row r="17" spans="2:34" x14ac:dyDescent="0.35">
      <c r="B17" s="499" t="s">
        <v>143</v>
      </c>
      <c r="C17" s="52" t="s">
        <v>410</v>
      </c>
      <c r="D17" s="397"/>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4">
        <f>'Haver Pivoted'!HD51</f>
        <v>0</v>
      </c>
      <c r="T17" s="284">
        <f>'Haver Pivoted'!HE51</f>
        <v>0</v>
      </c>
      <c r="U17" s="284">
        <f>'Haver Pivoted'!HF51</f>
        <v>0</v>
      </c>
      <c r="V17" s="284">
        <f>'Haver Pivoted'!HG51</f>
        <v>0</v>
      </c>
      <c r="W17" s="290">
        <f t="shared" ref="W17:AD17" si="14">V17</f>
        <v>0</v>
      </c>
      <c r="X17" s="290">
        <f t="shared" si="14"/>
        <v>0</v>
      </c>
      <c r="Y17" s="290">
        <f t="shared" si="14"/>
        <v>0</v>
      </c>
      <c r="Z17" s="290">
        <f t="shared" si="14"/>
        <v>0</v>
      </c>
      <c r="AA17" s="290">
        <f t="shared" si="14"/>
        <v>0</v>
      </c>
      <c r="AB17" s="290">
        <f t="shared" si="14"/>
        <v>0</v>
      </c>
      <c r="AC17" s="290">
        <f t="shared" si="14"/>
        <v>0</v>
      </c>
      <c r="AD17" s="290">
        <f t="shared" si="14"/>
        <v>0</v>
      </c>
      <c r="AE17" s="290">
        <f t="shared" ref="AE17" si="15">AD17</f>
        <v>0</v>
      </c>
      <c r="AF17" s="290">
        <f t="shared" ref="AF17" si="16">AE17</f>
        <v>0</v>
      </c>
      <c r="AG17" s="290">
        <f t="shared" ref="AG17" si="17">AF17</f>
        <v>0</v>
      </c>
    </row>
    <row r="18" spans="2:34" x14ac:dyDescent="0.35">
      <c r="B18" s="499" t="s">
        <v>142</v>
      </c>
      <c r="C18" s="49" t="s">
        <v>411</v>
      </c>
      <c r="D18" s="323"/>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4">
        <f>'Haver Pivoted'!HD50</f>
        <v>0.3</v>
      </c>
      <c r="T18" s="284">
        <f>'Haver Pivoted'!HE50</f>
        <v>0.4</v>
      </c>
      <c r="U18" s="284">
        <f>'Haver Pivoted'!HF50</f>
        <v>0</v>
      </c>
      <c r="V18" s="284">
        <f>'Haver Pivoted'!HG50</f>
        <v>0</v>
      </c>
      <c r="W18" s="290">
        <f t="shared" ref="W18:AC18" si="18">W30</f>
        <v>0</v>
      </c>
      <c r="X18" s="290">
        <f t="shared" si="18"/>
        <v>0</v>
      </c>
      <c r="Y18" s="290">
        <f t="shared" si="18"/>
        <v>0</v>
      </c>
      <c r="Z18" s="290">
        <f t="shared" si="18"/>
        <v>0</v>
      </c>
      <c r="AA18" s="290">
        <f t="shared" si="18"/>
        <v>0</v>
      </c>
      <c r="AB18" s="290">
        <f t="shared" si="18"/>
        <v>0</v>
      </c>
      <c r="AC18" s="290">
        <f t="shared" si="18"/>
        <v>0</v>
      </c>
      <c r="AD18" s="290">
        <f t="shared" ref="AD18:AE18" si="19">AD30</f>
        <v>0</v>
      </c>
      <c r="AE18" s="290">
        <f t="shared" si="19"/>
        <v>0</v>
      </c>
      <c r="AF18" s="290">
        <f t="shared" ref="AF18:AG18" si="20">AF30</f>
        <v>0</v>
      </c>
      <c r="AG18" s="290">
        <f t="shared" si="20"/>
        <v>0</v>
      </c>
    </row>
    <row r="19" spans="2:34" x14ac:dyDescent="0.35">
      <c r="B19" s="499" t="s">
        <v>412</v>
      </c>
      <c r="C19" s="49" t="s">
        <v>309</v>
      </c>
      <c r="D19" s="323"/>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4">
        <f>'Haver Pivoted'!HD54</f>
        <v>5.9</v>
      </c>
      <c r="T19" s="284">
        <f>'Haver Pivoted'!HE54</f>
        <v>3.6</v>
      </c>
      <c r="U19" s="284">
        <f>'Haver Pivoted'!HF54</f>
        <v>0</v>
      </c>
      <c r="V19" s="284">
        <f>'Haver Pivoted'!HG54</f>
        <v>0</v>
      </c>
      <c r="W19" s="290"/>
      <c r="X19" s="290"/>
      <c r="Y19" s="290"/>
      <c r="Z19" s="480"/>
      <c r="AA19" s="480"/>
      <c r="AB19" s="480"/>
      <c r="AC19" s="480"/>
      <c r="AD19" s="480"/>
      <c r="AE19" s="480"/>
      <c r="AF19" s="480"/>
      <c r="AG19" s="480"/>
    </row>
    <row r="20" spans="2:34" x14ac:dyDescent="0.35">
      <c r="B20" s="499" t="s">
        <v>144</v>
      </c>
      <c r="C20" s="49" t="s">
        <v>413</v>
      </c>
      <c r="D20" s="323"/>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4">
        <f>'Haver Pivoted'!HD52</f>
        <v>20.2</v>
      </c>
      <c r="T20" s="284">
        <f>'Haver Pivoted'!HE52</f>
        <v>15.8</v>
      </c>
      <c r="U20" s="50">
        <f t="shared" ref="U20:AC20" si="21">U37</f>
        <v>0.48599999999999993</v>
      </c>
      <c r="V20" s="50">
        <f t="shared" si="21"/>
        <v>0.48599999999999993</v>
      </c>
      <c r="W20" s="290">
        <f t="shared" si="21"/>
        <v>0.48599999999999993</v>
      </c>
      <c r="X20" s="290">
        <f t="shared" si="21"/>
        <v>0</v>
      </c>
      <c r="Y20" s="290">
        <f t="shared" si="21"/>
        <v>0</v>
      </c>
      <c r="Z20" s="290">
        <f t="shared" si="21"/>
        <v>0</v>
      </c>
      <c r="AA20" s="290">
        <f t="shared" si="21"/>
        <v>0</v>
      </c>
      <c r="AB20" s="290">
        <f t="shared" si="21"/>
        <v>0</v>
      </c>
      <c r="AC20" s="290">
        <f t="shared" si="21"/>
        <v>0</v>
      </c>
      <c r="AD20" s="290">
        <f t="shared" ref="AD20:AE20" si="22">AD37</f>
        <v>0</v>
      </c>
      <c r="AE20" s="290">
        <f t="shared" si="22"/>
        <v>0</v>
      </c>
      <c r="AF20" s="290">
        <f t="shared" ref="AF20:AG20" si="23">AF37</f>
        <v>0</v>
      </c>
      <c r="AG20" s="290">
        <f t="shared" si="23"/>
        <v>0</v>
      </c>
      <c r="AH20" s="168"/>
    </row>
    <row r="21" spans="2:34" x14ac:dyDescent="0.35">
      <c r="B21" s="499" t="s">
        <v>148</v>
      </c>
      <c r="C21" s="49" t="s">
        <v>414</v>
      </c>
      <c r="D21" s="323"/>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4">
        <f>'Haver Pivoted'!HD55</f>
        <v>0</v>
      </c>
      <c r="T21" s="284">
        <f>'Haver Pivoted'!HE55</f>
        <v>0</v>
      </c>
      <c r="U21" s="284">
        <f>'Haver Pivoted'!HF55</f>
        <v>0</v>
      </c>
      <c r="V21" s="284">
        <f>'Haver Pivoted'!HG55</f>
        <v>0</v>
      </c>
      <c r="W21" s="290">
        <f t="shared" ref="W21:AD21" si="24">V21</f>
        <v>0</v>
      </c>
      <c r="X21" s="290">
        <f t="shared" si="24"/>
        <v>0</v>
      </c>
      <c r="Y21" s="290">
        <f t="shared" si="24"/>
        <v>0</v>
      </c>
      <c r="Z21" s="290">
        <f t="shared" si="24"/>
        <v>0</v>
      </c>
      <c r="AA21" s="290">
        <f t="shared" si="24"/>
        <v>0</v>
      </c>
      <c r="AB21" s="290">
        <f t="shared" si="24"/>
        <v>0</v>
      </c>
      <c r="AC21" s="290">
        <f t="shared" si="24"/>
        <v>0</v>
      </c>
      <c r="AD21" s="290">
        <f t="shared" si="24"/>
        <v>0</v>
      </c>
      <c r="AE21" s="290">
        <f t="shared" ref="AE21" si="25">AD21</f>
        <v>0</v>
      </c>
      <c r="AF21" s="290">
        <f t="shared" ref="AF21" si="26">AE21</f>
        <v>0</v>
      </c>
      <c r="AG21" s="290">
        <f t="shared" ref="AG21" si="27">AF21</f>
        <v>0</v>
      </c>
    </row>
    <row r="22" spans="2:34" x14ac:dyDescent="0.35">
      <c r="B22" s="499" t="s">
        <v>415</v>
      </c>
      <c r="C22" s="49" t="s">
        <v>791</v>
      </c>
      <c r="D22" s="336"/>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4">
        <f>'Haver Pivoted'!HD87</f>
        <v>0</v>
      </c>
      <c r="T22" s="284">
        <f>'Haver Pivoted'!HE87</f>
        <v>0</v>
      </c>
      <c r="U22" s="284">
        <f>'Haver Pivoted'!HF87</f>
        <v>0</v>
      </c>
      <c r="V22" s="284">
        <f>'Haver Pivoted'!HG87</f>
        <v>0</v>
      </c>
      <c r="W22" s="290">
        <v>0</v>
      </c>
      <c r="X22" s="290">
        <v>0</v>
      </c>
      <c r="Y22" s="290">
        <v>0</v>
      </c>
      <c r="Z22" s="290">
        <v>0</v>
      </c>
      <c r="AA22" s="290">
        <v>0</v>
      </c>
      <c r="AB22" s="290">
        <v>0</v>
      </c>
      <c r="AC22" s="290">
        <v>0</v>
      </c>
      <c r="AD22" s="290">
        <v>1</v>
      </c>
      <c r="AE22" s="290">
        <v>2</v>
      </c>
      <c r="AF22" s="290">
        <v>3</v>
      </c>
      <c r="AG22" s="290">
        <v>4</v>
      </c>
    </row>
    <row r="23" spans="2:34" x14ac:dyDescent="0.35">
      <c r="B23" s="499" t="s">
        <v>416</v>
      </c>
      <c r="C23" s="49" t="s">
        <v>790</v>
      </c>
      <c r="D23" s="323"/>
      <c r="E23" s="49"/>
      <c r="F23" s="68"/>
      <c r="G23" s="513"/>
      <c r="H23" s="68"/>
      <c r="I23" s="68"/>
      <c r="J23" s="68"/>
      <c r="K23" s="68"/>
      <c r="L23" s="68"/>
      <c r="M23" s="68"/>
      <c r="N23" s="68">
        <f>'Haver Pivoted'!GY86</f>
        <v>21.4</v>
      </c>
      <c r="O23" s="68">
        <f>'Haver Pivoted'!GZ86</f>
        <v>57</v>
      </c>
      <c r="P23" s="68">
        <f>'Haver Pivoted'!HA86</f>
        <v>35.5</v>
      </c>
      <c r="Q23" s="68">
        <f>'Haver Pivoted'!HB86</f>
        <v>0</v>
      </c>
      <c r="R23" s="68">
        <f>'Haver Pivoted'!HC86</f>
        <v>0</v>
      </c>
      <c r="S23" s="284">
        <f>'Haver Pivoted'!HD86</f>
        <v>0</v>
      </c>
      <c r="T23" s="284">
        <f>'Haver Pivoted'!HE86</f>
        <v>0</v>
      </c>
      <c r="U23" s="284">
        <f>'Haver Pivoted'!HF86</f>
        <v>0</v>
      </c>
      <c r="V23" s="284">
        <f>'Haver Pivoted'!HG86</f>
        <v>0</v>
      </c>
      <c r="W23" s="290">
        <f t="shared" ref="W23:AD23" si="28">V23</f>
        <v>0</v>
      </c>
      <c r="X23" s="290">
        <f t="shared" si="28"/>
        <v>0</v>
      </c>
      <c r="Y23" s="290">
        <f t="shared" si="28"/>
        <v>0</v>
      </c>
      <c r="Z23" s="290">
        <f t="shared" si="28"/>
        <v>0</v>
      </c>
      <c r="AA23" s="290">
        <f t="shared" si="28"/>
        <v>0</v>
      </c>
      <c r="AB23" s="290">
        <f t="shared" si="28"/>
        <v>0</v>
      </c>
      <c r="AC23" s="290">
        <f t="shared" si="28"/>
        <v>0</v>
      </c>
      <c r="AD23" s="290">
        <f t="shared" si="28"/>
        <v>0</v>
      </c>
      <c r="AE23" s="290">
        <f t="shared" ref="AE23" si="29">AD23</f>
        <v>0</v>
      </c>
      <c r="AF23" s="290">
        <f t="shared" ref="AF23" si="30">AE23</f>
        <v>0</v>
      </c>
      <c r="AG23" s="290">
        <f t="shared" ref="AG23" si="31">AF23</f>
        <v>0</v>
      </c>
    </row>
    <row r="24" spans="2:34" x14ac:dyDescent="0.35">
      <c r="B24" s="499" t="s">
        <v>417</v>
      </c>
      <c r="C24" s="49"/>
      <c r="D24" s="323"/>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90">
        <f t="shared" si="32"/>
        <v>8.4</v>
      </c>
      <c r="X24" s="290">
        <f t="shared" si="32"/>
        <v>0.2</v>
      </c>
      <c r="Y24" s="290">
        <f t="shared" si="32"/>
        <v>0.2</v>
      </c>
      <c r="Z24" s="290">
        <f t="shared" si="32"/>
        <v>0.2</v>
      </c>
      <c r="AA24" s="290">
        <f t="shared" si="32"/>
        <v>0.2</v>
      </c>
      <c r="AB24" s="290">
        <f t="shared" si="32"/>
        <v>0</v>
      </c>
      <c r="AC24" s="290">
        <f t="shared" si="32"/>
        <v>0</v>
      </c>
      <c r="AD24" s="290">
        <f t="shared" ref="AD24:AE24" si="33">AD41+AD42</f>
        <v>0</v>
      </c>
      <c r="AE24" s="290">
        <f t="shared" si="33"/>
        <v>0</v>
      </c>
      <c r="AF24" s="290">
        <f t="shared" ref="AF24:AG24" si="34">AF41+AF42</f>
        <v>0</v>
      </c>
      <c r="AG24" s="290">
        <f t="shared" si="34"/>
        <v>0</v>
      </c>
    </row>
    <row r="25" spans="2:34" x14ac:dyDescent="0.35">
      <c r="B25" s="499" t="s">
        <v>418</v>
      </c>
      <c r="C25" s="49"/>
      <c r="D25" s="323"/>
      <c r="E25" s="49"/>
      <c r="F25" s="50"/>
      <c r="G25" s="50"/>
      <c r="H25" s="215"/>
      <c r="I25" s="215"/>
      <c r="J25" s="215"/>
      <c r="K25" s="215"/>
      <c r="L25" s="215"/>
      <c r="M25" s="215"/>
      <c r="N25" s="50"/>
      <c r="O25" s="50">
        <f>O34</f>
        <v>12</v>
      </c>
      <c r="P25" s="50">
        <v>25</v>
      </c>
      <c r="Q25" s="50">
        <v>5</v>
      </c>
      <c r="R25" s="50">
        <v>5</v>
      </c>
      <c r="S25" s="50">
        <v>5</v>
      </c>
      <c r="T25" s="50">
        <f t="shared" ref="T25:AC25" si="35">T34</f>
        <v>0</v>
      </c>
      <c r="U25" s="50">
        <f t="shared" si="35"/>
        <v>0</v>
      </c>
      <c r="V25" s="50">
        <f t="shared" si="35"/>
        <v>0</v>
      </c>
      <c r="W25" s="290">
        <f t="shared" si="35"/>
        <v>0</v>
      </c>
      <c r="X25" s="290">
        <f t="shared" si="35"/>
        <v>0</v>
      </c>
      <c r="Y25" s="290">
        <f t="shared" si="35"/>
        <v>0</v>
      </c>
      <c r="Z25" s="290">
        <f t="shared" si="35"/>
        <v>0</v>
      </c>
      <c r="AA25" s="290">
        <f t="shared" si="35"/>
        <v>0</v>
      </c>
      <c r="AB25" s="290">
        <f t="shared" si="35"/>
        <v>0</v>
      </c>
      <c r="AC25" s="290">
        <f t="shared" si="35"/>
        <v>0</v>
      </c>
      <c r="AD25" s="290">
        <f t="shared" ref="AD25:AE25" si="36">AD34</f>
        <v>0</v>
      </c>
      <c r="AE25" s="290">
        <f t="shared" si="36"/>
        <v>0</v>
      </c>
      <c r="AF25" s="290">
        <f t="shared" ref="AF25:AG25" si="37">AF34</f>
        <v>0</v>
      </c>
      <c r="AG25" s="290">
        <f t="shared" si="37"/>
        <v>0</v>
      </c>
    </row>
    <row r="26" spans="2:34" x14ac:dyDescent="0.35">
      <c r="B26" s="499" t="s">
        <v>1383</v>
      </c>
      <c r="C26" s="49"/>
      <c r="D26" s="323"/>
      <c r="E26" s="49"/>
      <c r="F26" s="50"/>
      <c r="G26" s="50"/>
      <c r="H26" s="215"/>
      <c r="I26" s="215"/>
      <c r="J26" s="215"/>
      <c r="K26" s="215"/>
      <c r="L26" s="215"/>
      <c r="M26" s="215"/>
      <c r="N26" s="50"/>
      <c r="O26" s="50"/>
      <c r="P26" s="50"/>
      <c r="Q26" s="50"/>
      <c r="R26" s="50"/>
      <c r="S26" s="477">
        <f>'IRA and CHIPS'!E198</f>
        <v>0</v>
      </c>
      <c r="T26" s="477">
        <f>'IRA and CHIPS'!F198</f>
        <v>2.3250000000000002</v>
      </c>
      <c r="U26" s="477">
        <f>'IRA and CHIPS'!G198</f>
        <v>2.3250000000000002</v>
      </c>
      <c r="V26" s="477">
        <f>'IRA and CHIPS'!H198</f>
        <v>2.3250000000000002</v>
      </c>
      <c r="W26" s="488">
        <f>'IRA and CHIPS'!I198</f>
        <v>2.3250000000000002</v>
      </c>
      <c r="X26" s="488">
        <f>'IRA and CHIPS'!J198</f>
        <v>5.5830000000000002</v>
      </c>
      <c r="Y26" s="488">
        <f>'IRA and CHIPS'!K198</f>
        <v>5.5830000000000002</v>
      </c>
      <c r="Z26" s="488">
        <f>'IRA and CHIPS'!L198</f>
        <v>5.5830000000000002</v>
      </c>
      <c r="AA26" s="488">
        <f>'IRA and CHIPS'!M198</f>
        <v>5.5830000000000002</v>
      </c>
      <c r="AB26" s="488">
        <f>'IRA and CHIPS'!N198</f>
        <v>8.0220000000000002</v>
      </c>
      <c r="AC26" s="488">
        <f>'IRA and CHIPS'!O198</f>
        <v>8.0220000000000002</v>
      </c>
      <c r="AD26" s="488">
        <f>'IRA and CHIPS'!P198</f>
        <v>0</v>
      </c>
      <c r="AE26" s="488">
        <f>'IRA and CHIPS'!Q198</f>
        <v>0</v>
      </c>
      <c r="AF26" s="488">
        <f>'IRA and CHIPS'!R198</f>
        <v>0</v>
      </c>
      <c r="AG26" s="488">
        <f>'IRA and CHIPS'!S198</f>
        <v>0</v>
      </c>
    </row>
    <row r="27" spans="2:34" x14ac:dyDescent="0.35">
      <c r="B27" s="499" t="s">
        <v>1191</v>
      </c>
      <c r="C27" s="354"/>
      <c r="D27" s="352"/>
      <c r="E27" s="354"/>
      <c r="F27" s="359"/>
      <c r="G27" s="359"/>
      <c r="H27" s="500"/>
      <c r="I27" s="500"/>
      <c r="J27" s="500"/>
      <c r="K27" s="500"/>
      <c r="L27" s="500"/>
      <c r="M27" s="500"/>
      <c r="N27" s="359"/>
      <c r="O27" s="359"/>
      <c r="P27" s="359"/>
      <c r="Q27" s="359"/>
      <c r="R27" s="359"/>
      <c r="S27" s="478">
        <f>'IRA and CHIPS'!E187</f>
        <v>0</v>
      </c>
      <c r="T27" s="478">
        <f>'IRA and CHIPS'!F187</f>
        <v>1.2969999999999999</v>
      </c>
      <c r="U27" s="477">
        <f>'IRA and CHIPS'!G187</f>
        <v>1.2969999999999999</v>
      </c>
      <c r="V27" s="478">
        <f>'IRA and CHIPS'!H187</f>
        <v>1.2969999999999999</v>
      </c>
      <c r="W27" s="501">
        <f>'IRA and CHIPS'!I187</f>
        <v>1.2969999999999999</v>
      </c>
      <c r="X27" s="501">
        <f>'IRA and CHIPS'!J187</f>
        <v>3.8479999999999999</v>
      </c>
      <c r="Y27" s="501">
        <f>'IRA and CHIPS'!K187</f>
        <v>3.8479999999999999</v>
      </c>
      <c r="Z27" s="501">
        <f>'IRA and CHIPS'!L187</f>
        <v>3.8479999999999999</v>
      </c>
      <c r="AA27" s="501">
        <f>'IRA and CHIPS'!M187</f>
        <v>3.8479999999999999</v>
      </c>
      <c r="AB27" s="501">
        <f>'IRA and CHIPS'!N187</f>
        <v>6.4420000000000002</v>
      </c>
      <c r="AC27" s="501">
        <f>'IRA and CHIPS'!O187</f>
        <v>6.4420000000000002</v>
      </c>
      <c r="AD27" s="501">
        <f>'IRA and CHIPS'!P187</f>
        <v>6.4420000000000002</v>
      </c>
      <c r="AE27" s="501">
        <f>'IRA and CHIPS'!Q187</f>
        <v>6.4420000000000002</v>
      </c>
      <c r="AF27" s="501">
        <f>'IRA and CHIPS'!R187</f>
        <v>9.532</v>
      </c>
      <c r="AG27" s="501">
        <f>'IRA and CHIPS'!S187</f>
        <v>9.532</v>
      </c>
    </row>
    <row r="28" spans="2:34" ht="15" customHeight="1" x14ac:dyDescent="0.35">
      <c r="B28" s="1380" t="s">
        <v>419</v>
      </c>
      <c r="C28" s="1381"/>
      <c r="D28" s="502"/>
      <c r="E28" s="472"/>
      <c r="F28" s="472"/>
      <c r="G28" s="472"/>
      <c r="H28" s="50"/>
      <c r="I28" s="50"/>
      <c r="J28" s="50"/>
      <c r="K28" s="50"/>
      <c r="L28" s="50"/>
      <c r="M28" s="50"/>
      <c r="N28" s="50"/>
      <c r="O28" s="50"/>
      <c r="P28" s="511"/>
      <c r="Q28" s="50"/>
      <c r="R28" s="50"/>
      <c r="S28" s="50"/>
      <c r="T28" s="50"/>
      <c r="U28" s="50"/>
      <c r="V28" s="420"/>
      <c r="W28" s="479"/>
      <c r="X28" s="479"/>
      <c r="Y28" s="479"/>
      <c r="Z28" s="479"/>
      <c r="AA28" s="479"/>
      <c r="AB28" s="479"/>
      <c r="AC28" s="479"/>
      <c r="AD28" s="485"/>
      <c r="AE28" s="489"/>
      <c r="AF28" s="489"/>
      <c r="AG28" s="485"/>
    </row>
    <row r="29" spans="2:34" x14ac:dyDescent="0.35">
      <c r="B29" s="390" t="s">
        <v>420</v>
      </c>
      <c r="C29" s="249"/>
      <c r="D29" s="448"/>
      <c r="E29" s="249"/>
      <c r="F29" s="215"/>
      <c r="G29" s="215"/>
      <c r="H29" s="50"/>
      <c r="I29" s="50"/>
      <c r="J29" s="50"/>
      <c r="K29" s="50"/>
      <c r="L29" s="50"/>
      <c r="M29" s="50"/>
      <c r="N29" s="50">
        <f>SUM(N30:N34)</f>
        <v>23</v>
      </c>
      <c r="O29" s="50">
        <f>SUM(O30:O34)</f>
        <v>162</v>
      </c>
      <c r="P29" s="50"/>
      <c r="Q29" s="50"/>
      <c r="R29" s="50"/>
      <c r="S29" s="50"/>
      <c r="T29" s="50"/>
      <c r="U29" s="50"/>
      <c r="V29" s="35"/>
      <c r="W29" s="480"/>
      <c r="X29" s="480"/>
      <c r="Y29" s="480"/>
      <c r="Z29" s="480"/>
      <c r="AA29" s="480"/>
      <c r="AB29" s="480"/>
      <c r="AC29" s="480"/>
      <c r="AD29" s="485"/>
      <c r="AE29" s="489"/>
      <c r="AF29" s="489"/>
      <c r="AG29" s="485"/>
    </row>
    <row r="30" spans="2:34" x14ac:dyDescent="0.35">
      <c r="B30" s="327" t="s">
        <v>421</v>
      </c>
      <c r="C30" s="249"/>
      <c r="D30" s="448"/>
      <c r="E30" s="249"/>
      <c r="F30" s="215"/>
      <c r="G30" s="215"/>
      <c r="H30" s="50"/>
      <c r="I30" s="50"/>
      <c r="J30" s="50"/>
      <c r="K30" s="50"/>
      <c r="L30" s="506"/>
      <c r="M30" s="50"/>
      <c r="N30" s="50">
        <f>(4*'Response and Relief Act Score'!$F$15-$M$18)/2</f>
        <v>11</v>
      </c>
      <c r="O30" s="50">
        <f>(4*'Response and Relief Act Score'!$F$15-$M$18)/2</f>
        <v>11</v>
      </c>
      <c r="P30" s="50"/>
      <c r="Q30" s="50"/>
      <c r="R30" s="50"/>
      <c r="S30" s="50"/>
      <c r="T30" s="50"/>
      <c r="U30" s="50"/>
      <c r="V30" s="35"/>
      <c r="W30" s="480"/>
      <c r="X30" s="480"/>
      <c r="Y30" s="480"/>
      <c r="Z30" s="480"/>
      <c r="AA30" s="480"/>
      <c r="AB30" s="480"/>
      <c r="AC30" s="480"/>
      <c r="AD30" s="485"/>
      <c r="AE30" s="489"/>
      <c r="AF30" s="489"/>
      <c r="AG30" s="485"/>
    </row>
    <row r="31" spans="2:34" x14ac:dyDescent="0.35">
      <c r="B31" s="327" t="s">
        <v>418</v>
      </c>
      <c r="C31" s="249"/>
      <c r="D31" s="448"/>
      <c r="E31" s="249"/>
      <c r="F31" s="215"/>
      <c r="G31" s="215"/>
      <c r="H31" s="50"/>
      <c r="I31" s="50"/>
      <c r="J31" s="50"/>
      <c r="K31" s="50"/>
      <c r="L31" s="506"/>
      <c r="M31" s="50"/>
      <c r="N31" s="50"/>
      <c r="O31" s="50"/>
      <c r="P31" s="50"/>
      <c r="Q31" s="50"/>
      <c r="R31" s="50"/>
      <c r="S31" s="50"/>
      <c r="T31" s="50"/>
      <c r="U31" s="50"/>
      <c r="V31" s="35"/>
      <c r="W31" s="480"/>
      <c r="X31" s="480"/>
      <c r="Y31" s="480"/>
      <c r="Z31" s="480"/>
      <c r="AA31" s="480"/>
      <c r="AB31" s="480"/>
      <c r="AC31" s="480"/>
      <c r="AD31" s="485"/>
      <c r="AE31" s="489"/>
      <c r="AF31" s="489"/>
      <c r="AG31" s="485"/>
    </row>
    <row r="32" spans="2:34" x14ac:dyDescent="0.35">
      <c r="B32" s="521" t="s">
        <v>415</v>
      </c>
      <c r="C32" s="249"/>
      <c r="D32" s="448"/>
      <c r="E32" s="249"/>
      <c r="F32" s="215"/>
      <c r="G32" s="215"/>
      <c r="H32" s="50"/>
      <c r="I32" s="50"/>
      <c r="J32" s="50"/>
      <c r="K32" s="50"/>
      <c r="L32" s="50"/>
      <c r="M32" s="50"/>
      <c r="N32" s="50"/>
      <c r="O32" s="50">
        <v>79</v>
      </c>
      <c r="P32" s="50"/>
      <c r="Q32" s="366"/>
      <c r="R32" s="366"/>
      <c r="S32" s="366"/>
      <c r="T32" s="366"/>
      <c r="U32" s="366"/>
      <c r="V32" s="35"/>
      <c r="W32" s="480"/>
      <c r="X32" s="480"/>
      <c r="Y32" s="480"/>
      <c r="Z32" s="480"/>
      <c r="AA32" s="480"/>
      <c r="AB32" s="480"/>
      <c r="AC32" s="480"/>
      <c r="AD32" s="485"/>
      <c r="AE32" s="489"/>
      <c r="AF32" s="489"/>
      <c r="AG32" s="485"/>
    </row>
    <row r="33" spans="1:78" x14ac:dyDescent="0.35">
      <c r="B33" s="522" t="s">
        <v>422</v>
      </c>
      <c r="C33" s="249"/>
      <c r="D33" s="448"/>
      <c r="E33" s="249"/>
      <c r="F33" s="215"/>
      <c r="G33" s="215"/>
      <c r="H33" s="50"/>
      <c r="I33" s="50"/>
      <c r="J33" s="50"/>
      <c r="K33" s="50"/>
      <c r="L33" s="50"/>
      <c r="M33" s="50"/>
      <c r="N33" s="50"/>
      <c r="O33" s="50">
        <f>'Response and Relief Act Score'!F13*4</f>
        <v>60</v>
      </c>
      <c r="P33" s="50"/>
      <c r="Q33" s="366"/>
      <c r="R33" s="366"/>
      <c r="S33" s="366"/>
      <c r="T33" s="366"/>
      <c r="U33" s="366"/>
      <c r="V33" s="35"/>
      <c r="W33" s="480"/>
      <c r="X33" s="480"/>
      <c r="Y33" s="480"/>
      <c r="Z33" s="480"/>
      <c r="AA33" s="480"/>
      <c r="AB33" s="480"/>
      <c r="AC33" s="480"/>
      <c r="AD33" s="485"/>
      <c r="AE33" s="489"/>
      <c r="AF33" s="489"/>
      <c r="AG33" s="485"/>
    </row>
    <row r="34" spans="1:78" ht="27.65" customHeight="1" x14ac:dyDescent="0.35">
      <c r="B34" s="522" t="s">
        <v>423</v>
      </c>
      <c r="C34" s="249"/>
      <c r="D34" s="504"/>
      <c r="E34" s="505"/>
      <c r="F34" s="500"/>
      <c r="G34" s="500"/>
      <c r="H34" s="359"/>
      <c r="I34" s="359"/>
      <c r="J34" s="359"/>
      <c r="K34" s="359"/>
      <c r="L34" s="510"/>
      <c r="M34" s="359"/>
      <c r="N34" s="359">
        <f>'Response and Relief Act Score'!F14*4/2</f>
        <v>12</v>
      </c>
      <c r="O34" s="359">
        <f>'Response and Relief Act Score'!F14*4/2</f>
        <v>12</v>
      </c>
      <c r="P34" s="359"/>
      <c r="Q34" s="359"/>
      <c r="R34" s="359"/>
      <c r="S34" s="359"/>
      <c r="T34" s="359"/>
      <c r="U34" s="50"/>
      <c r="V34" s="35"/>
      <c r="W34" s="480"/>
      <c r="X34" s="480"/>
      <c r="Y34" s="480"/>
      <c r="Z34" s="480"/>
      <c r="AA34" s="480"/>
      <c r="AB34" s="480"/>
      <c r="AC34" s="480"/>
      <c r="AD34" s="485"/>
      <c r="AE34" s="489"/>
      <c r="AF34" s="489"/>
      <c r="AG34" s="485"/>
    </row>
    <row r="35" spans="1:78" ht="15" customHeight="1" x14ac:dyDescent="0.35">
      <c r="B35" s="1378" t="s">
        <v>424</v>
      </c>
      <c r="C35" s="1379"/>
      <c r="D35" s="448"/>
      <c r="E35" s="249"/>
      <c r="F35" s="215"/>
      <c r="G35" s="215"/>
      <c r="H35" s="50"/>
      <c r="I35" s="50"/>
      <c r="J35" s="50"/>
      <c r="K35" s="50"/>
      <c r="L35" s="506"/>
      <c r="M35" s="50"/>
      <c r="N35" s="50"/>
      <c r="O35" s="50"/>
      <c r="P35" s="50"/>
      <c r="Q35" s="50"/>
      <c r="R35" s="50"/>
      <c r="S35" s="50"/>
      <c r="T35" s="380"/>
      <c r="U35" s="482"/>
      <c r="V35" s="420"/>
      <c r="W35" s="479"/>
      <c r="X35" s="479"/>
      <c r="Y35" s="479"/>
      <c r="Z35" s="479"/>
      <c r="AA35" s="479"/>
      <c r="AB35" s="479"/>
      <c r="AC35" s="479"/>
      <c r="AD35" s="485"/>
      <c r="AE35" s="489"/>
      <c r="AF35" s="489"/>
      <c r="AG35" s="485"/>
    </row>
    <row r="36" spans="1:78" ht="13.5" customHeight="1" x14ac:dyDescent="0.35">
      <c r="B36" s="522" t="s">
        <v>143</v>
      </c>
      <c r="C36" s="249"/>
      <c r="D36" s="448"/>
      <c r="E36" s="249"/>
      <c r="F36" s="215"/>
      <c r="G36" s="215"/>
      <c r="H36" s="50"/>
      <c r="I36" s="50"/>
      <c r="J36" s="50"/>
      <c r="K36" s="50"/>
      <c r="L36" s="50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0">
        <f>'ARP Quarterly'!M18</f>
        <v>0</v>
      </c>
      <c r="X36" s="290">
        <f>'ARP Quarterly'!N18</f>
        <v>0</v>
      </c>
      <c r="Y36" s="290">
        <f>'ARP Quarterly'!O18</f>
        <v>0</v>
      </c>
      <c r="Z36" s="290">
        <f>'ARP Quarterly'!P18</f>
        <v>0</v>
      </c>
      <c r="AA36" s="290">
        <f>'ARP Quarterly'!Q18</f>
        <v>0</v>
      </c>
      <c r="AB36" s="290">
        <f>'ARP Quarterly'!R18</f>
        <v>0</v>
      </c>
      <c r="AC36" s="290">
        <f>'ARP Quarterly'!S18</f>
        <v>0</v>
      </c>
      <c r="AD36" s="485"/>
      <c r="AE36" s="489"/>
      <c r="AF36" s="489"/>
      <c r="AG36" s="485"/>
    </row>
    <row r="37" spans="1:78" x14ac:dyDescent="0.35">
      <c r="B37" s="522" t="s">
        <v>425</v>
      </c>
      <c r="C37" s="249"/>
      <c r="D37" s="448"/>
      <c r="E37" s="249"/>
      <c r="F37" s="215"/>
      <c r="G37" s="215"/>
      <c r="H37" s="50"/>
      <c r="I37" s="50"/>
      <c r="J37" s="50"/>
      <c r="K37" s="50"/>
      <c r="L37" s="50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0">
        <f>'ARP Quarterly'!M19</f>
        <v>0.48599999999999993</v>
      </c>
      <c r="X37" s="290">
        <f>'ARP Quarterly'!N19</f>
        <v>0</v>
      </c>
      <c r="Y37" s="290">
        <f>'ARP Quarterly'!O19</f>
        <v>0</v>
      </c>
      <c r="Z37" s="290">
        <f>'ARP Quarterly'!P19</f>
        <v>0</v>
      </c>
      <c r="AA37" s="290">
        <f>'ARP Quarterly'!Q19</f>
        <v>0</v>
      </c>
      <c r="AB37" s="290">
        <f>'ARP Quarterly'!R19</f>
        <v>0</v>
      </c>
      <c r="AC37" s="290">
        <f>'ARP Quarterly'!S19</f>
        <v>0</v>
      </c>
      <c r="AD37" s="485"/>
      <c r="AE37" s="489"/>
      <c r="AF37" s="489"/>
      <c r="AG37" s="485"/>
    </row>
    <row r="38" spans="1:78" x14ac:dyDescent="0.35">
      <c r="B38" s="522" t="s">
        <v>148</v>
      </c>
      <c r="C38" s="249"/>
      <c r="D38" s="448"/>
      <c r="E38" s="249"/>
      <c r="F38" s="215"/>
      <c r="G38" s="215"/>
      <c r="H38" s="50"/>
      <c r="I38" s="50"/>
      <c r="J38" s="50"/>
      <c r="K38" s="50"/>
      <c r="L38" s="50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0">
        <f>'ARP Quarterly'!M20</f>
        <v>0</v>
      </c>
      <c r="X38" s="290">
        <f>'ARP Quarterly'!N20</f>
        <v>0</v>
      </c>
      <c r="Y38" s="290">
        <f>'ARP Quarterly'!O20</f>
        <v>0</v>
      </c>
      <c r="Z38" s="290">
        <f>'ARP Quarterly'!P20</f>
        <v>0</v>
      </c>
      <c r="AA38" s="290">
        <f>'ARP Quarterly'!Q20</f>
        <v>0</v>
      </c>
      <c r="AB38" s="290">
        <f>'ARP Quarterly'!R20</f>
        <v>0</v>
      </c>
      <c r="AC38" s="290">
        <f>'ARP Quarterly'!S20</f>
        <v>0</v>
      </c>
      <c r="AD38" s="485"/>
      <c r="AE38" s="489"/>
      <c r="AF38" s="489"/>
      <c r="AG38" s="485"/>
    </row>
    <row r="39" spans="1:78" x14ac:dyDescent="0.35">
      <c r="B39" s="522" t="s">
        <v>415</v>
      </c>
      <c r="C39" s="249"/>
      <c r="D39" s="448"/>
      <c r="E39" s="249"/>
      <c r="F39" s="215"/>
      <c r="G39" s="215"/>
      <c r="H39" s="50"/>
      <c r="I39" s="50"/>
      <c r="J39" s="50"/>
      <c r="K39" s="50"/>
      <c r="L39" s="50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0">
        <f>'ARP Quarterly'!M21</f>
        <v>0.78750000000000009</v>
      </c>
      <c r="X39" s="290">
        <f>'ARP Quarterly'!N21</f>
        <v>0</v>
      </c>
      <c r="Y39" s="290">
        <f>'ARP Quarterly'!O21</f>
        <v>0</v>
      </c>
      <c r="Z39" s="290">
        <f>'ARP Quarterly'!P21</f>
        <v>0</v>
      </c>
      <c r="AA39" s="290">
        <f>'ARP Quarterly'!Q21</f>
        <v>0</v>
      </c>
      <c r="AB39" s="290">
        <f>'ARP Quarterly'!R21</f>
        <v>0</v>
      </c>
      <c r="AC39" s="290">
        <f>'ARP Quarterly'!S21</f>
        <v>0</v>
      </c>
      <c r="AD39" s="485"/>
      <c r="AE39" s="489"/>
      <c r="AF39" s="489"/>
      <c r="AG39" s="485"/>
    </row>
    <row r="40" spans="1:78" ht="30" customHeight="1" x14ac:dyDescent="0.35">
      <c r="B40" s="522" t="s">
        <v>426</v>
      </c>
      <c r="C40" s="249"/>
      <c r="D40" s="448"/>
      <c r="E40" s="249"/>
      <c r="F40" s="215"/>
      <c r="G40" s="215"/>
      <c r="H40" s="50"/>
      <c r="I40" s="50"/>
      <c r="J40" s="50"/>
      <c r="K40" s="50"/>
      <c r="L40" s="50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0">
        <f>'ARP Quarterly'!M22</f>
        <v>1.3125000000000002</v>
      </c>
      <c r="X40" s="290">
        <f>'ARP Quarterly'!N22</f>
        <v>0</v>
      </c>
      <c r="Y40" s="290">
        <f>'ARP Quarterly'!O22</f>
        <v>0</v>
      </c>
      <c r="Z40" s="290">
        <f>'ARP Quarterly'!P22</f>
        <v>0</v>
      </c>
      <c r="AA40" s="290">
        <f>'ARP Quarterly'!Q22</f>
        <v>0</v>
      </c>
      <c r="AB40" s="290">
        <f>'ARP Quarterly'!R22</f>
        <v>0</v>
      </c>
      <c r="AC40" s="290">
        <f>'ARP Quarterly'!S22</f>
        <v>0</v>
      </c>
      <c r="AD40" s="485"/>
      <c r="AE40" s="489"/>
      <c r="AF40" s="489"/>
      <c r="AG40" s="485"/>
    </row>
    <row r="41" spans="1:78" x14ac:dyDescent="0.35">
      <c r="B41" s="522" t="s">
        <v>427</v>
      </c>
      <c r="C41" s="249"/>
      <c r="D41" s="448"/>
      <c r="E41" s="249"/>
      <c r="F41" s="215"/>
      <c r="G41" s="215"/>
      <c r="H41" s="50"/>
      <c r="I41" s="50"/>
      <c r="J41" s="50"/>
      <c r="K41" s="50"/>
      <c r="L41" s="50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0">
        <f>'ARP Quarterly'!M23</f>
        <v>8.4</v>
      </c>
      <c r="X41" s="290">
        <f>'ARP Quarterly'!N23</f>
        <v>0.2</v>
      </c>
      <c r="Y41" s="290">
        <f>'ARP Quarterly'!O23</f>
        <v>0.2</v>
      </c>
      <c r="Z41" s="290">
        <f>'ARP Quarterly'!P23</f>
        <v>0.2</v>
      </c>
      <c r="AA41" s="290">
        <f>'ARP Quarterly'!Q23</f>
        <v>0.2</v>
      </c>
      <c r="AB41" s="290">
        <f>'ARP Quarterly'!R23</f>
        <v>0</v>
      </c>
      <c r="AC41" s="290">
        <f>'ARP Quarterly'!S23</f>
        <v>0</v>
      </c>
      <c r="AD41" s="485"/>
      <c r="AE41" s="489"/>
      <c r="AF41" s="489"/>
      <c r="AG41" s="485"/>
    </row>
    <row r="42" spans="1:78" x14ac:dyDescent="0.35">
      <c r="B42" s="522" t="s">
        <v>428</v>
      </c>
      <c r="C42" s="249"/>
      <c r="D42" s="448"/>
      <c r="E42" s="249"/>
      <c r="F42" s="215"/>
      <c r="G42" s="215"/>
      <c r="H42" s="50"/>
      <c r="I42" s="50"/>
      <c r="J42" s="50"/>
      <c r="K42" s="50"/>
      <c r="L42" s="506"/>
      <c r="M42" s="50">
        <f>'ARP Quarterly'!C24</f>
        <v>0</v>
      </c>
      <c r="N42" s="50">
        <f>'ARP Quarterly'!D24</f>
        <v>-0.20447999999999997</v>
      </c>
      <c r="O42" s="50">
        <f>'ARP Quarterly'!E24</f>
        <v>-0.93152000000000001</v>
      </c>
      <c r="P42" s="50">
        <v>0</v>
      </c>
      <c r="Q42" s="50">
        <v>0</v>
      </c>
      <c r="R42" s="50">
        <v>0</v>
      </c>
      <c r="S42" s="50">
        <v>0</v>
      </c>
      <c r="T42" s="50">
        <v>0</v>
      </c>
      <c r="U42" s="50">
        <v>0</v>
      </c>
      <c r="V42" s="50">
        <v>0</v>
      </c>
      <c r="W42" s="290">
        <v>0</v>
      </c>
      <c r="X42" s="290">
        <v>0</v>
      </c>
      <c r="Y42" s="290">
        <v>0</v>
      </c>
      <c r="Z42" s="290">
        <v>0</v>
      </c>
      <c r="AA42" s="290">
        <v>0</v>
      </c>
      <c r="AB42" s="290">
        <v>0</v>
      </c>
      <c r="AC42" s="290">
        <v>0</v>
      </c>
      <c r="AD42" s="485"/>
      <c r="AE42" s="489"/>
      <c r="AF42" s="489"/>
      <c r="AG42" s="485"/>
    </row>
    <row r="43" spans="1:78" x14ac:dyDescent="0.35">
      <c r="B43" s="522" t="s">
        <v>312</v>
      </c>
      <c r="C43" s="249"/>
      <c r="D43" s="504"/>
      <c r="E43" s="505"/>
      <c r="F43" s="500"/>
      <c r="G43" s="500"/>
      <c r="H43" s="359"/>
      <c r="I43" s="359"/>
      <c r="J43" s="359"/>
      <c r="K43" s="359"/>
      <c r="L43" s="510"/>
      <c r="M43" s="359">
        <f>'ARP Quarterly'!C25</f>
        <v>0</v>
      </c>
      <c r="N43" s="359">
        <f>'ARP Quarterly'!D25</f>
        <v>58.782959999999996</v>
      </c>
      <c r="O43" s="359">
        <f>'ARP Quarterly'!E25</f>
        <v>267.78904000000006</v>
      </c>
      <c r="P43" s="359">
        <f>'ARP Quarterly'!F25</f>
        <v>110.24799999999999</v>
      </c>
      <c r="Q43" s="359">
        <f>'ARP Quarterly'!G25</f>
        <v>110.24799999999999</v>
      </c>
      <c r="R43" s="359">
        <f>'ARP Quarterly'!H25</f>
        <v>110.24799999999999</v>
      </c>
      <c r="S43" s="359">
        <f>'ARP Quarterly'!I25</f>
        <v>110.24799999999999</v>
      </c>
      <c r="T43" s="359">
        <f>'ARP Quarterly'!J25</f>
        <v>12.362</v>
      </c>
      <c r="U43" s="50">
        <f>'ARP Quarterly'!K25</f>
        <v>12.362</v>
      </c>
      <c r="V43" s="50">
        <f>'ARP Quarterly'!L25</f>
        <v>12.362</v>
      </c>
      <c r="W43" s="290">
        <f>'ARP Quarterly'!M25</f>
        <v>12.362</v>
      </c>
      <c r="X43" s="290">
        <f>'ARP Quarterly'!N25</f>
        <v>-0.67500000000000004</v>
      </c>
      <c r="Y43" s="290">
        <f>'ARP Quarterly'!O25</f>
        <v>-0.67500000000000004</v>
      </c>
      <c r="Z43" s="290">
        <f>'ARP Quarterly'!P25</f>
        <v>-0.67500000000000004</v>
      </c>
      <c r="AA43" s="290">
        <f>'ARP Quarterly'!Q25</f>
        <v>-0.67500000000000004</v>
      </c>
      <c r="AB43" s="290">
        <f>'ARP Quarterly'!R25</f>
        <v>0</v>
      </c>
      <c r="AC43" s="290">
        <f>'ARP Quarterly'!S25</f>
        <v>0</v>
      </c>
      <c r="AD43" s="485"/>
      <c r="AE43" s="489"/>
      <c r="AF43" s="489"/>
      <c r="AG43" s="485"/>
    </row>
    <row r="44" spans="1:78" ht="15" customHeight="1" x14ac:dyDescent="0.35">
      <c r="B44" s="1378" t="s">
        <v>429</v>
      </c>
      <c r="C44" s="1379"/>
      <c r="D44" s="503"/>
      <c r="E44" s="69"/>
      <c r="F44" s="215"/>
      <c r="G44" s="215"/>
      <c r="H44" s="50"/>
      <c r="I44" s="50"/>
      <c r="J44" s="50"/>
      <c r="K44" s="50"/>
      <c r="L44" s="506"/>
      <c r="M44" s="50"/>
      <c r="N44" s="50"/>
      <c r="O44" s="50"/>
      <c r="P44" s="50"/>
      <c r="Q44" s="50"/>
      <c r="R44" s="50"/>
      <c r="S44" s="50"/>
      <c r="T44" s="50"/>
      <c r="U44" s="482"/>
      <c r="V44" s="420"/>
      <c r="W44" s="479"/>
      <c r="X44" s="479"/>
      <c r="Y44" s="479"/>
      <c r="Z44" s="479"/>
      <c r="AA44" s="479"/>
      <c r="AB44" s="479"/>
      <c r="AC44" s="479"/>
      <c r="AD44" s="485"/>
      <c r="AE44" s="489"/>
      <c r="AF44" s="489"/>
      <c r="AG44" s="485"/>
    </row>
    <row r="45" spans="1:78" ht="21" customHeight="1" x14ac:dyDescent="0.35">
      <c r="B45" s="396" t="s">
        <v>430</v>
      </c>
      <c r="C45" s="507"/>
      <c r="D45" s="396"/>
      <c r="E45" s="507"/>
      <c r="F45" s="498"/>
      <c r="G45" s="498"/>
      <c r="H45" s="483"/>
      <c r="I45" s="483"/>
      <c r="J45" s="483"/>
      <c r="K45" s="483"/>
      <c r="L45" s="508"/>
      <c r="M45" s="483">
        <f>'ARP Quarterly'!C6</f>
        <v>0</v>
      </c>
      <c r="N45" s="483">
        <f>'ARP Quarterly'!D6</f>
        <v>58.782959999999989</v>
      </c>
      <c r="O45" s="483">
        <f>'ARP Quarterly'!E6</f>
        <v>267.78904</v>
      </c>
      <c r="P45" s="483">
        <f>'ARP Quarterly'!F6</f>
        <v>110.24799999999999</v>
      </c>
      <c r="Q45" s="483">
        <f>'ARP Quarterly'!G6</f>
        <v>110.24799999999999</v>
      </c>
      <c r="R45" s="483">
        <f>'ARP Quarterly'!H6</f>
        <v>110.24799999999999</v>
      </c>
      <c r="S45" s="483">
        <f>'ARP Quarterly'!I6</f>
        <v>110.24799999999999</v>
      </c>
      <c r="T45" s="483">
        <f>'ARP Quarterly'!J6</f>
        <v>12.726000000000001</v>
      </c>
      <c r="U45" s="483">
        <f>'ARP Quarterly'!K6</f>
        <v>12.726000000000001</v>
      </c>
      <c r="V45" s="483">
        <f>'ARP Quarterly'!L6</f>
        <v>12.726000000000001</v>
      </c>
      <c r="W45" s="481">
        <f>'ARP Quarterly'!M6</f>
        <v>12.726000000000001</v>
      </c>
      <c r="X45" s="481">
        <f>'ARP Quarterly'!N6</f>
        <v>1.365</v>
      </c>
      <c r="Y45" s="481">
        <f>'ARP Quarterly'!O6</f>
        <v>1.365</v>
      </c>
      <c r="Z45" s="481">
        <f>'ARP Quarterly'!P6</f>
        <v>1.365</v>
      </c>
      <c r="AA45" s="481">
        <f>'ARP Quarterly'!Q6</f>
        <v>1.365</v>
      </c>
      <c r="AB45" s="481">
        <f>'ARP Quarterly'!R6</f>
        <v>-0.90100000000000025</v>
      </c>
      <c r="AC45" s="481">
        <f>'ARP Quarterly'!S6</f>
        <v>-0.90100000000000025</v>
      </c>
      <c r="AD45" s="481">
        <f>'ARP Quarterly'!T6</f>
        <v>-0.90100000000000025</v>
      </c>
      <c r="AE45" s="481">
        <f>'ARP Quarterly'!U6</f>
        <v>-0.90100000000000025</v>
      </c>
      <c r="AF45" s="481">
        <f>'ARP Quarterly'!V6</f>
        <v>-2.1500000000000004</v>
      </c>
      <c r="AG45" s="469"/>
    </row>
    <row r="46" spans="1:78" ht="19.5" customHeight="1" x14ac:dyDescent="0.35">
      <c r="A46" s="523"/>
      <c r="B46" s="516" t="s">
        <v>199</v>
      </c>
      <c r="C46" s="517"/>
      <c r="D46" s="516"/>
      <c r="E46" s="517"/>
      <c r="F46" s="484">
        <f>F11-F45</f>
        <v>60.5</v>
      </c>
      <c r="G46" s="484">
        <f>G11-G45</f>
        <v>81.400000000000006</v>
      </c>
      <c r="H46" s="484">
        <f t="shared" ref="H46:AF46" si="38">H11-H45</f>
        <v>82.1</v>
      </c>
      <c r="I46" s="484">
        <f>I11-I45</f>
        <v>80</v>
      </c>
      <c r="J46" s="484">
        <f t="shared" si="38"/>
        <v>975.7</v>
      </c>
      <c r="K46" s="484">
        <f t="shared" si="38"/>
        <v>1108.8</v>
      </c>
      <c r="L46" s="484">
        <f>L11-L45</f>
        <v>462.2</v>
      </c>
      <c r="M46" s="484">
        <f>M11-M45</f>
        <v>387.4</v>
      </c>
      <c r="N46" s="484">
        <f t="shared" si="38"/>
        <v>635.11703999999997</v>
      </c>
      <c r="O46" s="484">
        <f>O11-O45</f>
        <v>277.81096000000002</v>
      </c>
      <c r="P46" s="484">
        <f>P11-P45</f>
        <v>178.05200000000002</v>
      </c>
      <c r="Q46" s="484">
        <f t="shared" si="38"/>
        <v>34.25200000000001</v>
      </c>
      <c r="R46" s="484">
        <f t="shared" si="38"/>
        <v>12.652000000000015</v>
      </c>
      <c r="S46" s="484">
        <f t="shared" si="38"/>
        <v>3.5520000000000067</v>
      </c>
      <c r="T46" s="484">
        <f t="shared" si="38"/>
        <v>98.073999999999998</v>
      </c>
      <c r="U46" s="484">
        <f t="shared" si="38"/>
        <v>92.073999999999998</v>
      </c>
      <c r="V46" s="484">
        <f>V11-V45</f>
        <v>89.674000000000007</v>
      </c>
      <c r="W46" s="520">
        <f t="shared" si="38"/>
        <v>75.782000000000011</v>
      </c>
      <c r="X46" s="520">
        <f t="shared" si="38"/>
        <v>84.266000000000005</v>
      </c>
      <c r="Y46" s="520">
        <f t="shared" si="38"/>
        <v>84.266000000000005</v>
      </c>
      <c r="Z46" s="520">
        <f t="shared" si="38"/>
        <v>84.266000000000005</v>
      </c>
      <c r="AA46" s="520">
        <f t="shared" si="38"/>
        <v>84.266000000000005</v>
      </c>
      <c r="AB46" s="520">
        <f t="shared" si="38"/>
        <v>91.364999999999995</v>
      </c>
      <c r="AC46" s="520">
        <f>AC11-AC45</f>
        <v>91.364999999999995</v>
      </c>
      <c r="AD46" s="520">
        <f t="shared" si="38"/>
        <v>84.343000000000004</v>
      </c>
      <c r="AE46" s="520">
        <f t="shared" si="38"/>
        <v>85.343000000000004</v>
      </c>
      <c r="AF46" s="520">
        <f t="shared" si="38"/>
        <v>90.682000000000002</v>
      </c>
      <c r="AG46" s="470"/>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row>
    <row r="47" spans="1:78" ht="19.5" customHeight="1" x14ac:dyDescent="0.35">
      <c r="A47" s="523"/>
      <c r="B47" s="229"/>
      <c r="C47" s="229"/>
      <c r="D47" s="229"/>
      <c r="E47" s="229"/>
      <c r="F47" s="519"/>
      <c r="G47" s="519"/>
      <c r="H47" s="519"/>
      <c r="I47" s="519"/>
      <c r="J47" s="519"/>
      <c r="K47" s="519"/>
      <c r="L47" s="519"/>
      <c r="M47" s="519"/>
      <c r="N47" s="519"/>
      <c r="O47" s="519"/>
      <c r="P47" s="519"/>
      <c r="Q47" s="519"/>
      <c r="R47" s="519"/>
      <c r="S47" s="519"/>
      <c r="T47" s="519"/>
      <c r="U47" s="519"/>
      <c r="V47" s="519"/>
      <c r="W47" s="519"/>
      <c r="X47" s="519"/>
      <c r="Y47" s="519"/>
      <c r="Z47" s="519"/>
      <c r="AA47" s="519"/>
      <c r="AB47" s="519"/>
      <c r="AC47" s="519"/>
      <c r="AG47" s="523"/>
      <c r="AH47" s="523"/>
      <c r="AI47" s="523"/>
      <c r="AJ47" s="523"/>
      <c r="AK47" s="523"/>
      <c r="AL47" s="523"/>
      <c r="AM47" s="523"/>
      <c r="AN47" s="523"/>
      <c r="AO47" s="523"/>
      <c r="AP47" s="523"/>
      <c r="AQ47" s="523"/>
      <c r="AR47" s="523"/>
      <c r="AS47" s="523"/>
      <c r="AT47" s="523"/>
      <c r="AU47" s="523"/>
      <c r="AV47" s="523"/>
      <c r="AW47" s="523"/>
      <c r="AX47" s="523"/>
      <c r="AY47" s="523"/>
      <c r="AZ47" s="523"/>
      <c r="BA47" s="523"/>
      <c r="BB47" s="523"/>
      <c r="BC47" s="523"/>
      <c r="BD47" s="523"/>
      <c r="BE47" s="523"/>
      <c r="BF47" s="523"/>
      <c r="BG47" s="523"/>
      <c r="BH47" s="523"/>
      <c r="BI47" s="523"/>
      <c r="BJ47" s="523"/>
      <c r="BK47" s="523"/>
      <c r="BL47" s="523"/>
      <c r="BM47" s="523"/>
      <c r="BN47" s="523"/>
      <c r="BO47" s="523"/>
      <c r="BP47" s="523"/>
      <c r="BQ47" s="523"/>
      <c r="BR47" s="523"/>
      <c r="BS47" s="523"/>
      <c r="BT47" s="523"/>
      <c r="BU47" s="523"/>
      <c r="BV47" s="523"/>
      <c r="BW47" s="523"/>
      <c r="BX47" s="523"/>
      <c r="BY47" s="523"/>
      <c r="BZ47" s="523"/>
    </row>
    <row r="48" spans="1:78" ht="19.5" customHeight="1" x14ac:dyDescent="0.35">
      <c r="A48" s="523"/>
      <c r="B48" s="229" t="s">
        <v>868</v>
      </c>
      <c r="C48" s="229"/>
      <c r="D48" s="229"/>
      <c r="E48" s="229"/>
      <c r="F48" s="519"/>
      <c r="G48" s="519"/>
      <c r="H48" s="519"/>
      <c r="I48" s="519"/>
      <c r="J48" s="519"/>
      <c r="K48" s="519"/>
      <c r="L48" s="519"/>
      <c r="M48" s="519"/>
      <c r="N48" s="519"/>
      <c r="O48" s="519"/>
      <c r="P48" s="519"/>
      <c r="Q48" s="519"/>
      <c r="R48" s="519"/>
      <c r="S48" s="519"/>
      <c r="T48" s="519">
        <v>110.8</v>
      </c>
      <c r="U48" s="497">
        <v>96.021999999999991</v>
      </c>
      <c r="V48" s="217">
        <v>88.50800000000001</v>
      </c>
      <c r="W48" s="217">
        <v>88.50800000000001</v>
      </c>
      <c r="X48" s="217">
        <v>85.631</v>
      </c>
      <c r="Y48" s="217">
        <v>85.631</v>
      </c>
      <c r="Z48" s="217">
        <v>85.631</v>
      </c>
      <c r="AA48" s="217">
        <v>85.631</v>
      </c>
      <c r="AB48" s="217">
        <v>90.463999999999999</v>
      </c>
      <c r="AC48" s="217">
        <v>90.463999999999999</v>
      </c>
      <c r="AD48" s="496">
        <f>U11-U48</f>
        <v>8.7780000000000058</v>
      </c>
      <c r="AG48" s="523"/>
      <c r="AH48" s="523"/>
      <c r="AI48" s="523"/>
      <c r="AJ48" s="523"/>
      <c r="AK48" s="523"/>
      <c r="AL48" s="523"/>
      <c r="AM48" s="523"/>
      <c r="AN48" s="523"/>
      <c r="AO48" s="523"/>
      <c r="AP48" s="523"/>
      <c r="AQ48" s="523"/>
      <c r="AR48" s="523"/>
      <c r="AS48" s="523"/>
      <c r="AT48" s="523"/>
      <c r="AU48" s="523"/>
      <c r="AV48" s="523"/>
      <c r="AW48" s="523"/>
      <c r="AX48" s="523"/>
      <c r="AY48" s="523"/>
      <c r="AZ48" s="523"/>
      <c r="BA48" s="523"/>
      <c r="BB48" s="523"/>
      <c r="BC48" s="523"/>
      <c r="BD48" s="523"/>
      <c r="BE48" s="523"/>
      <c r="BF48" s="523"/>
      <c r="BG48" s="523"/>
      <c r="BH48" s="523"/>
      <c r="BI48" s="523"/>
      <c r="BJ48" s="523"/>
      <c r="BK48" s="523"/>
      <c r="BL48" s="523"/>
      <c r="BM48" s="523"/>
      <c r="BN48" s="523"/>
      <c r="BO48" s="523"/>
      <c r="BP48" s="523"/>
      <c r="BQ48" s="523"/>
      <c r="BR48" s="523"/>
      <c r="BS48" s="523"/>
      <c r="BT48" s="523"/>
      <c r="BU48" s="523"/>
      <c r="BV48" s="523"/>
      <c r="BW48" s="523"/>
      <c r="BX48" s="523"/>
      <c r="BY48" s="523"/>
      <c r="BZ48" s="523"/>
    </row>
    <row r="49" spans="2:30" x14ac:dyDescent="0.35">
      <c r="B49" s="490" t="s">
        <v>406</v>
      </c>
      <c r="C49" s="202"/>
      <c r="D49" s="202"/>
      <c r="E49" s="202"/>
      <c r="F49" s="202"/>
      <c r="G49" s="202"/>
      <c r="H49" s="202"/>
      <c r="I49" s="202"/>
      <c r="J49" s="202"/>
      <c r="K49" s="202"/>
      <c r="L49" s="202"/>
      <c r="M49" s="202"/>
      <c r="N49" s="202"/>
      <c r="O49" s="202"/>
      <c r="P49" s="454"/>
      <c r="Q49" s="454"/>
      <c r="R49" s="454"/>
      <c r="S49" s="454"/>
      <c r="T49" s="491">
        <v>78.977999999999994</v>
      </c>
      <c r="U49" s="492">
        <v>76</v>
      </c>
      <c r="V49" s="492">
        <v>76</v>
      </c>
      <c r="W49" s="492">
        <v>76</v>
      </c>
      <c r="X49" s="492">
        <v>76</v>
      </c>
      <c r="Y49" s="492">
        <v>76</v>
      </c>
      <c r="Z49" s="492">
        <v>76</v>
      </c>
      <c r="AA49" s="492">
        <v>76</v>
      </c>
      <c r="AB49" s="492">
        <v>76</v>
      </c>
      <c r="AC49" s="492">
        <v>76</v>
      </c>
      <c r="AD49" s="496">
        <f t="shared" ref="AD49:AD83" si="39">U12-U49</f>
        <v>16.292000000000002</v>
      </c>
    </row>
    <row r="50" spans="2:30" x14ac:dyDescent="0.35">
      <c r="B50" t="s">
        <v>407</v>
      </c>
      <c r="T50" s="493">
        <v>31.822000000000003</v>
      </c>
      <c r="U50" s="493">
        <v>20.021999999999998</v>
      </c>
      <c r="V50" s="493">
        <v>12.508000000000003</v>
      </c>
      <c r="W50" s="493">
        <v>12.508000000000003</v>
      </c>
      <c r="X50" s="493">
        <v>9.6310000000000002</v>
      </c>
      <c r="Y50" s="493">
        <v>9.6310000000000002</v>
      </c>
      <c r="Z50" s="493">
        <v>9.6310000000000002</v>
      </c>
      <c r="AA50" s="493">
        <v>9.6310000000000002</v>
      </c>
      <c r="AB50" s="493">
        <v>14.464</v>
      </c>
      <c r="AC50" s="493">
        <v>14.464</v>
      </c>
      <c r="AD50" s="496">
        <f t="shared" si="39"/>
        <v>-7.5139999999999958</v>
      </c>
    </row>
    <row r="51" spans="2:30" x14ac:dyDescent="0.35">
      <c r="B51" t="s">
        <v>50</v>
      </c>
      <c r="S51" s="35"/>
      <c r="T51" s="494">
        <v>0</v>
      </c>
      <c r="U51" s="493"/>
      <c r="V51" s="493"/>
      <c r="W51" s="493"/>
      <c r="X51" s="493"/>
      <c r="Y51" s="493"/>
      <c r="AD51" s="496">
        <f t="shared" si="39"/>
        <v>0</v>
      </c>
    </row>
    <row r="52" spans="2:30" x14ac:dyDescent="0.35">
      <c r="B52" t="s">
        <v>408</v>
      </c>
      <c r="T52" s="494">
        <v>28.200000000000003</v>
      </c>
      <c r="U52" s="494">
        <v>16.399999999999999</v>
      </c>
      <c r="V52" s="494">
        <v>8.886000000000001</v>
      </c>
      <c r="W52" s="494">
        <v>8.886000000000001</v>
      </c>
      <c r="X52" s="494">
        <v>0.2</v>
      </c>
      <c r="Y52" s="494">
        <v>0.2</v>
      </c>
      <c r="Z52" s="494">
        <v>0.2</v>
      </c>
      <c r="AA52" s="494">
        <v>0.2</v>
      </c>
      <c r="AB52" s="494">
        <v>0</v>
      </c>
      <c r="AC52" s="494">
        <v>0</v>
      </c>
      <c r="AD52" s="496">
        <f t="shared" si="39"/>
        <v>-7.5139999999999976</v>
      </c>
    </row>
    <row r="53" spans="2:30" x14ac:dyDescent="0.35">
      <c r="B53" t="s">
        <v>145</v>
      </c>
      <c r="T53" s="494">
        <v>0</v>
      </c>
      <c r="U53" s="493"/>
      <c r="V53" s="493"/>
      <c r="W53" s="493"/>
      <c r="X53" s="493"/>
      <c r="Y53" s="493"/>
      <c r="AD53" s="496">
        <f t="shared" si="39"/>
        <v>0</v>
      </c>
    </row>
    <row r="54" spans="2:30" x14ac:dyDescent="0.35">
      <c r="B54" t="s">
        <v>143</v>
      </c>
      <c r="T54" s="494">
        <v>0</v>
      </c>
      <c r="U54" s="493">
        <v>0</v>
      </c>
      <c r="V54" s="493">
        <v>0</v>
      </c>
      <c r="W54" s="493">
        <v>0</v>
      </c>
      <c r="X54" s="493">
        <v>0</v>
      </c>
      <c r="Y54" s="493">
        <v>0</v>
      </c>
      <c r="Z54" s="493">
        <v>0</v>
      </c>
      <c r="AA54" s="493">
        <v>0</v>
      </c>
      <c r="AB54" s="493">
        <v>0</v>
      </c>
      <c r="AC54" s="493">
        <v>0</v>
      </c>
      <c r="AD54" s="496">
        <f t="shared" si="39"/>
        <v>0</v>
      </c>
    </row>
    <row r="55" spans="2:30" x14ac:dyDescent="0.35">
      <c r="B55" t="s">
        <v>142</v>
      </c>
      <c r="T55" s="494">
        <v>0.4</v>
      </c>
      <c r="U55" s="493">
        <v>0</v>
      </c>
      <c r="V55" s="493">
        <v>0</v>
      </c>
      <c r="W55" s="493">
        <v>0</v>
      </c>
      <c r="X55" s="493">
        <v>0</v>
      </c>
      <c r="Y55" s="493">
        <v>0</v>
      </c>
      <c r="Z55" s="493">
        <v>0</v>
      </c>
      <c r="AA55" s="493">
        <v>0</v>
      </c>
      <c r="AB55" s="493">
        <v>0</v>
      </c>
      <c r="AC55" s="493">
        <v>0</v>
      </c>
      <c r="AD55" s="496">
        <f t="shared" si="39"/>
        <v>0</v>
      </c>
    </row>
    <row r="56" spans="2:30" x14ac:dyDescent="0.35">
      <c r="B56" t="s">
        <v>412</v>
      </c>
      <c r="T56" s="494">
        <v>3.6</v>
      </c>
      <c r="U56" s="493"/>
      <c r="V56" s="493"/>
      <c r="W56" s="493"/>
      <c r="X56" s="493"/>
      <c r="Y56" s="493"/>
      <c r="AD56" s="496">
        <f t="shared" si="39"/>
        <v>0</v>
      </c>
    </row>
    <row r="57" spans="2:30" x14ac:dyDescent="0.35">
      <c r="B57" t="s">
        <v>144</v>
      </c>
      <c r="T57" s="494">
        <v>15.8</v>
      </c>
      <c r="U57" s="493">
        <v>8</v>
      </c>
      <c r="V57" s="493">
        <v>0.48599999999999993</v>
      </c>
      <c r="W57" s="493">
        <v>0.48599999999999993</v>
      </c>
      <c r="X57" s="493">
        <v>0</v>
      </c>
      <c r="Y57" s="493">
        <v>0</v>
      </c>
      <c r="Z57" s="493">
        <v>0</v>
      </c>
      <c r="AA57" s="493">
        <v>0</v>
      </c>
      <c r="AB57" s="493">
        <v>0</v>
      </c>
      <c r="AC57" s="493">
        <v>0</v>
      </c>
      <c r="AD57" s="496">
        <f t="shared" si="39"/>
        <v>-7.5140000000000002</v>
      </c>
    </row>
    <row r="58" spans="2:30" x14ac:dyDescent="0.35">
      <c r="B58" t="s">
        <v>148</v>
      </c>
      <c r="T58" s="494">
        <v>0</v>
      </c>
      <c r="U58" s="493">
        <v>0</v>
      </c>
      <c r="V58" s="493">
        <v>0</v>
      </c>
      <c r="W58" s="493">
        <v>0</v>
      </c>
      <c r="X58" s="493">
        <v>0</v>
      </c>
      <c r="Y58" s="493">
        <v>0</v>
      </c>
      <c r="Z58" s="493">
        <v>0</v>
      </c>
      <c r="AA58" s="493">
        <v>0</v>
      </c>
      <c r="AB58" s="493">
        <v>0</v>
      </c>
      <c r="AC58" s="493">
        <v>0</v>
      </c>
      <c r="AD58" s="496">
        <f t="shared" si="39"/>
        <v>0</v>
      </c>
    </row>
    <row r="59" spans="2:30" x14ac:dyDescent="0.35">
      <c r="B59" t="s">
        <v>415</v>
      </c>
      <c r="T59" s="494">
        <v>0</v>
      </c>
      <c r="U59" s="493">
        <v>0</v>
      </c>
      <c r="V59" s="493">
        <v>0</v>
      </c>
      <c r="W59" s="493">
        <v>0</v>
      </c>
      <c r="X59" s="493">
        <v>0</v>
      </c>
      <c r="Y59" s="493">
        <v>0</v>
      </c>
      <c r="Z59" s="493">
        <v>0</v>
      </c>
      <c r="AA59" s="493">
        <v>0</v>
      </c>
      <c r="AB59" s="493">
        <v>0</v>
      </c>
      <c r="AC59" s="493">
        <v>0</v>
      </c>
      <c r="AD59" s="496">
        <f t="shared" si="39"/>
        <v>0</v>
      </c>
    </row>
    <row r="60" spans="2:30" x14ac:dyDescent="0.35">
      <c r="B60" t="s">
        <v>416</v>
      </c>
      <c r="T60" s="494">
        <v>0</v>
      </c>
      <c r="U60" s="493">
        <v>0</v>
      </c>
      <c r="V60" s="493">
        <v>0</v>
      </c>
      <c r="W60" s="493">
        <v>0</v>
      </c>
      <c r="X60" s="493">
        <v>0</v>
      </c>
      <c r="Y60" s="493">
        <v>0</v>
      </c>
      <c r="Z60" s="493">
        <v>0</v>
      </c>
      <c r="AA60" s="493">
        <v>0</v>
      </c>
      <c r="AB60" s="493">
        <v>0</v>
      </c>
      <c r="AC60" s="493">
        <v>0</v>
      </c>
      <c r="AD60" s="496">
        <f t="shared" si="39"/>
        <v>0</v>
      </c>
    </row>
    <row r="61" spans="2:30" x14ac:dyDescent="0.35">
      <c r="B61" t="s">
        <v>417</v>
      </c>
      <c r="T61" s="493">
        <v>8.4</v>
      </c>
      <c r="U61" s="493">
        <v>8.4</v>
      </c>
      <c r="V61" s="493">
        <v>8.4</v>
      </c>
      <c r="W61" s="493">
        <v>8.4</v>
      </c>
      <c r="X61" s="493">
        <v>0.2</v>
      </c>
      <c r="Y61" s="493">
        <v>0.2</v>
      </c>
      <c r="Z61" s="493">
        <v>0.2</v>
      </c>
      <c r="AA61" s="493">
        <v>0.2</v>
      </c>
      <c r="AB61" s="493">
        <v>0</v>
      </c>
      <c r="AC61" s="493">
        <v>0</v>
      </c>
      <c r="AD61" s="496">
        <f t="shared" si="39"/>
        <v>0</v>
      </c>
    </row>
    <row r="62" spans="2:30" x14ac:dyDescent="0.35">
      <c r="B62" t="s">
        <v>418</v>
      </c>
      <c r="T62" s="493">
        <v>0</v>
      </c>
      <c r="U62" s="493">
        <v>0</v>
      </c>
      <c r="V62" s="493">
        <v>0</v>
      </c>
      <c r="W62" s="493">
        <v>0</v>
      </c>
      <c r="X62" s="493">
        <v>0</v>
      </c>
      <c r="Y62" s="493">
        <v>0</v>
      </c>
      <c r="Z62" s="493">
        <v>0</v>
      </c>
      <c r="AA62" s="493">
        <v>0</v>
      </c>
      <c r="AB62" s="493">
        <v>0</v>
      </c>
      <c r="AC62" s="493">
        <v>0</v>
      </c>
      <c r="AD62" s="496">
        <f t="shared" si="39"/>
        <v>0</v>
      </c>
    </row>
    <row r="63" spans="2:30" x14ac:dyDescent="0.35">
      <c r="B63" t="s">
        <v>1383</v>
      </c>
      <c r="T63" s="493">
        <v>2.3250000000000002</v>
      </c>
      <c r="U63" s="493">
        <v>2.3250000000000002</v>
      </c>
      <c r="V63" s="493">
        <v>2.3250000000000002</v>
      </c>
      <c r="W63" s="493">
        <v>2.3250000000000002</v>
      </c>
      <c r="X63" s="493">
        <v>5.5830000000000002</v>
      </c>
      <c r="Y63" s="493">
        <v>5.5830000000000002</v>
      </c>
      <c r="Z63" s="493">
        <v>5.5830000000000002</v>
      </c>
      <c r="AA63" s="493">
        <v>5.5830000000000002</v>
      </c>
      <c r="AB63" s="493">
        <v>8.0220000000000002</v>
      </c>
      <c r="AC63" s="493">
        <v>8.0220000000000002</v>
      </c>
      <c r="AD63" s="496">
        <f t="shared" si="39"/>
        <v>0</v>
      </c>
    </row>
    <row r="64" spans="2:30" x14ac:dyDescent="0.35">
      <c r="B64" t="s">
        <v>1191</v>
      </c>
      <c r="T64" s="493">
        <v>1.2969999999999999</v>
      </c>
      <c r="U64" s="493">
        <v>1.2969999999999999</v>
      </c>
      <c r="V64" s="493">
        <v>1.2969999999999999</v>
      </c>
      <c r="W64" s="493">
        <v>1.2969999999999999</v>
      </c>
      <c r="X64" s="493">
        <v>3.8479999999999999</v>
      </c>
      <c r="Y64" s="493">
        <v>3.8479999999999999</v>
      </c>
      <c r="Z64" s="493">
        <v>3.8479999999999999</v>
      </c>
      <c r="AA64" s="493">
        <v>3.8479999999999999</v>
      </c>
      <c r="AB64" s="493">
        <v>6.4420000000000002</v>
      </c>
      <c r="AC64" s="493">
        <v>6.4420000000000002</v>
      </c>
      <c r="AD64" s="496">
        <f t="shared" si="39"/>
        <v>0</v>
      </c>
    </row>
    <row r="65" spans="2:30" x14ac:dyDescent="0.35">
      <c r="B65" t="s">
        <v>419</v>
      </c>
      <c r="T65" s="493"/>
      <c r="U65" s="493"/>
      <c r="AD65" s="496">
        <f t="shared" si="39"/>
        <v>0</v>
      </c>
    </row>
    <row r="66" spans="2:30" x14ac:dyDescent="0.35">
      <c r="B66" t="s">
        <v>420</v>
      </c>
      <c r="T66" s="493"/>
      <c r="U66" s="493"/>
      <c r="AD66" s="496">
        <f t="shared" si="39"/>
        <v>0</v>
      </c>
    </row>
    <row r="67" spans="2:30" x14ac:dyDescent="0.35">
      <c r="B67" t="s">
        <v>421</v>
      </c>
      <c r="T67" s="493"/>
      <c r="U67" s="493"/>
      <c r="AD67" s="496">
        <f t="shared" si="39"/>
        <v>0</v>
      </c>
    </row>
    <row r="68" spans="2:30" x14ac:dyDescent="0.35">
      <c r="B68" t="s">
        <v>418</v>
      </c>
      <c r="T68" s="493"/>
      <c r="U68" s="493"/>
      <c r="AD68" s="496">
        <f t="shared" si="39"/>
        <v>0</v>
      </c>
    </row>
    <row r="69" spans="2:30" x14ac:dyDescent="0.35">
      <c r="B69" t="s">
        <v>415</v>
      </c>
      <c r="T69" s="495"/>
      <c r="U69" s="495"/>
      <c r="AD69" s="496">
        <f t="shared" si="39"/>
        <v>0</v>
      </c>
    </row>
    <row r="70" spans="2:30" x14ac:dyDescent="0.35">
      <c r="B70" t="s">
        <v>422</v>
      </c>
      <c r="T70" s="495"/>
      <c r="U70" s="495"/>
      <c r="AD70" s="496">
        <f t="shared" si="39"/>
        <v>0</v>
      </c>
    </row>
    <row r="71" spans="2:30" x14ac:dyDescent="0.35">
      <c r="B71" t="s">
        <v>423</v>
      </c>
      <c r="T71" s="493"/>
      <c r="U71" s="493"/>
      <c r="AD71" s="496">
        <f t="shared" si="39"/>
        <v>0</v>
      </c>
    </row>
    <row r="72" spans="2:30" x14ac:dyDescent="0.35">
      <c r="B72" t="s">
        <v>424</v>
      </c>
      <c r="T72" s="493"/>
      <c r="U72" s="493"/>
      <c r="AD72" s="496">
        <f t="shared" si="39"/>
        <v>0</v>
      </c>
    </row>
    <row r="73" spans="2:30" x14ac:dyDescent="0.35">
      <c r="B73" t="s">
        <v>143</v>
      </c>
      <c r="T73" s="493">
        <v>0</v>
      </c>
      <c r="U73" s="493">
        <v>0</v>
      </c>
      <c r="V73" s="493">
        <v>0</v>
      </c>
      <c r="W73" s="493">
        <v>0</v>
      </c>
      <c r="X73" s="493">
        <v>0</v>
      </c>
      <c r="Y73" s="493">
        <v>0</v>
      </c>
      <c r="Z73" s="493">
        <v>0</v>
      </c>
      <c r="AA73" s="493">
        <v>0</v>
      </c>
      <c r="AB73" s="493">
        <v>0</v>
      </c>
      <c r="AC73" s="493">
        <v>0</v>
      </c>
      <c r="AD73" s="496">
        <f t="shared" si="39"/>
        <v>0</v>
      </c>
    </row>
    <row r="74" spans="2:30" x14ac:dyDescent="0.35">
      <c r="B74" t="s">
        <v>425</v>
      </c>
      <c r="T74" s="493">
        <v>0.48599999999999993</v>
      </c>
      <c r="U74" s="493">
        <v>0.48599999999999993</v>
      </c>
      <c r="V74" s="493">
        <v>0.48599999999999993</v>
      </c>
      <c r="W74" s="493">
        <v>0.48599999999999993</v>
      </c>
      <c r="X74" s="493">
        <v>0</v>
      </c>
      <c r="Y74" s="493">
        <v>0</v>
      </c>
      <c r="Z74" s="493">
        <v>0</v>
      </c>
      <c r="AA74" s="493">
        <v>0</v>
      </c>
      <c r="AB74" s="493">
        <v>0</v>
      </c>
      <c r="AC74" s="493">
        <v>0</v>
      </c>
      <c r="AD74" s="496">
        <f t="shared" si="39"/>
        <v>0</v>
      </c>
    </row>
    <row r="75" spans="2:30" x14ac:dyDescent="0.35">
      <c r="B75" t="s">
        <v>148</v>
      </c>
      <c r="T75" s="493">
        <v>0</v>
      </c>
      <c r="U75" s="493">
        <v>0</v>
      </c>
      <c r="V75" s="493">
        <v>0</v>
      </c>
      <c r="W75" s="493">
        <v>0</v>
      </c>
      <c r="X75" s="493">
        <v>0</v>
      </c>
      <c r="Y75" s="493">
        <v>0</v>
      </c>
      <c r="Z75" s="493">
        <v>0</v>
      </c>
      <c r="AA75" s="493">
        <v>0</v>
      </c>
      <c r="AB75" s="493">
        <v>0</v>
      </c>
      <c r="AC75" s="493">
        <v>0</v>
      </c>
      <c r="AD75" s="496">
        <f t="shared" si="39"/>
        <v>0</v>
      </c>
    </row>
    <row r="76" spans="2:30" x14ac:dyDescent="0.35">
      <c r="B76" t="s">
        <v>415</v>
      </c>
      <c r="T76" s="493">
        <v>0.78750000000000009</v>
      </c>
      <c r="U76" s="493">
        <v>0.78750000000000009</v>
      </c>
      <c r="V76" s="493">
        <v>0.78750000000000009</v>
      </c>
      <c r="W76" s="493">
        <v>0.78750000000000009</v>
      </c>
      <c r="X76" s="493">
        <v>0</v>
      </c>
      <c r="Y76" s="493">
        <v>0</v>
      </c>
      <c r="Z76" s="493">
        <v>0</v>
      </c>
      <c r="AA76" s="493">
        <v>0</v>
      </c>
      <c r="AB76" s="493">
        <v>0</v>
      </c>
      <c r="AC76" s="493">
        <v>0</v>
      </c>
      <c r="AD76" s="496">
        <f t="shared" si="39"/>
        <v>0</v>
      </c>
    </row>
    <row r="77" spans="2:30" x14ac:dyDescent="0.35">
      <c r="B77" t="s">
        <v>426</v>
      </c>
      <c r="T77" s="493">
        <v>1.3125000000000002</v>
      </c>
      <c r="U77" s="493">
        <v>1.3125000000000002</v>
      </c>
      <c r="V77" s="493">
        <v>1.3125000000000002</v>
      </c>
      <c r="W77" s="493">
        <v>1.3125000000000002</v>
      </c>
      <c r="X77" s="493">
        <v>0</v>
      </c>
      <c r="Y77" s="493">
        <v>0</v>
      </c>
      <c r="Z77" s="493">
        <v>0</v>
      </c>
      <c r="AA77" s="493">
        <v>0</v>
      </c>
      <c r="AB77" s="493">
        <v>0</v>
      </c>
      <c r="AC77" s="493">
        <v>0</v>
      </c>
      <c r="AD77" s="496">
        <f t="shared" si="39"/>
        <v>0</v>
      </c>
    </row>
    <row r="78" spans="2:30" x14ac:dyDescent="0.35">
      <c r="B78" t="s">
        <v>427</v>
      </c>
      <c r="T78" s="493">
        <v>8.4</v>
      </c>
      <c r="U78" s="493">
        <v>8.4</v>
      </c>
      <c r="V78" s="493">
        <v>8.4</v>
      </c>
      <c r="W78" s="493">
        <v>8.4</v>
      </c>
      <c r="X78" s="493">
        <v>0.2</v>
      </c>
      <c r="Y78" s="493">
        <v>0.2</v>
      </c>
      <c r="Z78" s="493">
        <v>0.2</v>
      </c>
      <c r="AA78" s="493">
        <v>0.2</v>
      </c>
      <c r="AB78" s="493">
        <v>0</v>
      </c>
      <c r="AC78" s="493">
        <v>0</v>
      </c>
      <c r="AD78" s="496">
        <f t="shared" si="39"/>
        <v>0</v>
      </c>
    </row>
    <row r="79" spans="2:30" x14ac:dyDescent="0.35">
      <c r="B79" t="s">
        <v>428</v>
      </c>
      <c r="T79" s="493">
        <v>0</v>
      </c>
      <c r="U79" s="493">
        <v>0</v>
      </c>
      <c r="V79" s="493">
        <v>0</v>
      </c>
      <c r="W79" s="493">
        <v>0</v>
      </c>
      <c r="X79" s="493">
        <v>0</v>
      </c>
      <c r="Y79" s="493">
        <v>0</v>
      </c>
      <c r="Z79" s="493">
        <v>0</v>
      </c>
      <c r="AA79" s="493">
        <v>0</v>
      </c>
      <c r="AB79" s="493">
        <v>0</v>
      </c>
      <c r="AC79" s="493">
        <v>0</v>
      </c>
      <c r="AD79" s="496">
        <f t="shared" si="39"/>
        <v>0</v>
      </c>
    </row>
    <row r="80" spans="2:30" x14ac:dyDescent="0.35">
      <c r="B80" t="s">
        <v>312</v>
      </c>
      <c r="T80" s="493">
        <v>12.362</v>
      </c>
      <c r="U80" s="493">
        <v>12.362</v>
      </c>
      <c r="V80" s="493">
        <v>12.362</v>
      </c>
      <c r="W80" s="493">
        <v>12.362</v>
      </c>
      <c r="X80" s="493">
        <v>-0.67500000000000004</v>
      </c>
      <c r="Y80" s="493">
        <v>-0.67500000000000004</v>
      </c>
      <c r="Z80" s="493">
        <v>-0.67500000000000004</v>
      </c>
      <c r="AA80" s="493">
        <v>-0.67500000000000004</v>
      </c>
      <c r="AB80" s="493">
        <v>0</v>
      </c>
      <c r="AC80" s="493">
        <v>0</v>
      </c>
      <c r="AD80" s="496">
        <f t="shared" si="39"/>
        <v>0</v>
      </c>
    </row>
    <row r="81" spans="2:30" x14ac:dyDescent="0.35">
      <c r="B81" t="s">
        <v>429</v>
      </c>
      <c r="T81" s="493"/>
      <c r="U81" s="493"/>
      <c r="AD81" s="496">
        <f t="shared" si="39"/>
        <v>0</v>
      </c>
    </row>
    <row r="82" spans="2:30" x14ac:dyDescent="0.35">
      <c r="B82" t="s">
        <v>430</v>
      </c>
      <c r="T82" s="493">
        <v>12.726000000000001</v>
      </c>
      <c r="U82" s="493">
        <v>12.726000000000001</v>
      </c>
      <c r="V82" s="493">
        <v>12.726000000000001</v>
      </c>
      <c r="W82" s="493">
        <v>12.726000000000001</v>
      </c>
      <c r="X82" s="493">
        <v>1.365</v>
      </c>
      <c r="Y82" s="493">
        <v>1.365</v>
      </c>
      <c r="Z82" s="493">
        <v>1.365</v>
      </c>
      <c r="AA82" s="493">
        <v>1.365</v>
      </c>
      <c r="AB82" s="493">
        <v>-0.90100000000000025</v>
      </c>
      <c r="AC82" s="493">
        <v>-0.90100000000000025</v>
      </c>
      <c r="AD82" s="496">
        <f t="shared" si="39"/>
        <v>0</v>
      </c>
    </row>
    <row r="83" spans="2:30" x14ac:dyDescent="0.35">
      <c r="B83" t="s">
        <v>199</v>
      </c>
      <c r="T83" s="494">
        <v>98.073999999999998</v>
      </c>
      <c r="U83" s="496">
        <v>83.295999999999992</v>
      </c>
      <c r="V83" s="494">
        <v>75.782000000000011</v>
      </c>
      <c r="W83" s="494">
        <v>75.782000000000011</v>
      </c>
      <c r="X83" s="494">
        <v>84.266000000000005</v>
      </c>
      <c r="Y83" s="494">
        <v>84.266000000000005</v>
      </c>
      <c r="Z83" s="494">
        <v>84.266000000000005</v>
      </c>
      <c r="AA83" s="494">
        <v>84.266000000000005</v>
      </c>
      <c r="AB83" s="494">
        <v>91.364999999999995</v>
      </c>
      <c r="AC83" s="494">
        <v>91.364999999999995</v>
      </c>
      <c r="AD83" s="496">
        <f t="shared" si="39"/>
        <v>8.7780000000000058</v>
      </c>
    </row>
    <row r="84" spans="2:30" x14ac:dyDescent="0.35">
      <c r="AD84" s="496"/>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14" t="s">
        <v>54</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c r="AD1" s="182"/>
      <c r="AE1" s="182"/>
      <c r="AF1" s="182"/>
      <c r="AG1" s="182"/>
    </row>
    <row r="2" spans="2:36" ht="14.25" customHeight="1" x14ac:dyDescent="0.35">
      <c r="B2" s="1386" t="s">
        <v>863</v>
      </c>
      <c r="C2" s="1386"/>
      <c r="D2" s="1386"/>
      <c r="E2" s="1386"/>
      <c r="F2" s="1386"/>
      <c r="G2" s="1386"/>
      <c r="H2" s="1386"/>
      <c r="I2" s="1386"/>
      <c r="J2" s="1386"/>
      <c r="K2" s="1386"/>
      <c r="L2" s="1386"/>
      <c r="M2" s="1386"/>
      <c r="N2" s="1386"/>
      <c r="O2" s="1386"/>
      <c r="P2" s="1386"/>
      <c r="Q2" s="1386"/>
      <c r="R2" s="1386"/>
      <c r="S2" s="1386"/>
      <c r="T2" s="1386"/>
      <c r="U2" s="1386"/>
      <c r="V2" s="1385" t="s">
        <v>916</v>
      </c>
      <c r="W2" s="1385"/>
      <c r="X2" s="1385"/>
      <c r="Y2" s="1385"/>
      <c r="Z2" s="1385"/>
      <c r="AA2" s="1385"/>
      <c r="AB2" s="1385"/>
      <c r="AC2" s="579"/>
      <c r="AD2" s="579"/>
      <c r="AE2" s="579"/>
      <c r="AF2" s="579"/>
      <c r="AG2" s="579"/>
    </row>
    <row r="3" spans="2:36" ht="59.9" customHeight="1" x14ac:dyDescent="0.35">
      <c r="B3" s="1386"/>
      <c r="C3" s="1386"/>
      <c r="D3" s="1386"/>
      <c r="E3" s="1386"/>
      <c r="F3" s="1386"/>
      <c r="G3" s="1386"/>
      <c r="H3" s="1386"/>
      <c r="I3" s="1386"/>
      <c r="J3" s="1386"/>
      <c r="K3" s="1386"/>
      <c r="L3" s="1386"/>
      <c r="M3" s="1386"/>
      <c r="N3" s="1386"/>
      <c r="O3" s="1386"/>
      <c r="P3" s="1386"/>
      <c r="Q3" s="1386"/>
      <c r="R3" s="1386"/>
      <c r="S3" s="1386"/>
      <c r="T3" s="1386"/>
      <c r="U3" s="1386"/>
      <c r="V3" s="1385"/>
      <c r="W3" s="1385"/>
      <c r="X3" s="1385"/>
      <c r="Y3" s="1385"/>
      <c r="Z3" s="1385"/>
      <c r="AA3" s="1385"/>
      <c r="AB3" s="1385"/>
      <c r="AC3" s="579"/>
      <c r="AD3" s="579"/>
      <c r="AE3" s="579"/>
      <c r="AF3" s="579"/>
      <c r="AG3" s="579"/>
    </row>
    <row r="4" spans="2:36" ht="88.5" customHeight="1" x14ac:dyDescent="0.35">
      <c r="B4" s="1386"/>
      <c r="C4" s="1386"/>
      <c r="D4" s="1386"/>
      <c r="E4" s="1386"/>
      <c r="F4" s="1386"/>
      <c r="G4" s="1386"/>
      <c r="H4" s="1386"/>
      <c r="I4" s="1386"/>
      <c r="J4" s="1386"/>
      <c r="K4" s="1386"/>
      <c r="L4" s="1386"/>
      <c r="M4" s="1386"/>
      <c r="N4" s="1386"/>
      <c r="O4" s="1386"/>
      <c r="P4" s="1386"/>
      <c r="Q4" s="1386"/>
      <c r="R4" s="1386"/>
      <c r="S4" s="1386"/>
      <c r="T4" s="1386"/>
      <c r="U4" s="1386"/>
      <c r="V4" s="1385"/>
      <c r="W4" s="1385"/>
      <c r="X4" s="1385"/>
      <c r="Y4" s="1385"/>
      <c r="Z4" s="1385"/>
      <c r="AA4" s="1385"/>
      <c r="AB4" s="1385"/>
      <c r="AC4" s="579"/>
      <c r="AD4" s="579"/>
      <c r="AE4" s="579"/>
      <c r="AF4" s="579"/>
      <c r="AG4" s="579"/>
    </row>
    <row r="5" spans="2:36" ht="33" customHeight="1" x14ac:dyDescent="0.35">
      <c r="B5" s="579"/>
      <c r="C5" s="579"/>
      <c r="D5" s="579"/>
      <c r="E5" s="579"/>
      <c r="F5" s="579"/>
      <c r="G5" s="579"/>
      <c r="H5" s="579"/>
      <c r="I5" s="579"/>
      <c r="J5" s="579"/>
      <c r="K5" s="579"/>
      <c r="L5" s="579"/>
      <c r="M5" s="579"/>
      <c r="N5" s="579"/>
      <c r="O5" s="579"/>
      <c r="P5" s="579"/>
      <c r="Q5" s="579"/>
      <c r="R5" s="579"/>
      <c r="S5" s="579"/>
      <c r="T5" s="579"/>
      <c r="U5" s="579"/>
      <c r="V5" s="579"/>
      <c r="W5" s="579"/>
      <c r="X5" s="579"/>
      <c r="Y5" s="579"/>
      <c r="Z5" s="579"/>
      <c r="AA5" s="579"/>
      <c r="AB5" s="579"/>
      <c r="AC5" s="579"/>
      <c r="AD5" s="579"/>
      <c r="AE5" s="579"/>
      <c r="AF5" s="579"/>
      <c r="AG5" s="579"/>
    </row>
    <row r="6" spans="2:36" x14ac:dyDescent="0.35">
      <c r="B6" s="579"/>
      <c r="C6" s="579"/>
      <c r="D6" s="579"/>
      <c r="E6" s="579"/>
      <c r="F6" s="579"/>
      <c r="G6" s="579"/>
      <c r="H6" s="579"/>
      <c r="I6" s="579"/>
      <c r="J6" s="579"/>
      <c r="K6" s="579"/>
      <c r="L6" s="579"/>
      <c r="M6" s="579"/>
      <c r="N6" s="579"/>
      <c r="O6" s="579"/>
      <c r="P6" s="579"/>
      <c r="Q6" s="579"/>
      <c r="R6" s="579"/>
      <c r="S6" s="579"/>
      <c r="T6" s="579"/>
      <c r="U6" s="579"/>
      <c r="V6" s="579"/>
      <c r="W6" s="579"/>
      <c r="X6" s="579"/>
      <c r="Y6" s="579"/>
      <c r="Z6" s="579"/>
      <c r="AA6" s="579"/>
      <c r="AB6" s="579"/>
      <c r="AC6" s="579"/>
      <c r="AD6" s="579"/>
      <c r="AE6" s="579"/>
      <c r="AF6" s="579"/>
      <c r="AG6" s="579"/>
    </row>
    <row r="7" spans="2:36" ht="14.9" customHeight="1" x14ac:dyDescent="0.35">
      <c r="B7" s="1319" t="s">
        <v>405</v>
      </c>
      <c r="C7" s="1320"/>
      <c r="D7" s="1323" t="s">
        <v>280</v>
      </c>
      <c r="E7" s="1335"/>
      <c r="F7" s="1335"/>
      <c r="G7" s="1335"/>
      <c r="H7" s="1335"/>
      <c r="I7" s="1335"/>
      <c r="J7" s="1335"/>
      <c r="K7" s="1335"/>
      <c r="L7" s="1335"/>
      <c r="M7" s="1335"/>
      <c r="N7" s="1335"/>
      <c r="O7" s="1335"/>
      <c r="P7" s="1335"/>
      <c r="Q7" s="1335"/>
      <c r="R7" s="1335"/>
      <c r="S7" s="1335"/>
      <c r="T7" s="1335"/>
      <c r="U7" s="1335"/>
      <c r="V7" s="1324"/>
      <c r="W7" s="1361" t="s">
        <v>281</v>
      </c>
      <c r="X7" s="1362"/>
      <c r="Y7" s="1362"/>
      <c r="Z7" s="1362"/>
      <c r="AA7" s="1362"/>
      <c r="AB7" s="1362"/>
      <c r="AC7" s="1362"/>
      <c r="AD7" s="1362"/>
      <c r="AE7" s="1362"/>
      <c r="AF7" s="1362"/>
      <c r="AG7" s="1362"/>
    </row>
    <row r="8" spans="2:36" x14ac:dyDescent="0.35">
      <c r="B8" s="1321"/>
      <c r="C8" s="1336"/>
      <c r="D8" s="142">
        <v>2018</v>
      </c>
      <c r="E8" s="1310">
        <v>2019</v>
      </c>
      <c r="F8" s="1328"/>
      <c r="G8" s="1328"/>
      <c r="H8" s="1329"/>
      <c r="I8" s="1310">
        <v>2020</v>
      </c>
      <c r="J8" s="1328"/>
      <c r="K8" s="1328"/>
      <c r="L8" s="1328"/>
      <c r="M8" s="1310">
        <v>2021</v>
      </c>
      <c r="N8" s="1328"/>
      <c r="O8" s="1328"/>
      <c r="P8" s="1328"/>
      <c r="Q8" s="1310">
        <v>2022</v>
      </c>
      <c r="R8" s="1311"/>
      <c r="S8" s="1311"/>
      <c r="T8" s="1329"/>
      <c r="U8" s="256"/>
      <c r="V8" s="256">
        <v>2023</v>
      </c>
      <c r="W8" s="528"/>
      <c r="X8" s="226"/>
      <c r="Y8" s="1325">
        <v>2024</v>
      </c>
      <c r="Z8" s="1337"/>
      <c r="AA8" s="1337"/>
      <c r="AB8" s="1327"/>
      <c r="AC8" s="1325">
        <v>2025</v>
      </c>
      <c r="AD8" s="1337"/>
      <c r="AE8" s="1337"/>
      <c r="AF8" s="1327"/>
      <c r="AG8" s="475">
        <v>2026</v>
      </c>
      <c r="AH8" s="202"/>
      <c r="AI8" s="202"/>
      <c r="AJ8" s="202"/>
    </row>
    <row r="9" spans="2:36" x14ac:dyDescent="0.35">
      <c r="B9" s="1321"/>
      <c r="C9" s="1336"/>
      <c r="D9" s="149" t="s">
        <v>282</v>
      </c>
      <c r="E9" s="149" t="s">
        <v>283</v>
      </c>
      <c r="F9" s="140" t="s">
        <v>284</v>
      </c>
      <c r="G9" s="140" t="s">
        <v>238</v>
      </c>
      <c r="H9" s="146" t="s">
        <v>282</v>
      </c>
      <c r="I9" s="140" t="s">
        <v>283</v>
      </c>
      <c r="J9" s="140" t="s">
        <v>284</v>
      </c>
      <c r="K9" s="140" t="s">
        <v>238</v>
      </c>
      <c r="L9" s="140" t="s">
        <v>282</v>
      </c>
      <c r="M9" s="149" t="s">
        <v>283</v>
      </c>
      <c r="N9" s="140" t="s">
        <v>284</v>
      </c>
      <c r="O9" s="140" t="s">
        <v>238</v>
      </c>
      <c r="P9" s="140" t="s">
        <v>282</v>
      </c>
      <c r="Q9" s="149" t="s">
        <v>283</v>
      </c>
      <c r="R9" s="140" t="s">
        <v>284</v>
      </c>
      <c r="S9" s="140" t="s">
        <v>238</v>
      </c>
      <c r="T9" s="146" t="s">
        <v>282</v>
      </c>
      <c r="U9" s="140" t="s">
        <v>283</v>
      </c>
      <c r="V9" s="253" t="s">
        <v>284</v>
      </c>
      <c r="W9" s="236" t="s">
        <v>238</v>
      </c>
      <c r="X9" s="237" t="s">
        <v>282</v>
      </c>
      <c r="Y9" s="235" t="s">
        <v>283</v>
      </c>
      <c r="Z9" s="233" t="s">
        <v>284</v>
      </c>
      <c r="AA9" s="236" t="s">
        <v>238</v>
      </c>
      <c r="AB9" s="236" t="s">
        <v>282</v>
      </c>
      <c r="AC9" s="235" t="s">
        <v>283</v>
      </c>
      <c r="AD9" s="233" t="s">
        <v>284</v>
      </c>
      <c r="AE9" s="236" t="s">
        <v>238</v>
      </c>
      <c r="AF9" s="236" t="s">
        <v>282</v>
      </c>
      <c r="AG9" s="235" t="s">
        <v>283</v>
      </c>
      <c r="AH9" s="214"/>
      <c r="AI9" s="188"/>
      <c r="AJ9" s="188"/>
    </row>
    <row r="10" spans="2:36" x14ac:dyDescent="0.35">
      <c r="B10" s="542" t="s">
        <v>101</v>
      </c>
      <c r="C10" s="453" t="s">
        <v>431</v>
      </c>
      <c r="D10" s="552">
        <f>'Haver Pivoted'!GO13</f>
        <v>589.5</v>
      </c>
      <c r="E10" s="553">
        <f>'Haver Pivoted'!GP13</f>
        <v>598.70000000000005</v>
      </c>
      <c r="F10" s="553">
        <f>'Haver Pivoted'!GQ13</f>
        <v>614.4</v>
      </c>
      <c r="G10" s="553">
        <f>'Haver Pivoted'!GR13</f>
        <v>622.4</v>
      </c>
      <c r="H10" s="553">
        <f>'Haver Pivoted'!GS13</f>
        <v>620.70000000000005</v>
      </c>
      <c r="I10" s="553">
        <f>'Haver Pivoted'!GT13</f>
        <v>606.6</v>
      </c>
      <c r="J10" s="553">
        <f>'Haver Pivoted'!GU13</f>
        <v>654.70000000000005</v>
      </c>
      <c r="K10" s="553">
        <f>'Haver Pivoted'!GV13</f>
        <v>690.7</v>
      </c>
      <c r="L10" s="553">
        <f>'Haver Pivoted'!GW13</f>
        <v>678.3</v>
      </c>
      <c r="M10" s="553">
        <f>'Haver Pivoted'!GX13</f>
        <v>704.4</v>
      </c>
      <c r="N10" s="553">
        <f>'Haver Pivoted'!GY13</f>
        <v>744.8</v>
      </c>
      <c r="O10" s="553">
        <f>'Haver Pivoted'!GZ13</f>
        <v>748.2</v>
      </c>
      <c r="P10" s="553">
        <f>'Haver Pivoted'!HA13</f>
        <v>745</v>
      </c>
      <c r="Q10" s="553">
        <f>'Haver Pivoted'!HB13</f>
        <v>763.1</v>
      </c>
      <c r="R10" s="553">
        <f>'Haver Pivoted'!HC13</f>
        <v>789.5</v>
      </c>
      <c r="S10" s="554">
        <f>'Haver Pivoted'!HD13</f>
        <v>786.1</v>
      </c>
      <c r="T10" s="540">
        <f>'Haver Pivoted'!HE13</f>
        <v>796.2</v>
      </c>
      <c r="U10" s="533">
        <f>'Haver Pivoted'!HF13</f>
        <v>839.4</v>
      </c>
      <c r="V10" s="533">
        <f>'Haver Pivoted'!HG13</f>
        <v>878.5</v>
      </c>
      <c r="W10" s="259"/>
      <c r="X10" s="259"/>
      <c r="Y10" s="259"/>
      <c r="Z10" s="259"/>
      <c r="AA10" s="259"/>
      <c r="AB10" s="259"/>
      <c r="AC10" s="184"/>
      <c r="AD10" s="280"/>
      <c r="AE10" s="280"/>
      <c r="AF10" s="280"/>
      <c r="AG10" s="280"/>
      <c r="AH10" t="s">
        <v>1886</v>
      </c>
    </row>
    <row r="11" spans="2:36" x14ac:dyDescent="0.35">
      <c r="B11" s="250" t="s">
        <v>432</v>
      </c>
      <c r="C11" s="202" t="s">
        <v>339</v>
      </c>
      <c r="D11" s="575">
        <f>'Haver Pivoted'!GO40</f>
        <v>390.53500000000003</v>
      </c>
      <c r="E11" s="530">
        <f>'Haver Pivoted'!GP40</f>
        <v>407.62099999999998</v>
      </c>
      <c r="F11" s="530">
        <f>'Haver Pivoted'!GQ40</f>
        <v>416.459</v>
      </c>
      <c r="G11" s="530">
        <f>'Haver Pivoted'!GR40</f>
        <v>418.661</v>
      </c>
      <c r="H11" s="530">
        <f>'Haver Pivoted'!GS40</f>
        <v>411.69499999999999</v>
      </c>
      <c r="I11" s="530">
        <f>'Haver Pivoted'!GT40</f>
        <v>428.30799999999999</v>
      </c>
      <c r="J11" s="530">
        <f>'Haver Pivoted'!GU40</f>
        <v>506.81599999999997</v>
      </c>
      <c r="K11" s="530">
        <f>'Haver Pivoted'!GV40</f>
        <v>484.78</v>
      </c>
      <c r="L11" s="530">
        <f>'Haver Pivoted'!GW40</f>
        <v>500.25799999999998</v>
      </c>
      <c r="M11" s="530">
        <f>'Haver Pivoted'!GX40</f>
        <v>509.42099999999999</v>
      </c>
      <c r="N11" s="530">
        <f>'Haver Pivoted'!GY40</f>
        <v>527.01700000000005</v>
      </c>
      <c r="O11" s="530">
        <f>'Haver Pivoted'!GZ40</f>
        <v>542.85299999999995</v>
      </c>
      <c r="P11" s="530">
        <f>'Haver Pivoted'!HA40</f>
        <v>553.86500000000001</v>
      </c>
      <c r="Q11" s="530">
        <f>'Haver Pivoted'!HB40</f>
        <v>592.26700000000005</v>
      </c>
      <c r="R11" s="530">
        <f>'Haver Pivoted'!HC40</f>
        <v>590.13</v>
      </c>
      <c r="S11" s="531">
        <f>'Haver Pivoted'!HD40</f>
        <v>605.63699999999994</v>
      </c>
      <c r="T11" s="531">
        <f>'Haver Pivoted'!HE40</f>
        <v>604.82500000000005</v>
      </c>
      <c r="U11" s="531">
        <f>'Haver Pivoted'!HF40</f>
        <v>627.72799999999995</v>
      </c>
      <c r="V11" s="531">
        <f>'Haver Pivoted'!HG40</f>
        <v>636.476</v>
      </c>
      <c r="W11" s="280"/>
      <c r="X11" s="280"/>
      <c r="Y11" s="280"/>
      <c r="Z11" s="280"/>
      <c r="AA11" s="280"/>
      <c r="AB11" s="280"/>
      <c r="AC11" s="280"/>
      <c r="AD11" s="280"/>
      <c r="AE11" s="280"/>
      <c r="AF11" s="280"/>
      <c r="AG11" s="280"/>
    </row>
    <row r="12" spans="2:36" ht="27.65" customHeight="1" x14ac:dyDescent="0.35">
      <c r="B12" s="504" t="s">
        <v>897</v>
      </c>
      <c r="C12" s="36"/>
      <c r="D12" s="578">
        <f t="shared" ref="D12:N12" si="0">D11/D10</f>
        <v>0.66248515691263787</v>
      </c>
      <c r="E12" s="561">
        <f t="shared" si="0"/>
        <v>0.68084349423751456</v>
      </c>
      <c r="F12" s="561">
        <f t="shared" si="0"/>
        <v>0.67783040364583336</v>
      </c>
      <c r="G12" s="561">
        <f t="shared" si="0"/>
        <v>0.6726558483290489</v>
      </c>
      <c r="H12" s="561">
        <f t="shared" si="0"/>
        <v>0.66327533429998387</v>
      </c>
      <c r="I12" s="561">
        <f t="shared" si="0"/>
        <v>0.70607978898780077</v>
      </c>
      <c r="J12" s="561">
        <f t="shared" si="0"/>
        <v>0.77411944402016186</v>
      </c>
      <c r="K12" s="561">
        <f t="shared" si="0"/>
        <v>0.70186767047922394</v>
      </c>
      <c r="L12" s="561">
        <f t="shared" si="0"/>
        <v>0.73751732271856119</v>
      </c>
      <c r="M12" s="561">
        <f t="shared" si="0"/>
        <v>0.72319846678023847</v>
      </c>
      <c r="N12" s="561">
        <f t="shared" si="0"/>
        <v>0.70759532760472621</v>
      </c>
      <c r="O12" s="561">
        <f t="shared" ref="O12:T12" si="1">O11/O10</f>
        <v>0.72554530874097822</v>
      </c>
      <c r="P12" s="561">
        <f t="shared" si="1"/>
        <v>0.74344295302013419</v>
      </c>
      <c r="Q12" s="561">
        <f t="shared" si="1"/>
        <v>0.77613287904599659</v>
      </c>
      <c r="R12" s="561">
        <f t="shared" si="1"/>
        <v>0.74747308423052561</v>
      </c>
      <c r="S12" s="555">
        <f t="shared" si="1"/>
        <v>0.77043251494720766</v>
      </c>
      <c r="T12" s="555">
        <f t="shared" si="1"/>
        <v>0.75963953780457172</v>
      </c>
      <c r="U12" s="555">
        <f t="shared" ref="U12:V12" si="2">U11/U10</f>
        <v>0.74782940195377645</v>
      </c>
      <c r="V12" s="537">
        <f t="shared" si="2"/>
        <v>0.72450313033579961</v>
      </c>
      <c r="W12" s="581">
        <v>0.72</v>
      </c>
      <c r="X12" s="581">
        <v>0.71499999999999997</v>
      </c>
      <c r="Y12" s="581">
        <v>0.71</v>
      </c>
      <c r="Z12" s="581">
        <f t="shared" ref="Z12" si="3">Y12</f>
        <v>0.71</v>
      </c>
      <c r="AA12" s="581">
        <f t="shared" ref="AA12" si="4">Z12</f>
        <v>0.71</v>
      </c>
      <c r="AB12" s="581">
        <f>AA12</f>
        <v>0.71</v>
      </c>
      <c r="AC12" s="581">
        <f t="shared" ref="AC12" si="5">AB12</f>
        <v>0.71</v>
      </c>
      <c r="AD12" s="581">
        <f t="shared" ref="AD12" si="6">AC12</f>
        <v>0.71</v>
      </c>
      <c r="AE12" s="581">
        <f t="shared" ref="AE12" si="7">AD12</f>
        <v>0.71</v>
      </c>
      <c r="AF12" s="581">
        <f t="shared" ref="AF12" si="8">AE12</f>
        <v>0.71</v>
      </c>
      <c r="AG12" s="581">
        <f t="shared" ref="AG12" si="9">AF12</f>
        <v>0.71</v>
      </c>
    </row>
    <row r="13" spans="2:36" ht="27.65" customHeight="1" x14ac:dyDescent="0.35">
      <c r="O13" s="295"/>
      <c r="P13" s="295"/>
      <c r="Q13" s="295"/>
      <c r="R13" s="295"/>
      <c r="S13" s="295"/>
      <c r="T13" s="295"/>
      <c r="U13" s="532"/>
      <c r="V13" s="532"/>
      <c r="W13" s="532"/>
      <c r="X13" s="532"/>
      <c r="Y13" s="532"/>
      <c r="Z13" s="532"/>
      <c r="AA13" s="532"/>
      <c r="AB13" s="532"/>
      <c r="AC13" s="532"/>
      <c r="AD13" s="532"/>
      <c r="AE13" s="532"/>
      <c r="AF13" s="532"/>
      <c r="AG13" s="532"/>
      <c r="AH13" s="295"/>
    </row>
    <row r="14" spans="2:36" x14ac:dyDescent="0.35">
      <c r="O14" s="295"/>
      <c r="P14" s="202"/>
      <c r="Q14" s="295"/>
      <c r="R14" s="295"/>
      <c r="S14" s="295"/>
      <c r="T14" s="530"/>
      <c r="U14" s="188"/>
      <c r="V14" s="188"/>
      <c r="W14" s="188"/>
      <c r="X14" s="188"/>
      <c r="Y14" s="188"/>
      <c r="Z14" s="188"/>
      <c r="AA14" s="188"/>
      <c r="AB14" s="188"/>
      <c r="AC14" s="188"/>
      <c r="AD14" s="188"/>
      <c r="AE14" s="188"/>
      <c r="AF14" s="188"/>
      <c r="AG14" s="188"/>
      <c r="AH14" s="295"/>
    </row>
    <row r="15" spans="2:36" x14ac:dyDescent="0.35">
      <c r="B15" s="490" t="s">
        <v>352</v>
      </c>
      <c r="O15" s="295"/>
      <c r="P15" s="202"/>
      <c r="Q15" s="295"/>
      <c r="R15" s="295"/>
      <c r="S15" s="295"/>
      <c r="T15" s="530"/>
      <c r="U15" s="188"/>
      <c r="V15" s="188"/>
      <c r="W15" s="188"/>
      <c r="X15" s="188"/>
      <c r="Y15" s="188"/>
      <c r="Z15" s="188"/>
      <c r="AA15" s="188"/>
      <c r="AB15" s="188"/>
      <c r="AC15" s="188"/>
      <c r="AD15" s="188"/>
      <c r="AE15" s="188"/>
      <c r="AF15" s="188"/>
      <c r="AG15" s="188"/>
      <c r="AH15" s="295"/>
    </row>
    <row r="16" spans="2:36" ht="25.4" customHeight="1" x14ac:dyDescent="0.35">
      <c r="B16" s="546" t="s">
        <v>433</v>
      </c>
      <c r="C16" s="544">
        <v>2020</v>
      </c>
      <c r="D16" s="544">
        <v>2021</v>
      </c>
      <c r="E16" s="544">
        <v>2022</v>
      </c>
      <c r="F16" s="544">
        <v>2023</v>
      </c>
      <c r="G16" s="544">
        <v>2024</v>
      </c>
      <c r="H16" s="544">
        <v>2025</v>
      </c>
      <c r="I16" s="544">
        <v>2026</v>
      </c>
      <c r="J16" s="545">
        <v>2027</v>
      </c>
      <c r="O16" s="295"/>
      <c r="P16" s="202"/>
      <c r="Q16" s="295"/>
      <c r="R16" s="295"/>
      <c r="S16" s="295"/>
      <c r="T16" s="532"/>
      <c r="U16" s="532"/>
      <c r="V16" s="532"/>
      <c r="W16" s="532"/>
      <c r="X16" s="532"/>
      <c r="Y16" s="532"/>
      <c r="Z16" s="532"/>
      <c r="AA16" s="532"/>
      <c r="AB16" s="532"/>
      <c r="AC16" s="532"/>
      <c r="AD16" s="532"/>
      <c r="AE16" s="532"/>
      <c r="AF16" s="532"/>
      <c r="AG16" s="532"/>
      <c r="AH16" s="295"/>
    </row>
    <row r="17" spans="2:34" ht="31.5" customHeight="1" x14ac:dyDescent="0.35">
      <c r="B17" s="577" t="s">
        <v>1904</v>
      </c>
      <c r="C17" s="218">
        <v>458.46800000000002</v>
      </c>
      <c r="D17" s="232">
        <v>520.58799999999997</v>
      </c>
      <c r="E17" s="232">
        <v>591.94899999999996</v>
      </c>
      <c r="F17" s="232">
        <v>594.28700000000003</v>
      </c>
      <c r="G17" s="232">
        <v>538.49199999999996</v>
      </c>
      <c r="H17" s="232">
        <v>536.51199999999994</v>
      </c>
      <c r="I17" s="232">
        <v>574.03399999999999</v>
      </c>
      <c r="J17" s="232">
        <v>613.12400000000002</v>
      </c>
      <c r="K17" s="232"/>
      <c r="O17" s="295"/>
      <c r="P17" s="295"/>
      <c r="Q17" s="295"/>
      <c r="R17" s="295"/>
      <c r="S17" s="295"/>
      <c r="T17" s="295"/>
      <c r="U17" s="295"/>
      <c r="V17" s="295"/>
      <c r="W17" s="295"/>
      <c r="X17" s="295"/>
      <c r="Y17" s="295"/>
      <c r="Z17" s="295"/>
      <c r="AA17" s="295"/>
      <c r="AB17" s="295"/>
      <c r="AC17" s="295"/>
      <c r="AD17" s="295"/>
      <c r="AE17" s="295"/>
      <c r="AF17" s="295"/>
      <c r="AG17" s="295"/>
      <c r="AH17" s="295"/>
    </row>
    <row r="18" spans="2:34" x14ac:dyDescent="0.35">
      <c r="B18" s="250" t="s">
        <v>434</v>
      </c>
      <c r="C18" s="532">
        <f>AVERAGE(H12:K12)</f>
        <v>0.7113355594467925</v>
      </c>
      <c r="D18" s="532">
        <f>AVERAGE(L12:O12)</f>
        <v>0.72346410646112602</v>
      </c>
      <c r="E18" s="532">
        <f>AVERAGE(P12:S12)</f>
        <v>0.75937035781096596</v>
      </c>
      <c r="F18" s="532">
        <f>AVERAGE(T12:W12)</f>
        <v>0.73799301752353696</v>
      </c>
      <c r="G18" s="532">
        <f>AVERAGE(X12:AA12)</f>
        <v>0.71124999999999994</v>
      </c>
      <c r="H18" s="532">
        <f>AVERAGE(Y12:AB12)</f>
        <v>0.71</v>
      </c>
      <c r="I18" s="532">
        <f>AVERAGE(Z12:AC12)</f>
        <v>0.71</v>
      </c>
      <c r="J18" s="559">
        <f>AVERAGE(AA12:AH12)</f>
        <v>0.71</v>
      </c>
    </row>
    <row r="19" spans="2:34" x14ac:dyDescent="0.35">
      <c r="B19" s="250" t="s">
        <v>435</v>
      </c>
      <c r="C19" s="188">
        <f>C17/C18</f>
        <v>644.51719573326511</v>
      </c>
      <c r="D19" s="188">
        <f>D17/D18</f>
        <v>719.5768184637268</v>
      </c>
      <c r="E19" s="188">
        <f>E17/E18</f>
        <v>779.52608224846847</v>
      </c>
      <c r="F19" s="188">
        <f>F17/F18</f>
        <v>805.27455665398122</v>
      </c>
      <c r="G19" s="188">
        <f>G17/G18</f>
        <v>757.10650263620391</v>
      </c>
      <c r="H19" s="188">
        <f t="shared" ref="H19:J19" si="10">H17/H18</f>
        <v>755.65070422535211</v>
      </c>
      <c r="I19" s="188">
        <f t="shared" si="10"/>
        <v>808.49859154929584</v>
      </c>
      <c r="J19" s="550">
        <f t="shared" si="10"/>
        <v>863.55492957746492</v>
      </c>
    </row>
    <row r="20" spans="2:34" ht="32.25" customHeight="1" x14ac:dyDescent="0.35">
      <c r="B20" s="504" t="s">
        <v>436</v>
      </c>
      <c r="C20" s="543"/>
      <c r="D20" s="561">
        <f>D19/C19-1</f>
        <v>0.11645868136235937</v>
      </c>
      <c r="E20" s="561">
        <f t="shared" ref="E20:G20" si="11">E19/D19-1</f>
        <v>8.3311833075350394E-2</v>
      </c>
      <c r="F20" s="561">
        <f>F19/E19-1</f>
        <v>3.3030933783823713E-2</v>
      </c>
      <c r="G20" s="561">
        <f t="shared" si="11"/>
        <v>-5.9815690958772816E-2</v>
      </c>
      <c r="H20" s="561">
        <f t="shared" ref="H20" si="12">H19/G19-1</f>
        <v>-1.9228449442486584E-3</v>
      </c>
      <c r="I20" s="561">
        <f t="shared" ref="I20" si="13">I19/H19-1</f>
        <v>6.9936925921507909E-2</v>
      </c>
      <c r="J20" s="580">
        <f t="shared" ref="J20" si="14">J19/I19-1</f>
        <v>6.8097011675266605E-2</v>
      </c>
      <c r="K20" s="563"/>
      <c r="L20" s="563"/>
      <c r="R20" s="35"/>
      <c r="S20" s="560"/>
      <c r="T20" s="560"/>
      <c r="U20" s="560"/>
    </row>
    <row r="22" spans="2:34" x14ac:dyDescent="0.35">
      <c r="B22" s="490" t="s">
        <v>365</v>
      </c>
    </row>
    <row r="23" spans="2:34" x14ac:dyDescent="0.35">
      <c r="B23" s="1319" t="s">
        <v>437</v>
      </c>
      <c r="C23" s="1377"/>
      <c r="D23" s="1323" t="s">
        <v>280</v>
      </c>
      <c r="E23" s="1335"/>
      <c r="F23" s="1335"/>
      <c r="G23" s="1335"/>
      <c r="H23" s="1335"/>
      <c r="I23" s="1335"/>
      <c r="J23" s="1335"/>
      <c r="K23" s="1335"/>
      <c r="L23" s="1335"/>
      <c r="M23" s="1335"/>
      <c r="N23" s="1335"/>
      <c r="O23" s="1335"/>
      <c r="P23" s="1335"/>
      <c r="Q23" s="1335"/>
      <c r="R23" s="1335"/>
      <c r="S23" s="1335"/>
      <c r="T23" s="1335"/>
      <c r="U23" s="1335"/>
      <c r="V23" s="1324"/>
      <c r="W23" s="1363" t="s">
        <v>281</v>
      </c>
      <c r="X23" s="1364"/>
      <c r="Y23" s="1364"/>
      <c r="Z23" s="1364"/>
      <c r="AA23" s="1364"/>
      <c r="AB23" s="1364"/>
      <c r="AC23" s="1364"/>
      <c r="AD23" s="1364"/>
      <c r="AE23" s="1364"/>
      <c r="AF23" s="1364"/>
      <c r="AG23" s="1364"/>
    </row>
    <row r="24" spans="2:34" x14ac:dyDescent="0.35">
      <c r="B24" s="1321"/>
      <c r="C24" s="1336"/>
      <c r="D24" s="142">
        <v>2018</v>
      </c>
      <c r="E24" s="1310">
        <v>2019</v>
      </c>
      <c r="F24" s="1328"/>
      <c r="G24" s="1328"/>
      <c r="H24" s="1329"/>
      <c r="I24" s="1310">
        <v>2020</v>
      </c>
      <c r="J24" s="1328"/>
      <c r="K24" s="1328"/>
      <c r="L24" s="1328"/>
      <c r="M24" s="1310">
        <v>2021</v>
      </c>
      <c r="N24" s="1328"/>
      <c r="O24" s="1328"/>
      <c r="P24" s="1328"/>
      <c r="Q24" s="1310">
        <v>2022</v>
      </c>
      <c r="R24" s="1311"/>
      <c r="S24" s="1311"/>
      <c r="T24" s="1329"/>
      <c r="U24" s="201"/>
      <c r="V24" s="535">
        <v>2023</v>
      </c>
      <c r="W24" s="528"/>
      <c r="X24" s="226"/>
      <c r="Y24" s="1325">
        <v>2024</v>
      </c>
      <c r="Z24" s="1337"/>
      <c r="AA24" s="1337"/>
      <c r="AB24" s="1327"/>
      <c r="AC24" s="1325">
        <v>2025</v>
      </c>
      <c r="AD24" s="1337"/>
      <c r="AE24" s="1337"/>
      <c r="AF24" s="1327"/>
      <c r="AG24" s="475">
        <v>2026</v>
      </c>
    </row>
    <row r="25" spans="2:34" x14ac:dyDescent="0.35">
      <c r="B25" s="1323"/>
      <c r="C25" s="1335"/>
      <c r="D25" s="149" t="s">
        <v>282</v>
      </c>
      <c r="E25" s="149" t="s">
        <v>283</v>
      </c>
      <c r="F25" s="140" t="s">
        <v>284</v>
      </c>
      <c r="G25" s="140" t="s">
        <v>238</v>
      </c>
      <c r="H25" s="146" t="s">
        <v>282</v>
      </c>
      <c r="I25" s="140" t="s">
        <v>283</v>
      </c>
      <c r="J25" s="140" t="s">
        <v>284</v>
      </c>
      <c r="K25" s="140" t="s">
        <v>238</v>
      </c>
      <c r="L25" s="140" t="s">
        <v>282</v>
      </c>
      <c r="M25" s="149" t="s">
        <v>283</v>
      </c>
      <c r="N25" s="140" t="s">
        <v>284</v>
      </c>
      <c r="O25" s="140" t="s">
        <v>238</v>
      </c>
      <c r="P25" s="140" t="s">
        <v>282</v>
      </c>
      <c r="Q25" s="149" t="s">
        <v>283</v>
      </c>
      <c r="R25" s="140" t="s">
        <v>284</v>
      </c>
      <c r="S25" s="140" t="s">
        <v>238</v>
      </c>
      <c r="T25" s="146" t="s">
        <v>282</v>
      </c>
      <c r="U25" s="252" t="s">
        <v>283</v>
      </c>
      <c r="V25" s="536" t="s">
        <v>284</v>
      </c>
      <c r="W25" s="236" t="s">
        <v>238</v>
      </c>
      <c r="X25" s="236" t="s">
        <v>282</v>
      </c>
      <c r="Y25" s="235" t="s">
        <v>283</v>
      </c>
      <c r="Z25" s="233" t="s">
        <v>284</v>
      </c>
      <c r="AA25" s="236" t="s">
        <v>238</v>
      </c>
      <c r="AB25" s="236" t="s">
        <v>282</v>
      </c>
      <c r="AC25" s="235" t="s">
        <v>283</v>
      </c>
      <c r="AD25" s="233" t="s">
        <v>284</v>
      </c>
      <c r="AE25" s="236" t="s">
        <v>238</v>
      </c>
      <c r="AF25" s="236" t="s">
        <v>282</v>
      </c>
      <c r="AG25" s="235" t="s">
        <v>283</v>
      </c>
    </row>
    <row r="26" spans="2:34" ht="19.5" customHeight="1" x14ac:dyDescent="0.35">
      <c r="B26" s="572" t="s">
        <v>438</v>
      </c>
      <c r="C26" s="573"/>
      <c r="D26" s="556">
        <f t="shared" ref="D26:V26" si="15">D10</f>
        <v>589.5</v>
      </c>
      <c r="E26" s="557">
        <f t="shared" si="15"/>
        <v>598.70000000000005</v>
      </c>
      <c r="F26" s="557">
        <f t="shared" si="15"/>
        <v>614.4</v>
      </c>
      <c r="G26" s="557">
        <f t="shared" si="15"/>
        <v>622.4</v>
      </c>
      <c r="H26" s="557">
        <f t="shared" si="15"/>
        <v>620.70000000000005</v>
      </c>
      <c r="I26" s="557">
        <f t="shared" si="15"/>
        <v>606.6</v>
      </c>
      <c r="J26" s="557">
        <f t="shared" si="15"/>
        <v>654.70000000000005</v>
      </c>
      <c r="K26" s="557">
        <f t="shared" si="15"/>
        <v>690.7</v>
      </c>
      <c r="L26" s="557">
        <f t="shared" si="15"/>
        <v>678.3</v>
      </c>
      <c r="M26" s="557">
        <f t="shared" si="15"/>
        <v>704.4</v>
      </c>
      <c r="N26" s="557">
        <f t="shared" si="15"/>
        <v>744.8</v>
      </c>
      <c r="O26" s="557">
        <f t="shared" si="15"/>
        <v>748.2</v>
      </c>
      <c r="P26" s="557">
        <f t="shared" si="15"/>
        <v>745</v>
      </c>
      <c r="Q26" s="557">
        <f t="shared" si="15"/>
        <v>763.1</v>
      </c>
      <c r="R26" s="557">
        <f t="shared" si="15"/>
        <v>789.5</v>
      </c>
      <c r="S26" s="558">
        <f t="shared" si="15"/>
        <v>786.1</v>
      </c>
      <c r="T26" s="541">
        <f t="shared" si="15"/>
        <v>796.2</v>
      </c>
      <c r="U26" s="558">
        <f t="shared" si="15"/>
        <v>839.4</v>
      </c>
      <c r="V26" s="558">
        <f t="shared" si="15"/>
        <v>878.5</v>
      </c>
      <c r="W26" s="571">
        <f>V26*(1+$F$20)^0.25+W27</f>
        <v>897.66625425843256</v>
      </c>
      <c r="X26" s="547">
        <f>W26*(1+$G$20)^0.25</f>
        <v>883.93055985183616</v>
      </c>
      <c r="Y26" s="571">
        <f t="shared" ref="Y26:AA26" si="16">X26*(1+$G$20)^0.25</f>
        <v>870.40504300280793</v>
      </c>
      <c r="Z26" s="571">
        <f t="shared" si="16"/>
        <v>857.08648766675651</v>
      </c>
      <c r="AA26" s="571">
        <f t="shared" si="16"/>
        <v>843.97172700959106</v>
      </c>
      <c r="AB26" s="547">
        <f>AA26*(1+$H$20)^0.25</f>
        <v>843.56572744728408</v>
      </c>
      <c r="AC26" s="538">
        <f>AB26*(1+$H$20)^0.25</f>
        <v>843.15992319441614</v>
      </c>
      <c r="AD26" s="538">
        <f t="shared" ref="AD26:AG26" si="17">AC26*(1+$H$20)^0.25</f>
        <v>842.75431415703213</v>
      </c>
      <c r="AE26" s="538">
        <f t="shared" si="17"/>
        <v>842.34890024122194</v>
      </c>
      <c r="AF26" s="538">
        <f t="shared" si="17"/>
        <v>841.94368135312072</v>
      </c>
      <c r="AG26" s="538">
        <f t="shared" si="17"/>
        <v>841.53865739890875</v>
      </c>
      <c r="AH26" s="548" t="s">
        <v>1900</v>
      </c>
    </row>
    <row r="27" spans="2:34" ht="19.5" customHeight="1" x14ac:dyDescent="0.35">
      <c r="B27" s="562" t="s">
        <v>1710</v>
      </c>
      <c r="C27" s="229"/>
      <c r="D27" s="574"/>
      <c r="E27" s="534"/>
      <c r="F27" s="534"/>
      <c r="G27" s="534"/>
      <c r="H27" s="534"/>
      <c r="I27" s="534"/>
      <c r="J27" s="534"/>
      <c r="K27" s="534"/>
      <c r="L27" s="534"/>
      <c r="M27" s="534"/>
      <c r="N27" s="534"/>
      <c r="O27" s="534"/>
      <c r="P27" s="534"/>
      <c r="Q27" s="534"/>
      <c r="R27" s="534"/>
      <c r="S27" s="539"/>
      <c r="T27" s="539"/>
      <c r="U27" s="539"/>
      <c r="V27" s="534"/>
      <c r="W27" s="529">
        <v>12</v>
      </c>
      <c r="X27" s="529"/>
      <c r="Y27" s="529"/>
      <c r="Z27" s="529"/>
      <c r="AA27" s="529"/>
      <c r="AB27" s="529"/>
      <c r="AC27" s="529"/>
      <c r="AD27" s="529"/>
      <c r="AE27" s="529"/>
      <c r="AF27" s="529"/>
      <c r="AG27" s="529"/>
    </row>
    <row r="28" spans="2:34" ht="19.399999999999999" customHeight="1" x14ac:dyDescent="0.35">
      <c r="B28" s="562" t="s">
        <v>207</v>
      </c>
      <c r="C28" s="229"/>
      <c r="D28" s="574">
        <f t="shared" ref="D28:Q28" si="18">D10*D12</f>
        <v>390.53500000000003</v>
      </c>
      <c r="E28" s="534">
        <f t="shared" si="18"/>
        <v>407.62099999999998</v>
      </c>
      <c r="F28" s="534">
        <f t="shared" si="18"/>
        <v>416.459</v>
      </c>
      <c r="G28" s="534">
        <f t="shared" si="18"/>
        <v>418.661</v>
      </c>
      <c r="H28" s="534">
        <f t="shared" si="18"/>
        <v>411.69499999999999</v>
      </c>
      <c r="I28" s="534">
        <f t="shared" si="18"/>
        <v>428.30799999999994</v>
      </c>
      <c r="J28" s="534">
        <f t="shared" si="18"/>
        <v>506.81600000000003</v>
      </c>
      <c r="K28" s="534">
        <f t="shared" si="18"/>
        <v>484.78000000000003</v>
      </c>
      <c r="L28" s="534">
        <f t="shared" si="18"/>
        <v>500.25800000000004</v>
      </c>
      <c r="M28" s="534">
        <f t="shared" si="18"/>
        <v>509.42099999999994</v>
      </c>
      <c r="N28" s="534">
        <f t="shared" si="18"/>
        <v>527.01700000000005</v>
      </c>
      <c r="O28" s="534">
        <f t="shared" si="18"/>
        <v>542.85299999999995</v>
      </c>
      <c r="P28" s="534">
        <f t="shared" si="18"/>
        <v>553.86500000000001</v>
      </c>
      <c r="Q28" s="534">
        <f t="shared" si="18"/>
        <v>592.26700000000005</v>
      </c>
      <c r="R28" s="534">
        <f>R26*R12</f>
        <v>590.13</v>
      </c>
      <c r="S28" s="534">
        <f>S26*S12</f>
        <v>605.63699999999994</v>
      </c>
      <c r="T28" s="534">
        <f>T26*T12</f>
        <v>604.82500000000005</v>
      </c>
      <c r="U28" s="534">
        <f t="shared" ref="U28" si="19">U26*U12</f>
        <v>627.72799999999995</v>
      </c>
      <c r="V28" s="534">
        <f>V26*V12</f>
        <v>636.476</v>
      </c>
      <c r="W28" s="529">
        <f t="shared" ref="W28:AC28" si="20">W26*W12</f>
        <v>646.31970306607138</v>
      </c>
      <c r="X28" s="529">
        <f t="shared" si="20"/>
        <v>632.01035029406285</v>
      </c>
      <c r="Y28" s="529">
        <f t="shared" si="20"/>
        <v>617.98758053199356</v>
      </c>
      <c r="Z28" s="529">
        <f t="shared" si="20"/>
        <v>608.5314062433971</v>
      </c>
      <c r="AA28" s="529">
        <f t="shared" si="20"/>
        <v>599.21992617680962</v>
      </c>
      <c r="AB28" s="529">
        <f t="shared" si="20"/>
        <v>598.93166648757165</v>
      </c>
      <c r="AC28" s="529">
        <f t="shared" si="20"/>
        <v>598.64354546803543</v>
      </c>
      <c r="AD28" s="529">
        <f t="shared" ref="AD28:AG28" si="21">AD26*AD12</f>
        <v>598.35556305149282</v>
      </c>
      <c r="AE28" s="529">
        <f t="shared" si="21"/>
        <v>598.06771917126753</v>
      </c>
      <c r="AF28" s="529">
        <f t="shared" si="21"/>
        <v>597.78001376071563</v>
      </c>
      <c r="AG28" s="529">
        <f t="shared" si="21"/>
        <v>597.49244675322518</v>
      </c>
    </row>
    <row r="29" spans="2:34" ht="19.399999999999999" customHeight="1" x14ac:dyDescent="0.35">
      <c r="B29" s="321" t="s">
        <v>439</v>
      </c>
      <c r="C29" s="322"/>
      <c r="D29" s="576">
        <f t="shared" ref="D29:G29" si="22">D26-D28</f>
        <v>198.96499999999997</v>
      </c>
      <c r="E29" s="549">
        <f t="shared" si="22"/>
        <v>191.07900000000006</v>
      </c>
      <c r="F29" s="549">
        <f t="shared" si="22"/>
        <v>197.94099999999997</v>
      </c>
      <c r="G29" s="549">
        <f t="shared" si="22"/>
        <v>203.73899999999998</v>
      </c>
      <c r="H29" s="549">
        <f t="shared" ref="H29:AC29" si="23">H26-H28</f>
        <v>209.00500000000005</v>
      </c>
      <c r="I29" s="549">
        <f t="shared" si="23"/>
        <v>178.29200000000009</v>
      </c>
      <c r="J29" s="549">
        <f t="shared" si="23"/>
        <v>147.88400000000001</v>
      </c>
      <c r="K29" s="549">
        <f t="shared" si="23"/>
        <v>205.92000000000002</v>
      </c>
      <c r="L29" s="549">
        <f t="shared" si="23"/>
        <v>178.04199999999992</v>
      </c>
      <c r="M29" s="549">
        <f t="shared" si="23"/>
        <v>194.97900000000004</v>
      </c>
      <c r="N29" s="549">
        <f t="shared" si="23"/>
        <v>217.7829999999999</v>
      </c>
      <c r="O29" s="549">
        <f>O26-O28</f>
        <v>205.34700000000009</v>
      </c>
      <c r="P29" s="549">
        <f>P26-P28</f>
        <v>191.13499999999999</v>
      </c>
      <c r="Q29" s="549">
        <f t="shared" si="23"/>
        <v>170.83299999999997</v>
      </c>
      <c r="R29" s="549">
        <f t="shared" si="23"/>
        <v>199.37</v>
      </c>
      <c r="S29" s="549">
        <f t="shared" si="23"/>
        <v>180.46300000000008</v>
      </c>
      <c r="T29" s="549">
        <f t="shared" si="23"/>
        <v>191.375</v>
      </c>
      <c r="U29" s="549">
        <f t="shared" si="23"/>
        <v>211.67200000000003</v>
      </c>
      <c r="V29" s="549">
        <f t="shared" si="23"/>
        <v>242.024</v>
      </c>
      <c r="W29" s="570">
        <f t="shared" si="23"/>
        <v>251.34655119236118</v>
      </c>
      <c r="X29" s="570">
        <f t="shared" si="23"/>
        <v>251.92020955777332</v>
      </c>
      <c r="Y29" s="570">
        <f t="shared" si="23"/>
        <v>252.41746247081437</v>
      </c>
      <c r="Z29" s="570">
        <f t="shared" si="23"/>
        <v>248.55508142335941</v>
      </c>
      <c r="AA29" s="570">
        <f t="shared" si="23"/>
        <v>244.75180083278144</v>
      </c>
      <c r="AB29" s="570">
        <f t="shared" si="23"/>
        <v>244.63406095971243</v>
      </c>
      <c r="AC29" s="570">
        <f t="shared" si="23"/>
        <v>244.51637772638071</v>
      </c>
      <c r="AD29" s="570">
        <f t="shared" ref="AD29:AG29" si="24">AD26-AD28</f>
        <v>244.3987511055393</v>
      </c>
      <c r="AE29" s="570">
        <f t="shared" si="24"/>
        <v>244.28118106995441</v>
      </c>
      <c r="AF29" s="570">
        <f t="shared" si="24"/>
        <v>244.16366759240509</v>
      </c>
      <c r="AG29" s="570">
        <f t="shared" si="24"/>
        <v>244.04621064568357</v>
      </c>
    </row>
    <row r="30" spans="2:34" ht="19.399999999999999" customHeight="1" x14ac:dyDescent="0.35">
      <c r="B30" s="202"/>
      <c r="C30" s="202"/>
      <c r="D30" s="530"/>
      <c r="E30" s="530"/>
      <c r="F30" s="530"/>
      <c r="G30" s="530"/>
      <c r="H30" s="530"/>
      <c r="I30" s="530"/>
      <c r="J30" s="530"/>
      <c r="K30" s="530"/>
      <c r="L30" s="530"/>
      <c r="M30" s="530"/>
      <c r="N30" s="530"/>
      <c r="O30" s="530"/>
      <c r="P30" s="530"/>
      <c r="Q30" s="530"/>
      <c r="R30" s="530"/>
      <c r="S30" s="530"/>
      <c r="T30" s="530"/>
      <c r="U30" s="530"/>
      <c r="V30" s="530"/>
      <c r="W30" s="530"/>
      <c r="X30" s="530"/>
      <c r="Y30" s="530"/>
      <c r="Z30" s="530"/>
      <c r="AA30" s="530"/>
      <c r="AB30" s="530"/>
      <c r="AC30" s="530"/>
      <c r="AD30" s="530"/>
      <c r="AE30" s="530"/>
      <c r="AF30" s="530"/>
      <c r="AG30" s="530"/>
    </row>
    <row r="31" spans="2:34" ht="19.399999999999999" customHeight="1" x14ac:dyDescent="0.35">
      <c r="B31" s="202"/>
      <c r="C31" s="202"/>
      <c r="D31" s="530"/>
      <c r="E31" s="530"/>
      <c r="F31" s="530"/>
      <c r="G31" s="530"/>
      <c r="H31" s="530"/>
      <c r="I31" s="530"/>
      <c r="J31" s="530"/>
      <c r="K31" s="530"/>
      <c r="L31" s="530"/>
      <c r="M31" s="530"/>
      <c r="N31" s="530"/>
      <c r="O31" s="530"/>
      <c r="P31" s="530"/>
      <c r="Q31" s="530"/>
      <c r="R31" s="530"/>
      <c r="S31" s="530"/>
      <c r="T31" s="530"/>
      <c r="U31" s="530"/>
      <c r="V31" s="530"/>
      <c r="W31" s="530"/>
      <c r="X31" s="530"/>
      <c r="Y31" s="530"/>
      <c r="Z31" s="530"/>
      <c r="AA31" s="530"/>
      <c r="AB31" s="530"/>
      <c r="AC31" s="530"/>
      <c r="AD31" s="530"/>
      <c r="AE31" s="530"/>
      <c r="AF31" s="530"/>
      <c r="AG31" s="530"/>
    </row>
    <row r="32" spans="2:34" ht="19.399999999999999" customHeight="1" x14ac:dyDescent="0.35">
      <c r="B32" s="202"/>
      <c r="C32" s="202"/>
      <c r="D32" s="530"/>
      <c r="E32" s="530"/>
      <c r="F32" s="530"/>
      <c r="G32" s="530"/>
      <c r="H32" s="530"/>
      <c r="I32" s="530"/>
      <c r="J32" s="530"/>
      <c r="K32" s="530"/>
      <c r="L32" s="530"/>
      <c r="M32" s="530"/>
      <c r="N32" s="530"/>
      <c r="O32" s="530"/>
      <c r="P32" s="530"/>
      <c r="Q32" s="530"/>
      <c r="R32" s="530"/>
      <c r="S32" s="530"/>
      <c r="T32" s="530"/>
      <c r="U32" s="530"/>
      <c r="V32" s="530"/>
      <c r="W32" s="530"/>
      <c r="X32" s="530"/>
      <c r="Y32" s="530"/>
      <c r="Z32" s="530"/>
      <c r="AA32" s="530"/>
      <c r="AB32" s="530"/>
      <c r="AC32" s="530"/>
      <c r="AD32" s="530"/>
      <c r="AE32" s="530"/>
      <c r="AF32" s="530"/>
      <c r="AG32" s="530"/>
    </row>
    <row r="33" spans="2:33" ht="19.399999999999999" customHeight="1" x14ac:dyDescent="0.35">
      <c r="B33" s="202"/>
      <c r="C33" s="202"/>
      <c r="D33" s="530"/>
      <c r="E33" s="530"/>
      <c r="F33" s="530"/>
      <c r="G33" s="530"/>
      <c r="H33" s="530"/>
      <c r="I33" s="530"/>
      <c r="J33" s="530"/>
      <c r="K33" s="530"/>
      <c r="L33" s="530"/>
      <c r="M33" s="530"/>
      <c r="N33" s="530"/>
      <c r="O33" s="530"/>
      <c r="P33" s="530"/>
      <c r="Q33" s="530"/>
      <c r="R33" s="530"/>
      <c r="S33" s="530"/>
      <c r="T33" s="530"/>
      <c r="U33" s="530"/>
      <c r="V33" s="530"/>
      <c r="W33" s="530"/>
      <c r="X33" s="530"/>
      <c r="Y33" s="530"/>
      <c r="Z33" s="530"/>
      <c r="AA33" s="530"/>
      <c r="AB33" s="530"/>
      <c r="AC33" s="530"/>
      <c r="AD33" s="530"/>
      <c r="AE33" s="530"/>
      <c r="AF33" s="530"/>
      <c r="AG33" s="530"/>
    </row>
    <row r="34" spans="2:33" ht="14.9" customHeight="1" x14ac:dyDescent="0.35">
      <c r="H34" s="193"/>
      <c r="I34" s="193"/>
      <c r="J34" s="193"/>
      <c r="K34" s="193"/>
      <c r="L34" s="193"/>
      <c r="M34" s="564"/>
      <c r="N34" s="193"/>
      <c r="O34" s="193"/>
    </row>
    <row r="35" spans="2:33" ht="14.9" customHeight="1" x14ac:dyDescent="0.35">
      <c r="B35" s="565" t="s">
        <v>440</v>
      </c>
      <c r="C35" s="566"/>
      <c r="D35" s="566"/>
      <c r="E35" s="567"/>
      <c r="F35" s="568">
        <v>2021</v>
      </c>
      <c r="G35" s="568">
        <v>2022</v>
      </c>
      <c r="H35" s="568">
        <v>2023</v>
      </c>
      <c r="I35" s="568">
        <v>2024</v>
      </c>
      <c r="J35" s="568">
        <v>2025</v>
      </c>
      <c r="K35" s="568">
        <v>2025</v>
      </c>
      <c r="L35" s="568">
        <v>2027</v>
      </c>
      <c r="M35" s="568">
        <v>2028</v>
      </c>
      <c r="N35" s="568">
        <v>2029</v>
      </c>
      <c r="O35" s="568">
        <v>2030</v>
      </c>
      <c r="P35" s="569">
        <v>2031</v>
      </c>
    </row>
    <row r="36" spans="2:33" ht="15" customHeight="1" x14ac:dyDescent="0.35">
      <c r="B36" s="1402" t="s">
        <v>441</v>
      </c>
      <c r="C36" s="1403"/>
      <c r="D36" s="1403"/>
      <c r="E36" s="1404"/>
      <c r="F36" s="188">
        <v>287</v>
      </c>
      <c r="G36" s="188">
        <v>534</v>
      </c>
      <c r="H36" s="188">
        <v>247</v>
      </c>
      <c r="I36" s="188">
        <v>63</v>
      </c>
      <c r="J36" s="188"/>
      <c r="K36" s="188"/>
      <c r="L36" s="188"/>
      <c r="M36" s="188"/>
      <c r="N36" s="188"/>
      <c r="O36" s="188"/>
      <c r="P36" s="550"/>
    </row>
    <row r="37" spans="2:33" ht="15" customHeight="1" x14ac:dyDescent="0.35">
      <c r="B37" s="1393" t="s">
        <v>442</v>
      </c>
      <c r="C37" s="1394"/>
      <c r="D37" s="1394"/>
      <c r="E37" s="1395"/>
      <c r="F37" s="188">
        <v>0</v>
      </c>
      <c r="G37" s="188">
        <v>0</v>
      </c>
      <c r="H37" s="188">
        <v>756</v>
      </c>
      <c r="I37" s="188">
        <v>1249</v>
      </c>
      <c r="J37" s="188">
        <v>1417</v>
      </c>
      <c r="K37" s="188">
        <v>1522</v>
      </c>
      <c r="L37" s="188">
        <v>1107</v>
      </c>
      <c r="M37" s="188"/>
      <c r="N37" s="188"/>
      <c r="O37" s="188"/>
      <c r="P37" s="550"/>
    </row>
    <row r="38" spans="2:33" x14ac:dyDescent="0.35">
      <c r="B38" s="1393" t="s">
        <v>443</v>
      </c>
      <c r="C38" s="1394"/>
      <c r="D38" s="1394"/>
      <c r="E38" s="1395"/>
      <c r="F38" s="188">
        <v>0</v>
      </c>
      <c r="G38" s="188">
        <v>5</v>
      </c>
      <c r="H38" s="188">
        <v>77</v>
      </c>
      <c r="I38" s="188">
        <v>307</v>
      </c>
      <c r="J38" s="188">
        <v>332</v>
      </c>
      <c r="K38" s="188">
        <v>270</v>
      </c>
      <c r="L38" s="188">
        <v>25</v>
      </c>
      <c r="M38" s="188">
        <v>32</v>
      </c>
      <c r="N38" s="188">
        <v>40</v>
      </c>
      <c r="O38" s="188">
        <v>49</v>
      </c>
      <c r="P38" s="550">
        <v>58</v>
      </c>
    </row>
    <row r="39" spans="2:33" ht="32.9" customHeight="1" x14ac:dyDescent="0.35">
      <c r="B39" s="1399" t="s">
        <v>444</v>
      </c>
      <c r="C39" s="1400"/>
      <c r="D39" s="1400"/>
      <c r="E39" s="1401"/>
      <c r="F39" s="188">
        <v>0</v>
      </c>
      <c r="G39" s="188">
        <v>0</v>
      </c>
      <c r="H39" s="188">
        <v>3768</v>
      </c>
      <c r="I39" s="188">
        <v>3428</v>
      </c>
      <c r="J39" s="188">
        <v>2176</v>
      </c>
      <c r="K39" s="188">
        <v>2304</v>
      </c>
      <c r="L39" s="188">
        <v>2129</v>
      </c>
      <c r="M39" s="188">
        <v>1335</v>
      </c>
      <c r="N39" s="188">
        <v>478</v>
      </c>
      <c r="O39" s="188">
        <v>531</v>
      </c>
      <c r="P39" s="550">
        <v>212</v>
      </c>
    </row>
    <row r="40" spans="2:33" ht="32.9" customHeight="1" x14ac:dyDescent="0.35">
      <c r="B40" s="1399" t="s">
        <v>445</v>
      </c>
      <c r="C40" s="1400"/>
      <c r="D40" s="1400"/>
      <c r="E40" s="1401"/>
      <c r="F40" s="188">
        <v>38</v>
      </c>
      <c r="G40" s="188">
        <v>81</v>
      </c>
      <c r="H40" s="188">
        <v>43</v>
      </c>
      <c r="I40" s="188"/>
      <c r="J40" s="188"/>
      <c r="K40" s="188"/>
      <c r="L40" s="188"/>
      <c r="M40" s="188"/>
      <c r="N40" s="188"/>
      <c r="O40" s="188"/>
      <c r="P40" s="550"/>
    </row>
    <row r="41" spans="2:33" x14ac:dyDescent="0.35">
      <c r="B41" s="1393" t="s">
        <v>446</v>
      </c>
      <c r="C41" s="1394"/>
      <c r="D41" s="1394"/>
      <c r="E41" s="1395"/>
      <c r="F41" s="188"/>
      <c r="G41" s="188"/>
      <c r="H41" s="188"/>
      <c r="I41" s="188">
        <v>-184</v>
      </c>
      <c r="J41" s="188">
        <v>-1830</v>
      </c>
      <c r="K41" s="188">
        <v>-2406</v>
      </c>
      <c r="L41" s="188">
        <v>-2419</v>
      </c>
      <c r="M41" s="188">
        <v>-2467</v>
      </c>
      <c r="N41" s="188">
        <v>-2531</v>
      </c>
      <c r="O41" s="188">
        <v>-2667</v>
      </c>
      <c r="P41" s="550">
        <v>-2809</v>
      </c>
    </row>
    <row r="42" spans="2:33" ht="15.75" customHeight="1" x14ac:dyDescent="0.35">
      <c r="B42" s="1390" t="s">
        <v>447</v>
      </c>
      <c r="C42" s="1391"/>
      <c r="D42" s="1391"/>
      <c r="E42" s="1392"/>
      <c r="F42" s="188">
        <v>6524</v>
      </c>
      <c r="G42" s="188">
        <v>6143</v>
      </c>
      <c r="H42" s="188"/>
      <c r="I42" s="188"/>
      <c r="J42" s="188"/>
      <c r="K42" s="188"/>
      <c r="L42" s="188"/>
      <c r="M42" s="188"/>
      <c r="N42" s="188"/>
      <c r="O42" s="188"/>
      <c r="P42" s="550"/>
    </row>
    <row r="43" spans="2:33" x14ac:dyDescent="0.35">
      <c r="B43" s="1393" t="s">
        <v>448</v>
      </c>
      <c r="C43" s="1394"/>
      <c r="D43" s="1394"/>
      <c r="E43" s="1395"/>
      <c r="F43" s="188">
        <v>50</v>
      </c>
      <c r="G43" s="188">
        <v>175</v>
      </c>
      <c r="H43" s="188">
        <v>25</v>
      </c>
      <c r="I43" s="188"/>
      <c r="J43" s="188"/>
      <c r="K43" s="188"/>
      <c r="L43" s="188"/>
      <c r="M43" s="188"/>
      <c r="N43" s="188"/>
      <c r="O43" s="188"/>
      <c r="P43" s="550"/>
    </row>
    <row r="44" spans="2:33" x14ac:dyDescent="0.35">
      <c r="B44" s="1393" t="s">
        <v>449</v>
      </c>
      <c r="C44" s="1394"/>
      <c r="D44" s="1394"/>
      <c r="E44" s="1395"/>
      <c r="F44" s="188">
        <v>829</v>
      </c>
      <c r="G44" s="188">
        <v>844</v>
      </c>
      <c r="H44" s="188"/>
      <c r="I44" s="188"/>
      <c r="J44" s="188"/>
      <c r="K44" s="188"/>
      <c r="L44" s="188"/>
      <c r="M44" s="188"/>
      <c r="N44" s="188"/>
      <c r="O44" s="188"/>
      <c r="P44" s="550"/>
    </row>
    <row r="45" spans="2:33" x14ac:dyDescent="0.35">
      <c r="B45" s="1396" t="s">
        <v>450</v>
      </c>
      <c r="C45" s="1397"/>
      <c r="D45" s="1397"/>
      <c r="E45" s="1398"/>
      <c r="F45" s="188">
        <f t="shared" ref="F45:P45" si="25">SUM(F36:F44)</f>
        <v>7728</v>
      </c>
      <c r="G45" s="188">
        <f t="shared" si="25"/>
        <v>7782</v>
      </c>
      <c r="H45" s="188">
        <f t="shared" si="25"/>
        <v>4916</v>
      </c>
      <c r="I45" s="188">
        <f t="shared" si="25"/>
        <v>4863</v>
      </c>
      <c r="J45" s="188">
        <f t="shared" si="25"/>
        <v>2095</v>
      </c>
      <c r="K45" s="188">
        <f t="shared" si="25"/>
        <v>1690</v>
      </c>
      <c r="L45" s="188">
        <f t="shared" si="25"/>
        <v>842</v>
      </c>
      <c r="M45" s="188">
        <f t="shared" si="25"/>
        <v>-1100</v>
      </c>
      <c r="N45" s="188">
        <f t="shared" si="25"/>
        <v>-2013</v>
      </c>
      <c r="O45" s="188">
        <f t="shared" si="25"/>
        <v>-2087</v>
      </c>
      <c r="P45" s="550">
        <f t="shared" si="25"/>
        <v>-2539</v>
      </c>
    </row>
    <row r="46" spans="2:33" x14ac:dyDescent="0.35">
      <c r="B46" s="1390" t="s">
        <v>451</v>
      </c>
      <c r="C46" s="1391"/>
      <c r="D46" s="1391"/>
      <c r="E46" s="1392"/>
      <c r="F46" s="188">
        <f t="shared" ref="F46:P46" si="26">F42+F40+F39</f>
        <v>6562</v>
      </c>
      <c r="G46" s="188">
        <f t="shared" si="26"/>
        <v>6224</v>
      </c>
      <c r="H46" s="188">
        <f t="shared" si="26"/>
        <v>3811</v>
      </c>
      <c r="I46" s="188">
        <f t="shared" si="26"/>
        <v>3428</v>
      </c>
      <c r="J46" s="188">
        <f t="shared" si="26"/>
        <v>2176</v>
      </c>
      <c r="K46" s="188">
        <f t="shared" si="26"/>
        <v>2304</v>
      </c>
      <c r="L46" s="188">
        <f t="shared" si="26"/>
        <v>2129</v>
      </c>
      <c r="M46" s="188">
        <f t="shared" si="26"/>
        <v>1335</v>
      </c>
      <c r="N46" s="188">
        <f t="shared" si="26"/>
        <v>478</v>
      </c>
      <c r="O46" s="188">
        <f t="shared" si="26"/>
        <v>531</v>
      </c>
      <c r="P46" s="550">
        <f t="shared" si="26"/>
        <v>212</v>
      </c>
      <c r="Q46" s="202" t="s">
        <v>452</v>
      </c>
    </row>
    <row r="47" spans="2:33" x14ac:dyDescent="0.35">
      <c r="B47" s="1393" t="s">
        <v>453</v>
      </c>
      <c r="C47" s="1394"/>
      <c r="D47" s="1394"/>
      <c r="E47" s="1395"/>
      <c r="F47" s="188">
        <f>(F46/1000)/M26</f>
        <v>9.315729699034641E-3</v>
      </c>
      <c r="G47" s="188">
        <f>(G46/F46)*F47</f>
        <v>8.8358886996024993E-3</v>
      </c>
      <c r="H47" s="188">
        <f>(H46/G46)*G47+H48</f>
        <v>5.4102782509937537E-3</v>
      </c>
      <c r="I47" s="188">
        <f>(I46/H46)*H47+I48</f>
        <v>4.8665530948324813E-3</v>
      </c>
      <c r="J47" s="188">
        <f>J48</f>
        <v>0</v>
      </c>
      <c r="K47" s="188">
        <f t="shared" ref="K47:L47" si="27">K48</f>
        <v>0</v>
      </c>
      <c r="L47" s="188">
        <f t="shared" si="27"/>
        <v>0</v>
      </c>
      <c r="M47" s="188"/>
      <c r="N47" s="188"/>
      <c r="O47" s="188"/>
      <c r="P47" s="550"/>
      <c r="Q47" s="202" t="s">
        <v>454</v>
      </c>
    </row>
    <row r="48" spans="2:33" ht="29.25" customHeight="1" x14ac:dyDescent="0.35">
      <c r="B48" s="525" t="s">
        <v>898</v>
      </c>
      <c r="C48" s="526"/>
      <c r="D48" s="526"/>
      <c r="E48" s="527"/>
      <c r="F48" s="188"/>
      <c r="G48" s="188"/>
      <c r="H48" s="188"/>
      <c r="I48" s="188"/>
      <c r="J48" s="188"/>
      <c r="K48" s="188"/>
      <c r="L48" s="188"/>
      <c r="M48" s="188"/>
      <c r="N48" s="188"/>
      <c r="O48" s="188"/>
      <c r="P48" s="550"/>
      <c r="Q48" s="202"/>
    </row>
    <row r="49" spans="2:16" x14ac:dyDescent="0.35">
      <c r="B49" s="1387"/>
      <c r="C49" s="1388"/>
      <c r="D49" s="1388"/>
      <c r="E49" s="1389"/>
      <c r="F49" s="543"/>
      <c r="G49" s="543"/>
      <c r="H49" s="543"/>
      <c r="I49" s="543"/>
      <c r="J49" s="543"/>
      <c r="K49" s="543"/>
      <c r="L49" s="543"/>
      <c r="M49" s="543"/>
      <c r="N49" s="543"/>
      <c r="O49" s="543"/>
      <c r="P49" s="551"/>
    </row>
  </sheetData>
  <mergeCells count="34">
    <mergeCell ref="B41:E41"/>
    <mergeCell ref="E8:H8"/>
    <mergeCell ref="B7:C9"/>
    <mergeCell ref="I8:L8"/>
    <mergeCell ref="B39:E39"/>
    <mergeCell ref="B40:E40"/>
    <mergeCell ref="B38:E38"/>
    <mergeCell ref="B36:E36"/>
    <mergeCell ref="I24:L24"/>
    <mergeCell ref="B23:C25"/>
    <mergeCell ref="E24:H24"/>
    <mergeCell ref="B37:E37"/>
    <mergeCell ref="B49:E49"/>
    <mergeCell ref="B42:E42"/>
    <mergeCell ref="B43:E43"/>
    <mergeCell ref="B44:E44"/>
    <mergeCell ref="B45:E45"/>
    <mergeCell ref="B46:E46"/>
    <mergeCell ref="B47:E47"/>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62" t="s">
        <v>37</v>
      </c>
      <c r="B2" s="1263"/>
      <c r="C2" s="1263"/>
      <c r="D2" s="1264"/>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262" t="s">
        <v>848</v>
      </c>
      <c r="B12" s="1263"/>
      <c r="C12" s="1263"/>
      <c r="D12" s="1264"/>
      <c r="E12" s="16"/>
      <c r="F12" s="14"/>
    </row>
    <row r="13" spans="1:7" ht="29.9" customHeight="1" x14ac:dyDescent="0.35">
      <c r="A13" s="20" t="s">
        <v>9</v>
      </c>
      <c r="B13" s="1268" t="s">
        <v>850</v>
      </c>
      <c r="C13" s="1268"/>
      <c r="D13" s="24"/>
      <c r="E13" s="16"/>
      <c r="F13" s="14"/>
    </row>
    <row r="14" spans="1:7" ht="48.65" customHeight="1" x14ac:dyDescent="0.35">
      <c r="A14" s="18" t="s">
        <v>849</v>
      </c>
      <c r="B14" s="1268" t="s">
        <v>860</v>
      </c>
      <c r="C14" s="1268"/>
      <c r="D14" s="23"/>
      <c r="E14" s="16"/>
      <c r="F14" s="14"/>
    </row>
    <row r="15" spans="1:7" ht="48.65" customHeight="1" x14ac:dyDescent="0.35">
      <c r="A15" s="18" t="s">
        <v>851</v>
      </c>
      <c r="B15" s="1268" t="s">
        <v>852</v>
      </c>
      <c r="C15" s="1268"/>
      <c r="D15" s="15"/>
      <c r="E15" s="16"/>
      <c r="F15" s="14"/>
    </row>
    <row r="16" spans="1:7" x14ac:dyDescent="0.35">
      <c r="A16" s="1265" t="s">
        <v>59</v>
      </c>
      <c r="B16" s="1266"/>
      <c r="C16" s="1266"/>
      <c r="D16" s="1267"/>
      <c r="E16" s="14"/>
      <c r="F16" s="14"/>
    </row>
    <row r="17" spans="1:6" ht="36.65" customHeight="1" x14ac:dyDescent="0.35">
      <c r="A17" s="1260" t="s">
        <v>853</v>
      </c>
      <c r="B17" s="1261"/>
      <c r="C17" s="1261"/>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260" t="s">
        <v>827</v>
      </c>
      <c r="B21" s="1261"/>
      <c r="C21" s="1261"/>
      <c r="D21" s="15"/>
      <c r="E21" s="14"/>
      <c r="F21" s="14"/>
    </row>
    <row r="22" spans="1:6" x14ac:dyDescent="0.35">
      <c r="A22" s="1265" t="s">
        <v>62</v>
      </c>
      <c r="B22" s="1266"/>
      <c r="C22" s="1266"/>
      <c r="D22" s="1267"/>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14" t="s">
        <v>55</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row>
    <row r="2" spans="2:33" ht="14.25" customHeight="1" x14ac:dyDescent="0.35">
      <c r="B2" s="1386" t="s">
        <v>864</v>
      </c>
      <c r="C2" s="1386"/>
      <c r="D2" s="1386"/>
      <c r="E2" s="1386"/>
      <c r="F2" s="1386"/>
      <c r="G2" s="1386"/>
      <c r="H2" s="1386"/>
      <c r="I2" s="1386"/>
      <c r="J2" s="1386"/>
      <c r="K2" s="1386"/>
      <c r="L2" s="1386"/>
      <c r="M2" s="1386"/>
      <c r="N2" s="1386"/>
      <c r="O2" s="1386"/>
      <c r="P2" s="1386"/>
      <c r="Q2" s="1386"/>
      <c r="R2" s="1386"/>
      <c r="S2" s="579"/>
      <c r="T2" s="1405" t="s">
        <v>917</v>
      </c>
      <c r="U2" s="1405"/>
      <c r="V2" s="1405"/>
      <c r="W2" s="1405"/>
      <c r="X2" s="1405"/>
      <c r="Y2" s="1405"/>
      <c r="Z2" s="1405"/>
      <c r="AA2" s="1405"/>
      <c r="AB2" s="1405"/>
      <c r="AC2" s="1405"/>
    </row>
    <row r="3" spans="2:33" x14ac:dyDescent="0.35">
      <c r="B3" s="1386"/>
      <c r="C3" s="1386"/>
      <c r="D3" s="1386"/>
      <c r="E3" s="1386"/>
      <c r="F3" s="1386"/>
      <c r="G3" s="1386"/>
      <c r="H3" s="1386"/>
      <c r="I3" s="1386"/>
      <c r="J3" s="1386"/>
      <c r="K3" s="1386"/>
      <c r="L3" s="1386"/>
      <c r="M3" s="1386"/>
      <c r="N3" s="1386"/>
      <c r="O3" s="1386"/>
      <c r="P3" s="1386"/>
      <c r="Q3" s="1386"/>
      <c r="R3" s="1386"/>
      <c r="S3" s="579"/>
      <c r="T3" s="1405"/>
      <c r="U3" s="1405"/>
      <c r="V3" s="1405"/>
      <c r="W3" s="1405"/>
      <c r="X3" s="1405"/>
      <c r="Y3" s="1405"/>
      <c r="Z3" s="1405"/>
      <c r="AA3" s="1405"/>
      <c r="AB3" s="1405"/>
      <c r="AC3" s="1405"/>
    </row>
    <row r="4" spans="2:33" ht="21" customHeight="1" x14ac:dyDescent="0.35">
      <c r="B4" s="1386"/>
      <c r="C4" s="1386"/>
      <c r="D4" s="1386"/>
      <c r="E4" s="1386"/>
      <c r="F4" s="1386"/>
      <c r="G4" s="1386"/>
      <c r="H4" s="1386"/>
      <c r="I4" s="1386"/>
      <c r="J4" s="1386"/>
      <c r="K4" s="1386"/>
      <c r="L4" s="1386"/>
      <c r="M4" s="1386"/>
      <c r="N4" s="1386"/>
      <c r="O4" s="1386"/>
      <c r="P4" s="1386"/>
      <c r="Q4" s="1386"/>
      <c r="R4" s="1386"/>
      <c r="S4" s="579"/>
      <c r="T4" s="1405"/>
      <c r="U4" s="1405"/>
      <c r="V4" s="1405"/>
      <c r="W4" s="1405"/>
      <c r="X4" s="1405"/>
      <c r="Y4" s="1405"/>
      <c r="Z4" s="1405"/>
      <c r="AA4" s="1405"/>
      <c r="AB4" s="1405"/>
      <c r="AC4" s="1405"/>
    </row>
    <row r="6" spans="2:33" x14ac:dyDescent="0.35">
      <c r="B6" s="490" t="s">
        <v>333</v>
      </c>
    </row>
    <row r="7" spans="2:33" ht="14.9" customHeight="1" x14ac:dyDescent="0.35">
      <c r="B7" s="1319" t="s">
        <v>405</v>
      </c>
      <c r="C7" s="1320"/>
      <c r="D7" s="1323" t="s">
        <v>280</v>
      </c>
      <c r="E7" s="1335"/>
      <c r="F7" s="1335"/>
      <c r="G7" s="1335"/>
      <c r="H7" s="1335"/>
      <c r="I7" s="1335"/>
      <c r="J7" s="1335"/>
      <c r="K7" s="1335"/>
      <c r="L7" s="1335"/>
      <c r="M7" s="1335"/>
      <c r="N7" s="1335"/>
      <c r="O7" s="1335"/>
      <c r="P7" s="1335"/>
      <c r="Q7" s="1335"/>
      <c r="R7" s="1335"/>
      <c r="S7" s="1335"/>
      <c r="T7" s="1335"/>
      <c r="U7" s="1336"/>
      <c r="V7" s="1322"/>
      <c r="W7" s="1361" t="s">
        <v>281</v>
      </c>
      <c r="X7" s="1362"/>
      <c r="Y7" s="1362"/>
      <c r="Z7" s="1362"/>
      <c r="AA7" s="1362"/>
      <c r="AB7" s="1362"/>
      <c r="AC7" s="1362"/>
      <c r="AD7" s="1362"/>
      <c r="AE7" s="1362"/>
      <c r="AF7" s="1362"/>
      <c r="AG7" s="1362"/>
    </row>
    <row r="8" spans="2:33" x14ac:dyDescent="0.35">
      <c r="B8" s="1321"/>
      <c r="C8" s="1322"/>
      <c r="D8" s="142">
        <v>2018</v>
      </c>
      <c r="E8" s="1310">
        <v>2019</v>
      </c>
      <c r="F8" s="1328"/>
      <c r="G8" s="1328"/>
      <c r="H8" s="1329"/>
      <c r="I8" s="1310">
        <v>2020</v>
      </c>
      <c r="J8" s="1328"/>
      <c r="K8" s="1328"/>
      <c r="L8" s="1328"/>
      <c r="M8" s="1310">
        <v>2021</v>
      </c>
      <c r="N8" s="1328"/>
      <c r="O8" s="1328"/>
      <c r="P8" s="1311"/>
      <c r="Q8" s="1310">
        <v>2022</v>
      </c>
      <c r="R8" s="1311"/>
      <c r="S8" s="1311"/>
      <c r="T8" s="1311"/>
      <c r="U8" s="201"/>
      <c r="V8" s="256">
        <v>2023</v>
      </c>
      <c r="W8" s="258"/>
      <c r="X8" s="226"/>
      <c r="Y8" s="1326">
        <v>2024</v>
      </c>
      <c r="Z8" s="1337"/>
      <c r="AA8" s="1337"/>
      <c r="AB8" s="1327"/>
      <c r="AC8" s="1325">
        <v>2025</v>
      </c>
      <c r="AD8" s="1337"/>
      <c r="AE8" s="1337"/>
      <c r="AF8" s="1327"/>
      <c r="AG8" s="475">
        <v>2026</v>
      </c>
    </row>
    <row r="9" spans="2:33" x14ac:dyDescent="0.35">
      <c r="B9" s="1323"/>
      <c r="C9" s="1324"/>
      <c r="D9" s="149" t="s">
        <v>282</v>
      </c>
      <c r="E9" s="149" t="s">
        <v>283</v>
      </c>
      <c r="F9" s="140" t="s">
        <v>284</v>
      </c>
      <c r="G9" s="140" t="s">
        <v>238</v>
      </c>
      <c r="H9" s="146" t="s">
        <v>282</v>
      </c>
      <c r="I9" s="140" t="s">
        <v>283</v>
      </c>
      <c r="J9" s="140" t="s">
        <v>284</v>
      </c>
      <c r="K9" s="140" t="s">
        <v>238</v>
      </c>
      <c r="L9" s="140" t="s">
        <v>282</v>
      </c>
      <c r="M9" s="149" t="s">
        <v>283</v>
      </c>
      <c r="N9" s="140" t="s">
        <v>284</v>
      </c>
      <c r="O9" s="140" t="s">
        <v>238</v>
      </c>
      <c r="P9" s="140" t="s">
        <v>282</v>
      </c>
      <c r="Q9" s="149" t="s">
        <v>283</v>
      </c>
      <c r="R9" s="140" t="s">
        <v>284</v>
      </c>
      <c r="S9" s="140" t="s">
        <v>238</v>
      </c>
      <c r="T9" s="140" t="s">
        <v>282</v>
      </c>
      <c r="U9" s="252" t="s">
        <v>283</v>
      </c>
      <c r="V9" s="253" t="s">
        <v>284</v>
      </c>
      <c r="W9" s="236" t="s">
        <v>238</v>
      </c>
      <c r="X9" s="237" t="s">
        <v>282</v>
      </c>
      <c r="Y9" s="236" t="s">
        <v>283</v>
      </c>
      <c r="Z9" s="233" t="s">
        <v>284</v>
      </c>
      <c r="AA9" s="236" t="s">
        <v>238</v>
      </c>
      <c r="AB9" s="236" t="s">
        <v>282</v>
      </c>
      <c r="AC9" s="235" t="s">
        <v>283</v>
      </c>
      <c r="AD9" s="233" t="s">
        <v>284</v>
      </c>
      <c r="AE9" s="236" t="s">
        <v>238</v>
      </c>
      <c r="AF9" s="236" t="s">
        <v>282</v>
      </c>
      <c r="AG9" s="235" t="s">
        <v>283</v>
      </c>
    </row>
    <row r="10" spans="2:33" ht="14.9" customHeight="1" x14ac:dyDescent="0.35">
      <c r="B10" s="584" t="s">
        <v>455</v>
      </c>
      <c r="C10" s="35" t="s">
        <v>913</v>
      </c>
      <c r="D10" s="556">
        <f>'Haver Pivoted'!GO12</f>
        <v>755.3</v>
      </c>
      <c r="E10" s="557">
        <f>'Haver Pivoted'!GP12</f>
        <v>772.6</v>
      </c>
      <c r="F10" s="557">
        <f>'Haver Pivoted'!GQ12</f>
        <v>785.8</v>
      </c>
      <c r="G10" s="557">
        <f>'Haver Pivoted'!GR12</f>
        <v>793.7</v>
      </c>
      <c r="H10" s="557">
        <f>'Haver Pivoted'!GS12</f>
        <v>796.3</v>
      </c>
      <c r="I10" s="557">
        <f>'Haver Pivoted'!GT12</f>
        <v>795.3</v>
      </c>
      <c r="J10" s="557">
        <f>'Haver Pivoted'!GU12</f>
        <v>808</v>
      </c>
      <c r="K10" s="557">
        <f>'Haver Pivoted'!GV12</f>
        <v>822.1</v>
      </c>
      <c r="L10" s="557">
        <f>'Haver Pivoted'!GW12</f>
        <v>837.5</v>
      </c>
      <c r="M10" s="557">
        <f>'Haver Pivoted'!GX12</f>
        <v>857.6</v>
      </c>
      <c r="N10" s="557">
        <f>'Haver Pivoted'!GY12</f>
        <v>875.4</v>
      </c>
      <c r="O10" s="557">
        <f>'Haver Pivoted'!GZ12</f>
        <v>889.5</v>
      </c>
      <c r="P10" s="557">
        <f>'Haver Pivoted'!HA12</f>
        <v>900</v>
      </c>
      <c r="Q10" s="557">
        <f>'Haver Pivoted'!HB12</f>
        <v>908</v>
      </c>
      <c r="R10" s="557">
        <f>'Haver Pivoted'!HC12</f>
        <v>911.8</v>
      </c>
      <c r="S10" s="558">
        <f>'Haver Pivoted'!HD12</f>
        <v>920.3</v>
      </c>
      <c r="T10" s="541">
        <f>'Haver Pivoted'!HE12</f>
        <v>941.6</v>
      </c>
      <c r="U10" s="539">
        <f>'Haver Pivoted'!HF12</f>
        <v>960.5</v>
      </c>
      <c r="V10" s="558">
        <f>'Haver Pivoted'!HG12</f>
        <v>967.3</v>
      </c>
      <c r="W10" s="529">
        <f>V10*(1+W13)+W12</f>
        <v>970.16244735084217</v>
      </c>
      <c r="X10" s="529">
        <f t="shared" ref="X10:AC10" si="0">W10*(1+X13)</f>
        <v>993.55664296766474</v>
      </c>
      <c r="Y10" s="571">
        <f t="shared" si="0"/>
        <v>1017.514958943972</v>
      </c>
      <c r="Z10" s="571">
        <f t="shared" si="0"/>
        <v>1042.0509983027189</v>
      </c>
      <c r="AA10" s="571">
        <f t="shared" si="0"/>
        <v>1067.1786920859263</v>
      </c>
      <c r="AB10" s="571">
        <f t="shared" si="0"/>
        <v>1096.5429134899039</v>
      </c>
      <c r="AC10" s="538">
        <f t="shared" si="0"/>
        <v>1126.7151134499154</v>
      </c>
      <c r="AD10" s="538">
        <f t="shared" ref="AD10" si="1">AC10*(1+AD13)</f>
        <v>1157.7175241013895</v>
      </c>
      <c r="AE10" s="538">
        <f t="shared" ref="AE10" si="2">AD10*(1+AE13)</f>
        <v>1189.5729893136208</v>
      </c>
      <c r="AF10" s="538">
        <f t="shared" ref="AF10" si="3">AE10*(1+AF13)</f>
        <v>1222.3049815220859</v>
      </c>
      <c r="AG10" s="538">
        <f t="shared" ref="AG10" si="4">AF10*(1+AG13)</f>
        <v>1255.9376190239122</v>
      </c>
    </row>
    <row r="11" spans="2:33" ht="28.5" customHeight="1" x14ac:dyDescent="0.35">
      <c r="B11" s="607" t="s">
        <v>915</v>
      </c>
      <c r="C11" s="597" t="s">
        <v>524</v>
      </c>
      <c r="D11" s="608"/>
      <c r="E11" s="594"/>
      <c r="F11" s="594"/>
      <c r="G11" s="594"/>
      <c r="H11" s="594"/>
      <c r="I11" s="594"/>
      <c r="J11" s="595">
        <f>'Haver Pivoted'!GU46</f>
        <v>9.6</v>
      </c>
      <c r="K11" s="595">
        <f>'Haver Pivoted'!GV46</f>
        <v>14.4</v>
      </c>
      <c r="L11" s="595">
        <f>'Haver Pivoted'!GW46</f>
        <v>14.3</v>
      </c>
      <c r="M11" s="595">
        <f>'Haver Pivoted'!GX46</f>
        <v>15</v>
      </c>
      <c r="N11" s="595">
        <f>'Haver Pivoted'!GY46</f>
        <v>15.3</v>
      </c>
      <c r="O11" s="595">
        <f>'Haver Pivoted'!GZ46</f>
        <v>15.6</v>
      </c>
      <c r="P11" s="595">
        <f>'Haver Pivoted'!HA46</f>
        <v>15.7</v>
      </c>
      <c r="Q11" s="595">
        <f>'Haver Pivoted'!HB46</f>
        <v>15.8</v>
      </c>
      <c r="R11" s="595">
        <f>'Haver Pivoted'!HC46</f>
        <v>7.9</v>
      </c>
      <c r="S11" s="583">
        <f>'Haver Pivoted'!HD46</f>
        <v>0</v>
      </c>
      <c r="T11" s="583">
        <f>'Haver Pivoted'!HE46</f>
        <v>0</v>
      </c>
      <c r="U11" s="583">
        <f>'Haver Pivoted'!HF46</f>
        <v>0</v>
      </c>
      <c r="V11" s="583">
        <f>'Haver Pivoted'!HG46</f>
        <v>0</v>
      </c>
      <c r="W11" s="582">
        <f t="shared" ref="W11:Z11" si="5">V11</f>
        <v>0</v>
      </c>
      <c r="X11" s="582">
        <f t="shared" si="5"/>
        <v>0</v>
      </c>
      <c r="Y11" s="582">
        <f t="shared" si="5"/>
        <v>0</v>
      </c>
      <c r="Z11" s="582">
        <f t="shared" si="5"/>
        <v>0</v>
      </c>
      <c r="AA11" s="582"/>
      <c r="AB11" s="582"/>
      <c r="AC11" s="582"/>
      <c r="AD11" s="582"/>
      <c r="AE11" s="582"/>
      <c r="AF11" s="582"/>
      <c r="AG11" s="582"/>
    </row>
    <row r="12" spans="2:33" ht="28.5" customHeight="1" x14ac:dyDescent="0.35">
      <c r="B12" s="607" t="s">
        <v>1929</v>
      </c>
      <c r="C12" s="597"/>
      <c r="D12" s="608"/>
      <c r="E12" s="594"/>
      <c r="F12" s="594"/>
      <c r="G12" s="594"/>
      <c r="H12" s="594"/>
      <c r="I12" s="594"/>
      <c r="J12" s="595"/>
      <c r="K12" s="595"/>
      <c r="L12" s="595"/>
      <c r="M12" s="595"/>
      <c r="N12" s="595"/>
      <c r="O12" s="595"/>
      <c r="P12" s="595"/>
      <c r="Q12" s="595"/>
      <c r="R12" s="595"/>
      <c r="S12" s="583"/>
      <c r="T12" s="583"/>
      <c r="U12" s="583"/>
      <c r="V12" s="583"/>
      <c r="W12" s="582">
        <v>-7</v>
      </c>
      <c r="X12" s="582"/>
      <c r="Y12" s="582"/>
      <c r="Z12" s="582"/>
      <c r="AA12" s="582"/>
      <c r="AB12" s="582"/>
      <c r="AC12" s="582"/>
      <c r="AD12" s="582"/>
      <c r="AE12" s="582"/>
      <c r="AF12" s="582"/>
      <c r="AG12" s="582"/>
    </row>
    <row r="13" spans="2:33" x14ac:dyDescent="0.35">
      <c r="B13" s="600" t="s">
        <v>456</v>
      </c>
      <c r="C13" s="599"/>
      <c r="D13" s="576"/>
      <c r="E13" s="549"/>
      <c r="F13" s="549"/>
      <c r="G13" s="549"/>
      <c r="H13" s="549"/>
      <c r="I13" s="549"/>
      <c r="J13" s="561"/>
      <c r="K13" s="561"/>
      <c r="L13" s="561"/>
      <c r="M13" s="561"/>
      <c r="N13" s="561">
        <f>(1 + $E$24)^0.25-1</f>
        <v>0</v>
      </c>
      <c r="O13" s="561">
        <f>(1 + $E$24)^0.25-1</f>
        <v>0</v>
      </c>
      <c r="P13" s="561">
        <f>(1 + $F$24)^0.25-1</f>
        <v>3.0584654007782985E-2</v>
      </c>
      <c r="Q13" s="561">
        <f>(1 +$F$24)^0.25-1</f>
        <v>3.0584654007782985E-2</v>
      </c>
      <c r="R13" s="561">
        <f>(1 +$F$24)^0.25-1</f>
        <v>3.0584654007782985E-2</v>
      </c>
      <c r="S13" s="596">
        <f>(1 +$F$24)^0.25-1</f>
        <v>3.0584654007782985E-2</v>
      </c>
      <c r="T13" s="596">
        <f>(1 +$G$24)^0.25-1</f>
        <v>1.0195851701480629E-2</v>
      </c>
      <c r="U13" s="596">
        <f>(1 +$G$24)^0.25-1</f>
        <v>1.0195851701480629E-2</v>
      </c>
      <c r="V13" s="596">
        <f>(1 +$G$24)^0.25-1</f>
        <v>1.0195851701480629E-2</v>
      </c>
      <c r="W13" s="581">
        <f>(1 +$G$24)^0.25-1</f>
        <v>1.0195851701480629E-2</v>
      </c>
      <c r="X13" s="585">
        <f t="shared" ref="X13:AA13" si="6">(1 +$H$24)^0.25-1</f>
        <v>2.4113689084445111E-2</v>
      </c>
      <c r="Y13" s="581">
        <f t="shared" si="6"/>
        <v>2.4113689084445111E-2</v>
      </c>
      <c r="Z13" s="581">
        <f t="shared" si="6"/>
        <v>2.4113689084445111E-2</v>
      </c>
      <c r="AA13" s="581">
        <f t="shared" si="6"/>
        <v>2.4113689084445111E-2</v>
      </c>
      <c r="AB13" s="585">
        <f>(1 +$I$24)^0.25-1</f>
        <v>2.7515749350824903E-2</v>
      </c>
      <c r="AC13" s="581">
        <f>(1 +$I$24)^0.25-1</f>
        <v>2.7515749350824903E-2</v>
      </c>
      <c r="AD13" s="581">
        <f t="shared" ref="AD13:AG13" si="7">(1 +$I$24)^0.25-1</f>
        <v>2.7515749350824903E-2</v>
      </c>
      <c r="AE13" s="581">
        <f t="shared" si="7"/>
        <v>2.7515749350824903E-2</v>
      </c>
      <c r="AF13" s="581">
        <f t="shared" si="7"/>
        <v>2.7515749350824903E-2</v>
      </c>
      <c r="AG13" s="581">
        <f t="shared" si="7"/>
        <v>2.7515749350824903E-2</v>
      </c>
    </row>
    <row r="14" spans="2:33" ht="15.75" customHeight="1" x14ac:dyDescent="0.35">
      <c r="B14" s="598"/>
      <c r="C14" s="564"/>
      <c r="D14" s="530"/>
      <c r="E14" s="530"/>
      <c r="F14" s="530"/>
      <c r="G14" s="530"/>
      <c r="H14" s="530"/>
      <c r="I14" s="530"/>
      <c r="J14" s="532"/>
      <c r="K14" s="532"/>
      <c r="L14" s="532"/>
      <c r="M14" s="532"/>
    </row>
    <row r="15" spans="2:33" x14ac:dyDescent="0.35">
      <c r="B15" s="598"/>
      <c r="C15" s="564"/>
      <c r="D15" s="530"/>
      <c r="E15" s="530"/>
      <c r="F15" s="530"/>
      <c r="G15" s="530"/>
      <c r="H15" s="530"/>
      <c r="I15" s="530"/>
      <c r="J15" s="532"/>
      <c r="K15" s="532"/>
      <c r="L15" s="532"/>
      <c r="M15" s="532"/>
      <c r="S15" s="295"/>
      <c r="T15" s="534"/>
      <c r="U15" s="534"/>
      <c r="V15" s="534"/>
      <c r="W15" s="534"/>
      <c r="X15" s="534"/>
    </row>
    <row r="16" spans="2:33" x14ac:dyDescent="0.35">
      <c r="B16" s="598"/>
      <c r="C16" s="564"/>
      <c r="D16" s="530"/>
      <c r="E16" s="530"/>
      <c r="F16" s="530"/>
      <c r="G16" s="530"/>
      <c r="H16" s="530"/>
      <c r="I16" s="530"/>
      <c r="J16" s="532"/>
      <c r="K16" s="532"/>
      <c r="L16" s="532"/>
      <c r="M16" s="532"/>
      <c r="S16" s="295"/>
      <c r="T16" s="366"/>
      <c r="U16" s="366"/>
      <c r="V16" s="366"/>
      <c r="W16" s="366"/>
      <c r="X16" s="366"/>
    </row>
    <row r="17" spans="2:32" ht="14.9" customHeight="1" x14ac:dyDescent="0.35">
      <c r="B17" s="490" t="s">
        <v>352</v>
      </c>
      <c r="S17" s="295"/>
      <c r="T17" s="532"/>
      <c r="U17" s="532"/>
      <c r="V17" s="532"/>
      <c r="W17" s="532"/>
      <c r="X17" s="532"/>
    </row>
    <row r="18" spans="2:32" x14ac:dyDescent="0.35">
      <c r="B18" s="604" t="s">
        <v>433</v>
      </c>
      <c r="C18" s="604">
        <v>2019</v>
      </c>
      <c r="D18" s="605">
        <v>2020</v>
      </c>
      <c r="E18" s="605">
        <v>2021</v>
      </c>
      <c r="F18" s="605">
        <v>2022</v>
      </c>
      <c r="G18" s="605">
        <v>2023</v>
      </c>
      <c r="H18" s="606">
        <v>2024</v>
      </c>
      <c r="I18" s="606">
        <v>2025</v>
      </c>
      <c r="J18" s="606">
        <v>2026</v>
      </c>
    </row>
    <row r="19" spans="2:32" ht="21" customHeight="1" x14ac:dyDescent="0.35">
      <c r="B19" s="590" t="s">
        <v>1905</v>
      </c>
      <c r="C19" s="588"/>
      <c r="D19" s="589"/>
      <c r="E19" s="610">
        <v>867.67600000000004</v>
      </c>
      <c r="F19" s="232">
        <v>974.649</v>
      </c>
      <c r="G19" s="232">
        <v>1007.94</v>
      </c>
      <c r="H19" s="232">
        <v>1012.097</v>
      </c>
      <c r="I19" s="232">
        <v>1128.174</v>
      </c>
      <c r="J19" s="232">
        <v>1200.9649999999999</v>
      </c>
      <c r="K19" s="587"/>
      <c r="L19" s="587"/>
      <c r="M19" s="587"/>
      <c r="N19" s="587"/>
      <c r="O19" s="587"/>
      <c r="P19" s="366"/>
      <c r="Q19" s="366"/>
      <c r="R19" s="366"/>
      <c r="S19" s="366"/>
      <c r="T19" s="366"/>
      <c r="U19" s="366"/>
      <c r="V19" s="366"/>
      <c r="W19" s="366"/>
      <c r="X19" s="366"/>
      <c r="Y19" s="366"/>
      <c r="Z19" s="366"/>
      <c r="AA19" s="366"/>
      <c r="AB19" s="366"/>
      <c r="AC19" s="366"/>
    </row>
    <row r="20" spans="2:32" ht="21" customHeight="1" x14ac:dyDescent="0.35">
      <c r="B20" s="591"/>
      <c r="C20" s="586"/>
      <c r="D20" s="587"/>
      <c r="E20" s="232">
        <f>AVERAGE(L10:O10)</f>
        <v>865</v>
      </c>
      <c r="F20" s="232">
        <f>AVERAGE(P10:S10)</f>
        <v>910.02500000000009</v>
      </c>
      <c r="G20" s="232">
        <f>AVERAGE(T10:W10)</f>
        <v>959.89061183771048</v>
      </c>
      <c r="H20" s="232">
        <f>AVERAGE(X10:AA10)</f>
        <v>1030.0753230750706</v>
      </c>
      <c r="I20" s="232">
        <f>AVERAGE(AB10:AE10)</f>
        <v>1142.6371350887075</v>
      </c>
      <c r="J20" s="154"/>
      <c r="K20" s="587"/>
      <c r="L20" s="587"/>
      <c r="M20" s="587"/>
      <c r="N20" s="587"/>
      <c r="O20" s="587"/>
      <c r="P20" s="366"/>
      <c r="Q20" s="366"/>
      <c r="R20" s="366"/>
      <c r="S20" s="366"/>
      <c r="T20" s="366"/>
      <c r="U20" s="366"/>
      <c r="V20" s="366"/>
      <c r="W20" s="366"/>
      <c r="X20" s="366"/>
      <c r="Y20" s="366"/>
      <c r="Z20" s="366"/>
      <c r="AA20" s="366"/>
      <c r="AB20" s="366"/>
      <c r="AC20" s="366"/>
    </row>
    <row r="21" spans="2:32" ht="21" customHeight="1" x14ac:dyDescent="0.35">
      <c r="B21" s="609" t="s">
        <v>457</v>
      </c>
      <c r="C21" s="202"/>
      <c r="D21" s="202">
        <v>47</v>
      </c>
      <c r="E21" s="202">
        <v>48</v>
      </c>
      <c r="F21" s="35">
        <v>-50</v>
      </c>
      <c r="G21" s="35">
        <v>-45</v>
      </c>
      <c r="H21" s="35"/>
      <c r="I21" s="35"/>
      <c r="J21" s="602">
        <f>SUM(D21:G21)</f>
        <v>0</v>
      </c>
      <c r="M21" s="587"/>
      <c r="N21" s="587"/>
      <c r="O21" s="587"/>
      <c r="P21" s="366"/>
      <c r="Q21" s="366"/>
      <c r="R21" s="366"/>
      <c r="S21" s="366"/>
      <c r="T21" s="366"/>
      <c r="U21" s="366"/>
      <c r="V21" s="366"/>
      <c r="W21" s="366"/>
      <c r="X21" s="366"/>
      <c r="Y21" s="366"/>
      <c r="Z21" s="366"/>
      <c r="AA21" s="366"/>
      <c r="AB21" s="366"/>
      <c r="AC21" s="366"/>
    </row>
    <row r="22" spans="2:32" x14ac:dyDescent="0.35">
      <c r="B22" s="609" t="s">
        <v>1384</v>
      </c>
      <c r="C22" s="586"/>
      <c r="D22" s="586"/>
      <c r="E22" s="586">
        <f>E19-E21</f>
        <v>819.67600000000004</v>
      </c>
      <c r="F22" s="586">
        <f>F19+F21</f>
        <v>924.649</v>
      </c>
      <c r="G22" s="586">
        <f>G19+G21</f>
        <v>962.94</v>
      </c>
      <c r="H22" s="586">
        <f>H19+H21</f>
        <v>1012.097</v>
      </c>
      <c r="I22" s="586">
        <f>I19+I21</f>
        <v>1128.174</v>
      </c>
      <c r="J22" s="602"/>
      <c r="N22" s="603"/>
      <c r="O22" s="564"/>
      <c r="P22" s="366"/>
      <c r="Q22" s="366"/>
      <c r="R22" s="366"/>
      <c r="S22" s="366"/>
      <c r="T22" s="366"/>
      <c r="U22" s="366"/>
      <c r="V22" s="366"/>
      <c r="W22" s="366"/>
      <c r="X22" s="366"/>
      <c r="Y22" s="366"/>
      <c r="Z22" s="366"/>
      <c r="AA22" s="366"/>
      <c r="AB22" s="366"/>
      <c r="AC22" s="366"/>
    </row>
    <row r="23" spans="2:32" x14ac:dyDescent="0.35">
      <c r="B23" s="609" t="s">
        <v>459</v>
      </c>
      <c r="C23" s="193">
        <f>AVERAGE(D10:G10)</f>
        <v>776.84999999999991</v>
      </c>
      <c r="D23" s="193">
        <f>AVERAGE(H10:K10)</f>
        <v>805.42499999999995</v>
      </c>
      <c r="E23" s="586">
        <f>AVERAGE(L10:O10)</f>
        <v>865</v>
      </c>
      <c r="F23" s="35"/>
      <c r="G23" s="35"/>
      <c r="H23" s="35"/>
      <c r="I23" s="35"/>
      <c r="J23" s="602"/>
      <c r="K23" s="202" t="s">
        <v>458</v>
      </c>
      <c r="P23" s="366"/>
      <c r="Q23" s="366"/>
      <c r="R23" s="366"/>
      <c r="S23" s="366"/>
      <c r="T23" s="366"/>
      <c r="U23" s="366"/>
      <c r="V23" s="366"/>
      <c r="W23" s="366"/>
      <c r="X23" s="366"/>
      <c r="Y23" s="366"/>
      <c r="Z23" s="366"/>
      <c r="AA23" s="366"/>
      <c r="AB23" s="366"/>
      <c r="AC23" s="366"/>
    </row>
    <row r="24" spans="2:32" x14ac:dyDescent="0.35">
      <c r="B24" s="592" t="s">
        <v>926</v>
      </c>
      <c r="C24" s="202"/>
      <c r="D24" s="202"/>
      <c r="E24" s="202"/>
      <c r="F24" s="202">
        <f>F22/E22-1</f>
        <v>0.12806645552632978</v>
      </c>
      <c r="G24" s="202">
        <f>G22/F22-1+G25</f>
        <v>4.1411389619196104E-2</v>
      </c>
      <c r="H24" s="202">
        <v>0.1</v>
      </c>
      <c r="I24" s="202">
        <f t="shared" ref="I24:J24" si="8">I22/H22-1</f>
        <v>0.11468959990989003</v>
      </c>
      <c r="J24" s="602">
        <f t="shared" si="8"/>
        <v>-1</v>
      </c>
      <c r="P24" s="202"/>
      <c r="Q24" s="202"/>
      <c r="R24" s="202"/>
      <c r="S24" s="202"/>
      <c r="T24" s="202"/>
      <c r="U24" s="202"/>
      <c r="V24" s="202"/>
      <c r="W24" s="202"/>
      <c r="X24" s="202"/>
      <c r="Y24" s="202"/>
      <c r="Z24" s="202"/>
      <c r="AA24" s="202"/>
      <c r="AB24" s="202"/>
      <c r="AC24" s="202"/>
    </row>
    <row r="25" spans="2:32" x14ac:dyDescent="0.35">
      <c r="B25" s="593" t="s">
        <v>896</v>
      </c>
      <c r="C25" s="36"/>
      <c r="D25" s="36"/>
      <c r="E25" s="36"/>
      <c r="F25" s="36"/>
      <c r="G25" s="36">
        <v>0</v>
      </c>
      <c r="H25" s="36"/>
      <c r="I25" s="36"/>
      <c r="J25" s="156"/>
      <c r="P25" s="202"/>
      <c r="Q25" s="202"/>
      <c r="R25" s="202"/>
      <c r="S25" s="202"/>
      <c r="T25" s="202"/>
      <c r="U25" s="202"/>
      <c r="V25" s="202"/>
      <c r="W25" s="202"/>
      <c r="X25" s="202"/>
      <c r="Y25" s="202"/>
      <c r="Z25" s="202"/>
      <c r="AA25" s="202"/>
      <c r="AB25" s="202"/>
      <c r="AC25" s="202"/>
    </row>
    <row r="26" spans="2:32" x14ac:dyDescent="0.35">
      <c r="C26" s="601"/>
      <c r="D26" s="601"/>
      <c r="E26" s="601"/>
      <c r="F26" s="601"/>
      <c r="G26" s="601"/>
      <c r="H26" s="601"/>
      <c r="I26" s="601"/>
      <c r="J26" s="601"/>
      <c r="P26" s="202"/>
      <c r="Q26" s="202"/>
      <c r="R26" s="202"/>
      <c r="S26" s="202"/>
      <c r="T26" s="202"/>
      <c r="U26" s="202"/>
      <c r="V26" s="202"/>
      <c r="W26" s="202"/>
      <c r="X26" s="202"/>
      <c r="Y26" s="202"/>
      <c r="Z26" s="202"/>
      <c r="AA26" s="202"/>
      <c r="AB26" s="202"/>
      <c r="AC26" s="202"/>
    </row>
    <row r="27" spans="2:32" x14ac:dyDescent="0.35">
      <c r="K27" s="601"/>
      <c r="L27" s="601"/>
      <c r="M27" s="601"/>
      <c r="N27" s="601"/>
      <c r="P27" s="202"/>
      <c r="Q27" s="202"/>
      <c r="R27" s="202"/>
      <c r="S27" s="202"/>
      <c r="T27" s="202"/>
      <c r="U27" s="202"/>
      <c r="V27" s="202"/>
      <c r="W27" s="202"/>
      <c r="X27" s="202"/>
      <c r="Y27" s="202"/>
      <c r="Z27" s="202"/>
      <c r="AA27" s="202"/>
      <c r="AB27" s="202"/>
      <c r="AC27" s="202"/>
    </row>
    <row r="28" spans="2:32" x14ac:dyDescent="0.35">
      <c r="P28" s="202"/>
      <c r="Q28" s="202"/>
      <c r="R28" s="202"/>
      <c r="S28" s="202"/>
      <c r="T28" s="202"/>
      <c r="U28" s="202"/>
      <c r="V28" s="202"/>
      <c r="W28" s="202"/>
      <c r="X28" s="202"/>
      <c r="Y28" s="202"/>
      <c r="Z28" s="202"/>
      <c r="AA28" s="202"/>
      <c r="AB28" s="202"/>
      <c r="AC28" s="202"/>
    </row>
    <row r="29" spans="2:32" x14ac:dyDescent="0.35">
      <c r="S29" s="202"/>
      <c r="T29" s="202"/>
      <c r="U29" s="202"/>
      <c r="V29" s="202"/>
      <c r="W29" s="202"/>
      <c r="X29" s="202"/>
      <c r="Y29" s="202"/>
      <c r="Z29" s="202"/>
      <c r="AA29" s="202"/>
      <c r="AB29" s="202"/>
      <c r="AC29" s="202"/>
      <c r="AD29" s="202"/>
      <c r="AE29" s="202"/>
      <c r="AF29" s="202"/>
    </row>
    <row r="30" spans="2:32" x14ac:dyDescent="0.35">
      <c r="P30" s="202"/>
      <c r="Q30" s="202"/>
      <c r="R30" s="202"/>
      <c r="S30" s="202"/>
      <c r="T30" s="202"/>
      <c r="U30" s="202"/>
      <c r="V30" s="202"/>
      <c r="W30" s="202"/>
      <c r="X30" s="202"/>
      <c r="Y30" s="202"/>
      <c r="Z30" s="202"/>
      <c r="AA30" s="202"/>
      <c r="AB30" s="202"/>
      <c r="AC30" s="202"/>
    </row>
    <row r="31" spans="2:32" x14ac:dyDescent="0.35">
      <c r="F31" s="35"/>
      <c r="G31" s="35"/>
      <c r="P31" s="202"/>
      <c r="Q31" s="202"/>
      <c r="R31" s="202"/>
      <c r="S31" s="202"/>
      <c r="T31" s="202"/>
      <c r="U31" s="202"/>
      <c r="V31" s="202"/>
      <c r="W31" s="202"/>
      <c r="X31" s="202"/>
      <c r="Y31" s="202"/>
      <c r="Z31" s="202"/>
      <c r="AA31" s="202"/>
      <c r="AB31" s="202"/>
      <c r="AC31" s="202"/>
    </row>
    <row r="32" spans="2:32" x14ac:dyDescent="0.35">
      <c r="P32" s="202"/>
      <c r="Q32" s="202"/>
      <c r="R32" s="202"/>
      <c r="S32" s="202"/>
      <c r="T32" s="202"/>
      <c r="U32" s="202"/>
      <c r="V32" s="202"/>
      <c r="W32" s="202"/>
      <c r="X32" s="202"/>
      <c r="Y32" s="202"/>
      <c r="Z32" s="202"/>
      <c r="AA32" s="202"/>
      <c r="AB32" s="202"/>
      <c r="AC32" s="202"/>
    </row>
    <row r="33" spans="16:29" x14ac:dyDescent="0.35">
      <c r="P33" s="202"/>
      <c r="Q33" s="202"/>
      <c r="R33" s="202"/>
      <c r="S33" s="202"/>
      <c r="T33" s="202"/>
      <c r="U33" s="202"/>
      <c r="V33" s="202"/>
      <c r="W33" s="202"/>
      <c r="X33" s="202"/>
      <c r="Y33" s="202"/>
      <c r="Z33" s="202"/>
      <c r="AA33" s="202"/>
      <c r="AB33" s="202"/>
      <c r="AC33" s="202"/>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T13" sqref="T13"/>
    </sheetView>
  </sheetViews>
  <sheetFormatPr defaultColWidth="10.90625" defaultRowHeight="14.5" x14ac:dyDescent="0.35"/>
  <sheetData>
    <row r="1" spans="2:33" x14ac:dyDescent="0.35">
      <c r="B1" s="1314" t="s">
        <v>1386</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row>
    <row r="2" spans="2:33" x14ac:dyDescent="0.35">
      <c r="B2" s="1315" t="s">
        <v>1389</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2:33" x14ac:dyDescent="0.3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2:33" x14ac:dyDescent="0.3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2:33" x14ac:dyDescent="0.35">
      <c r="B5" s="364"/>
      <c r="C5" s="202"/>
      <c r="D5" s="202"/>
      <c r="E5" s="202"/>
      <c r="F5" s="202"/>
      <c r="G5" s="202"/>
      <c r="H5" s="202"/>
      <c r="I5" s="202"/>
      <c r="J5" s="202"/>
      <c r="K5" s="202"/>
      <c r="L5" s="202"/>
      <c r="M5" s="202"/>
      <c r="N5" s="202"/>
      <c r="O5" s="202"/>
      <c r="P5" s="202"/>
      <c r="Q5" s="202"/>
      <c r="R5" s="202"/>
      <c r="S5" s="202"/>
      <c r="T5" s="202"/>
      <c r="U5" s="202"/>
      <c r="V5" s="202"/>
      <c r="W5" s="202"/>
      <c r="X5" s="202"/>
      <c r="Y5" s="202"/>
    </row>
    <row r="6" spans="2:33" x14ac:dyDescent="0.35">
      <c r="B6" s="1319" t="s">
        <v>1703</v>
      </c>
      <c r="C6" s="1377"/>
      <c r="D6" s="1323" t="s">
        <v>280</v>
      </c>
      <c r="E6" s="1335"/>
      <c r="F6" s="1335"/>
      <c r="G6" s="1335"/>
      <c r="H6" s="1335"/>
      <c r="I6" s="1335"/>
      <c r="J6" s="1335"/>
      <c r="K6" s="1335"/>
      <c r="L6" s="1335"/>
      <c r="M6" s="1335"/>
      <c r="N6" s="1335"/>
      <c r="O6" s="1335"/>
      <c r="P6" s="1335"/>
      <c r="Q6" s="1336"/>
      <c r="R6" s="1336"/>
      <c r="S6" s="1336"/>
      <c r="T6" s="1336"/>
      <c r="U6" s="1336"/>
      <c r="V6" s="1322"/>
      <c r="W6" s="1361" t="s">
        <v>281</v>
      </c>
      <c r="X6" s="1362"/>
      <c r="Y6" s="1362"/>
      <c r="Z6" s="1362"/>
      <c r="AA6" s="1362"/>
      <c r="AB6" s="1362"/>
      <c r="AC6" s="1362"/>
      <c r="AD6" s="1362"/>
      <c r="AE6" s="1362"/>
      <c r="AF6" s="1362"/>
      <c r="AG6" s="1362"/>
    </row>
    <row r="7" spans="2:33" x14ac:dyDescent="0.35">
      <c r="B7" s="1321"/>
      <c r="C7" s="1322"/>
      <c r="D7" s="149">
        <v>2018</v>
      </c>
      <c r="E7" s="1316">
        <v>2019</v>
      </c>
      <c r="F7" s="1317"/>
      <c r="G7" s="1317"/>
      <c r="H7" s="1318"/>
      <c r="I7" s="1316">
        <v>2020</v>
      </c>
      <c r="J7" s="1317"/>
      <c r="K7" s="1317"/>
      <c r="L7" s="1317"/>
      <c r="M7" s="1316">
        <v>2021</v>
      </c>
      <c r="N7" s="1317"/>
      <c r="O7" s="1317"/>
      <c r="P7" s="1317"/>
      <c r="Q7" s="1344">
        <v>2022</v>
      </c>
      <c r="R7" s="1345"/>
      <c r="S7" s="256"/>
      <c r="T7" s="256"/>
      <c r="U7" s="201"/>
      <c r="V7" s="256">
        <v>2023</v>
      </c>
      <c r="W7" s="258"/>
      <c r="X7" s="226"/>
      <c r="Y7" s="1326">
        <v>2024</v>
      </c>
      <c r="Z7" s="1337"/>
      <c r="AA7" s="1337"/>
      <c r="AB7" s="1327"/>
      <c r="AC7" s="1325">
        <v>2025</v>
      </c>
      <c r="AD7" s="1337"/>
      <c r="AE7" s="1337"/>
      <c r="AF7" s="1327"/>
      <c r="AG7" s="475">
        <v>2026</v>
      </c>
    </row>
    <row r="8" spans="2:33" x14ac:dyDescent="0.35">
      <c r="B8" s="1323"/>
      <c r="C8" s="1324"/>
      <c r="D8" s="149" t="s">
        <v>282</v>
      </c>
      <c r="E8" s="149" t="s">
        <v>283</v>
      </c>
      <c r="F8" s="140" t="s">
        <v>284</v>
      </c>
      <c r="G8" s="140" t="s">
        <v>238</v>
      </c>
      <c r="H8" s="146" t="s">
        <v>282</v>
      </c>
      <c r="I8" s="140" t="s">
        <v>283</v>
      </c>
      <c r="J8" s="140" t="s">
        <v>284</v>
      </c>
      <c r="K8" s="140" t="s">
        <v>238</v>
      </c>
      <c r="L8" s="140" t="s">
        <v>282</v>
      </c>
      <c r="M8" s="149" t="s">
        <v>283</v>
      </c>
      <c r="N8" s="140" t="s">
        <v>284</v>
      </c>
      <c r="O8" s="140" t="s">
        <v>238</v>
      </c>
      <c r="P8" s="140" t="s">
        <v>282</v>
      </c>
      <c r="Q8" s="252" t="s">
        <v>283</v>
      </c>
      <c r="R8" s="253" t="s">
        <v>284</v>
      </c>
      <c r="S8" s="253" t="s">
        <v>238</v>
      </c>
      <c r="T8" s="253" t="s">
        <v>282</v>
      </c>
      <c r="U8" s="252" t="s">
        <v>283</v>
      </c>
      <c r="V8" s="253" t="s">
        <v>284</v>
      </c>
      <c r="W8" s="236" t="s">
        <v>238</v>
      </c>
      <c r="X8" s="237" t="s">
        <v>282</v>
      </c>
      <c r="Y8" s="236" t="s">
        <v>283</v>
      </c>
      <c r="Z8" s="233" t="s">
        <v>284</v>
      </c>
      <c r="AA8" s="236" t="s">
        <v>238</v>
      </c>
      <c r="AB8" s="236" t="s">
        <v>282</v>
      </c>
      <c r="AC8" s="235" t="s">
        <v>283</v>
      </c>
      <c r="AD8" s="233" t="s">
        <v>284</v>
      </c>
      <c r="AE8" s="236" t="s">
        <v>238</v>
      </c>
      <c r="AF8" s="236" t="s">
        <v>282</v>
      </c>
      <c r="AG8" s="235" t="s">
        <v>283</v>
      </c>
    </row>
    <row r="9" spans="2:33" x14ac:dyDescent="0.35">
      <c r="B9" s="151" t="s">
        <v>1388</v>
      </c>
      <c r="C9" s="632"/>
      <c r="D9" s="633"/>
      <c r="E9" s="632"/>
      <c r="F9" s="632"/>
      <c r="G9" s="632"/>
      <c r="H9" s="632"/>
      <c r="I9" s="632"/>
      <c r="J9" s="634"/>
      <c r="K9" s="634"/>
      <c r="L9" s="634"/>
      <c r="M9" s="634"/>
      <c r="N9" s="634"/>
      <c r="O9" s="634"/>
      <c r="P9" s="634"/>
      <c r="Q9" s="612"/>
      <c r="R9" s="613">
        <v>0</v>
      </c>
      <c r="S9" s="614">
        <v>0</v>
      </c>
      <c r="T9" s="613">
        <v>0</v>
      </c>
      <c r="U9" s="613">
        <v>0</v>
      </c>
      <c r="V9" s="613">
        <v>0</v>
      </c>
      <c r="W9" s="613">
        <v>-7.7999999999999999E-4</v>
      </c>
      <c r="X9" s="613">
        <v>-7.7999999999999999E-4</v>
      </c>
      <c r="Y9" s="613">
        <v>-9.5E-4</v>
      </c>
      <c r="Z9" s="613">
        <v>-9.5E-4</v>
      </c>
      <c r="AA9" s="613">
        <v>-9.5E-4</v>
      </c>
      <c r="AB9" s="613">
        <v>-9.5E-4</v>
      </c>
      <c r="AC9" s="613">
        <v>-9.3999999999999997E-4</v>
      </c>
      <c r="AD9" s="613">
        <v>-9.3999999999999997E-4</v>
      </c>
      <c r="AE9" s="613">
        <v>-9.3999999999999997E-4</v>
      </c>
      <c r="AF9" s="613">
        <v>-9.3999999999999997E-4</v>
      </c>
      <c r="AG9" s="614">
        <v>-9.3999999999999997E-4</v>
      </c>
    </row>
    <row r="10" spans="2:33" x14ac:dyDescent="0.35">
      <c r="B10" s="35" t="s">
        <v>1387</v>
      </c>
      <c r="C10" s="229"/>
      <c r="D10" s="562"/>
      <c r="E10" s="229"/>
      <c r="F10" s="229"/>
      <c r="G10" s="229"/>
      <c r="H10" s="229"/>
      <c r="I10" s="229"/>
      <c r="J10" s="611"/>
      <c r="K10" s="611"/>
      <c r="L10" s="611"/>
      <c r="M10" s="611"/>
      <c r="N10" s="611"/>
      <c r="O10" s="611"/>
      <c r="P10" s="611"/>
      <c r="Q10" s="611"/>
      <c r="R10" s="136"/>
      <c r="S10" s="136"/>
      <c r="T10" s="136"/>
      <c r="U10" s="136">
        <v>26095</v>
      </c>
      <c r="V10" s="136">
        <v>26404</v>
      </c>
      <c r="W10" s="136">
        <v>26686</v>
      </c>
      <c r="X10" s="136">
        <v>26931</v>
      </c>
      <c r="Y10" s="136">
        <v>27174</v>
      </c>
      <c r="Z10" s="136">
        <v>27411</v>
      </c>
      <c r="AA10" s="136">
        <v>27647</v>
      </c>
      <c r="AB10" s="136">
        <v>27893</v>
      </c>
      <c r="AC10" s="136">
        <v>28143</v>
      </c>
      <c r="AD10" s="136">
        <v>28400</v>
      </c>
      <c r="AE10" s="136">
        <v>28649</v>
      </c>
      <c r="AF10" s="136">
        <v>28910</v>
      </c>
      <c r="AG10" s="136">
        <v>28910</v>
      </c>
    </row>
    <row r="11" spans="2:33" x14ac:dyDescent="0.35">
      <c r="B11" s="35" t="s">
        <v>312</v>
      </c>
      <c r="C11" s="517"/>
      <c r="D11" s="516"/>
      <c r="E11" s="517"/>
      <c r="F11" s="517"/>
      <c r="G11" s="517"/>
      <c r="H11" s="517"/>
      <c r="I11" s="517"/>
      <c r="J11" s="631"/>
      <c r="K11" s="631"/>
      <c r="L11" s="631"/>
      <c r="M11" s="631"/>
      <c r="N11" s="631"/>
      <c r="O11" s="631"/>
      <c r="P11" s="631"/>
      <c r="Q11" s="631"/>
      <c r="R11" s="630">
        <f>R9*R10</f>
        <v>0</v>
      </c>
      <c r="S11" s="630">
        <f t="shared" ref="S11:T11" si="0">S9*S10</f>
        <v>0</v>
      </c>
      <c r="T11" s="630">
        <f t="shared" si="0"/>
        <v>0</v>
      </c>
      <c r="U11" s="635">
        <f>U9*U10*-1</f>
        <v>0</v>
      </c>
      <c r="V11" s="635">
        <f t="shared" ref="V11" si="1">V9*V10*-1</f>
        <v>0</v>
      </c>
      <c r="W11" s="635">
        <f>W9*W10*(-1)*0.1</f>
        <v>2.0815079999999999</v>
      </c>
      <c r="X11" s="635">
        <f t="shared" ref="X11:AG11" si="2">X9*X10*(-1)*0.1</f>
        <v>2.1006180000000003</v>
      </c>
      <c r="Y11" s="635">
        <f t="shared" si="2"/>
        <v>2.5815300000000003</v>
      </c>
      <c r="Z11" s="635">
        <f t="shared" si="2"/>
        <v>2.6040450000000002</v>
      </c>
      <c r="AA11" s="635">
        <f t="shared" si="2"/>
        <v>2.626465</v>
      </c>
      <c r="AB11" s="635">
        <f t="shared" si="2"/>
        <v>2.6498349999999999</v>
      </c>
      <c r="AC11" s="635">
        <f t="shared" si="2"/>
        <v>2.6454420000000001</v>
      </c>
      <c r="AD11" s="635">
        <f t="shared" si="2"/>
        <v>2.6696</v>
      </c>
      <c r="AE11" s="635">
        <f t="shared" si="2"/>
        <v>2.693006</v>
      </c>
      <c r="AF11" s="635">
        <f t="shared" si="2"/>
        <v>2.7175400000000001</v>
      </c>
      <c r="AG11" s="635">
        <f t="shared" si="2"/>
        <v>2.7175400000000001</v>
      </c>
    </row>
    <row r="12" spans="2:33" x14ac:dyDescent="0.35">
      <c r="B12" s="35"/>
      <c r="C12" s="229"/>
      <c r="D12" s="229"/>
      <c r="E12" s="229"/>
      <c r="F12" s="229"/>
      <c r="G12" s="229"/>
      <c r="H12" s="229"/>
      <c r="I12" s="229"/>
      <c r="J12" s="611"/>
      <c r="K12" s="611"/>
      <c r="L12" s="611"/>
      <c r="M12" s="611"/>
      <c r="N12" s="611"/>
      <c r="O12" s="611"/>
      <c r="P12" s="611"/>
      <c r="Q12" s="611"/>
      <c r="R12" s="136"/>
      <c r="S12" s="136"/>
      <c r="T12" s="136"/>
      <c r="U12" s="71"/>
      <c r="V12" s="71"/>
      <c r="W12" s="71"/>
      <c r="X12" s="71"/>
      <c r="Y12" s="71"/>
      <c r="Z12" s="71"/>
      <c r="AA12" s="71"/>
      <c r="AB12" s="71"/>
      <c r="AC12" s="71"/>
      <c r="AD12" s="71"/>
      <c r="AE12" s="71"/>
      <c r="AF12" s="71"/>
      <c r="AG12" s="71"/>
    </row>
    <row r="13" spans="2:33" x14ac:dyDescent="0.35">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35"/>
      <c r="AA13" s="35"/>
      <c r="AB13" s="35"/>
      <c r="AC13" s="35"/>
    </row>
    <row r="14" spans="2:33" x14ac:dyDescent="0.35">
      <c r="B14" s="1256" t="s">
        <v>1810</v>
      </c>
      <c r="C14" s="1256"/>
      <c r="D14" s="1256"/>
      <c r="E14" s="1256"/>
      <c r="F14" s="1256"/>
      <c r="G14" s="1256"/>
      <c r="H14" s="1256"/>
      <c r="I14" s="1256"/>
      <c r="J14" s="1256"/>
      <c r="K14" s="1256"/>
      <c r="L14" s="1256"/>
      <c r="M14" s="1256"/>
      <c r="N14" s="1256"/>
      <c r="O14" s="1256"/>
      <c r="P14" s="1256"/>
      <c r="Q14" s="1256"/>
      <c r="R14" s="1256"/>
      <c r="S14" s="1256"/>
      <c r="T14" s="1256"/>
      <c r="U14" s="1256"/>
      <c r="V14" s="1256"/>
      <c r="W14" s="1256"/>
      <c r="X14" s="1256"/>
      <c r="Y14" s="1256"/>
      <c r="Z14" s="1256"/>
      <c r="AA14" s="1256"/>
      <c r="AB14" s="1256"/>
      <c r="AC14" s="1256"/>
      <c r="AD14" s="1256"/>
      <c r="AE14" s="1256"/>
      <c r="AF14" s="1256"/>
    </row>
    <row r="15" spans="2:33" x14ac:dyDescent="0.35">
      <c r="B15" s="1319" t="s">
        <v>1702</v>
      </c>
      <c r="C15" s="1377"/>
      <c r="D15" s="1382" t="s">
        <v>280</v>
      </c>
      <c r="E15" s="1383"/>
      <c r="F15" s="1383"/>
      <c r="G15" s="1383"/>
      <c r="H15" s="1383"/>
      <c r="I15" s="1383"/>
      <c r="J15" s="1383"/>
      <c r="K15" s="1383"/>
      <c r="L15" s="1383"/>
      <c r="M15" s="1383"/>
      <c r="N15" s="1383"/>
      <c r="O15" s="1383"/>
      <c r="P15" s="1383"/>
      <c r="Q15" s="1383"/>
      <c r="R15" s="1383"/>
      <c r="S15" s="1383"/>
      <c r="T15" s="1383"/>
      <c r="U15" s="1383"/>
      <c r="V15" s="1383"/>
      <c r="W15" s="1362" t="s">
        <v>281</v>
      </c>
      <c r="X15" s="1362"/>
      <c r="Y15" s="1362"/>
      <c r="Z15" s="1362"/>
      <c r="AA15" s="1362"/>
      <c r="AB15" s="1362"/>
      <c r="AC15" s="1362"/>
      <c r="AD15" s="1362"/>
      <c r="AE15" s="1362"/>
      <c r="AF15" s="1362"/>
      <c r="AG15" s="1362"/>
    </row>
    <row r="16" spans="2:33" x14ac:dyDescent="0.35">
      <c r="B16" s="1321"/>
      <c r="C16" s="1322"/>
      <c r="D16" s="149">
        <v>2018</v>
      </c>
      <c r="E16" s="1316">
        <v>2019</v>
      </c>
      <c r="F16" s="1317"/>
      <c r="G16" s="1317"/>
      <c r="H16" s="1318"/>
      <c r="I16" s="1316">
        <v>2020</v>
      </c>
      <c r="J16" s="1317"/>
      <c r="K16" s="1317"/>
      <c r="L16" s="1317"/>
      <c r="M16" s="1316">
        <v>2021</v>
      </c>
      <c r="N16" s="1317"/>
      <c r="O16" s="1317"/>
      <c r="P16" s="1317"/>
      <c r="Q16" s="1344">
        <v>2022</v>
      </c>
      <c r="R16" s="1406"/>
      <c r="S16" s="256"/>
      <c r="T16" s="261"/>
      <c r="U16" s="201"/>
      <c r="V16" s="256">
        <v>2023</v>
      </c>
      <c r="W16" s="528"/>
      <c r="X16" s="528"/>
      <c r="Y16" s="1325">
        <v>2024</v>
      </c>
      <c r="Z16" s="1337"/>
      <c r="AA16" s="1337"/>
      <c r="AB16" s="1327"/>
      <c r="AC16" s="1325">
        <v>2025</v>
      </c>
      <c r="AD16" s="1337"/>
      <c r="AE16" s="1337"/>
      <c r="AF16" s="1327"/>
      <c r="AG16" s="475">
        <v>2026</v>
      </c>
    </row>
    <row r="17" spans="2:33" x14ac:dyDescent="0.35">
      <c r="B17" s="1323"/>
      <c r="C17" s="1324"/>
      <c r="D17" s="149" t="s">
        <v>282</v>
      </c>
      <c r="E17" s="149" t="s">
        <v>283</v>
      </c>
      <c r="F17" s="140" t="s">
        <v>284</v>
      </c>
      <c r="G17" s="140" t="s">
        <v>238</v>
      </c>
      <c r="H17" s="146" t="s">
        <v>282</v>
      </c>
      <c r="I17" s="140" t="s">
        <v>283</v>
      </c>
      <c r="J17" s="140" t="s">
        <v>284</v>
      </c>
      <c r="K17" s="140" t="s">
        <v>238</v>
      </c>
      <c r="L17" s="140" t="s">
        <v>282</v>
      </c>
      <c r="M17" s="149" t="s">
        <v>283</v>
      </c>
      <c r="N17" s="140" t="s">
        <v>284</v>
      </c>
      <c r="O17" s="140" t="s">
        <v>238</v>
      </c>
      <c r="P17" s="140" t="s">
        <v>282</v>
      </c>
      <c r="Q17" s="252" t="s">
        <v>283</v>
      </c>
      <c r="R17" s="253" t="s">
        <v>284</v>
      </c>
      <c r="S17" s="253" t="s">
        <v>238</v>
      </c>
      <c r="T17" s="251" t="s">
        <v>282</v>
      </c>
      <c r="U17" s="252" t="s">
        <v>283</v>
      </c>
      <c r="V17" s="253" t="s">
        <v>284</v>
      </c>
      <c r="W17" s="236" t="s">
        <v>238</v>
      </c>
      <c r="X17" s="236" t="s">
        <v>282</v>
      </c>
      <c r="Y17" s="235" t="s">
        <v>283</v>
      </c>
      <c r="Z17" s="233" t="s">
        <v>284</v>
      </c>
      <c r="AA17" s="236" t="s">
        <v>238</v>
      </c>
      <c r="AB17" s="237" t="s">
        <v>282</v>
      </c>
      <c r="AC17" s="235" t="s">
        <v>283</v>
      </c>
      <c r="AD17" s="233" t="s">
        <v>284</v>
      </c>
      <c r="AE17" s="236" t="s">
        <v>238</v>
      </c>
      <c r="AF17" s="236" t="s">
        <v>282</v>
      </c>
      <c r="AG17" s="235" t="s">
        <v>283</v>
      </c>
    </row>
    <row r="18" spans="2:33" x14ac:dyDescent="0.35">
      <c r="B18" s="151" t="s">
        <v>1388</v>
      </c>
      <c r="C18" s="618"/>
      <c r="D18" s="619"/>
      <c r="E18" s="618"/>
      <c r="F18" s="618"/>
      <c r="G18" s="618"/>
      <c r="H18" s="618"/>
      <c r="I18" s="618"/>
      <c r="J18" s="620"/>
      <c r="K18" s="620"/>
      <c r="L18" s="620"/>
      <c r="M18" s="620"/>
      <c r="N18" s="620"/>
      <c r="O18" s="620"/>
      <c r="P18" s="620"/>
      <c r="Q18" s="620"/>
      <c r="R18" s="621">
        <v>0</v>
      </c>
      <c r="S18" s="615">
        <v>0</v>
      </c>
      <c r="T18" s="617">
        <v>0</v>
      </c>
      <c r="U18" s="617">
        <v>-7.7999999999999999E-4</v>
      </c>
      <c r="V18" s="617">
        <v>-7.7999999999999999E-4</v>
      </c>
      <c r="W18" s="617">
        <v>-7.7999999999999999E-4</v>
      </c>
      <c r="X18" s="617">
        <v>-7.7999999999999999E-4</v>
      </c>
      <c r="Y18" s="617">
        <v>-9.5E-4</v>
      </c>
      <c r="Z18" s="617">
        <v>-9.5E-4</v>
      </c>
      <c r="AA18" s="617">
        <v>-9.5E-4</v>
      </c>
      <c r="AB18" s="617">
        <v>-9.5E-4</v>
      </c>
      <c r="AC18" s="617">
        <v>-9.3999999999999997E-4</v>
      </c>
      <c r="AD18" s="617">
        <v>-9.3999999999999997E-4</v>
      </c>
      <c r="AE18" s="617">
        <v>-9.3999999999999997E-4</v>
      </c>
      <c r="AF18" s="617">
        <v>-9.3999999999999997E-4</v>
      </c>
      <c r="AG18" s="615">
        <v>-9.3999999999999997E-4</v>
      </c>
    </row>
    <row r="19" spans="2:33" x14ac:dyDescent="0.35">
      <c r="B19" s="35" t="s">
        <v>1387</v>
      </c>
      <c r="C19" s="622"/>
      <c r="D19" s="623"/>
      <c r="E19" s="622"/>
      <c r="F19" s="622"/>
      <c r="G19" s="622"/>
      <c r="H19" s="622"/>
      <c r="I19" s="622"/>
      <c r="J19" s="624"/>
      <c r="K19" s="624"/>
      <c r="L19" s="624"/>
      <c r="M19" s="624"/>
      <c r="N19" s="624"/>
      <c r="O19" s="624"/>
      <c r="P19" s="624"/>
      <c r="Q19" s="624"/>
      <c r="R19" s="616"/>
      <c r="S19" s="616"/>
      <c r="T19" s="616"/>
      <c r="U19" s="616">
        <v>26095</v>
      </c>
      <c r="V19" s="616">
        <v>26404</v>
      </c>
      <c r="W19" s="616">
        <v>26686</v>
      </c>
      <c r="X19" s="616">
        <v>26931</v>
      </c>
      <c r="Y19" s="616">
        <v>27174</v>
      </c>
      <c r="Z19" s="616">
        <v>27411</v>
      </c>
      <c r="AA19" s="616">
        <v>27647</v>
      </c>
      <c r="AB19" s="616">
        <v>27893</v>
      </c>
      <c r="AC19" s="616">
        <v>28143</v>
      </c>
      <c r="AD19" s="616">
        <v>28400</v>
      </c>
      <c r="AE19" s="616">
        <v>28649</v>
      </c>
      <c r="AF19" s="616">
        <v>28910</v>
      </c>
      <c r="AG19" s="616">
        <v>28910</v>
      </c>
    </row>
    <row r="20" spans="2:33" x14ac:dyDescent="0.35">
      <c r="B20" s="35" t="s">
        <v>312</v>
      </c>
      <c r="C20" s="625"/>
      <c r="D20" s="626"/>
      <c r="E20" s="625"/>
      <c r="F20" s="625"/>
      <c r="G20" s="625"/>
      <c r="H20" s="625"/>
      <c r="I20" s="625"/>
      <c r="J20" s="627"/>
      <c r="K20" s="627"/>
      <c r="L20" s="627"/>
      <c r="M20" s="627"/>
      <c r="N20" s="627"/>
      <c r="O20" s="627"/>
      <c r="P20" s="627"/>
      <c r="Q20" s="627"/>
      <c r="R20" s="628">
        <f>R18*R19</f>
        <v>0</v>
      </c>
      <c r="S20" s="628">
        <f t="shared" ref="S20:T20" si="3">S18*S19</f>
        <v>0</v>
      </c>
      <c r="T20" s="628">
        <f t="shared" si="3"/>
        <v>0</v>
      </c>
      <c r="U20" s="629">
        <f>U18*U19*-1</f>
        <v>20.354099999999999</v>
      </c>
      <c r="V20" s="629">
        <f t="shared" ref="V20:AF20" si="4">V18*V19*-1</f>
        <v>20.595119999999998</v>
      </c>
      <c r="W20" s="629">
        <f t="shared" si="4"/>
        <v>20.815079999999998</v>
      </c>
      <c r="X20" s="629">
        <f t="shared" si="4"/>
        <v>21.006180000000001</v>
      </c>
      <c r="Y20" s="629">
        <f t="shared" si="4"/>
        <v>25.815300000000001</v>
      </c>
      <c r="Z20" s="629">
        <f t="shared" si="4"/>
        <v>26.04045</v>
      </c>
      <c r="AA20" s="629">
        <f t="shared" si="4"/>
        <v>26.26465</v>
      </c>
      <c r="AB20" s="629">
        <f t="shared" si="4"/>
        <v>26.498349999999999</v>
      </c>
      <c r="AC20" s="629">
        <f t="shared" si="4"/>
        <v>26.454419999999999</v>
      </c>
      <c r="AD20" s="629">
        <f t="shared" si="4"/>
        <v>26.695999999999998</v>
      </c>
      <c r="AE20" s="629">
        <f t="shared" si="4"/>
        <v>26.930059999999997</v>
      </c>
      <c r="AF20" s="629">
        <f t="shared" si="4"/>
        <v>27.1754</v>
      </c>
      <c r="AG20" s="629">
        <f t="shared" ref="AG20" si="5">AG18*AG19*-1</f>
        <v>27.1754</v>
      </c>
    </row>
    <row r="23" spans="2:33" x14ac:dyDescent="0.35">
      <c r="C23" t="s">
        <v>1931</v>
      </c>
      <c r="F23" s="137" t="s">
        <v>1930</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400-000000000000}"/>
  </hyperlinks>
  <pageMargins left="0.7" right="0.7" top="0.75" bottom="0.75" header="0.3" footer="0.3"/>
  <pageSetup paperSize="9" orientation="portrait" horizontalDpi="300" verticalDpi="300"/>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08" t="s">
        <v>466</v>
      </c>
      <c r="C1" s="1408"/>
      <c r="D1" s="1408"/>
      <c r="E1" s="1408"/>
      <c r="F1" s="1408"/>
      <c r="G1" s="1408"/>
      <c r="H1" s="1408"/>
      <c r="I1" s="1408"/>
      <c r="J1" s="1408"/>
      <c r="K1" s="1408"/>
      <c r="L1" s="1408"/>
      <c r="M1" s="1408"/>
      <c r="N1" s="1408"/>
      <c r="O1" s="1408"/>
      <c r="P1" s="1408"/>
      <c r="Q1" s="1408"/>
      <c r="R1" s="1408"/>
      <c r="S1" s="1408"/>
      <c r="T1" s="1408"/>
      <c r="U1" s="1408"/>
      <c r="V1" s="1408"/>
      <c r="W1" s="1408"/>
      <c r="X1" s="1408"/>
      <c r="Y1" s="1408"/>
      <c r="Z1" s="1408"/>
      <c r="AA1" s="1408"/>
      <c r="AB1" s="1408"/>
      <c r="AC1" s="1408"/>
    </row>
    <row r="2" spans="2:33" ht="34.5" hidden="1" customHeight="1" outlineLevel="1" x14ac:dyDescent="0.35">
      <c r="B2" s="1315" t="s">
        <v>865</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row>
    <row r="3" spans="2:33" ht="3" hidden="1" customHeight="1" outlineLevel="1"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row>
    <row r="4" spans="2:33" ht="10.4" hidden="1" customHeight="1" outlineLevel="1"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row>
    <row r="5" spans="2:33" ht="14.25" hidden="1" customHeight="1" outlineLevel="1" x14ac:dyDescent="0.35">
      <c r="B5" s="1353"/>
      <c r="C5" s="1353"/>
      <c r="D5" s="1353"/>
      <c r="E5" s="1353"/>
      <c r="F5" s="1353"/>
      <c r="G5" s="1353"/>
      <c r="H5" s="1353"/>
      <c r="I5" s="1353"/>
      <c r="J5" s="1353"/>
      <c r="K5" s="1353"/>
      <c r="L5" s="1353"/>
      <c r="M5" s="1353"/>
      <c r="N5" s="1353"/>
      <c r="O5" s="1353"/>
      <c r="P5" s="1353"/>
      <c r="Q5" s="1353"/>
      <c r="R5" s="1353"/>
      <c r="S5" s="1353"/>
      <c r="T5" s="1353"/>
      <c r="U5" s="1353"/>
      <c r="V5" s="1353"/>
      <c r="W5" s="1353"/>
      <c r="X5" s="1353"/>
      <c r="Y5" s="1353"/>
      <c r="Z5" s="1353"/>
      <c r="AA5" s="1353"/>
      <c r="AB5" s="1353"/>
      <c r="AC5" s="1353"/>
    </row>
    <row r="6" spans="2:33" ht="14.25" hidden="1" customHeight="1" outlineLevel="1" x14ac:dyDescent="0.35">
      <c r="B6" s="1353"/>
      <c r="C6" s="1353"/>
      <c r="D6" s="1353"/>
      <c r="E6" s="1353"/>
      <c r="F6" s="1353"/>
      <c r="G6" s="1353"/>
      <c r="H6" s="1353"/>
      <c r="I6" s="1353"/>
      <c r="J6" s="1353"/>
      <c r="K6" s="1353"/>
      <c r="L6" s="1353"/>
      <c r="M6" s="1353"/>
      <c r="N6" s="1353"/>
      <c r="O6" s="1353"/>
      <c r="P6" s="1353"/>
      <c r="Q6" s="1353"/>
      <c r="R6" s="1353"/>
      <c r="S6" s="1353"/>
      <c r="T6" s="1353"/>
      <c r="U6" s="1353"/>
      <c r="V6" s="1353"/>
      <c r="W6" s="1353"/>
      <c r="X6" s="1353"/>
      <c r="Y6" s="1353"/>
      <c r="Z6" s="1353"/>
      <c r="AA6" s="1353"/>
      <c r="AB6" s="1353"/>
      <c r="AC6" s="1353"/>
    </row>
    <row r="7" spans="2:33" x14ac:dyDescent="0.35">
      <c r="B7" s="709" t="s">
        <v>333</v>
      </c>
      <c r="C7" s="231"/>
      <c r="D7" s="231"/>
      <c r="E7" s="231"/>
      <c r="F7" s="231"/>
      <c r="G7" s="231"/>
      <c r="H7" s="232"/>
      <c r="I7" s="232"/>
      <c r="J7" s="232"/>
      <c r="K7" s="232"/>
      <c r="L7" s="232"/>
      <c r="M7" s="232"/>
      <c r="N7" s="232"/>
      <c r="O7" s="232"/>
      <c r="P7" s="232"/>
      <c r="Q7" s="232"/>
      <c r="R7" s="232"/>
      <c r="S7" s="232"/>
      <c r="T7" s="232"/>
      <c r="U7" s="232"/>
    </row>
    <row r="8" spans="2:33" ht="14.9" customHeight="1" x14ac:dyDescent="0.35">
      <c r="B8" s="666" t="s">
        <v>304</v>
      </c>
      <c r="C8" s="667"/>
      <c r="D8" s="670" t="s">
        <v>280</v>
      </c>
      <c r="E8" s="671"/>
      <c r="F8" s="671"/>
      <c r="G8" s="671"/>
      <c r="H8" s="671"/>
      <c r="I8" s="671"/>
      <c r="J8" s="671"/>
      <c r="K8" s="671"/>
      <c r="L8" s="671"/>
      <c r="M8" s="671"/>
      <c r="N8" s="671"/>
      <c r="O8" s="671"/>
      <c r="P8" s="1335"/>
      <c r="Q8" s="1335"/>
      <c r="R8" s="1335"/>
      <c r="S8" s="1335"/>
      <c r="T8" s="1335"/>
      <c r="U8" s="1335"/>
      <c r="V8" s="1324"/>
      <c r="W8" s="1363" t="s">
        <v>281</v>
      </c>
      <c r="X8" s="1364"/>
      <c r="Y8" s="1364"/>
      <c r="Z8" s="1364"/>
      <c r="AA8" s="1364"/>
      <c r="AB8" s="1364"/>
      <c r="AC8" s="1364"/>
      <c r="AD8" s="1364"/>
      <c r="AE8" s="1364"/>
      <c r="AF8" s="1364"/>
      <c r="AG8" s="1364"/>
    </row>
    <row r="9" spans="2:33" ht="14.9" customHeight="1" x14ac:dyDescent="0.35">
      <c r="B9" s="668"/>
      <c r="C9" s="669"/>
      <c r="D9" s="142">
        <v>2018</v>
      </c>
      <c r="E9" s="1310">
        <v>2019</v>
      </c>
      <c r="F9" s="1328"/>
      <c r="G9" s="1328"/>
      <c r="H9" s="1329"/>
      <c r="I9" s="1310">
        <v>2020</v>
      </c>
      <c r="J9" s="1328"/>
      <c r="K9" s="1328"/>
      <c r="L9" s="1328"/>
      <c r="M9" s="1310">
        <v>2021</v>
      </c>
      <c r="N9" s="1328"/>
      <c r="O9" s="1328"/>
      <c r="P9" s="1328"/>
      <c r="Q9" s="1310">
        <v>2022</v>
      </c>
      <c r="R9" s="1311"/>
      <c r="S9" s="1311"/>
      <c r="T9" s="1329"/>
      <c r="U9" s="256"/>
      <c r="V9" s="256">
        <v>2023</v>
      </c>
      <c r="W9" s="528"/>
      <c r="X9" s="226"/>
      <c r="Y9" s="1325">
        <v>2024</v>
      </c>
      <c r="Z9" s="1337"/>
      <c r="AA9" s="1337"/>
      <c r="AB9" s="1327"/>
      <c r="AC9" s="1325">
        <v>2025</v>
      </c>
      <c r="AD9" s="1337"/>
      <c r="AE9" s="1337"/>
      <c r="AF9" s="1326"/>
      <c r="AG9" s="280">
        <v>2026</v>
      </c>
    </row>
    <row r="10" spans="2:33" x14ac:dyDescent="0.35">
      <c r="B10" s="668"/>
      <c r="C10" s="669"/>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140" t="s">
        <v>283</v>
      </c>
      <c r="V10" s="253" t="s">
        <v>284</v>
      </c>
      <c r="W10" s="236" t="s">
        <v>238</v>
      </c>
      <c r="X10" s="237" t="s">
        <v>282</v>
      </c>
      <c r="Y10" s="235" t="s">
        <v>283</v>
      </c>
      <c r="Z10" s="233" t="s">
        <v>284</v>
      </c>
      <c r="AA10" s="236" t="s">
        <v>238</v>
      </c>
      <c r="AB10" s="236" t="s">
        <v>282</v>
      </c>
      <c r="AC10" s="235" t="s">
        <v>283</v>
      </c>
      <c r="AD10" s="233" t="s">
        <v>284</v>
      </c>
      <c r="AE10" s="236" t="s">
        <v>238</v>
      </c>
      <c r="AF10" s="236" t="s">
        <v>282</v>
      </c>
      <c r="AG10" s="280" t="s">
        <v>283</v>
      </c>
    </row>
    <row r="11" spans="2:33" x14ac:dyDescent="0.35">
      <c r="B11" s="1410" t="s">
        <v>467</v>
      </c>
      <c r="C11" s="1411"/>
      <c r="D11" s="649"/>
      <c r="E11" s="701"/>
      <c r="F11" s="701"/>
      <c r="G11" s="701"/>
      <c r="H11" s="273"/>
      <c r="I11" s="273"/>
      <c r="J11" s="273"/>
      <c r="K11" s="273"/>
      <c r="L11" s="273"/>
      <c r="M11" s="553"/>
      <c r="N11" s="553"/>
      <c r="O11" s="553"/>
      <c r="P11" s="273"/>
      <c r="Q11" s="273"/>
      <c r="R11" s="273"/>
      <c r="S11" s="273"/>
      <c r="T11" s="255"/>
      <c r="U11" s="273"/>
      <c r="V11" s="273"/>
      <c r="W11" s="184"/>
      <c r="X11" s="184"/>
      <c r="Y11" s="184"/>
      <c r="Z11" s="184"/>
      <c r="AA11" s="184"/>
      <c r="AB11" s="184"/>
      <c r="AC11" s="185"/>
    </row>
    <row r="12" spans="2:33" ht="17.149999999999999" customHeight="1" x14ac:dyDescent="0.35">
      <c r="B12" s="642" t="s">
        <v>468</v>
      </c>
      <c r="C12" s="202" t="s">
        <v>469</v>
      </c>
      <c r="D12" s="575">
        <f>'Haver Pivoted'!GO31</f>
        <v>2224.3000000000002</v>
      </c>
      <c r="E12" s="530">
        <f>'Haver Pivoted'!GP31</f>
        <v>2303.4</v>
      </c>
      <c r="F12" s="530">
        <f>'Haver Pivoted'!GQ31</f>
        <v>2319.4</v>
      </c>
      <c r="G12" s="530">
        <f>'Haver Pivoted'!GR31</f>
        <v>2333.8000000000002</v>
      </c>
      <c r="H12" s="530">
        <f>'Haver Pivoted'!GS31</f>
        <v>2346.4</v>
      </c>
      <c r="I12" s="530">
        <f>'Haver Pivoted'!GT31</f>
        <v>2407.5</v>
      </c>
      <c r="J12" s="530">
        <f>'Haver Pivoted'!GU31</f>
        <v>4698.7</v>
      </c>
      <c r="K12" s="530">
        <f>'Haver Pivoted'!GV31</f>
        <v>3492.4</v>
      </c>
      <c r="L12" s="530">
        <f>'Haver Pivoted'!GW31</f>
        <v>2881.6</v>
      </c>
      <c r="M12" s="530">
        <f>'Haver Pivoted'!GX31</f>
        <v>5094.8</v>
      </c>
      <c r="N12" s="530">
        <f>'Haver Pivoted'!GY31</f>
        <v>3395.6</v>
      </c>
      <c r="O12" s="530">
        <f>'Haver Pivoted'!GZ31</f>
        <v>3146.3</v>
      </c>
      <c r="P12" s="530">
        <f>'Haver Pivoted'!HA31</f>
        <v>2937.4</v>
      </c>
      <c r="Q12" s="530">
        <f>'Haver Pivoted'!HB31</f>
        <v>2863</v>
      </c>
      <c r="R12" s="530">
        <f>'Haver Pivoted'!HC31</f>
        <v>2846.5</v>
      </c>
      <c r="S12" s="531">
        <f>'Haver Pivoted'!HD31</f>
        <v>2840.1</v>
      </c>
      <c r="T12" s="531">
        <f>'Haver Pivoted'!HE31</f>
        <v>2882.8</v>
      </c>
      <c r="U12" s="531">
        <f>'Haver Pivoted'!HF31</f>
        <v>2963</v>
      </c>
      <c r="V12" s="531">
        <f>'Haver Pivoted'!HG31</f>
        <v>2952.8</v>
      </c>
      <c r="W12" s="644">
        <f t="shared" ref="W12:AC12" si="0">SUM(W14:W31)-W30</f>
        <v>2941.1238759222706</v>
      </c>
      <c r="X12" s="644">
        <f t="shared" si="0"/>
        <v>2963.8030715390937</v>
      </c>
      <c r="Y12" s="644">
        <f t="shared" si="0"/>
        <v>3038.730964358258</v>
      </c>
      <c r="Z12" s="644">
        <f t="shared" si="0"/>
        <v>3072.2212894312911</v>
      </c>
      <c r="AA12" s="644">
        <f t="shared" si="0"/>
        <v>3105.651840357355</v>
      </c>
      <c r="AB12" s="644">
        <f t="shared" si="0"/>
        <v>3141.6199189041899</v>
      </c>
      <c r="AC12" s="700">
        <f t="shared" si="0"/>
        <v>3209.10651683163</v>
      </c>
    </row>
    <row r="13" spans="2:33" x14ac:dyDescent="0.35">
      <c r="B13" s="419"/>
      <c r="C13" s="202"/>
      <c r="D13" s="575"/>
      <c r="E13" s="530"/>
      <c r="F13" s="530"/>
      <c r="G13" s="530"/>
      <c r="H13" s="530"/>
      <c r="I13" s="530"/>
      <c r="J13" s="530"/>
      <c r="K13" s="530"/>
      <c r="L13" s="530"/>
      <c r="M13" s="530"/>
      <c r="N13" s="530"/>
      <c r="O13" s="530"/>
      <c r="P13" s="202"/>
      <c r="Q13" s="188"/>
      <c r="R13" s="188"/>
      <c r="S13" s="188"/>
      <c r="T13" s="188"/>
      <c r="U13" s="188"/>
      <c r="V13" s="188"/>
      <c r="W13" s="280"/>
      <c r="X13" s="280"/>
      <c r="Y13" s="280"/>
      <c r="Z13" s="280"/>
      <c r="AA13" s="280"/>
      <c r="AB13" s="280"/>
      <c r="AC13" s="399"/>
    </row>
    <row r="14" spans="2:33" x14ac:dyDescent="0.35">
      <c r="B14" s="638" t="s">
        <v>1932</v>
      </c>
      <c r="C14" s="202"/>
      <c r="D14" s="575">
        <f>'Unemployment Insurance'!D20+'Unemployment Insurance'!D19</f>
        <v>27.8</v>
      </c>
      <c r="E14" s="530">
        <f>'Unemployment Insurance'!E20+'Unemployment Insurance'!E19</f>
        <v>29.4</v>
      </c>
      <c r="F14" s="530">
        <f>'Unemployment Insurance'!F20+'Unemployment Insurance'!F19</f>
        <v>26.9</v>
      </c>
      <c r="G14" s="530">
        <f>'Unemployment Insurance'!G20+'Unemployment Insurance'!G19</f>
        <v>26.4</v>
      </c>
      <c r="H14" s="530">
        <f>'Unemployment Insurance'!H20+'Unemployment Insurance'!H19</f>
        <v>27.7</v>
      </c>
      <c r="I14" s="530">
        <f>'Unemployment Insurance'!I20+'Unemployment Insurance'!I19</f>
        <v>40.700000000000003</v>
      </c>
      <c r="J14" s="530">
        <f>'Unemployment Insurance'!J20+'Unemployment Insurance'!J19</f>
        <v>1007.5</v>
      </c>
      <c r="K14" s="530">
        <f>'Unemployment Insurance'!K20+'Unemployment Insurance'!K19</f>
        <v>792.89999999999986</v>
      </c>
      <c r="L14" s="530">
        <f>'Unemployment Insurance'!L20+'Unemployment Insurance'!L19</f>
        <v>308.5</v>
      </c>
      <c r="M14" s="530">
        <f>'Unemployment Insurance'!M20+'Unemployment Insurance'!M19</f>
        <v>556.20000000000005</v>
      </c>
      <c r="N14" s="530">
        <f>'Unemployment Insurance'!N20+'Unemployment Insurance'!N19</f>
        <v>448.6</v>
      </c>
      <c r="O14" s="530">
        <f>'Unemployment Insurance'!O20+'Unemployment Insurance'!O19</f>
        <v>245.1</v>
      </c>
      <c r="P14" s="530">
        <f>'Unemployment Insurance'!P20+'Unemployment Insurance'!P19</f>
        <v>33.799999999999997</v>
      </c>
      <c r="Q14" s="530">
        <f>'Unemployment Insurance'!Q20+'Unemployment Insurance'!Q19</f>
        <v>23.6</v>
      </c>
      <c r="R14" s="530">
        <f>'Unemployment Insurance'!R20+'Unemployment Insurance'!R19</f>
        <v>18.600000000000001</v>
      </c>
      <c r="S14" s="530">
        <f>'Unemployment Insurance'!S20+'Unemployment Insurance'!S19</f>
        <v>18.5</v>
      </c>
      <c r="T14" s="530">
        <f>'Unemployment Insurance'!T20+'Unemployment Insurance'!T19</f>
        <v>20.399999999999999</v>
      </c>
      <c r="U14" s="530">
        <f>'Unemployment Insurance'!U20+'Unemployment Insurance'!U19</f>
        <v>22.8</v>
      </c>
      <c r="V14" s="636">
        <f>V15+V16</f>
        <v>23.1</v>
      </c>
      <c r="W14" s="644">
        <f>'Unemployment Insurance'!W20+'Unemployment Insurance'!W19</f>
        <v>23.451428571428572</v>
      </c>
      <c r="X14" s="644">
        <f>'Unemployment Insurance'!X20+'Unemployment Insurance'!X19</f>
        <v>23.451428571428572</v>
      </c>
      <c r="Y14" s="644">
        <f>'Unemployment Insurance'!Y20+'Unemployment Insurance'!Y19</f>
        <v>24.754285714285711</v>
      </c>
      <c r="Z14" s="644">
        <f>'Unemployment Insurance'!Z20+'Unemployment Insurance'!Z19</f>
        <v>26.708571428571425</v>
      </c>
      <c r="AA14" s="644">
        <f>'Unemployment Insurance'!AA20+'Unemployment Insurance'!AA19</f>
        <v>28.011428571428567</v>
      </c>
      <c r="AB14" s="644">
        <f>'Unemployment Insurance'!AB20+'Unemployment Insurance'!AB19</f>
        <v>29.31428571428571</v>
      </c>
      <c r="AC14" s="700">
        <f>'Unemployment Insurance'!AC20+'Unemployment Insurance'!AC19</f>
        <v>29.965714285714277</v>
      </c>
    </row>
    <row r="15" spans="2:33" x14ac:dyDescent="0.35">
      <c r="B15" s="382" t="s">
        <v>203</v>
      </c>
      <c r="C15" s="202"/>
      <c r="D15" s="575"/>
      <c r="E15" s="530"/>
      <c r="F15" s="530"/>
      <c r="G15" s="530"/>
      <c r="H15" s="530"/>
      <c r="I15" s="530"/>
      <c r="J15" s="530"/>
      <c r="K15" s="530"/>
      <c r="L15" s="530"/>
      <c r="M15" s="530"/>
      <c r="N15" s="530"/>
      <c r="O15" s="530"/>
      <c r="P15" s="530"/>
      <c r="Q15" s="530"/>
      <c r="R15" s="530"/>
      <c r="S15" s="530"/>
      <c r="T15" s="530"/>
      <c r="U15" s="530"/>
      <c r="V15" s="530">
        <f>'Unemployment Insurance'!V19</f>
        <v>-0.35142857142857054</v>
      </c>
      <c r="W15" s="644"/>
      <c r="X15" s="644"/>
      <c r="Y15" s="644"/>
      <c r="Z15" s="644"/>
      <c r="AA15" s="644"/>
      <c r="AB15" s="644"/>
      <c r="AC15" s="700"/>
    </row>
    <row r="16" spans="2:33" x14ac:dyDescent="0.35">
      <c r="B16" s="382" t="s">
        <v>205</v>
      </c>
      <c r="C16" s="202"/>
      <c r="D16" s="575"/>
      <c r="E16" s="530"/>
      <c r="F16" s="530"/>
      <c r="G16" s="530"/>
      <c r="H16" s="530"/>
      <c r="I16" s="530"/>
      <c r="J16" s="530"/>
      <c r="K16" s="530"/>
      <c r="L16" s="530"/>
      <c r="M16" s="530"/>
      <c r="N16" s="530"/>
      <c r="O16" s="530"/>
      <c r="P16" s="530"/>
      <c r="Q16" s="530"/>
      <c r="R16" s="530"/>
      <c r="S16" s="530"/>
      <c r="T16" s="530"/>
      <c r="U16" s="530"/>
      <c r="V16" s="530">
        <f>'Unemployment Insurance'!V20</f>
        <v>23.451428571428572</v>
      </c>
      <c r="W16" s="644"/>
      <c r="X16" s="644"/>
      <c r="Y16" s="644"/>
      <c r="Z16" s="644"/>
      <c r="AA16" s="644"/>
      <c r="AB16" s="644"/>
      <c r="AC16" s="700"/>
    </row>
    <row r="17" spans="2:101" ht="17.899999999999999" customHeight="1" x14ac:dyDescent="0.35">
      <c r="B17" s="638" t="s">
        <v>55</v>
      </c>
      <c r="C17" s="202"/>
      <c r="D17" s="575">
        <f>Medicare!D10</f>
        <v>755.3</v>
      </c>
      <c r="E17" s="530">
        <f>Medicare!E10</f>
        <v>772.6</v>
      </c>
      <c r="F17" s="530">
        <f>Medicare!F10</f>
        <v>785.8</v>
      </c>
      <c r="G17" s="530">
        <f>Medicare!G10</f>
        <v>793.7</v>
      </c>
      <c r="H17" s="530">
        <f>Medicare!H10</f>
        <v>796.3</v>
      </c>
      <c r="I17" s="530">
        <f>Medicare!I10</f>
        <v>795.3</v>
      </c>
      <c r="J17" s="530">
        <f>Medicare!J10</f>
        <v>808</v>
      </c>
      <c r="K17" s="530">
        <f>Medicare!K10</f>
        <v>822.1</v>
      </c>
      <c r="L17" s="530">
        <f>Medicare!L10</f>
        <v>837.5</v>
      </c>
      <c r="M17" s="530">
        <f>Medicare!M10</f>
        <v>857.6</v>
      </c>
      <c r="N17" s="530">
        <f>Medicare!N10</f>
        <v>875.4</v>
      </c>
      <c r="O17" s="530">
        <f>Medicare!O10</f>
        <v>889.5</v>
      </c>
      <c r="P17" s="530">
        <f>Medicare!P10</f>
        <v>900</v>
      </c>
      <c r="Q17" s="530">
        <f>Medicare!Q10</f>
        <v>908</v>
      </c>
      <c r="R17" s="530">
        <f>Medicare!R10</f>
        <v>911.8</v>
      </c>
      <c r="S17" s="530">
        <f>Medicare!S10</f>
        <v>920.3</v>
      </c>
      <c r="T17" s="530">
        <f>Medicare!T10</f>
        <v>941.6</v>
      </c>
      <c r="U17" s="530">
        <f>Medicare!U10</f>
        <v>960.5</v>
      </c>
      <c r="V17" s="636">
        <f>Medicare!V10</f>
        <v>967.3</v>
      </c>
      <c r="W17" s="644">
        <f>Medicare!W10</f>
        <v>970.16244735084217</v>
      </c>
      <c r="X17" s="644">
        <f>Medicare!X10</f>
        <v>993.55664296766474</v>
      </c>
      <c r="Y17" s="644">
        <f>Medicare!Y10</f>
        <v>1017.514958943972</v>
      </c>
      <c r="Z17" s="644">
        <f>Medicare!Z10</f>
        <v>1042.0509983027189</v>
      </c>
      <c r="AA17" s="644">
        <f>Medicare!AA10</f>
        <v>1067.1786920859263</v>
      </c>
      <c r="AB17" s="644">
        <f>Medicare!AB10</f>
        <v>1096.5429134899039</v>
      </c>
      <c r="AC17" s="700">
        <f>Medicare!AC10</f>
        <v>1126.7151134499154</v>
      </c>
    </row>
    <row r="18" spans="2:101" ht="18" customHeight="1" x14ac:dyDescent="0.35">
      <c r="B18" s="639" t="s">
        <v>470</v>
      </c>
      <c r="C18" s="202"/>
      <c r="D18" s="241"/>
      <c r="E18" s="188"/>
      <c r="F18" s="188"/>
      <c r="G18" s="188"/>
      <c r="H18" s="530">
        <f>'Rebate Checks (expired)'!H10 +'Rebate Checks (expired)'!H11</f>
        <v>0</v>
      </c>
      <c r="I18" s="530">
        <f>'Rebate Checks (expired)'!I10 +'Rebate Checks (expired)'!I11</f>
        <v>0</v>
      </c>
      <c r="J18" s="530">
        <f>'Rebate Checks (expired)'!J10 +'Rebate Checks (expired)'!J11</f>
        <v>1078.0999999999999</v>
      </c>
      <c r="K18" s="530">
        <f>'Rebate Checks (expired)'!K10 +'Rebate Checks (expired)'!K11</f>
        <v>15.6</v>
      </c>
      <c r="L18" s="530">
        <f>'Rebate Checks (expired)'!L10 +'Rebate Checks (expired)'!L11</f>
        <v>5</v>
      </c>
      <c r="M18" s="530">
        <f>'Rebate Checks (expired)'!M10 +'Rebate Checks (expired)'!M11</f>
        <v>1933.6999999999998</v>
      </c>
      <c r="N18" s="530">
        <f>'Rebate Checks (expired)'!N10 +'Rebate Checks (expired)'!N11</f>
        <v>290.10000000000002</v>
      </c>
      <c r="O18" s="530">
        <f>'Rebate Checks (expired)'!O10 +'Rebate Checks (expired)'!O11</f>
        <v>38.9</v>
      </c>
      <c r="P18" s="530">
        <f>'Rebate Checks (expired)'!P10 +'Rebate Checks (expired)'!P11</f>
        <v>14.2</v>
      </c>
      <c r="Q18" s="530">
        <f>'Rebate Checks (expired)'!Q10 +'Rebate Checks (expired)'!Q11</f>
        <v>0</v>
      </c>
      <c r="R18" s="530">
        <f>'Rebate Checks (expired)'!Q10 +'Rebate Checks (expired)'!R11</f>
        <v>0</v>
      </c>
      <c r="S18" s="530">
        <f>'Rebate Checks (expired)'!S10 +'Rebate Checks (expired)'!S11</f>
        <v>0</v>
      </c>
      <c r="T18" s="530">
        <f>'Rebate Checks (expired)'!T10 +'Rebate Checks (expired)'!T11</f>
        <v>0</v>
      </c>
      <c r="U18" s="530">
        <f>'Rebate Checks (expired)'!U10 +'Rebate Checks (expired)'!U11</f>
        <v>0</v>
      </c>
      <c r="V18" s="636">
        <f>V19+V20</f>
        <v>0</v>
      </c>
      <c r="W18" s="644">
        <f>'Rebate Checks (expired)'!W10 +'Rebate Checks (expired)'!W11</f>
        <v>0</v>
      </c>
      <c r="X18" s="644">
        <f>'Rebate Checks (expired)'!X10 +'Rebate Checks (expired)'!X11</f>
        <v>0</v>
      </c>
      <c r="Y18" s="644">
        <f>'Rebate Checks (expired)'!Y10 +'Rebate Checks (expired)'!Y11</f>
        <v>0</v>
      </c>
      <c r="Z18" s="644">
        <f>'Rebate Checks (expired)'!Z10 +'Rebate Checks (expired)'!Z11</f>
        <v>0</v>
      </c>
      <c r="AA18" s="644">
        <f>'Rebate Checks (expired)'!AA10 +'Rebate Checks (expired)'!AA11</f>
        <v>0</v>
      </c>
      <c r="AB18" s="644">
        <f>'Rebate Checks (expired)'!AB10 +'Rebate Checks (expired)'!AB11</f>
        <v>0</v>
      </c>
      <c r="AC18" s="700">
        <f>'Rebate Checks (expired)'!AC10 +'Rebate Checks (expired)'!AC11</f>
        <v>0</v>
      </c>
    </row>
    <row r="19" spans="2:101" ht="18" customHeight="1" x14ac:dyDescent="0.35">
      <c r="B19" s="640" t="s">
        <v>1933</v>
      </c>
      <c r="C19" s="202"/>
      <c r="D19" s="241"/>
      <c r="E19" s="188"/>
      <c r="F19" s="188"/>
      <c r="G19" s="188"/>
      <c r="H19" s="530"/>
      <c r="I19" s="530"/>
      <c r="J19" s="530"/>
      <c r="K19" s="530"/>
      <c r="L19" s="530"/>
      <c r="M19" s="530"/>
      <c r="N19" s="530"/>
      <c r="O19" s="530"/>
      <c r="P19" s="530"/>
      <c r="Q19" s="530"/>
      <c r="R19" s="530"/>
      <c r="S19" s="530"/>
      <c r="T19" s="530"/>
      <c r="U19" s="530"/>
      <c r="V19" s="530">
        <v>0</v>
      </c>
      <c r="W19" s="644"/>
      <c r="X19" s="644"/>
      <c r="Y19" s="644"/>
      <c r="Z19" s="644"/>
      <c r="AA19" s="644"/>
      <c r="AB19" s="644"/>
      <c r="AC19" s="700"/>
    </row>
    <row r="20" spans="2:101" ht="18" customHeight="1" x14ac:dyDescent="0.35">
      <c r="B20" s="640" t="s">
        <v>1934</v>
      </c>
      <c r="C20" s="202"/>
      <c r="D20" s="241"/>
      <c r="E20" s="188"/>
      <c r="F20" s="188"/>
      <c r="G20" s="188"/>
      <c r="H20" s="530"/>
      <c r="I20" s="530"/>
      <c r="J20" s="530"/>
      <c r="K20" s="530"/>
      <c r="L20" s="530"/>
      <c r="M20" s="530"/>
      <c r="N20" s="530"/>
      <c r="O20" s="530"/>
      <c r="P20" s="530"/>
      <c r="Q20" s="530"/>
      <c r="R20" s="530"/>
      <c r="S20" s="530"/>
      <c r="T20" s="530"/>
      <c r="U20" s="530"/>
      <c r="V20" s="530">
        <v>0</v>
      </c>
      <c r="W20" s="644"/>
      <c r="X20" s="644"/>
      <c r="Y20" s="644"/>
      <c r="Z20" s="644"/>
      <c r="AA20" s="644"/>
      <c r="AB20" s="644"/>
      <c r="AC20" s="700"/>
    </row>
    <row r="21" spans="2:101" ht="18" customHeight="1" x14ac:dyDescent="0.35">
      <c r="B21" s="641" t="s">
        <v>49</v>
      </c>
      <c r="C21" s="202"/>
      <c r="D21" s="240">
        <f>'Provider Relief (expired)'!D11</f>
        <v>0</v>
      </c>
      <c r="E21" s="215">
        <f>'Provider Relief (expired)'!E11</f>
        <v>0</v>
      </c>
      <c r="F21" s="215">
        <f>'Provider Relief (expired)'!F11</f>
        <v>0</v>
      </c>
      <c r="G21" s="215">
        <f>'Provider Relief (expired)'!G11</f>
        <v>0</v>
      </c>
      <c r="H21" s="215">
        <f>'Provider Relief (expired)'!H11</f>
        <v>0</v>
      </c>
      <c r="I21" s="215">
        <f>'Provider Relief (expired)'!I11</f>
        <v>0</v>
      </c>
      <c r="J21" s="215">
        <f>'Provider Relief (expired)'!J11</f>
        <v>160.9</v>
      </c>
      <c r="K21" s="215">
        <f>'Provider Relief (expired)'!K11</f>
        <v>58.4</v>
      </c>
      <c r="L21" s="215">
        <f>'Provider Relief (expired)'!L11</f>
        <v>34.5</v>
      </c>
      <c r="M21" s="215">
        <f>'Provider Relief (expired)'!M11</f>
        <v>21.4</v>
      </c>
      <c r="N21" s="215">
        <f>'Provider Relief (expired)'!N11</f>
        <v>13.3</v>
      </c>
      <c r="O21" s="215">
        <f>'Provider Relief (expired)'!O11</f>
        <v>18.7</v>
      </c>
      <c r="P21" s="215">
        <f>'Provider Relief (expired)'!P11</f>
        <v>32.200000000000003</v>
      </c>
      <c r="Q21" s="215">
        <f>'Provider Relief (expired)'!Q11</f>
        <v>26.9</v>
      </c>
      <c r="R21" s="215">
        <f>'Provider Relief (expired)'!R11</f>
        <v>20</v>
      </c>
      <c r="S21" s="215">
        <f>'Provider Relief (expired)'!S11</f>
        <v>8.1</v>
      </c>
      <c r="T21" s="215">
        <f>'Provider Relief (expired)'!T11</f>
        <v>4.9000000000000004</v>
      </c>
      <c r="U21" s="215">
        <v>0</v>
      </c>
      <c r="V21" s="636">
        <v>0</v>
      </c>
      <c r="W21" s="644">
        <v>0</v>
      </c>
      <c r="X21" s="644">
        <v>0</v>
      </c>
      <c r="Y21" s="644">
        <v>0</v>
      </c>
      <c r="Z21" s="644">
        <v>0</v>
      </c>
      <c r="AA21" s="644">
        <v>0</v>
      </c>
      <c r="AB21" s="644">
        <v>0</v>
      </c>
      <c r="AC21" s="644">
        <v>0</v>
      </c>
      <c r="AD21" s="644">
        <v>0</v>
      </c>
      <c r="AE21" s="644">
        <v>0</v>
      </c>
      <c r="AF21" s="644">
        <v>0</v>
      </c>
      <c r="AG21" s="644">
        <v>0</v>
      </c>
    </row>
    <row r="22" spans="2:101" ht="18" customHeight="1" x14ac:dyDescent="0.35">
      <c r="B22" s="419" t="s">
        <v>1935</v>
      </c>
      <c r="C22" s="202"/>
      <c r="D22" s="240"/>
      <c r="E22" s="215"/>
      <c r="F22" s="215"/>
      <c r="G22" s="215"/>
      <c r="H22" s="215"/>
      <c r="I22" s="215"/>
      <c r="J22" s="215"/>
      <c r="K22" s="215"/>
      <c r="L22" s="215"/>
      <c r="M22" s="215"/>
      <c r="N22" s="215"/>
      <c r="O22" s="215"/>
      <c r="P22" s="215"/>
      <c r="Q22" s="215"/>
      <c r="R22" s="215"/>
      <c r="S22" s="215"/>
      <c r="T22" s="215"/>
      <c r="U22" s="215"/>
      <c r="V22" s="530"/>
      <c r="W22" s="644"/>
      <c r="X22" s="644"/>
      <c r="Y22" s="644"/>
      <c r="Z22" s="644"/>
      <c r="AA22" s="644"/>
      <c r="AB22" s="644"/>
      <c r="AC22" s="700"/>
    </row>
    <row r="23" spans="2:101" ht="18" customHeight="1" x14ac:dyDescent="0.35">
      <c r="B23" s="419" t="s">
        <v>1936</v>
      </c>
      <c r="C23" s="202"/>
      <c r="D23" s="240"/>
      <c r="E23" s="215"/>
      <c r="F23" s="215"/>
      <c r="G23" s="215"/>
      <c r="H23" s="215"/>
      <c r="I23" s="215"/>
      <c r="J23" s="215"/>
      <c r="K23" s="215"/>
      <c r="L23" s="215"/>
      <c r="M23" s="215"/>
      <c r="N23" s="215"/>
      <c r="O23" s="215"/>
      <c r="P23" s="215"/>
      <c r="Q23" s="215"/>
      <c r="R23" s="215"/>
      <c r="S23" s="215"/>
      <c r="T23" s="215"/>
      <c r="U23" s="215"/>
      <c r="V23" s="530"/>
      <c r="W23" s="644"/>
      <c r="X23" s="644"/>
      <c r="Y23" s="644"/>
      <c r="Z23" s="644"/>
      <c r="AA23" s="644"/>
      <c r="AB23" s="644"/>
      <c r="AC23" s="700"/>
    </row>
    <row r="24" spans="2:101" ht="20.149999999999999" customHeight="1" x14ac:dyDescent="0.35">
      <c r="B24" s="234" t="s">
        <v>473</v>
      </c>
      <c r="C24" s="229"/>
      <c r="D24" s="702"/>
      <c r="E24" s="611"/>
      <c r="F24" s="611"/>
      <c r="G24" s="611"/>
      <c r="H24" s="534"/>
      <c r="I24" s="534"/>
      <c r="J24" s="534"/>
      <c r="K24" s="534"/>
      <c r="L24" s="534"/>
      <c r="M24" s="534">
        <f>'ARP Quarterly'!C5</f>
        <v>0</v>
      </c>
      <c r="N24" s="534">
        <f>'ARP Quarterly'!D5</f>
        <v>33.921840000000024</v>
      </c>
      <c r="O24" s="534">
        <f>'ARP Quarterly'!E5</f>
        <v>44.966160000000031</v>
      </c>
      <c r="P24" s="534">
        <f>'ARP Quarterly'!F5</f>
        <v>52.756999999999998</v>
      </c>
      <c r="Q24" s="534">
        <f>'ARP Quarterly'!G5</f>
        <v>52.756999999999998</v>
      </c>
      <c r="R24" s="534">
        <f>'ARP Quarterly'!H5</f>
        <v>52.756999999999998</v>
      </c>
      <c r="S24" s="534">
        <f>'ARP Quarterly'!I5</f>
        <v>52.756999999999998</v>
      </c>
      <c r="T24" s="534">
        <v>30</v>
      </c>
      <c r="U24" s="534">
        <f>'ARP Quarterly'!K5</f>
        <v>12</v>
      </c>
      <c r="V24" s="637">
        <f>'ARP Quarterly'!L5</f>
        <v>12</v>
      </c>
      <c r="W24" s="529">
        <f>'ARP Quarterly'!M5</f>
        <v>12</v>
      </c>
      <c r="X24" s="529">
        <f>'ARP Quarterly'!N5</f>
        <v>4.2219999999999995</v>
      </c>
      <c r="Y24" s="529">
        <f>'ARP Quarterly'!O5</f>
        <v>4.2219999999999995</v>
      </c>
      <c r="Z24" s="529">
        <f>'ARP Quarterly'!P5</f>
        <v>4.2219999999999995</v>
      </c>
      <c r="AA24" s="529">
        <f>'ARP Quarterly'!Q5</f>
        <v>4.2219999999999995</v>
      </c>
      <c r="AB24" s="529">
        <f>'ARP Quarterly'!R5</f>
        <v>2.3719999999999999</v>
      </c>
      <c r="AC24" s="529">
        <f>'ARP Quarterly'!S5</f>
        <v>2.3719999999999999</v>
      </c>
      <c r="AD24" s="529">
        <f>'ARP Quarterly'!T5</f>
        <v>2.3719999999999999</v>
      </c>
      <c r="AE24" s="529">
        <f>'ARP Quarterly'!U5</f>
        <v>2.3719999999999999</v>
      </c>
      <c r="AF24" s="529">
        <f>'ARP Quarterly'!V5</f>
        <v>0.49</v>
      </c>
      <c r="AG24" s="469"/>
    </row>
    <row r="25" spans="2:101" ht="22.4" customHeight="1" x14ac:dyDescent="0.35">
      <c r="B25" s="210" t="s">
        <v>218</v>
      </c>
      <c r="C25" s="655"/>
      <c r="D25" s="240"/>
      <c r="E25" s="215"/>
      <c r="F25" s="215"/>
      <c r="G25" s="215"/>
      <c r="H25" s="215"/>
      <c r="I25" s="215"/>
      <c r="J25" s="215"/>
      <c r="K25" s="215"/>
      <c r="L25" s="215"/>
      <c r="M25" s="530">
        <f>'ARP Quarterly'!C4</f>
        <v>0</v>
      </c>
      <c r="N25" s="530">
        <f>'ARP Quarterly'!D4</f>
        <v>0</v>
      </c>
      <c r="O25" s="530">
        <f>'ARP Quarterly'!E4</f>
        <v>3.1040000000000418</v>
      </c>
      <c r="P25" s="530">
        <f>'ARP Quarterly'!F4</f>
        <v>19.719000000000005</v>
      </c>
      <c r="Q25" s="530">
        <f>'ARP Quarterly'!G4</f>
        <v>19.719000000000005</v>
      </c>
      <c r="R25" s="530">
        <f>'ARP Quarterly'!H4</f>
        <v>19.719000000000005</v>
      </c>
      <c r="S25" s="530">
        <f>'ARP Quarterly'!I4</f>
        <v>19.719000000000005</v>
      </c>
      <c r="T25" s="530">
        <f>'ARP Quarterly'!J4</f>
        <v>1.4159999999999999</v>
      </c>
      <c r="U25" s="530">
        <f>'ARP Quarterly'!K4</f>
        <v>1.4159999999999999</v>
      </c>
      <c r="V25" s="530">
        <f>'ARP Quarterly'!L4</f>
        <v>1.4159999999999999</v>
      </c>
      <c r="W25" s="644">
        <f>'ARP Quarterly'!M4</f>
        <v>1.4159999999999999</v>
      </c>
      <c r="X25" s="644">
        <f>'ARP Quarterly'!N4</f>
        <v>1.4790000000000001</v>
      </c>
      <c r="Y25" s="644">
        <f>'ARP Quarterly'!O4</f>
        <v>1.4790000000000001</v>
      </c>
      <c r="Z25" s="644">
        <f>'ARP Quarterly'!P4</f>
        <v>1.4790000000000001</v>
      </c>
      <c r="AA25" s="644">
        <f>'ARP Quarterly'!Q4</f>
        <v>1.4790000000000001</v>
      </c>
      <c r="AB25" s="644">
        <f>'ARP Quarterly'!R4</f>
        <v>1.63</v>
      </c>
      <c r="AC25" s="644">
        <f>'ARP Quarterly'!S4</f>
        <v>1.63</v>
      </c>
      <c r="AD25" s="644">
        <f>'ARP Quarterly'!T4</f>
        <v>1.63</v>
      </c>
      <c r="AE25" s="644">
        <f>'ARP Quarterly'!U4</f>
        <v>1.63</v>
      </c>
      <c r="AF25" s="644">
        <f>'ARP Quarterly'!V4</f>
        <v>1.671</v>
      </c>
      <c r="AG25" s="645"/>
      <c r="AH25" s="655"/>
      <c r="AI25" s="655"/>
      <c r="AJ25" s="655"/>
      <c r="AK25" s="655"/>
      <c r="AL25" s="655"/>
      <c r="AM25" s="655"/>
      <c r="AN25" s="655"/>
      <c r="AO25" s="655"/>
      <c r="AP25" s="655"/>
      <c r="AQ25" s="655"/>
      <c r="AR25" s="655"/>
      <c r="AS25" s="655"/>
      <c r="AT25" s="655"/>
      <c r="AU25" s="655"/>
      <c r="AV25" s="655"/>
      <c r="AW25" s="655"/>
      <c r="AX25" s="655"/>
      <c r="AY25" s="655"/>
      <c r="AZ25" s="655"/>
      <c r="BA25" s="655"/>
      <c r="BB25" s="655"/>
      <c r="BC25" s="655"/>
      <c r="BD25" s="655"/>
      <c r="BE25" s="655"/>
      <c r="BF25" s="655"/>
      <c r="BG25" s="655"/>
      <c r="BH25" s="655"/>
      <c r="BI25" s="655"/>
      <c r="BJ25" s="655"/>
      <c r="BK25" s="655"/>
      <c r="BL25" s="655"/>
      <c r="BM25" s="655"/>
      <c r="BN25" s="655"/>
      <c r="BO25" s="655"/>
      <c r="BP25" s="655"/>
      <c r="BQ25" s="655"/>
      <c r="BR25" s="655"/>
      <c r="BS25" s="655"/>
      <c r="BT25" s="655"/>
      <c r="BU25" s="655"/>
      <c r="BV25" s="655"/>
      <c r="BW25" s="655"/>
      <c r="BX25" s="655"/>
      <c r="BY25" s="655"/>
      <c r="BZ25" s="655"/>
      <c r="CA25" s="655"/>
      <c r="CB25" s="655"/>
      <c r="CC25" s="655"/>
      <c r="CD25" s="655"/>
      <c r="CE25" s="655"/>
      <c r="CF25" s="655"/>
      <c r="CG25" s="655"/>
      <c r="CH25" s="655"/>
      <c r="CI25" s="655"/>
      <c r="CJ25" s="655"/>
      <c r="CK25" s="655"/>
      <c r="CL25" s="655"/>
      <c r="CM25" s="655"/>
      <c r="CN25" s="655"/>
      <c r="CO25" s="655"/>
      <c r="CP25" s="655"/>
      <c r="CQ25" s="655"/>
      <c r="CR25" s="655"/>
      <c r="CS25" s="655"/>
      <c r="CT25" s="655"/>
      <c r="CU25" s="655"/>
      <c r="CV25" s="655"/>
      <c r="CW25" s="655"/>
    </row>
    <row r="26" spans="2:101" ht="36.65" customHeight="1" x14ac:dyDescent="0.35">
      <c r="B26" s="210" t="s">
        <v>1439</v>
      </c>
      <c r="C26" s="202"/>
      <c r="D26" s="241">
        <f>D77</f>
        <v>0</v>
      </c>
      <c r="E26" s="188">
        <f t="shared" ref="E26:AG26" si="1">E77</f>
        <v>0</v>
      </c>
      <c r="F26" s="188">
        <f t="shared" si="1"/>
        <v>0</v>
      </c>
      <c r="G26" s="188">
        <f t="shared" si="1"/>
        <v>0</v>
      </c>
      <c r="H26" s="188">
        <f t="shared" si="1"/>
        <v>0</v>
      </c>
      <c r="I26" s="530">
        <f t="shared" si="1"/>
        <v>5.0234999999999914</v>
      </c>
      <c r="J26" s="530">
        <f t="shared" si="1"/>
        <v>45.406499999999987</v>
      </c>
      <c r="K26" s="530">
        <f t="shared" si="1"/>
        <v>50.178499999999993</v>
      </c>
      <c r="L26" s="530">
        <f t="shared" si="1"/>
        <v>60.014499999999991</v>
      </c>
      <c r="M26" s="530">
        <f t="shared" si="1"/>
        <v>86.04249999999999</v>
      </c>
      <c r="N26" s="530">
        <f t="shared" si="1"/>
        <v>100.69149999999999</v>
      </c>
      <c r="O26" s="530">
        <f t="shared" si="1"/>
        <v>95.460499999999996</v>
      </c>
      <c r="P26" s="530">
        <f t="shared" si="1"/>
        <v>100.72550000000001</v>
      </c>
      <c r="Q26" s="530">
        <f t="shared" si="1"/>
        <v>80.643499999999989</v>
      </c>
      <c r="R26" s="530">
        <f t="shared" si="1"/>
        <v>63.702499999999993</v>
      </c>
      <c r="S26" s="530">
        <f t="shared" si="1"/>
        <v>56.879499999999986</v>
      </c>
      <c r="T26" s="530">
        <f t="shared" si="1"/>
        <v>71.822499999999991</v>
      </c>
      <c r="U26" s="530">
        <f t="shared" si="1"/>
        <v>65.127499999999998</v>
      </c>
      <c r="V26" s="530">
        <f>V77</f>
        <v>37.745499999999986</v>
      </c>
      <c r="W26" s="644">
        <f>W77</f>
        <v>37.745499999999986</v>
      </c>
      <c r="X26" s="644">
        <f t="shared" si="1"/>
        <v>37.745499999999986</v>
      </c>
      <c r="Y26" s="644">
        <f t="shared" si="1"/>
        <v>37.745499999999986</v>
      </c>
      <c r="Z26" s="644">
        <f t="shared" si="1"/>
        <v>37.745499999999986</v>
      </c>
      <c r="AA26" s="644">
        <f t="shared" si="1"/>
        <v>37.745499999999986</v>
      </c>
      <c r="AB26" s="644">
        <f t="shared" si="1"/>
        <v>37.745499999999986</v>
      </c>
      <c r="AC26" s="644">
        <f t="shared" si="1"/>
        <v>37.745499999999986</v>
      </c>
      <c r="AD26" s="644">
        <f t="shared" si="1"/>
        <v>37.745499999999986</v>
      </c>
      <c r="AE26" s="644">
        <f t="shared" si="1"/>
        <v>37.745499999999986</v>
      </c>
      <c r="AF26" s="644">
        <f t="shared" si="1"/>
        <v>37.745499999999986</v>
      </c>
      <c r="AG26" s="644">
        <f t="shared" si="1"/>
        <v>37.745499999999986</v>
      </c>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c r="BJ26" s="202"/>
      <c r="BK26" s="202"/>
      <c r="BL26" s="202"/>
      <c r="BM26" s="202"/>
      <c r="BN26" s="202"/>
      <c r="BO26" s="202"/>
      <c r="BP26" s="202"/>
      <c r="BQ26" s="202"/>
      <c r="BR26" s="202"/>
      <c r="BS26" s="202"/>
      <c r="BT26" s="202"/>
      <c r="BU26" s="202"/>
      <c r="BV26" s="202"/>
      <c r="BW26" s="202"/>
      <c r="BX26" s="202"/>
      <c r="BY26" s="202"/>
      <c r="BZ26" s="202"/>
      <c r="CA26" s="202"/>
      <c r="CB26" s="202"/>
      <c r="CC26" s="202"/>
      <c r="CD26" s="202"/>
      <c r="CE26" s="202"/>
      <c r="CF26" s="202"/>
      <c r="CG26" s="202"/>
      <c r="CH26" s="202"/>
      <c r="CI26" s="202"/>
      <c r="CJ26" s="202"/>
      <c r="CK26" s="202"/>
      <c r="CL26" s="202"/>
      <c r="CM26" s="202"/>
      <c r="CN26" s="202"/>
      <c r="CO26" s="202"/>
      <c r="CP26" s="202"/>
      <c r="CQ26" s="202"/>
      <c r="CR26" s="202"/>
      <c r="CS26" s="202"/>
      <c r="CT26" s="202"/>
      <c r="CU26" s="202"/>
      <c r="CV26" s="202"/>
    </row>
    <row r="27" spans="2:101" ht="15.65" customHeight="1" x14ac:dyDescent="0.35">
      <c r="B27" s="210" t="s">
        <v>802</v>
      </c>
      <c r="C27" s="202" t="s">
        <v>829</v>
      </c>
      <c r="D27" s="240">
        <v>30</v>
      </c>
      <c r="E27" s="215">
        <v>30</v>
      </c>
      <c r="F27" s="215">
        <v>30</v>
      </c>
      <c r="G27" s="215">
        <v>30</v>
      </c>
      <c r="H27" s="215">
        <v>30</v>
      </c>
      <c r="I27" s="215">
        <v>30</v>
      </c>
      <c r="J27" s="215">
        <v>30</v>
      </c>
      <c r="K27" s="192">
        <v>30.2</v>
      </c>
      <c r="L27" s="192">
        <v>30.2</v>
      </c>
      <c r="M27" s="192">
        <f>'Haver Pivoted'!GX89</f>
        <v>34.4</v>
      </c>
      <c r="N27" s="192">
        <f>'Haver Pivoted'!GY89</f>
        <v>34.4</v>
      </c>
      <c r="O27" s="192">
        <f>'Haver Pivoted'!GZ89</f>
        <v>218.933333333333</v>
      </c>
      <c r="P27" s="192">
        <f>'Haver Pivoted'!HA89</f>
        <v>223.13333333333301</v>
      </c>
      <c r="Q27" s="192">
        <f>'Haver Pivoted'!HB89</f>
        <v>94.3</v>
      </c>
      <c r="R27" s="192">
        <f>'Haver Pivoted'!HC89</f>
        <v>94.3</v>
      </c>
      <c r="S27" s="194">
        <f>'Haver Pivoted'!HD89</f>
        <v>94.3</v>
      </c>
      <c r="T27" s="194">
        <f>'Haver Pivoted'!HE89</f>
        <v>94.3</v>
      </c>
      <c r="U27" s="644">
        <v>34</v>
      </c>
      <c r="V27" s="530">
        <v>34</v>
      </c>
      <c r="W27" s="644">
        <v>34</v>
      </c>
      <c r="X27" s="644">
        <v>34</v>
      </c>
      <c r="Y27" s="644">
        <v>34</v>
      </c>
      <c r="Z27" s="644">
        <v>34</v>
      </c>
      <c r="AA27" s="644">
        <v>34</v>
      </c>
      <c r="AB27" s="644">
        <v>34</v>
      </c>
      <c r="AC27" s="644">
        <v>34</v>
      </c>
      <c r="AD27" s="644">
        <v>34</v>
      </c>
      <c r="AE27" s="644">
        <v>34</v>
      </c>
      <c r="AF27" s="644">
        <v>34</v>
      </c>
      <c r="AG27" s="644">
        <v>34</v>
      </c>
    </row>
    <row r="28" spans="2:101" ht="21.65" customHeight="1" x14ac:dyDescent="0.35">
      <c r="B28" s="210" t="s">
        <v>471</v>
      </c>
      <c r="C28" s="202"/>
      <c r="D28" s="241"/>
      <c r="E28" s="188"/>
      <c r="F28" s="188"/>
      <c r="G28" s="188"/>
      <c r="H28" s="530"/>
      <c r="I28" s="530"/>
      <c r="J28" s="530">
        <f>'PPP (expired)'!J53</f>
        <v>57.2</v>
      </c>
      <c r="K28" s="530">
        <f>'PPP (expired)'!K53</f>
        <v>81.2</v>
      </c>
      <c r="L28" s="530">
        <f>'PPP (expired)'!L53</f>
        <v>24.4</v>
      </c>
      <c r="M28" s="530">
        <f>'PPP (expired)'!M53</f>
        <v>11.7</v>
      </c>
      <c r="N28" s="530">
        <f>'PPP (expired)'!N53</f>
        <v>28.5</v>
      </c>
      <c r="O28" s="530">
        <f>'PPP (expired)'!O53</f>
        <v>18.8</v>
      </c>
      <c r="P28" s="530">
        <f>'PPP (expired)'!P53</f>
        <v>1.6</v>
      </c>
      <c r="Q28" s="530">
        <f>'PPP (expired)'!Q53</f>
        <v>0</v>
      </c>
      <c r="R28" s="530">
        <f>'PPP (expired)'!Q61</f>
        <v>0</v>
      </c>
      <c r="S28" s="530">
        <f>'PPP (expired)'!S53</f>
        <v>0</v>
      </c>
      <c r="T28" s="530">
        <f>'PPP (expired)'!T53</f>
        <v>0</v>
      </c>
      <c r="U28" s="530">
        <f>'PPP (expired)'!U53</f>
        <v>0</v>
      </c>
      <c r="V28" s="530">
        <f>'PPP (expired)'!V53</f>
        <v>0</v>
      </c>
      <c r="W28" s="644">
        <f>'PPP (expired)'!W53</f>
        <v>0</v>
      </c>
      <c r="X28" s="644">
        <f>'PPP (expired)'!X53</f>
        <v>0</v>
      </c>
      <c r="Y28" s="644">
        <f>'PPP (expired)'!Y53</f>
        <v>0</v>
      </c>
      <c r="Z28" s="644">
        <f>'PPP (expired)'!Z53</f>
        <v>0</v>
      </c>
      <c r="AA28" s="644">
        <f>'PPP (expired)'!AA53</f>
        <v>0</v>
      </c>
      <c r="AB28" s="644">
        <f>'PPP (expired)'!AB53</f>
        <v>0</v>
      </c>
      <c r="AC28" s="644">
        <f>'PPP (expired)'!AC53</f>
        <v>0</v>
      </c>
      <c r="AD28" s="644">
        <f>'PPP (expired)'!AD53</f>
        <v>0</v>
      </c>
      <c r="AE28" s="644">
        <f>'PPP (expired)'!AE53</f>
        <v>0</v>
      </c>
      <c r="AF28" s="644">
        <f>'PPP (expired)'!AF53</f>
        <v>0</v>
      </c>
      <c r="AG28" s="644">
        <f>'PPP (expired)'!AG53</f>
        <v>0</v>
      </c>
    </row>
    <row r="29" spans="2:101" ht="21.65" customHeight="1" x14ac:dyDescent="0.35">
      <c r="B29" s="419" t="s">
        <v>803</v>
      </c>
      <c r="C29" s="202"/>
      <c r="D29" s="575">
        <f t="shared" ref="D29:AF29" si="2">D101</f>
        <v>0</v>
      </c>
      <c r="E29" s="530">
        <f t="shared" si="2"/>
        <v>0</v>
      </c>
      <c r="F29" s="530">
        <f t="shared" si="2"/>
        <v>0</v>
      </c>
      <c r="G29" s="530">
        <f t="shared" si="2"/>
        <v>0</v>
      </c>
      <c r="H29" s="530">
        <f t="shared" si="2"/>
        <v>0</v>
      </c>
      <c r="I29" s="530">
        <f t="shared" si="2"/>
        <v>-5.0235000000002401</v>
      </c>
      <c r="J29" s="530">
        <f t="shared" si="2"/>
        <v>-36.906500000000278</v>
      </c>
      <c r="K29" s="530">
        <f t="shared" si="2"/>
        <v>86.321499999999787</v>
      </c>
      <c r="L29" s="530">
        <f t="shared" si="2"/>
        <v>18.985499999999547</v>
      </c>
      <c r="M29" s="530">
        <f t="shared" si="2"/>
        <v>6.8144999999999527</v>
      </c>
      <c r="N29" s="530">
        <f t="shared" si="2"/>
        <v>-23.256340000000364</v>
      </c>
      <c r="O29" s="530">
        <f t="shared" si="2"/>
        <v>-28.106993333332866</v>
      </c>
      <c r="P29" s="530">
        <f t="shared" si="2"/>
        <v>-48.677833333333183</v>
      </c>
      <c r="Q29" s="530">
        <f t="shared" si="2"/>
        <v>-29.785220000000209</v>
      </c>
      <c r="R29" s="530">
        <f t="shared" si="2"/>
        <v>-28.244220000000269</v>
      </c>
      <c r="S29" s="530">
        <f t="shared" si="2"/>
        <v>-30.699220000000196</v>
      </c>
      <c r="T29" s="530">
        <f t="shared" si="2"/>
        <v>-11.394220000000132</v>
      </c>
      <c r="U29" s="653">
        <f t="shared" si="2"/>
        <v>23.770099999999729</v>
      </c>
      <c r="V29" s="530">
        <f>V101</f>
        <v>26.852099999999837</v>
      </c>
      <c r="W29" s="644">
        <f t="shared" si="2"/>
        <v>26.852099999999837</v>
      </c>
      <c r="X29" s="644">
        <f t="shared" si="2"/>
        <v>26.852099999999837</v>
      </c>
      <c r="Y29" s="644">
        <f t="shared" si="2"/>
        <v>26.852099999999837</v>
      </c>
      <c r="Z29" s="644">
        <f t="shared" si="2"/>
        <v>26.852099999999837</v>
      </c>
      <c r="AA29" s="644">
        <f t="shared" si="2"/>
        <v>26.852099999999837</v>
      </c>
      <c r="AB29" s="644">
        <f t="shared" si="2"/>
        <v>26.852099999999837</v>
      </c>
      <c r="AC29" s="644">
        <f t="shared" si="2"/>
        <v>26.852099999999837</v>
      </c>
      <c r="AD29" s="644">
        <f t="shared" si="2"/>
        <v>26.852099999999837</v>
      </c>
      <c r="AE29" s="644">
        <f t="shared" si="2"/>
        <v>26.852099999999837</v>
      </c>
      <c r="AF29" s="644">
        <f t="shared" si="2"/>
        <v>26.852099999999837</v>
      </c>
      <c r="AG29" s="646"/>
    </row>
    <row r="30" spans="2:101" ht="21" customHeight="1" x14ac:dyDescent="0.35">
      <c r="B30" s="234" t="s">
        <v>800</v>
      </c>
      <c r="C30" s="229"/>
      <c r="D30" s="702">
        <f t="shared" ref="D30:W30" si="3">D25+D21</f>
        <v>0</v>
      </c>
      <c r="E30" s="611">
        <f t="shared" si="3"/>
        <v>0</v>
      </c>
      <c r="F30" s="611">
        <f t="shared" si="3"/>
        <v>0</v>
      </c>
      <c r="G30" s="611">
        <f t="shared" si="3"/>
        <v>0</v>
      </c>
      <c r="H30" s="611">
        <f t="shared" si="3"/>
        <v>0</v>
      </c>
      <c r="I30" s="611">
        <f t="shared" si="3"/>
        <v>0</v>
      </c>
      <c r="J30" s="611">
        <f t="shared" si="3"/>
        <v>160.9</v>
      </c>
      <c r="K30" s="611">
        <f t="shared" si="3"/>
        <v>58.4</v>
      </c>
      <c r="L30" s="611">
        <f t="shared" si="3"/>
        <v>34.5</v>
      </c>
      <c r="M30" s="611">
        <f t="shared" si="3"/>
        <v>21.4</v>
      </c>
      <c r="N30" s="611">
        <f t="shared" si="3"/>
        <v>13.3</v>
      </c>
      <c r="O30" s="611">
        <f t="shared" si="3"/>
        <v>21.804000000000041</v>
      </c>
      <c r="P30" s="534">
        <f t="shared" si="3"/>
        <v>51.919000000000011</v>
      </c>
      <c r="Q30" s="611">
        <f t="shared" si="3"/>
        <v>46.619</v>
      </c>
      <c r="R30" s="611">
        <f t="shared" si="3"/>
        <v>39.719000000000008</v>
      </c>
      <c r="S30" s="611">
        <f t="shared" si="3"/>
        <v>27.819000000000003</v>
      </c>
      <c r="T30" s="534">
        <f t="shared" si="3"/>
        <v>6.3160000000000007</v>
      </c>
      <c r="U30" s="534">
        <f t="shared" si="3"/>
        <v>1.4159999999999999</v>
      </c>
      <c r="V30" s="637">
        <f t="shared" si="3"/>
        <v>1.4159999999999999</v>
      </c>
      <c r="W30" s="529">
        <f t="shared" si="3"/>
        <v>1.4159999999999999</v>
      </c>
      <c r="X30" s="529">
        <f t="shared" ref="X30:AB30" si="4">X25+X21</f>
        <v>1.4790000000000001</v>
      </c>
      <c r="Y30" s="529">
        <f t="shared" si="4"/>
        <v>1.4790000000000001</v>
      </c>
      <c r="Z30" s="529">
        <f t="shared" si="4"/>
        <v>1.4790000000000001</v>
      </c>
      <c r="AA30" s="529">
        <f t="shared" si="4"/>
        <v>1.4790000000000001</v>
      </c>
      <c r="AB30" s="529">
        <f t="shared" si="4"/>
        <v>1.63</v>
      </c>
      <c r="AC30" s="529">
        <f>AC25+AC21</f>
        <v>1.63</v>
      </c>
      <c r="AD30" s="529">
        <f t="shared" ref="AD30:AF30" si="5">AD25+AD21</f>
        <v>1.63</v>
      </c>
      <c r="AE30" s="529">
        <f t="shared" si="5"/>
        <v>1.63</v>
      </c>
      <c r="AF30" s="529">
        <f t="shared" si="5"/>
        <v>1.671</v>
      </c>
      <c r="AG30" s="469"/>
    </row>
    <row r="31" spans="2:101" ht="44.9" customHeight="1" x14ac:dyDescent="0.35">
      <c r="B31" s="210" t="s">
        <v>807</v>
      </c>
      <c r="C31" s="202"/>
      <c r="D31" s="575">
        <f t="shared" ref="D31:AF31" si="6">D93</f>
        <v>1411.2</v>
      </c>
      <c r="E31" s="530">
        <f t="shared" si="6"/>
        <v>1471.4</v>
      </c>
      <c r="F31" s="530">
        <f t="shared" si="6"/>
        <v>1476.7</v>
      </c>
      <c r="G31" s="530">
        <f t="shared" si="6"/>
        <v>1483.7</v>
      </c>
      <c r="H31" s="530">
        <f t="shared" si="6"/>
        <v>1492.4000000000003</v>
      </c>
      <c r="I31" s="530">
        <f t="shared" si="6"/>
        <v>1541.5000000000002</v>
      </c>
      <c r="J31" s="530">
        <f t="shared" si="6"/>
        <v>1548.5000000000002</v>
      </c>
      <c r="K31" s="530">
        <f t="shared" si="6"/>
        <v>1555.5000000000002</v>
      </c>
      <c r="L31" s="530">
        <f t="shared" si="6"/>
        <v>1562.5000000000002</v>
      </c>
      <c r="M31" s="530">
        <f t="shared" si="6"/>
        <v>1586.9430000000002</v>
      </c>
      <c r="N31" s="530">
        <f t="shared" si="6"/>
        <v>1593.9430000000002</v>
      </c>
      <c r="O31" s="530">
        <f t="shared" si="6"/>
        <v>1600.9430000000002</v>
      </c>
      <c r="P31" s="530">
        <f t="shared" si="6"/>
        <v>1607.9430000000002</v>
      </c>
      <c r="Q31" s="530">
        <f t="shared" si="6"/>
        <v>1686.8657200000002</v>
      </c>
      <c r="R31" s="530">
        <f t="shared" si="6"/>
        <v>1693.8657200000002</v>
      </c>
      <c r="S31" s="530">
        <f t="shared" si="6"/>
        <v>1700.8657200000002</v>
      </c>
      <c r="T31" s="530">
        <f t="shared" si="6"/>
        <v>1707.8657200000002</v>
      </c>
      <c r="U31" s="530">
        <f t="shared" si="6"/>
        <v>1821.4964000000002</v>
      </c>
      <c r="V31" s="530">
        <f t="shared" si="6"/>
        <v>1828.4964000000002</v>
      </c>
      <c r="W31" s="644">
        <f t="shared" si="6"/>
        <v>1835.4964000000002</v>
      </c>
      <c r="X31" s="644">
        <f t="shared" si="6"/>
        <v>1842.4964000000002</v>
      </c>
      <c r="Y31" s="644">
        <f t="shared" si="6"/>
        <v>1892.1631197000004</v>
      </c>
      <c r="Z31" s="644">
        <f t="shared" si="6"/>
        <v>1899.1631197000004</v>
      </c>
      <c r="AA31" s="644">
        <f t="shared" si="6"/>
        <v>1906.1631197000004</v>
      </c>
      <c r="AB31" s="644">
        <f t="shared" si="6"/>
        <v>1913.1631197000004</v>
      </c>
      <c r="AC31" s="644">
        <f t="shared" si="6"/>
        <v>1949.8260890960005</v>
      </c>
      <c r="AD31" s="644">
        <f t="shared" si="6"/>
        <v>1956.8260890960005</v>
      </c>
      <c r="AE31" s="644">
        <f t="shared" si="6"/>
        <v>1963.8260890960005</v>
      </c>
      <c r="AF31" s="644">
        <f t="shared" si="6"/>
        <v>1970.8260890960005</v>
      </c>
      <c r="AG31" s="469"/>
    </row>
    <row r="32" spans="2:101" ht="44.9" customHeight="1" x14ac:dyDescent="0.35">
      <c r="B32" s="392" t="s">
        <v>1191</v>
      </c>
      <c r="D32" s="575"/>
      <c r="E32" s="530"/>
      <c r="F32" s="530"/>
      <c r="G32" s="530"/>
      <c r="H32" s="530"/>
      <c r="I32" s="530"/>
      <c r="J32" s="530"/>
      <c r="K32" s="530"/>
      <c r="L32" s="530"/>
      <c r="M32" s="530"/>
      <c r="N32" s="530"/>
      <c r="O32" s="530"/>
      <c r="P32" s="530"/>
      <c r="Q32" s="530"/>
      <c r="R32" s="530"/>
      <c r="S32" s="654">
        <f>'IRA and CHIPS'!E191</f>
        <v>-0.622</v>
      </c>
      <c r="T32" s="654">
        <f>'IRA and CHIPS'!F191</f>
        <v>21.89</v>
      </c>
      <c r="U32" s="654">
        <f>'IRA and CHIPS'!G191</f>
        <v>21.89</v>
      </c>
      <c r="V32" s="654">
        <f>'IRA and CHIPS'!H191</f>
        <v>21.89</v>
      </c>
      <c r="W32" s="647">
        <f>'IRA and CHIPS'!I191</f>
        <v>21.89</v>
      </c>
      <c r="X32" s="647">
        <f>'IRA and CHIPS'!J191</f>
        <v>15.439</v>
      </c>
      <c r="Y32" s="647">
        <f>'IRA and CHIPS'!K191</f>
        <v>15.439</v>
      </c>
      <c r="Z32" s="647">
        <f>'IRA and CHIPS'!L191</f>
        <v>15.439</v>
      </c>
      <c r="AA32" s="647">
        <f>'IRA and CHIPS'!M191</f>
        <v>15.439</v>
      </c>
      <c r="AB32" s="647">
        <f>'IRA and CHIPS'!N191</f>
        <v>16.966999999999999</v>
      </c>
      <c r="AC32" s="647">
        <f>'IRA and CHIPS'!O191</f>
        <v>16.966999999999999</v>
      </c>
      <c r="AD32" s="647">
        <f>'IRA and CHIPS'!P191</f>
        <v>16.966999999999999</v>
      </c>
      <c r="AE32" s="647">
        <f>'IRA and CHIPS'!Q191</f>
        <v>16.966999999999999</v>
      </c>
      <c r="AF32" s="647">
        <f>'IRA and CHIPS'!R191</f>
        <v>0.72799999999999998</v>
      </c>
      <c r="AG32" s="647">
        <f>'IRA and CHIPS'!S191</f>
        <v>0.72799999999999998</v>
      </c>
    </row>
    <row r="33" spans="2:39" ht="31.4" customHeight="1" x14ac:dyDescent="0.35">
      <c r="B33" s="562" t="s">
        <v>804</v>
      </c>
      <c r="C33" s="229"/>
      <c r="D33" s="534">
        <f t="shared" ref="D33:R33" si="7">D31+SUM(D26:D29)+D32</f>
        <v>1441.2</v>
      </c>
      <c r="E33" s="534">
        <f t="shared" si="7"/>
        <v>1501.4</v>
      </c>
      <c r="F33" s="534">
        <f t="shared" si="7"/>
        <v>1506.7</v>
      </c>
      <c r="G33" s="534">
        <f t="shared" si="7"/>
        <v>1513.7</v>
      </c>
      <c r="H33" s="534">
        <f t="shared" si="7"/>
        <v>1522.4000000000003</v>
      </c>
      <c r="I33" s="534">
        <f t="shared" si="7"/>
        <v>1571.5</v>
      </c>
      <c r="J33" s="534">
        <f t="shared" si="7"/>
        <v>1644.1999999999998</v>
      </c>
      <c r="K33" s="534">
        <f t="shared" si="7"/>
        <v>1803.4</v>
      </c>
      <c r="L33" s="534">
        <f t="shared" si="7"/>
        <v>1696.0999999999997</v>
      </c>
      <c r="M33" s="534">
        <f t="shared" si="7"/>
        <v>1725.9</v>
      </c>
      <c r="N33" s="534">
        <f t="shared" si="7"/>
        <v>1734.2781599999998</v>
      </c>
      <c r="O33" s="534">
        <f t="shared" si="7"/>
        <v>1906.0298400000004</v>
      </c>
      <c r="P33" s="534">
        <f t="shared" si="7"/>
        <v>1884.7240000000002</v>
      </c>
      <c r="Q33" s="534">
        <f t="shared" si="7"/>
        <v>1832.0239999999999</v>
      </c>
      <c r="R33" s="534">
        <f t="shared" si="7"/>
        <v>1823.624</v>
      </c>
      <c r="S33" s="534">
        <f>S31+SUM(S26:S29)+S32</f>
        <v>1820.7239999999999</v>
      </c>
      <c r="T33" s="672">
        <f>T31+SUM(T26:T29)+T32</f>
        <v>1884.4840000000002</v>
      </c>
      <c r="U33" s="672">
        <f>U31+SUM(U26:U29)+U32</f>
        <v>1966.2840000000001</v>
      </c>
      <c r="V33" s="637">
        <f>V31+SUM(V26:V29)+V32</f>
        <v>1948.9840000000002</v>
      </c>
      <c r="W33" s="529">
        <f t="shared" ref="W33" si="8">W31+SUM(W26:W29)+W32</f>
        <v>1955.9840000000002</v>
      </c>
      <c r="X33" s="529">
        <f t="shared" ref="X33" si="9">X31+SUM(X26:X29)+X32</f>
        <v>1956.5330000000001</v>
      </c>
      <c r="Y33" s="529">
        <f t="shared" ref="Y33" si="10">Y31+SUM(Y26:Y29)+Y32</f>
        <v>2006.1997197000003</v>
      </c>
      <c r="Z33" s="529">
        <f t="shared" ref="Z33" si="11">Z31+SUM(Z26:Z29)+Z32</f>
        <v>2013.1997197000003</v>
      </c>
      <c r="AA33" s="529">
        <f t="shared" ref="AA33" si="12">AA31+SUM(AA26:AA29)+AA32</f>
        <v>2020.1997197000003</v>
      </c>
      <c r="AB33" s="529">
        <f t="shared" ref="AB33" si="13">AB31+SUM(AB26:AB29)+AB32</f>
        <v>2028.7277197000003</v>
      </c>
      <c r="AC33" s="529">
        <f>AC31+SUM(AC26:AC29)+AC32</f>
        <v>2065.3906890960002</v>
      </c>
      <c r="AD33" s="529">
        <f t="shared" ref="AD33:AF33" si="14">AD31+SUM(AD26:AD29)+AD32</f>
        <v>2072.3906890960002</v>
      </c>
      <c r="AE33" s="529">
        <f t="shared" si="14"/>
        <v>2079.3906890960002</v>
      </c>
      <c r="AF33" s="529">
        <f t="shared" si="14"/>
        <v>2070.1516890960002</v>
      </c>
      <c r="AG33" s="648"/>
    </row>
    <row r="34" spans="2:39" ht="31.4" customHeight="1" x14ac:dyDescent="0.35">
      <c r="B34" s="562"/>
      <c r="C34" s="229"/>
      <c r="D34" s="534"/>
      <c r="E34" s="534"/>
      <c r="F34" s="534"/>
      <c r="G34" s="534"/>
      <c r="H34" s="534"/>
      <c r="I34" s="534"/>
      <c r="J34" s="534"/>
      <c r="K34" s="534"/>
      <c r="L34" s="534"/>
      <c r="M34" s="534"/>
      <c r="N34" s="534"/>
      <c r="O34" s="534"/>
      <c r="P34" s="534"/>
      <c r="Q34" s="534"/>
      <c r="R34" s="534"/>
      <c r="S34" s="534"/>
      <c r="T34" s="534"/>
      <c r="U34" s="534"/>
      <c r="V34" s="534">
        <f>V12-SUM(V14,V17,V18,V21,V24,V25,V26,V27)+V32</f>
        <v>1899.1285000000003</v>
      </c>
      <c r="W34" s="529"/>
      <c r="X34" s="529"/>
      <c r="Y34" s="529"/>
      <c r="Z34" s="529"/>
      <c r="AA34" s="529"/>
      <c r="AB34" s="529"/>
      <c r="AC34" s="529"/>
    </row>
    <row r="35" spans="2:39" ht="31.4" customHeight="1" x14ac:dyDescent="0.35">
      <c r="B35" s="1410" t="s">
        <v>474</v>
      </c>
      <c r="C35" s="1411"/>
      <c r="D35" s="556"/>
      <c r="E35" s="557"/>
      <c r="F35" s="557"/>
      <c r="G35" s="557"/>
      <c r="H35" s="557"/>
      <c r="I35" s="557"/>
      <c r="J35" s="557"/>
      <c r="K35" s="557"/>
      <c r="L35" s="557"/>
      <c r="M35" s="557"/>
      <c r="N35" s="557"/>
      <c r="O35" s="557"/>
      <c r="P35" s="557"/>
      <c r="Q35" s="557"/>
      <c r="R35" s="557"/>
      <c r="S35" s="557"/>
      <c r="T35" s="534"/>
      <c r="U35" s="557"/>
      <c r="V35" s="534">
        <f>V31+V29</f>
        <v>1855.3485000000001</v>
      </c>
      <c r="W35" s="529"/>
      <c r="X35" s="529"/>
      <c r="Y35" s="529"/>
      <c r="Z35" s="529"/>
      <c r="AA35" s="529"/>
      <c r="AB35" s="529"/>
      <c r="AC35" s="665"/>
    </row>
    <row r="36" spans="2:39" x14ac:dyDescent="0.35">
      <c r="B36" s="419" t="s">
        <v>809</v>
      </c>
      <c r="C36" s="202" t="s">
        <v>475</v>
      </c>
      <c r="D36" s="241">
        <f>'Haver Pivoted'!GO37</f>
        <v>734.3</v>
      </c>
      <c r="E36" s="188">
        <f>'Haver Pivoted'!GP37</f>
        <v>745.2</v>
      </c>
      <c r="F36" s="188">
        <f>'Haver Pivoted'!GQ37</f>
        <v>763.2</v>
      </c>
      <c r="G36" s="188">
        <f>'Haver Pivoted'!GR37</f>
        <v>773.5</v>
      </c>
      <c r="H36" s="188">
        <f>'Haver Pivoted'!GS37</f>
        <v>773.8</v>
      </c>
      <c r="I36" s="188">
        <f>'Haver Pivoted'!GT37</f>
        <v>762.4</v>
      </c>
      <c r="J36" s="188">
        <f>'Haver Pivoted'!GU37</f>
        <v>813.3</v>
      </c>
      <c r="K36" s="188">
        <f>'Haver Pivoted'!GV37</f>
        <v>851.9</v>
      </c>
      <c r="L36" s="188">
        <f>'Haver Pivoted'!GW37</f>
        <v>840.6</v>
      </c>
      <c r="M36" s="188">
        <f>'Haver Pivoted'!GX37</f>
        <v>868</v>
      </c>
      <c r="N36" s="188">
        <f>'Haver Pivoted'!GY37</f>
        <v>910.1</v>
      </c>
      <c r="O36" s="188">
        <f>'Haver Pivoted'!GZ37</f>
        <v>918.1</v>
      </c>
      <c r="P36" s="188">
        <f>'Haver Pivoted'!HA37</f>
        <v>915.2</v>
      </c>
      <c r="Q36" s="188">
        <f>'Haver Pivoted'!HB37</f>
        <v>934.7</v>
      </c>
      <c r="R36" s="188">
        <f>'Haver Pivoted'!HC37</f>
        <v>962.7</v>
      </c>
      <c r="S36" s="136">
        <f>'Haver Pivoted'!HD37</f>
        <v>982.9</v>
      </c>
      <c r="T36" s="136">
        <f>'Haver Pivoted'!HE37</f>
        <v>1045.9000000000001</v>
      </c>
      <c r="U36" s="136">
        <f>'Haver Pivoted'!HF37</f>
        <v>1023.2</v>
      </c>
      <c r="V36" s="136">
        <f>'Haver Pivoted'!HG37</f>
        <v>1054</v>
      </c>
      <c r="W36" s="652"/>
      <c r="X36" s="652"/>
      <c r="Y36" s="652"/>
      <c r="Z36" s="652"/>
      <c r="AA36" s="652"/>
      <c r="AB36" s="652"/>
      <c r="AC36" s="714"/>
    </row>
    <row r="37" spans="2:39" x14ac:dyDescent="0.35">
      <c r="B37" s="250" t="s">
        <v>209</v>
      </c>
      <c r="C37" s="202"/>
      <c r="D37" s="575">
        <f>Medicaid!D26</f>
        <v>589.5</v>
      </c>
      <c r="E37" s="530">
        <f>Medicaid!E26</f>
        <v>598.70000000000005</v>
      </c>
      <c r="F37" s="530">
        <f>Medicaid!F26</f>
        <v>614.4</v>
      </c>
      <c r="G37" s="530">
        <f>Medicaid!G26</f>
        <v>622.4</v>
      </c>
      <c r="H37" s="530">
        <f>Medicaid!H26</f>
        <v>620.70000000000005</v>
      </c>
      <c r="I37" s="530">
        <f>Medicaid!I26</f>
        <v>606.6</v>
      </c>
      <c r="J37" s="530">
        <f>Medicaid!J26</f>
        <v>654.70000000000005</v>
      </c>
      <c r="K37" s="530">
        <f>Medicaid!K26</f>
        <v>690.7</v>
      </c>
      <c r="L37" s="530">
        <f>Medicaid!L26</f>
        <v>678.3</v>
      </c>
      <c r="M37" s="530">
        <f>Medicaid!M26</f>
        <v>704.4</v>
      </c>
      <c r="N37" s="530">
        <f>Medicaid!N26</f>
        <v>744.8</v>
      </c>
      <c r="O37" s="530">
        <f>Medicaid!O26</f>
        <v>748.2</v>
      </c>
      <c r="P37" s="530">
        <f>Medicaid!P26</f>
        <v>745</v>
      </c>
      <c r="Q37" s="530">
        <f>Medicaid!Q26</f>
        <v>763.1</v>
      </c>
      <c r="R37" s="530">
        <f>Medicaid!R26</f>
        <v>789.5</v>
      </c>
      <c r="S37" s="136">
        <f>Medicaid!S26</f>
        <v>786.1</v>
      </c>
      <c r="T37" s="530">
        <f>Medicaid!T26</f>
        <v>796.2</v>
      </c>
      <c r="U37" s="530">
        <f>Medicaid!U26</f>
        <v>839.4</v>
      </c>
      <c r="V37" s="530">
        <f>Medicaid!V26</f>
        <v>878.5</v>
      </c>
      <c r="W37" s="644">
        <f>Medicaid!W26</f>
        <v>897.66625425843256</v>
      </c>
      <c r="X37" s="644">
        <f>Medicaid!X26</f>
        <v>883.93055985183616</v>
      </c>
      <c r="Y37" s="644">
        <f>Medicaid!Y26</f>
        <v>870.40504300280793</v>
      </c>
      <c r="Z37" s="644">
        <f>Medicaid!Z26</f>
        <v>857.08648766675651</v>
      </c>
      <c r="AA37" s="644">
        <f>Medicaid!AA26</f>
        <v>843.97172700959106</v>
      </c>
      <c r="AB37" s="644">
        <f>Medicaid!AB26</f>
        <v>843.56572744728408</v>
      </c>
      <c r="AC37" s="700">
        <f>Medicaid!AC26</f>
        <v>843.15992319441614</v>
      </c>
    </row>
    <row r="38" spans="2:39" ht="14.9" customHeight="1" x14ac:dyDescent="0.35">
      <c r="B38" s="562" t="s">
        <v>810</v>
      </c>
      <c r="C38" s="229"/>
      <c r="D38" s="574">
        <f>D36-D37</f>
        <v>144.79999999999995</v>
      </c>
      <c r="E38" s="534">
        <f t="shared" ref="E38:O38" si="15">E36-E37</f>
        <v>146.5</v>
      </c>
      <c r="F38" s="534">
        <f t="shared" si="15"/>
        <v>148.80000000000007</v>
      </c>
      <c r="G38" s="534">
        <f t="shared" si="15"/>
        <v>151.10000000000002</v>
      </c>
      <c r="H38" s="534">
        <f t="shared" si="15"/>
        <v>153.09999999999991</v>
      </c>
      <c r="I38" s="534">
        <f t="shared" si="15"/>
        <v>155.79999999999995</v>
      </c>
      <c r="J38" s="534">
        <f t="shared" si="15"/>
        <v>158.59999999999991</v>
      </c>
      <c r="K38" s="534">
        <f t="shared" si="15"/>
        <v>161.19999999999993</v>
      </c>
      <c r="L38" s="534">
        <f t="shared" si="15"/>
        <v>162.30000000000007</v>
      </c>
      <c r="M38" s="534">
        <f t="shared" si="15"/>
        <v>163.60000000000002</v>
      </c>
      <c r="N38" s="534">
        <f t="shared" si="15"/>
        <v>165.30000000000007</v>
      </c>
      <c r="O38" s="534">
        <f t="shared" si="15"/>
        <v>169.89999999999998</v>
      </c>
      <c r="P38" s="534">
        <f>P36-P37</f>
        <v>170.20000000000005</v>
      </c>
      <c r="Q38" s="534">
        <f>Q36-Q37</f>
        <v>171.60000000000002</v>
      </c>
      <c r="R38" s="534">
        <f>R36-R37</f>
        <v>173.20000000000005</v>
      </c>
      <c r="S38" s="136">
        <f>S36-S37</f>
        <v>196.79999999999995</v>
      </c>
      <c r="T38" s="136">
        <f>T36-T37</f>
        <v>249.70000000000005</v>
      </c>
      <c r="U38" s="534">
        <f>T38*(1+AVERAGE($F$40:$I$40))+U39</f>
        <v>183.57212584485049</v>
      </c>
      <c r="V38" s="637">
        <f>U38*(1+AVERAGE($F$40:$I$40))+V39</f>
        <v>186.41879934456207</v>
      </c>
      <c r="W38" s="529">
        <f t="shared" ref="W38:AA38" si="16">V38*(1+AVERAGE($F$40:$I$40))</f>
        <v>189.30961652881547</v>
      </c>
      <c r="X38" s="529">
        <f t="shared" si="16"/>
        <v>192.24526193866711</v>
      </c>
      <c r="Y38" s="529">
        <f t="shared" si="16"/>
        <v>195.22643073042826</v>
      </c>
      <c r="Z38" s="529">
        <f t="shared" si="16"/>
        <v>198.25382884027687</v>
      </c>
      <c r="AA38" s="529">
        <f t="shared" si="16"/>
        <v>201.32817315142222</v>
      </c>
      <c r="AB38" s="529">
        <f>AA38*(1+AVERAGE($F$40:$I$40))</f>
        <v>204.45019166386174</v>
      </c>
      <c r="AC38" s="529">
        <f t="shared" ref="AC38:AG38" si="17">AB38*(1+AVERAGE($F$40:$I$40))</f>
        <v>207.62062366677031</v>
      </c>
      <c r="AD38" s="529">
        <f t="shared" si="17"/>
        <v>210.84021991356275</v>
      </c>
      <c r="AE38" s="529">
        <f t="shared" si="17"/>
        <v>214.10974279967112</v>
      </c>
      <c r="AF38" s="529">
        <f t="shared" si="17"/>
        <v>217.42996654307876</v>
      </c>
      <c r="AG38" s="529">
        <f t="shared" si="17"/>
        <v>220.80167736765395</v>
      </c>
    </row>
    <row r="39" spans="2:39" ht="14.9" customHeight="1" x14ac:dyDescent="0.35">
      <c r="B39" s="562" t="s">
        <v>1701</v>
      </c>
      <c r="C39" s="229"/>
      <c r="D39" s="574"/>
      <c r="E39" s="534"/>
      <c r="F39" s="534"/>
      <c r="G39" s="534"/>
      <c r="H39" s="534"/>
      <c r="I39" s="534"/>
      <c r="J39" s="534"/>
      <c r="K39" s="534"/>
      <c r="L39" s="534"/>
      <c r="M39" s="534"/>
      <c r="N39" s="534"/>
      <c r="O39" s="534"/>
      <c r="P39" s="534"/>
      <c r="Q39" s="534"/>
      <c r="R39" s="534"/>
      <c r="S39" s="136"/>
      <c r="T39" s="534"/>
      <c r="U39" s="534">
        <v>-70</v>
      </c>
      <c r="V39" s="534"/>
      <c r="W39" s="529"/>
      <c r="X39" s="529"/>
      <c r="Y39" s="529"/>
      <c r="Z39" s="529"/>
      <c r="AA39" s="529"/>
      <c r="AB39" s="529"/>
      <c r="AC39" s="665"/>
    </row>
    <row r="40" spans="2:39" x14ac:dyDescent="0.35">
      <c r="B40" s="694" t="s">
        <v>811</v>
      </c>
      <c r="C40" s="322"/>
      <c r="D40" s="576"/>
      <c r="E40" s="561">
        <f>E38/D38-1</f>
        <v>1.1740331491713052E-2</v>
      </c>
      <c r="F40" s="561">
        <f t="shared" ref="F40:N40" si="18">F38/E38-1</f>
        <v>1.5699658703072217E-2</v>
      </c>
      <c r="G40" s="561">
        <f t="shared" si="18"/>
        <v>1.5456989247311537E-2</v>
      </c>
      <c r="H40" s="561">
        <f t="shared" si="18"/>
        <v>1.3236267372600086E-2</v>
      </c>
      <c r="I40" s="561">
        <f t="shared" si="18"/>
        <v>1.7635532331809589E-2</v>
      </c>
      <c r="J40" s="561">
        <f t="shared" si="18"/>
        <v>1.7971758664954818E-2</v>
      </c>
      <c r="K40" s="561">
        <f t="shared" si="18"/>
        <v>1.639344262295106E-2</v>
      </c>
      <c r="L40" s="561">
        <f t="shared" si="18"/>
        <v>6.823821339951186E-3</v>
      </c>
      <c r="M40" s="561">
        <f t="shared" si="18"/>
        <v>8.0098582871224178E-3</v>
      </c>
      <c r="N40" s="561">
        <f t="shared" si="18"/>
        <v>1.0391198044010119E-2</v>
      </c>
      <c r="O40" s="561">
        <f>O38/N38-1</f>
        <v>2.7828191167573513E-2</v>
      </c>
      <c r="P40" s="561">
        <f t="shared" ref="P40:S40" si="19">P38/O38-1</f>
        <v>1.7657445556213958E-3</v>
      </c>
      <c r="Q40" s="561">
        <f t="shared" si="19"/>
        <v>8.2256169212688857E-3</v>
      </c>
      <c r="R40" s="561">
        <f t="shared" si="19"/>
        <v>9.3240093240094524E-3</v>
      </c>
      <c r="S40" s="630">
        <f t="shared" si="19"/>
        <v>0.13625866050808266</v>
      </c>
      <c r="T40" s="549"/>
      <c r="U40" s="549"/>
      <c r="V40" s="549"/>
      <c r="W40" s="570"/>
      <c r="X40" s="570"/>
      <c r="Y40" s="570"/>
      <c r="Z40" s="570"/>
      <c r="AA40" s="570"/>
      <c r="AB40" s="570"/>
      <c r="AC40" s="664"/>
    </row>
    <row r="43" spans="2:39" x14ac:dyDescent="0.35">
      <c r="B43" s="1358"/>
      <c r="C43" s="1358"/>
      <c r="U43" s="188"/>
      <c r="V43" s="188"/>
      <c r="W43" s="188"/>
      <c r="X43" s="188"/>
      <c r="Y43" s="188"/>
      <c r="Z43" s="188"/>
      <c r="AA43" s="188"/>
      <c r="AB43" s="188"/>
      <c r="AC43" s="188"/>
    </row>
    <row r="44" spans="2:39" x14ac:dyDescent="0.35">
      <c r="B44" s="437"/>
      <c r="C44" s="202"/>
      <c r="U44" s="530"/>
      <c r="V44" s="530">
        <f>V32+V31+V26+V27+V28+V29</f>
        <v>1948.9840000000002</v>
      </c>
      <c r="W44" s="530"/>
      <c r="X44" s="530"/>
      <c r="Y44" s="530"/>
      <c r="Z44" s="530"/>
      <c r="AA44" s="530"/>
      <c r="AB44" s="530"/>
      <c r="AC44" s="530"/>
      <c r="AD44" s="495"/>
      <c r="AE44" s="495"/>
      <c r="AF44" s="495"/>
      <c r="AG44" s="495"/>
      <c r="AH44" s="495"/>
      <c r="AI44" s="495"/>
      <c r="AJ44" s="495"/>
      <c r="AK44" s="495"/>
      <c r="AL44" s="495"/>
      <c r="AM44" s="495"/>
    </row>
    <row r="45" spans="2:39" x14ac:dyDescent="0.35">
      <c r="B45" s="437"/>
      <c r="C45" s="202"/>
      <c r="U45" s="188"/>
      <c r="V45" s="188"/>
      <c r="W45" s="188"/>
      <c r="X45" s="188"/>
      <c r="Y45" s="188"/>
      <c r="Z45" s="188"/>
      <c r="AA45" s="188"/>
      <c r="AB45" s="188"/>
      <c r="AC45" s="188"/>
      <c r="AD45" s="495"/>
      <c r="AE45" s="495"/>
      <c r="AF45" s="495"/>
      <c r="AG45" s="495"/>
      <c r="AH45" s="495"/>
      <c r="AI45" s="495"/>
      <c r="AJ45" s="495"/>
      <c r="AK45" s="495"/>
      <c r="AL45" s="495"/>
      <c r="AM45" s="495"/>
    </row>
    <row r="46" spans="2:39" ht="28.5" customHeight="1" x14ac:dyDescent="0.35">
      <c r="B46" s="211"/>
      <c r="C46" s="202"/>
      <c r="U46" s="530"/>
      <c r="V46" s="530"/>
      <c r="W46" s="530"/>
      <c r="X46" s="530"/>
      <c r="Y46" s="530"/>
      <c r="Z46" s="530"/>
      <c r="AA46" s="530"/>
      <c r="AB46" s="530"/>
      <c r="AC46" s="530"/>
      <c r="AD46" s="495"/>
      <c r="AE46" s="495"/>
      <c r="AF46" s="495"/>
      <c r="AG46" s="495"/>
      <c r="AH46" s="495"/>
      <c r="AI46" s="495"/>
      <c r="AJ46" s="495"/>
      <c r="AK46" s="495"/>
      <c r="AL46" s="495"/>
      <c r="AM46" s="495"/>
    </row>
    <row r="47" spans="2:39" x14ac:dyDescent="0.35">
      <c r="B47" s="211"/>
      <c r="C47" s="202"/>
      <c r="U47" s="530"/>
      <c r="V47" s="530"/>
      <c r="W47" s="530"/>
      <c r="X47" s="530"/>
      <c r="Y47" s="530"/>
      <c r="Z47" s="530"/>
      <c r="AA47" s="530"/>
      <c r="AB47" s="530"/>
      <c r="AC47" s="530"/>
      <c r="AD47" s="495"/>
      <c r="AE47" s="495"/>
      <c r="AF47" s="495"/>
      <c r="AG47" s="495"/>
      <c r="AH47" s="495"/>
      <c r="AI47" s="495"/>
      <c r="AJ47" s="495"/>
      <c r="AK47" s="495"/>
      <c r="AL47" s="495"/>
      <c r="AM47" s="495"/>
    </row>
    <row r="48" spans="2:39" x14ac:dyDescent="0.35">
      <c r="B48" s="437"/>
      <c r="C48" s="202"/>
      <c r="U48" s="530"/>
      <c r="V48" s="530"/>
      <c r="W48" s="530"/>
      <c r="X48" s="530"/>
      <c r="Y48" s="530"/>
      <c r="Z48" s="530"/>
      <c r="AA48" s="530"/>
      <c r="AB48" s="530"/>
      <c r="AC48" s="530"/>
      <c r="AD48" s="495"/>
      <c r="AE48" s="495"/>
      <c r="AF48" s="495"/>
      <c r="AG48" s="495"/>
      <c r="AH48" s="495"/>
      <c r="AI48" s="495"/>
      <c r="AJ48" s="495"/>
      <c r="AK48" s="495"/>
      <c r="AL48" s="495"/>
      <c r="AM48" s="495"/>
    </row>
    <row r="49" spans="2:39" x14ac:dyDescent="0.35">
      <c r="B49" s="221"/>
      <c r="C49" s="229"/>
      <c r="U49" s="534"/>
      <c r="V49" s="534"/>
      <c r="W49" s="534"/>
      <c r="X49" s="534"/>
      <c r="Y49" s="534"/>
      <c r="Z49" s="534"/>
      <c r="AA49" s="534"/>
      <c r="AB49" s="534"/>
      <c r="AC49" s="534"/>
      <c r="AD49" s="495"/>
      <c r="AE49" s="495"/>
      <c r="AF49" s="495"/>
      <c r="AG49" s="495"/>
      <c r="AH49" s="495"/>
      <c r="AI49" s="495"/>
      <c r="AJ49" s="495"/>
      <c r="AK49" s="495"/>
      <c r="AL49" s="495"/>
      <c r="AM49" s="495"/>
    </row>
    <row r="50" spans="2:39" x14ac:dyDescent="0.35">
      <c r="B50" s="211"/>
      <c r="C50" s="655"/>
      <c r="U50" s="530"/>
      <c r="V50" s="530"/>
      <c r="W50" s="530"/>
      <c r="X50" s="530"/>
      <c r="Y50" s="530"/>
      <c r="Z50" s="530"/>
      <c r="AA50" s="530"/>
      <c r="AB50" s="530"/>
      <c r="AC50" s="530"/>
      <c r="AD50" s="495"/>
      <c r="AE50" s="495"/>
      <c r="AF50" s="495"/>
      <c r="AG50" s="495"/>
      <c r="AH50" s="495"/>
      <c r="AI50" s="495"/>
      <c r="AJ50" s="495"/>
      <c r="AK50" s="495"/>
      <c r="AL50" s="495"/>
      <c r="AM50" s="495"/>
    </row>
    <row r="51" spans="2:39" x14ac:dyDescent="0.35">
      <c r="B51" s="211"/>
      <c r="C51" s="655"/>
      <c r="U51" s="215"/>
      <c r="V51" s="215"/>
      <c r="W51" s="215"/>
      <c r="X51" s="215"/>
      <c r="Y51" s="215"/>
      <c r="Z51" s="215"/>
      <c r="AA51" s="215"/>
      <c r="AB51" s="215"/>
      <c r="AC51" s="215"/>
      <c r="AD51" s="495"/>
      <c r="AE51" s="495"/>
      <c r="AF51" s="495"/>
      <c r="AG51" s="495"/>
      <c r="AH51" s="495"/>
      <c r="AI51" s="495"/>
      <c r="AJ51" s="495"/>
      <c r="AK51" s="495"/>
      <c r="AL51" s="495"/>
      <c r="AM51" s="495"/>
    </row>
    <row r="52" spans="2:39" x14ac:dyDescent="0.35">
      <c r="B52" s="211"/>
      <c r="C52" s="202"/>
      <c r="U52" s="530"/>
      <c r="V52" s="530"/>
      <c r="W52" s="530"/>
      <c r="X52" s="530"/>
      <c r="Y52" s="530"/>
      <c r="Z52" s="530"/>
      <c r="AA52" s="530"/>
      <c r="AB52" s="530"/>
      <c r="AC52" s="530"/>
      <c r="AD52" s="495"/>
      <c r="AE52" s="495"/>
      <c r="AF52" s="495"/>
      <c r="AG52" s="495"/>
      <c r="AH52" s="495"/>
      <c r="AI52" s="495"/>
      <c r="AJ52" s="495"/>
      <c r="AK52" s="495"/>
      <c r="AL52" s="495"/>
      <c r="AM52" s="495"/>
    </row>
    <row r="53" spans="2:39" x14ac:dyDescent="0.35">
      <c r="B53" s="211"/>
      <c r="C53" s="202"/>
      <c r="U53" s="530"/>
      <c r="V53" s="530"/>
      <c r="W53" s="530"/>
      <c r="X53" s="530"/>
      <c r="Y53" s="530"/>
      <c r="Z53" s="530"/>
      <c r="AA53" s="530"/>
      <c r="AB53" s="530"/>
      <c r="AC53" s="530"/>
      <c r="AD53" s="495"/>
      <c r="AE53" s="495"/>
      <c r="AF53" s="495"/>
      <c r="AG53" s="495"/>
      <c r="AH53" s="495"/>
      <c r="AI53" s="495"/>
      <c r="AJ53" s="495"/>
      <c r="AK53" s="495"/>
      <c r="AL53" s="495"/>
      <c r="AM53" s="495"/>
    </row>
    <row r="54" spans="2:39" x14ac:dyDescent="0.35">
      <c r="B54" s="211"/>
      <c r="C54" s="202"/>
      <c r="U54" s="530"/>
      <c r="V54" s="530"/>
      <c r="W54" s="530"/>
      <c r="X54" s="530"/>
      <c r="Y54" s="530"/>
      <c r="Z54" s="530"/>
      <c r="AA54" s="530"/>
      <c r="AB54" s="530"/>
      <c r="AC54" s="530"/>
      <c r="AD54" s="495"/>
      <c r="AE54" s="495"/>
      <c r="AF54" s="495"/>
      <c r="AG54" s="495"/>
      <c r="AH54" s="495"/>
      <c r="AI54" s="495"/>
      <c r="AJ54" s="495"/>
      <c r="AK54" s="495"/>
      <c r="AL54" s="495"/>
      <c r="AM54" s="495"/>
    </row>
    <row r="55" spans="2:39" x14ac:dyDescent="0.35">
      <c r="B55" s="437"/>
      <c r="C55" s="202"/>
      <c r="U55" s="530"/>
      <c r="V55" s="530"/>
      <c r="W55" s="530"/>
      <c r="X55" s="530"/>
      <c r="Y55" s="530"/>
      <c r="Z55" s="530"/>
      <c r="AA55" s="530"/>
      <c r="AB55" s="530"/>
      <c r="AC55" s="530"/>
      <c r="AD55" s="495"/>
      <c r="AE55" s="495"/>
      <c r="AF55" s="495"/>
      <c r="AG55" s="495"/>
      <c r="AH55" s="495"/>
      <c r="AI55" s="495"/>
      <c r="AJ55" s="495"/>
      <c r="AK55" s="495"/>
      <c r="AL55" s="495"/>
      <c r="AM55" s="495"/>
    </row>
    <row r="56" spans="2:39" x14ac:dyDescent="0.35">
      <c r="B56" s="221"/>
      <c r="C56" s="229"/>
      <c r="U56" s="611"/>
      <c r="V56" s="611"/>
      <c r="W56" s="611"/>
      <c r="X56" s="611"/>
      <c r="Y56" s="611"/>
      <c r="Z56" s="611"/>
      <c r="AA56" s="611"/>
      <c r="AB56" s="611"/>
      <c r="AC56" s="611"/>
      <c r="AD56" s="495"/>
      <c r="AE56" s="495"/>
      <c r="AF56" s="495"/>
      <c r="AG56" s="495"/>
      <c r="AH56" s="495"/>
      <c r="AI56" s="495"/>
      <c r="AJ56" s="495"/>
      <c r="AK56" s="495"/>
      <c r="AL56" s="495"/>
      <c r="AM56" s="495"/>
    </row>
    <row r="57" spans="2:39" ht="28.5" customHeight="1" x14ac:dyDescent="0.35">
      <c r="B57" s="211"/>
      <c r="C57" s="202"/>
      <c r="U57" s="530"/>
      <c r="V57" s="530"/>
      <c r="W57" s="530"/>
      <c r="X57" s="530"/>
      <c r="Y57" s="530"/>
      <c r="Z57" s="530"/>
      <c r="AA57" s="530"/>
      <c r="AB57" s="530"/>
      <c r="AC57" s="530"/>
      <c r="AD57" s="495"/>
      <c r="AE57" s="495"/>
      <c r="AF57" s="495"/>
      <c r="AG57" s="495"/>
      <c r="AH57" s="495"/>
      <c r="AI57" s="495"/>
      <c r="AJ57" s="495"/>
      <c r="AK57" s="495"/>
      <c r="AL57" s="495"/>
      <c r="AM57" s="495"/>
    </row>
    <row r="58" spans="2:39" x14ac:dyDescent="0.35">
      <c r="B58" s="343"/>
      <c r="C58" s="295"/>
      <c r="U58" s="654"/>
      <c r="V58" s="654"/>
      <c r="W58" s="654"/>
      <c r="X58" s="654"/>
      <c r="Y58" s="654"/>
      <c r="Z58" s="654"/>
      <c r="AA58" s="654"/>
      <c r="AB58" s="654"/>
      <c r="AC58" s="654"/>
      <c r="AD58" s="495"/>
      <c r="AE58" s="495"/>
      <c r="AF58" s="495"/>
      <c r="AG58" s="495"/>
      <c r="AH58" s="495"/>
      <c r="AI58" s="495"/>
      <c r="AJ58" s="495"/>
      <c r="AK58" s="495"/>
      <c r="AL58" s="495"/>
      <c r="AM58" s="495"/>
    </row>
    <row r="59" spans="2:39" x14ac:dyDescent="0.35">
      <c r="B59" s="229"/>
      <c r="C59" s="229"/>
      <c r="U59" s="534"/>
      <c r="V59" s="534"/>
      <c r="W59" s="534"/>
      <c r="X59" s="534"/>
      <c r="Y59" s="534"/>
      <c r="Z59" s="534"/>
      <c r="AA59" s="534"/>
      <c r="AB59" s="534"/>
      <c r="AC59" s="534"/>
      <c r="AD59" s="495"/>
      <c r="AE59" s="495"/>
      <c r="AF59" s="495"/>
      <c r="AG59" s="495"/>
      <c r="AH59" s="495"/>
      <c r="AI59" s="495"/>
      <c r="AJ59" s="495"/>
      <c r="AK59" s="495"/>
      <c r="AL59" s="495"/>
      <c r="AM59" s="495"/>
    </row>
    <row r="60" spans="2:39" x14ac:dyDescent="0.35">
      <c r="B60" s="1358"/>
      <c r="C60" s="1358"/>
      <c r="U60" s="534"/>
      <c r="V60" s="534"/>
      <c r="W60" s="534"/>
      <c r="X60" s="534"/>
      <c r="Y60" s="534"/>
      <c r="Z60" s="534"/>
      <c r="AA60" s="534"/>
      <c r="AB60" s="534"/>
      <c r="AC60" s="534"/>
      <c r="AD60" s="495"/>
      <c r="AE60" s="495"/>
      <c r="AF60" s="495"/>
      <c r="AG60" s="495"/>
      <c r="AH60" s="495"/>
      <c r="AI60" s="495"/>
      <c r="AJ60" s="495"/>
      <c r="AK60" s="495"/>
      <c r="AL60" s="495"/>
      <c r="AM60" s="495"/>
    </row>
    <row r="61" spans="2:39" x14ac:dyDescent="0.35">
      <c r="B61" s="437"/>
      <c r="C61" s="202"/>
      <c r="U61" s="202"/>
      <c r="V61" s="202"/>
      <c r="W61" s="202"/>
      <c r="X61" s="202"/>
      <c r="Y61" s="202"/>
      <c r="Z61" s="202"/>
      <c r="AA61" s="202"/>
      <c r="AB61" s="202"/>
      <c r="AC61" s="202"/>
      <c r="AD61" s="495"/>
      <c r="AE61" s="495"/>
      <c r="AF61" s="495"/>
      <c r="AG61" s="495"/>
      <c r="AH61" s="495"/>
      <c r="AI61" s="495"/>
      <c r="AJ61" s="495"/>
      <c r="AK61" s="495"/>
      <c r="AL61" s="495"/>
      <c r="AM61" s="495"/>
    </row>
    <row r="62" spans="2:39" x14ac:dyDescent="0.35">
      <c r="B62" s="202"/>
      <c r="C62" s="202"/>
      <c r="U62" s="530"/>
      <c r="V62" s="530"/>
      <c r="W62" s="530"/>
      <c r="X62" s="530"/>
      <c r="Y62" s="530"/>
      <c r="Z62" s="530"/>
      <c r="AA62" s="530"/>
      <c r="AB62" s="530"/>
      <c r="AC62" s="530"/>
      <c r="AD62" s="495"/>
      <c r="AE62" s="495"/>
      <c r="AF62" s="495"/>
      <c r="AG62" s="495"/>
      <c r="AH62" s="495"/>
      <c r="AI62" s="495"/>
      <c r="AJ62" s="495"/>
      <c r="AK62" s="495"/>
      <c r="AL62" s="495"/>
      <c r="AM62" s="495"/>
    </row>
    <row r="63" spans="2:39" x14ac:dyDescent="0.35">
      <c r="B63" s="229"/>
      <c r="C63" s="229"/>
      <c r="U63" s="534"/>
      <c r="V63" s="534"/>
      <c r="W63" s="534"/>
      <c r="X63" s="534"/>
      <c r="Y63" s="534"/>
      <c r="Z63" s="534"/>
      <c r="AA63" s="534"/>
      <c r="AB63" s="534"/>
      <c r="AC63" s="534"/>
      <c r="AD63" s="495"/>
      <c r="AE63" s="495"/>
      <c r="AF63" s="495"/>
      <c r="AG63" s="495"/>
      <c r="AH63" s="495"/>
      <c r="AI63" s="495"/>
      <c r="AJ63" s="495"/>
      <c r="AK63" s="495"/>
      <c r="AL63" s="495"/>
      <c r="AM63" s="495"/>
    </row>
    <row r="64" spans="2:39" x14ac:dyDescent="0.35">
      <c r="B64" s="229"/>
      <c r="C64" s="229"/>
      <c r="U64" s="534"/>
      <c r="V64" s="534"/>
      <c r="W64" s="534"/>
      <c r="X64" s="534"/>
      <c r="Y64" s="534"/>
      <c r="Z64" s="534"/>
      <c r="AA64" s="534"/>
      <c r="AB64" s="534"/>
      <c r="AC64" s="534"/>
      <c r="AD64" s="495"/>
      <c r="AE64" s="495"/>
      <c r="AF64" s="495"/>
      <c r="AG64" s="495"/>
      <c r="AH64" s="495"/>
      <c r="AI64" s="495"/>
      <c r="AJ64" s="495"/>
      <c r="AK64" s="495"/>
      <c r="AL64" s="495"/>
      <c r="AM64" s="495"/>
    </row>
    <row r="65" spans="2:39" x14ac:dyDescent="0.35">
      <c r="B65" s="656"/>
      <c r="C65" s="202"/>
      <c r="U65" s="530"/>
      <c r="V65" s="530"/>
      <c r="W65" s="530"/>
      <c r="X65" s="530"/>
      <c r="Y65" s="530"/>
      <c r="Z65" s="530"/>
      <c r="AA65" s="530"/>
      <c r="AB65" s="530"/>
      <c r="AC65" s="530"/>
      <c r="AD65" s="495"/>
      <c r="AE65" s="495"/>
      <c r="AF65" s="495"/>
      <c r="AG65" s="495"/>
      <c r="AH65" s="495"/>
      <c r="AI65" s="495"/>
      <c r="AJ65" s="495"/>
      <c r="AK65" s="495"/>
      <c r="AL65" s="495"/>
      <c r="AM65" s="495"/>
    </row>
    <row r="67" spans="2:39" x14ac:dyDescent="0.35">
      <c r="U67" s="1409"/>
      <c r="V67" s="1409"/>
      <c r="W67" s="1409"/>
      <c r="X67" s="1409"/>
    </row>
    <row r="68" spans="2:39" x14ac:dyDescent="0.35">
      <c r="U68" s="1409"/>
      <c r="V68" s="1409"/>
      <c r="W68" s="1409"/>
      <c r="X68" s="1409"/>
    </row>
    <row r="69" spans="2:39" x14ac:dyDescent="0.35">
      <c r="U69" s="1409"/>
      <c r="V69" s="1409"/>
      <c r="W69" s="1409"/>
      <c r="X69" s="1409"/>
    </row>
    <row r="71" spans="2:39" x14ac:dyDescent="0.35">
      <c r="P71" s="454"/>
      <c r="Q71" s="454"/>
    </row>
    <row r="72" spans="2:39" x14ac:dyDescent="0.35">
      <c r="B72" s="490" t="s">
        <v>352</v>
      </c>
      <c r="D72" s="530"/>
      <c r="E72" s="530"/>
      <c r="F72" s="530"/>
      <c r="G72" s="530"/>
      <c r="H72" s="530"/>
      <c r="I72" s="530"/>
      <c r="J72" s="530"/>
      <c r="K72" s="530"/>
      <c r="L72" s="530"/>
      <c r="M72" s="530"/>
      <c r="N72" s="530"/>
      <c r="O72" s="530"/>
      <c r="P72" s="530"/>
      <c r="Q72" s="530"/>
      <c r="R72" s="530"/>
      <c r="S72" s="530"/>
      <c r="T72" s="530"/>
      <c r="U72" s="530"/>
      <c r="V72" s="530"/>
      <c r="W72" s="530"/>
      <c r="X72" s="530"/>
      <c r="Y72" s="530"/>
      <c r="Z72" s="530"/>
      <c r="AA72" s="530"/>
      <c r="AB72" s="530"/>
      <c r="AC72" s="530"/>
    </row>
    <row r="73" spans="2:39" ht="45.75" customHeight="1" x14ac:dyDescent="0.35">
      <c r="B73" s="1412" t="s">
        <v>478</v>
      </c>
      <c r="C73" s="1412"/>
      <c r="D73" s="1412"/>
      <c r="E73" s="1412"/>
      <c r="F73" s="1412"/>
      <c r="G73" s="1412"/>
      <c r="H73" s="1412"/>
      <c r="I73" s="1412"/>
      <c r="J73" s="1412"/>
      <c r="K73" s="1412"/>
      <c r="L73" s="1412"/>
      <c r="M73" s="1412"/>
      <c r="N73" s="1412"/>
      <c r="O73" s="1412"/>
      <c r="P73" s="1412"/>
      <c r="Q73" s="1412"/>
      <c r="R73" s="1412"/>
      <c r="S73" s="1412"/>
      <c r="T73" s="1412"/>
      <c r="U73" s="1412"/>
      <c r="V73" s="1412"/>
      <c r="W73" s="1412"/>
      <c r="X73" s="1412"/>
      <c r="Y73" s="1412"/>
      <c r="Z73" s="1412"/>
      <c r="AA73" s="1412"/>
      <c r="AB73" s="1412"/>
      <c r="AC73" s="1412"/>
    </row>
    <row r="74" spans="2:39" ht="14.9" customHeight="1" x14ac:dyDescent="0.35">
      <c r="B74" s="1321" t="s">
        <v>479</v>
      </c>
      <c r="C74" s="1322"/>
      <c r="D74" s="1382" t="s">
        <v>280</v>
      </c>
      <c r="E74" s="1383"/>
      <c r="F74" s="1383"/>
      <c r="G74" s="1383"/>
      <c r="H74" s="1383"/>
      <c r="I74" s="1383"/>
      <c r="J74" s="1383"/>
      <c r="K74" s="1383"/>
      <c r="L74" s="1383"/>
      <c r="M74" s="1383"/>
      <c r="N74" s="1383"/>
      <c r="O74" s="1383"/>
      <c r="P74" s="1383"/>
      <c r="Q74" s="1383"/>
      <c r="R74" s="1383"/>
      <c r="S74" s="1383"/>
      <c r="T74" s="1383"/>
      <c r="U74" s="1383"/>
      <c r="V74" s="1407"/>
      <c r="W74" s="1361" t="s">
        <v>281</v>
      </c>
      <c r="X74" s="1362"/>
      <c r="Y74" s="1362"/>
      <c r="Z74" s="1362"/>
      <c r="AA74" s="1362"/>
      <c r="AB74" s="1362"/>
      <c r="AC74" s="1362"/>
      <c r="AD74" s="1362"/>
      <c r="AE74" s="1362"/>
      <c r="AF74" s="1362"/>
      <c r="AG74" s="1362"/>
    </row>
    <row r="75" spans="2:39" x14ac:dyDescent="0.35">
      <c r="B75" s="1321"/>
      <c r="C75" s="1322"/>
      <c r="D75" s="142">
        <v>2018</v>
      </c>
      <c r="E75" s="1310">
        <v>2019</v>
      </c>
      <c r="F75" s="1328"/>
      <c r="G75" s="1328"/>
      <c r="H75" s="1329"/>
      <c r="I75" s="1310">
        <v>2020</v>
      </c>
      <c r="J75" s="1328"/>
      <c r="K75" s="1328"/>
      <c r="L75" s="1328"/>
      <c r="M75" s="1310">
        <v>2021</v>
      </c>
      <c r="N75" s="1328"/>
      <c r="O75" s="1328"/>
      <c r="P75" s="1328"/>
      <c r="Q75" s="1310">
        <v>2022</v>
      </c>
      <c r="R75" s="1311"/>
      <c r="S75" s="1311"/>
      <c r="T75" s="1329"/>
      <c r="U75" s="256"/>
      <c r="V75" s="535">
        <v>2023</v>
      </c>
      <c r="W75" s="528"/>
      <c r="X75" s="226"/>
      <c r="Y75" s="1325">
        <v>2024</v>
      </c>
      <c r="Z75" s="1337"/>
      <c r="AA75" s="1337"/>
      <c r="AB75" s="1327"/>
      <c r="AC75" s="1325">
        <v>2025</v>
      </c>
      <c r="AD75" s="1337"/>
      <c r="AE75" s="1337"/>
      <c r="AF75" s="1327"/>
      <c r="AG75" s="475">
        <v>2026</v>
      </c>
    </row>
    <row r="76" spans="2:39" x14ac:dyDescent="0.35">
      <c r="B76" s="1323"/>
      <c r="C76" s="1324"/>
      <c r="D76" s="149" t="s">
        <v>282</v>
      </c>
      <c r="E76" s="149" t="s">
        <v>283</v>
      </c>
      <c r="F76" s="140" t="s">
        <v>284</v>
      </c>
      <c r="G76" s="140" t="s">
        <v>238</v>
      </c>
      <c r="H76" s="146" t="s">
        <v>282</v>
      </c>
      <c r="I76" s="140" t="s">
        <v>283</v>
      </c>
      <c r="J76" s="140" t="s">
        <v>284</v>
      </c>
      <c r="K76" s="140" t="s">
        <v>238</v>
      </c>
      <c r="L76" s="140" t="s">
        <v>282</v>
      </c>
      <c r="M76" s="149" t="s">
        <v>283</v>
      </c>
      <c r="N76" s="140" t="s">
        <v>284</v>
      </c>
      <c r="O76" s="140" t="s">
        <v>238</v>
      </c>
      <c r="P76" s="140" t="s">
        <v>282</v>
      </c>
      <c r="Q76" s="149" t="s">
        <v>283</v>
      </c>
      <c r="R76" s="140" t="s">
        <v>284</v>
      </c>
      <c r="S76" s="140" t="s">
        <v>238</v>
      </c>
      <c r="T76" s="146" t="s">
        <v>282</v>
      </c>
      <c r="U76" s="140" t="s">
        <v>283</v>
      </c>
      <c r="V76" s="253" t="s">
        <v>284</v>
      </c>
      <c r="W76" s="236" t="s">
        <v>238</v>
      </c>
      <c r="X76" s="237" t="s">
        <v>282</v>
      </c>
      <c r="Y76" s="235" t="s">
        <v>283</v>
      </c>
      <c r="Z76" s="233" t="s">
        <v>284</v>
      </c>
      <c r="AA76" s="236" t="s">
        <v>238</v>
      </c>
      <c r="AB76" s="236" t="s">
        <v>282</v>
      </c>
      <c r="AC76" s="235" t="s">
        <v>283</v>
      </c>
      <c r="AD76" s="233" t="s">
        <v>284</v>
      </c>
      <c r="AE76" s="236" t="s">
        <v>238</v>
      </c>
      <c r="AF76" s="236" t="s">
        <v>282</v>
      </c>
      <c r="AG76" s="235" t="s">
        <v>283</v>
      </c>
    </row>
    <row r="77" spans="2:39" x14ac:dyDescent="0.35">
      <c r="B77" s="250" t="s">
        <v>1440</v>
      </c>
      <c r="D77" s="219"/>
      <c r="E77" s="273"/>
      <c r="F77" s="273"/>
      <c r="G77" s="273"/>
      <c r="H77" s="273"/>
      <c r="I77" s="553">
        <f>(I78-AVERAGE($E78:$H78))</f>
        <v>5.0234999999999914</v>
      </c>
      <c r="J77" s="553">
        <f t="shared" ref="J77:N77" si="20">(J78-AVERAGE($E78:$H78))</f>
        <v>45.406499999999987</v>
      </c>
      <c r="K77" s="553">
        <f t="shared" si="20"/>
        <v>50.178499999999993</v>
      </c>
      <c r="L77" s="553">
        <f t="shared" si="20"/>
        <v>60.014499999999991</v>
      </c>
      <c r="M77" s="553">
        <f t="shared" si="20"/>
        <v>86.04249999999999</v>
      </c>
      <c r="N77" s="553">
        <f t="shared" si="20"/>
        <v>100.69149999999999</v>
      </c>
      <c r="O77" s="553">
        <f t="shared" ref="O77:U77" si="21">(O78-AVERAGE($E78:$H78))</f>
        <v>95.460499999999996</v>
      </c>
      <c r="P77" s="553">
        <f t="shared" si="21"/>
        <v>100.72550000000001</v>
      </c>
      <c r="Q77" s="553">
        <f t="shared" si="21"/>
        <v>80.643499999999989</v>
      </c>
      <c r="R77" s="553">
        <f t="shared" si="21"/>
        <v>63.702499999999993</v>
      </c>
      <c r="S77" s="554">
        <f t="shared" si="21"/>
        <v>56.879499999999986</v>
      </c>
      <c r="T77" s="540">
        <f t="shared" si="21"/>
        <v>71.822499999999991</v>
      </c>
      <c r="U77" s="554">
        <f t="shared" si="21"/>
        <v>65.127499999999998</v>
      </c>
      <c r="V77" s="554">
        <f>(V78-AVERAGE($E78:$H78))</f>
        <v>37.745499999999986</v>
      </c>
      <c r="W77" s="703">
        <f>V77</f>
        <v>37.745499999999986</v>
      </c>
      <c r="X77" s="703">
        <f t="shared" ref="X77:AC77" si="22">W77</f>
        <v>37.745499999999986</v>
      </c>
      <c r="Y77" s="703">
        <f t="shared" si="22"/>
        <v>37.745499999999986</v>
      </c>
      <c r="Z77" s="703">
        <f t="shared" si="22"/>
        <v>37.745499999999986</v>
      </c>
      <c r="AA77" s="703">
        <f t="shared" si="22"/>
        <v>37.745499999999986</v>
      </c>
      <c r="AB77" s="703">
        <f t="shared" si="22"/>
        <v>37.745499999999986</v>
      </c>
      <c r="AC77" s="662">
        <f t="shared" si="22"/>
        <v>37.745499999999986</v>
      </c>
      <c r="AD77" s="703">
        <f t="shared" ref="AD77" si="23">AC77</f>
        <v>37.745499999999986</v>
      </c>
      <c r="AE77" s="703">
        <f t="shared" ref="AE77" si="24">AD77</f>
        <v>37.745499999999986</v>
      </c>
      <c r="AF77" s="703">
        <f t="shared" ref="AF77" si="25">AE77</f>
        <v>37.745499999999986</v>
      </c>
      <c r="AG77" s="703">
        <f t="shared" ref="AG77" si="26">AF77</f>
        <v>37.745499999999986</v>
      </c>
    </row>
    <row r="78" spans="2:39" x14ac:dyDescent="0.35">
      <c r="B78" s="250" t="s">
        <v>160</v>
      </c>
      <c r="C78" s="202" t="s">
        <v>480</v>
      </c>
      <c r="D78" s="241">
        <f>'Haver Pivoted'!GO66</f>
        <v>57.347000000000001</v>
      </c>
      <c r="E78" s="188">
        <f>'Haver Pivoted'!GP66</f>
        <v>56.009</v>
      </c>
      <c r="F78" s="188">
        <f>'Haver Pivoted'!GQ66</f>
        <v>54.273000000000003</v>
      </c>
      <c r="G78" s="188">
        <f>'Haver Pivoted'!GR66</f>
        <v>54.103999999999999</v>
      </c>
      <c r="H78" s="188">
        <f>'Haver Pivoted'!GS66</f>
        <v>54.46</v>
      </c>
      <c r="I78" s="188">
        <f>'Haver Pivoted'!GT66</f>
        <v>59.734999999999999</v>
      </c>
      <c r="J78" s="188">
        <f>'Haver Pivoted'!GU66</f>
        <v>100.11799999999999</v>
      </c>
      <c r="K78" s="188">
        <f>'Haver Pivoted'!GV66</f>
        <v>104.89</v>
      </c>
      <c r="L78" s="188">
        <f>'Haver Pivoted'!GW66</f>
        <v>114.726</v>
      </c>
      <c r="M78" s="188">
        <f>'Haver Pivoted'!GX66</f>
        <v>140.75399999999999</v>
      </c>
      <c r="N78" s="188">
        <f>'Haver Pivoted'!GY66</f>
        <v>155.40299999999999</v>
      </c>
      <c r="O78" s="188">
        <f>'Haver Pivoted'!GZ66</f>
        <v>150.172</v>
      </c>
      <c r="P78" s="188">
        <f>'Haver Pivoted'!HA66</f>
        <v>155.43700000000001</v>
      </c>
      <c r="Q78" s="188">
        <f>'Haver Pivoted'!HB66</f>
        <v>135.35499999999999</v>
      </c>
      <c r="R78" s="188">
        <f>'Haver Pivoted'!HC66</f>
        <v>118.414</v>
      </c>
      <c r="S78" s="140">
        <f>'Haver Pivoted'!HD66</f>
        <v>111.59099999999999</v>
      </c>
      <c r="T78" s="140">
        <f>'Haver Pivoted'!HE66</f>
        <v>126.53400000000001</v>
      </c>
      <c r="U78" s="140">
        <f>'Haver Pivoted'!HF66</f>
        <v>119.839</v>
      </c>
      <c r="V78" s="140">
        <f>'Haver Pivoted'!HG66</f>
        <v>92.456999999999994</v>
      </c>
      <c r="W78" s="280"/>
      <c r="X78" s="280"/>
      <c r="Y78" s="280"/>
      <c r="Z78" s="280"/>
      <c r="AA78" s="280"/>
      <c r="AB78" s="280"/>
      <c r="AC78" s="280"/>
      <c r="AD78" s="485"/>
      <c r="AE78" s="485"/>
      <c r="AF78" s="485"/>
      <c r="AG78" s="485"/>
    </row>
    <row r="79" spans="2:39" ht="29.15" customHeight="1" x14ac:dyDescent="0.35">
      <c r="B79" s="321" t="s">
        <v>481</v>
      </c>
      <c r="C79" s="322"/>
      <c r="D79" s="698"/>
      <c r="E79" s="543"/>
      <c r="F79" s="543"/>
      <c r="G79" s="543"/>
      <c r="H79" s="543"/>
      <c r="I79" s="543"/>
      <c r="J79" s="543">
        <f t="shared" ref="J79:V79" si="27">J78-$H78</f>
        <v>45.657999999999994</v>
      </c>
      <c r="K79" s="543">
        <f t="shared" si="27"/>
        <v>50.43</v>
      </c>
      <c r="L79" s="543">
        <f t="shared" si="27"/>
        <v>60.265999999999998</v>
      </c>
      <c r="M79" s="543">
        <f t="shared" si="27"/>
        <v>86.293999999999983</v>
      </c>
      <c r="N79" s="543">
        <f>N78-$H78</f>
        <v>100.94299999999998</v>
      </c>
      <c r="O79" s="543">
        <f>O78-$H78</f>
        <v>95.711999999999989</v>
      </c>
      <c r="P79" s="543">
        <f t="shared" si="27"/>
        <v>100.977</v>
      </c>
      <c r="Q79" s="543">
        <f t="shared" si="27"/>
        <v>80.894999999999982</v>
      </c>
      <c r="R79" s="543">
        <f t="shared" si="27"/>
        <v>63.954000000000001</v>
      </c>
      <c r="S79" s="253">
        <f t="shared" si="27"/>
        <v>57.130999999999993</v>
      </c>
      <c r="T79" s="253">
        <f t="shared" si="27"/>
        <v>72.074000000000012</v>
      </c>
      <c r="U79" s="253">
        <f t="shared" si="27"/>
        <v>65.378999999999991</v>
      </c>
      <c r="V79" s="253">
        <f t="shared" si="27"/>
        <v>37.996999999999993</v>
      </c>
      <c r="W79" s="236"/>
      <c r="X79" s="236"/>
      <c r="Y79" s="236"/>
      <c r="Z79" s="236"/>
      <c r="AA79" s="236"/>
      <c r="AB79" s="236"/>
      <c r="AC79" s="236"/>
      <c r="AD79" s="485"/>
      <c r="AE79" s="485"/>
      <c r="AF79" s="485"/>
      <c r="AG79" s="485"/>
    </row>
    <row r="80" spans="2:39" ht="29.15" customHeight="1" x14ac:dyDescent="0.35">
      <c r="B80" s="202"/>
      <c r="C80" s="202"/>
      <c r="D80" s="18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row>
    <row r="81" spans="2:33" ht="29.15" customHeight="1" x14ac:dyDescent="0.35">
      <c r="B81" s="202"/>
      <c r="C81" s="202"/>
      <c r="D81" s="188"/>
      <c r="E81" s="188"/>
      <c r="F81" s="188"/>
      <c r="G81" s="188"/>
      <c r="H81" s="188"/>
      <c r="I81" s="188"/>
      <c r="J81" s="188"/>
      <c r="K81" s="188"/>
      <c r="L81" s="188"/>
      <c r="M81" s="188"/>
      <c r="N81" s="188"/>
      <c r="O81" s="188"/>
      <c r="P81" s="188"/>
      <c r="Q81" s="188"/>
      <c r="R81" s="188"/>
      <c r="S81" s="188"/>
      <c r="T81" s="188"/>
      <c r="U81" s="188"/>
      <c r="V81" s="188"/>
      <c r="W81" s="188"/>
      <c r="X81" s="188"/>
      <c r="Y81" s="188"/>
      <c r="Z81" s="188"/>
      <c r="AA81" s="188"/>
      <c r="AB81" s="188"/>
      <c r="AC81" s="188"/>
    </row>
    <row r="82" spans="2:33" ht="29.15" customHeight="1" x14ac:dyDescent="0.35">
      <c r="B82" s="202"/>
      <c r="C82" s="202"/>
      <c r="D82" s="188"/>
      <c r="E82" s="188"/>
      <c r="F82" s="188"/>
      <c r="G82" s="188"/>
      <c r="H82" s="188"/>
      <c r="I82" s="188"/>
      <c r="J82" s="188"/>
      <c r="K82" s="188"/>
      <c r="L82" s="188"/>
      <c r="M82" s="188"/>
      <c r="N82" s="188"/>
      <c r="O82" s="188"/>
      <c r="P82" s="188"/>
      <c r="Q82" s="188"/>
      <c r="R82" s="188"/>
      <c r="S82" s="188"/>
      <c r="T82" s="188"/>
      <c r="U82" s="188"/>
      <c r="V82" s="188"/>
      <c r="W82" s="188"/>
      <c r="X82" s="188"/>
      <c r="Y82" s="188"/>
      <c r="Z82" s="188"/>
      <c r="AA82" s="188"/>
      <c r="AB82" s="188"/>
      <c r="AC82" s="188"/>
    </row>
    <row r="83" spans="2:33" ht="35.9" customHeight="1" x14ac:dyDescent="0.35"/>
    <row r="84" spans="2:33" x14ac:dyDescent="0.35">
      <c r="B84" s="490" t="s">
        <v>365</v>
      </c>
    </row>
    <row r="85" spans="2:33" x14ac:dyDescent="0.35">
      <c r="B85" s="1413" t="s">
        <v>808</v>
      </c>
      <c r="C85" s="1414"/>
      <c r="D85" s="1323" t="s">
        <v>280</v>
      </c>
      <c r="E85" s="1335"/>
      <c r="F85" s="1335"/>
      <c r="G85" s="1335"/>
      <c r="H85" s="1335"/>
      <c r="I85" s="1335"/>
      <c r="J85" s="1335"/>
      <c r="K85" s="1335"/>
      <c r="L85" s="1335"/>
      <c r="M85" s="1335"/>
      <c r="N85" s="1335"/>
      <c r="O85" s="1335"/>
      <c r="P85" s="1335"/>
      <c r="Q85" s="1335"/>
      <c r="R85" s="1335"/>
      <c r="S85" s="1335"/>
      <c r="T85" s="1335"/>
      <c r="U85" s="1335"/>
      <c r="V85" s="1324"/>
      <c r="W85" s="1361" t="s">
        <v>281</v>
      </c>
      <c r="X85" s="1362"/>
      <c r="Y85" s="1362"/>
      <c r="Z85" s="1362"/>
      <c r="AA85" s="1362"/>
      <c r="AB85" s="1362"/>
      <c r="AC85" s="1362"/>
      <c r="AD85" s="1362"/>
      <c r="AE85" s="1362"/>
      <c r="AF85" s="1362"/>
      <c r="AG85" s="1362"/>
    </row>
    <row r="86" spans="2:33" x14ac:dyDescent="0.35">
      <c r="B86" s="1415"/>
      <c r="C86" s="1416"/>
      <c r="D86" s="142">
        <v>2018</v>
      </c>
      <c r="E86" s="1310">
        <v>2019</v>
      </c>
      <c r="F86" s="1328"/>
      <c r="G86" s="1328"/>
      <c r="H86" s="1329"/>
      <c r="I86" s="1310">
        <v>2020</v>
      </c>
      <c r="J86" s="1328"/>
      <c r="K86" s="1328"/>
      <c r="L86" s="1328"/>
      <c r="M86" s="1310">
        <v>2021</v>
      </c>
      <c r="N86" s="1328"/>
      <c r="O86" s="1328"/>
      <c r="P86" s="1328"/>
      <c r="Q86" s="1310">
        <v>2022</v>
      </c>
      <c r="R86" s="1311"/>
      <c r="S86" s="1311"/>
      <c r="T86" s="1329"/>
      <c r="U86" s="256"/>
      <c r="V86" s="535">
        <v>2023</v>
      </c>
      <c r="W86" s="528"/>
      <c r="X86" s="226"/>
      <c r="Y86" s="1325">
        <v>2024</v>
      </c>
      <c r="Z86" s="1337"/>
      <c r="AA86" s="1337"/>
      <c r="AB86" s="1327"/>
      <c r="AC86" s="1325">
        <v>2025</v>
      </c>
      <c r="AD86" s="1337"/>
      <c r="AE86" s="1337"/>
      <c r="AF86" s="1327"/>
      <c r="AG86" s="475">
        <v>2026</v>
      </c>
    </row>
    <row r="87" spans="2:33" x14ac:dyDescent="0.35">
      <c r="B87" s="1415"/>
      <c r="C87" s="1416"/>
      <c r="D87" s="149" t="s">
        <v>282</v>
      </c>
      <c r="E87" s="149" t="s">
        <v>283</v>
      </c>
      <c r="F87" s="140" t="s">
        <v>284</v>
      </c>
      <c r="G87" s="140" t="s">
        <v>238</v>
      </c>
      <c r="H87" s="146" t="s">
        <v>282</v>
      </c>
      <c r="I87" s="140" t="s">
        <v>283</v>
      </c>
      <c r="J87" s="140" t="s">
        <v>284</v>
      </c>
      <c r="K87" s="140" t="s">
        <v>238</v>
      </c>
      <c r="L87" s="140" t="s">
        <v>282</v>
      </c>
      <c r="M87" s="149" t="s">
        <v>283</v>
      </c>
      <c r="N87" s="140" t="s">
        <v>284</v>
      </c>
      <c r="O87" s="140" t="s">
        <v>238</v>
      </c>
      <c r="P87" s="140" t="s">
        <v>282</v>
      </c>
      <c r="Q87" s="149" t="s">
        <v>283</v>
      </c>
      <c r="R87" s="140" t="s">
        <v>284</v>
      </c>
      <c r="S87" s="140" t="s">
        <v>238</v>
      </c>
      <c r="T87" s="146" t="s">
        <v>282</v>
      </c>
      <c r="U87" s="140" t="s">
        <v>283</v>
      </c>
      <c r="V87" s="253" t="s">
        <v>284</v>
      </c>
      <c r="W87" s="236" t="s">
        <v>238</v>
      </c>
      <c r="X87" s="237" t="s">
        <v>282</v>
      </c>
      <c r="Y87" s="235" t="s">
        <v>283</v>
      </c>
      <c r="Z87" s="233" t="s">
        <v>284</v>
      </c>
      <c r="AA87" s="236" t="s">
        <v>238</v>
      </c>
      <c r="AB87" s="236" t="s">
        <v>282</v>
      </c>
      <c r="AC87" s="235" t="s">
        <v>283</v>
      </c>
      <c r="AD87" s="233" t="s">
        <v>284</v>
      </c>
      <c r="AE87" s="236" t="s">
        <v>238</v>
      </c>
      <c r="AF87" s="236" t="s">
        <v>282</v>
      </c>
      <c r="AG87" s="235" t="s">
        <v>283</v>
      </c>
    </row>
    <row r="88" spans="2:33" ht="25.75" customHeight="1" x14ac:dyDescent="0.35">
      <c r="B88" s="643" t="s">
        <v>468</v>
      </c>
      <c r="C88" s="453" t="s">
        <v>469</v>
      </c>
      <c r="D88" s="330">
        <f>'Haver Pivoted'!GO31</f>
        <v>2224.3000000000002</v>
      </c>
      <c r="E88" s="331">
        <f>'Haver Pivoted'!GP31</f>
        <v>2303.4</v>
      </c>
      <c r="F88" s="331">
        <f>'Haver Pivoted'!GQ31</f>
        <v>2319.4</v>
      </c>
      <c r="G88" s="331">
        <f>'Haver Pivoted'!GR31</f>
        <v>2333.8000000000002</v>
      </c>
      <c r="H88" s="331">
        <f>'Haver Pivoted'!GS31</f>
        <v>2346.4</v>
      </c>
      <c r="I88" s="331">
        <f>'Haver Pivoted'!GT31</f>
        <v>2407.5</v>
      </c>
      <c r="J88" s="331">
        <f>'Haver Pivoted'!GU31</f>
        <v>4698.7</v>
      </c>
      <c r="K88" s="331">
        <f>'Haver Pivoted'!GV31</f>
        <v>3492.4</v>
      </c>
      <c r="L88" s="331">
        <f>'Haver Pivoted'!GW31</f>
        <v>2881.6</v>
      </c>
      <c r="M88" s="331">
        <f>'Haver Pivoted'!GX31</f>
        <v>5094.8</v>
      </c>
      <c r="N88" s="331">
        <f>'Haver Pivoted'!GY31</f>
        <v>3395.6</v>
      </c>
      <c r="O88" s="331">
        <f>'Haver Pivoted'!GZ31</f>
        <v>3146.3</v>
      </c>
      <c r="P88" s="331">
        <f>'Haver Pivoted'!HA31</f>
        <v>2937.4</v>
      </c>
      <c r="Q88" s="331">
        <f>'Haver Pivoted'!HB31</f>
        <v>2863</v>
      </c>
      <c r="R88" s="331">
        <f>'Haver Pivoted'!HC31</f>
        <v>2846.5</v>
      </c>
      <c r="S88" s="332">
        <f>'Haver Pivoted'!HD31</f>
        <v>2840.1</v>
      </c>
      <c r="T88" s="663">
        <f>'Haver Pivoted'!HE31</f>
        <v>2882.8</v>
      </c>
      <c r="U88" s="332">
        <f>'Haver Pivoted'!HF31</f>
        <v>2963</v>
      </c>
      <c r="V88" s="332">
        <f>'Haver Pivoted'!HG31</f>
        <v>2952.8</v>
      </c>
      <c r="W88" s="673"/>
      <c r="X88" s="673"/>
      <c r="Y88" s="673"/>
      <c r="Z88" s="673"/>
      <c r="AA88" s="673"/>
      <c r="AB88" s="673"/>
      <c r="AC88" s="718"/>
      <c r="AD88" s="718"/>
      <c r="AE88" s="718"/>
      <c r="AF88" s="718"/>
      <c r="AG88" s="485"/>
    </row>
    <row r="89" spans="2:33" ht="25.75" customHeight="1" x14ac:dyDescent="0.35">
      <c r="B89" s="448" t="s">
        <v>1939</v>
      </c>
      <c r="C89" s="202"/>
      <c r="D89" s="693">
        <f>D90+D91</f>
        <v>813.09999999999991</v>
      </c>
      <c r="E89" s="401">
        <f>E90+E91</f>
        <v>832</v>
      </c>
      <c r="F89" s="401">
        <f>F90+F91</f>
        <v>842.69999999999993</v>
      </c>
      <c r="G89" s="401">
        <f t="shared" ref="G89:N89" si="28">G90+G91</f>
        <v>850.1</v>
      </c>
      <c r="H89" s="401">
        <f t="shared" si="28"/>
        <v>854</v>
      </c>
      <c r="I89" s="401">
        <f t="shared" si="28"/>
        <v>871.02350000000001</v>
      </c>
      <c r="J89" s="401">
        <f t="shared" si="28"/>
        <v>3187.1064999999999</v>
      </c>
      <c r="K89" s="401">
        <f t="shared" si="28"/>
        <v>1850.5785000000001</v>
      </c>
      <c r="L89" s="401">
        <f t="shared" si="28"/>
        <v>1300.1145000000001</v>
      </c>
      <c r="M89" s="401">
        <f t="shared" si="28"/>
        <v>3501.0425</v>
      </c>
      <c r="N89" s="401">
        <f t="shared" si="28"/>
        <v>1824.9133400000001</v>
      </c>
      <c r="O89" s="401">
        <f>O90+O91</f>
        <v>1573.4639933333328</v>
      </c>
      <c r="P89" s="401">
        <f t="shared" ref="P89" si="29">P90+P91</f>
        <v>1378.1348333333331</v>
      </c>
      <c r="Q89" s="401">
        <f t="shared" ref="Q89" si="30">Q90+Q91</f>
        <v>1205.9195</v>
      </c>
      <c r="R89" s="401">
        <f t="shared" ref="R89" si="31">R90+R91</f>
        <v>1180.8785</v>
      </c>
      <c r="S89" s="657">
        <f>S90+S91</f>
        <v>1169.9334999999999</v>
      </c>
      <c r="T89" s="657">
        <f t="shared" ref="T89" si="32">T90+T91</f>
        <v>1186.3285000000001</v>
      </c>
      <c r="U89" s="657">
        <f t="shared" ref="U89" si="33">U90+U91</f>
        <v>1117.7335</v>
      </c>
      <c r="V89" s="657">
        <f>V90+V91</f>
        <v>1097.4515000000001</v>
      </c>
      <c r="W89" s="402"/>
      <c r="X89" s="402"/>
      <c r="Y89" s="402"/>
      <c r="Z89" s="402"/>
      <c r="AA89" s="402"/>
      <c r="AB89" s="402"/>
      <c r="AC89" s="402"/>
      <c r="AD89" s="402"/>
      <c r="AE89" s="402"/>
      <c r="AF89" s="402"/>
      <c r="AG89" s="485"/>
    </row>
    <row r="90" spans="2:33" ht="25.75" customHeight="1" x14ac:dyDescent="0.35">
      <c r="B90" s="391" t="s">
        <v>1937</v>
      </c>
      <c r="C90" s="202"/>
      <c r="D90" s="693">
        <f t="shared" ref="D90:V90" si="34">D14+D17+D27</f>
        <v>813.09999999999991</v>
      </c>
      <c r="E90" s="693">
        <f t="shared" si="34"/>
        <v>832</v>
      </c>
      <c r="F90" s="401">
        <f t="shared" si="34"/>
        <v>842.69999999999993</v>
      </c>
      <c r="G90" s="401">
        <f t="shared" si="34"/>
        <v>850.1</v>
      </c>
      <c r="H90" s="401">
        <f t="shared" si="34"/>
        <v>854</v>
      </c>
      <c r="I90" s="401">
        <f t="shared" si="34"/>
        <v>866</v>
      </c>
      <c r="J90" s="401">
        <f t="shared" si="34"/>
        <v>1845.5</v>
      </c>
      <c r="K90" s="401">
        <f t="shared" si="34"/>
        <v>1645.2</v>
      </c>
      <c r="L90" s="401">
        <f t="shared" si="34"/>
        <v>1176.2</v>
      </c>
      <c r="M90" s="401">
        <f t="shared" si="34"/>
        <v>1448.2000000000003</v>
      </c>
      <c r="N90" s="401">
        <f t="shared" si="34"/>
        <v>1358.4</v>
      </c>
      <c r="O90" s="401">
        <f t="shared" si="34"/>
        <v>1353.5333333333328</v>
      </c>
      <c r="P90" s="401">
        <f t="shared" si="34"/>
        <v>1156.9333333333329</v>
      </c>
      <c r="Q90" s="401">
        <f t="shared" si="34"/>
        <v>1025.9000000000001</v>
      </c>
      <c r="R90" s="401">
        <f t="shared" si="34"/>
        <v>1024.7</v>
      </c>
      <c r="S90" s="657">
        <f t="shared" si="34"/>
        <v>1033.0999999999999</v>
      </c>
      <c r="T90" s="657">
        <f t="shared" si="34"/>
        <v>1056.3</v>
      </c>
      <c r="U90" s="657">
        <f t="shared" si="34"/>
        <v>1017.3</v>
      </c>
      <c r="V90" s="657">
        <f t="shared" si="34"/>
        <v>1024.4000000000001</v>
      </c>
      <c r="W90" s="402"/>
      <c r="X90" s="402"/>
      <c r="Y90" s="402"/>
      <c r="Z90" s="402"/>
      <c r="AA90" s="402"/>
      <c r="AB90" s="402"/>
      <c r="AC90" s="402"/>
      <c r="AD90" s="402"/>
      <c r="AE90" s="402"/>
      <c r="AF90" s="402"/>
      <c r="AG90" s="402"/>
    </row>
    <row r="91" spans="2:33" ht="36" customHeight="1" x14ac:dyDescent="0.35">
      <c r="B91" s="391" t="s">
        <v>1938</v>
      </c>
      <c r="C91" s="202"/>
      <c r="D91" s="657">
        <f t="shared" ref="D91:U91" si="35">D18+D21+D24+D25+D26+D28+D32</f>
        <v>0</v>
      </c>
      <c r="E91" s="657">
        <f t="shared" si="35"/>
        <v>0</v>
      </c>
      <c r="F91" s="657">
        <f t="shared" si="35"/>
        <v>0</v>
      </c>
      <c r="G91" s="657">
        <f t="shared" si="35"/>
        <v>0</v>
      </c>
      <c r="H91" s="657">
        <f t="shared" si="35"/>
        <v>0</v>
      </c>
      <c r="I91" s="657">
        <f t="shared" si="35"/>
        <v>5.0234999999999914</v>
      </c>
      <c r="J91" s="657">
        <f t="shared" si="35"/>
        <v>1341.6065000000001</v>
      </c>
      <c r="K91" s="657">
        <f t="shared" si="35"/>
        <v>205.37849999999997</v>
      </c>
      <c r="L91" s="657">
        <f t="shared" si="35"/>
        <v>123.9145</v>
      </c>
      <c r="M91" s="657">
        <f t="shared" si="35"/>
        <v>2052.8424999999997</v>
      </c>
      <c r="N91" s="657">
        <f t="shared" si="35"/>
        <v>466.51334000000008</v>
      </c>
      <c r="O91" s="657">
        <f t="shared" si="35"/>
        <v>219.93066000000007</v>
      </c>
      <c r="P91" s="657">
        <f t="shared" si="35"/>
        <v>221.20150000000004</v>
      </c>
      <c r="Q91" s="657">
        <f t="shared" si="35"/>
        <v>180.01949999999999</v>
      </c>
      <c r="R91" s="657">
        <f t="shared" si="35"/>
        <v>156.17850000000001</v>
      </c>
      <c r="S91" s="657">
        <f t="shared" si="35"/>
        <v>136.83349999999999</v>
      </c>
      <c r="T91" s="657">
        <f t="shared" si="35"/>
        <v>130.02850000000001</v>
      </c>
      <c r="U91" s="657">
        <f t="shared" si="35"/>
        <v>100.4335</v>
      </c>
      <c r="V91" s="657">
        <f>V18+V21+V24+V25+V26+V28+V32</f>
        <v>73.05149999999999</v>
      </c>
      <c r="W91" s="402">
        <f t="shared" ref="W91:AG91" si="36">W18+W21+W24+W25+W26+W28+W32</f>
        <v>73.05149999999999</v>
      </c>
      <c r="X91" s="402">
        <f t="shared" si="36"/>
        <v>58.885499999999986</v>
      </c>
      <c r="Y91" s="402">
        <f t="shared" si="36"/>
        <v>58.885499999999986</v>
      </c>
      <c r="Z91" s="402">
        <f t="shared" si="36"/>
        <v>58.885499999999986</v>
      </c>
      <c r="AA91" s="402">
        <f t="shared" si="36"/>
        <v>58.885499999999986</v>
      </c>
      <c r="AB91" s="402">
        <f t="shared" si="36"/>
        <v>58.714499999999987</v>
      </c>
      <c r="AC91" s="402">
        <f t="shared" si="36"/>
        <v>58.714499999999987</v>
      </c>
      <c r="AD91" s="402">
        <f t="shared" si="36"/>
        <v>58.714499999999987</v>
      </c>
      <c r="AE91" s="402">
        <f t="shared" si="36"/>
        <v>58.714499999999987</v>
      </c>
      <c r="AF91" s="402">
        <f t="shared" si="36"/>
        <v>40.634499999999989</v>
      </c>
      <c r="AG91" s="402">
        <f t="shared" si="36"/>
        <v>38.473499999999987</v>
      </c>
    </row>
    <row r="92" spans="2:33" ht="25.75" customHeight="1" x14ac:dyDescent="0.35">
      <c r="B92" s="448" t="s">
        <v>805</v>
      </c>
      <c r="C92" s="202"/>
      <c r="D92" s="657">
        <f t="shared" ref="D92:U92" si="37">D88-D89</f>
        <v>1411.2000000000003</v>
      </c>
      <c r="E92" s="657">
        <f t="shared" si="37"/>
        <v>1471.4</v>
      </c>
      <c r="F92" s="657">
        <f t="shared" si="37"/>
        <v>1476.7000000000003</v>
      </c>
      <c r="G92" s="657">
        <f t="shared" si="37"/>
        <v>1483.7000000000003</v>
      </c>
      <c r="H92" s="657">
        <f t="shared" si="37"/>
        <v>1492.4</v>
      </c>
      <c r="I92" s="657">
        <f t="shared" si="37"/>
        <v>1536.4765</v>
      </c>
      <c r="J92" s="657">
        <f t="shared" si="37"/>
        <v>1511.5934999999999</v>
      </c>
      <c r="K92" s="657">
        <f t="shared" si="37"/>
        <v>1641.8215</v>
      </c>
      <c r="L92" s="657">
        <f t="shared" si="37"/>
        <v>1581.4854999999998</v>
      </c>
      <c r="M92" s="657">
        <f t="shared" si="37"/>
        <v>1593.7575000000002</v>
      </c>
      <c r="N92" s="657">
        <f t="shared" si="37"/>
        <v>1570.6866599999998</v>
      </c>
      <c r="O92" s="657">
        <f t="shared" si="37"/>
        <v>1572.8360066666673</v>
      </c>
      <c r="P92" s="657">
        <f t="shared" si="37"/>
        <v>1559.265166666667</v>
      </c>
      <c r="Q92" s="657">
        <f t="shared" si="37"/>
        <v>1657.0805</v>
      </c>
      <c r="R92" s="657">
        <f t="shared" si="37"/>
        <v>1665.6215</v>
      </c>
      <c r="S92" s="657">
        <f t="shared" si="37"/>
        <v>1670.1665</v>
      </c>
      <c r="T92" s="657">
        <f t="shared" si="37"/>
        <v>1696.4715000000001</v>
      </c>
      <c r="U92" s="657">
        <f t="shared" si="37"/>
        <v>1845.2665</v>
      </c>
      <c r="V92" s="657">
        <f>V88-V89</f>
        <v>1855.3485000000001</v>
      </c>
      <c r="W92" s="402"/>
      <c r="X92" s="402"/>
      <c r="Y92" s="402"/>
      <c r="Z92" s="402"/>
      <c r="AA92" s="402"/>
      <c r="AB92" s="402"/>
      <c r="AC92" s="402"/>
      <c r="AD92" s="402"/>
      <c r="AE92" s="402"/>
      <c r="AF92" s="402"/>
      <c r="AG92" s="485"/>
    </row>
    <row r="93" spans="2:33" ht="20.5" customHeight="1" x14ac:dyDescent="0.35">
      <c r="B93" s="674" t="s">
        <v>806</v>
      </c>
      <c r="C93" s="675"/>
      <c r="D93" s="681">
        <f t="shared" ref="D93:I93" si="38">D12-D14-D17-D27</f>
        <v>1411.2</v>
      </c>
      <c r="E93" s="682">
        <f t="shared" si="38"/>
        <v>1471.4</v>
      </c>
      <c r="F93" s="682">
        <f t="shared" si="38"/>
        <v>1476.7</v>
      </c>
      <c r="G93" s="682">
        <f t="shared" si="38"/>
        <v>1483.7</v>
      </c>
      <c r="H93" s="682">
        <f t="shared" si="38"/>
        <v>1492.4000000000003</v>
      </c>
      <c r="I93" s="682">
        <f t="shared" si="38"/>
        <v>1541.5000000000002</v>
      </c>
      <c r="J93" s="683">
        <f>I93+($H$93-$E$93)/3</f>
        <v>1548.5000000000002</v>
      </c>
      <c r="K93" s="683">
        <f>J93+($H$93-$E$93)/3</f>
        <v>1555.5000000000002</v>
      </c>
      <c r="L93" s="683">
        <f>K93+($H$93-$E$93)/3</f>
        <v>1562.5000000000002</v>
      </c>
      <c r="M93" s="684">
        <f>L93+($H$93-$E$93)/3 +(M97-L97)</f>
        <v>1586.9430000000002</v>
      </c>
      <c r="N93" s="683">
        <f>M93+($H$93-$E$93)/3</f>
        <v>1593.9430000000002</v>
      </c>
      <c r="O93" s="683">
        <f>N93+($H$93-$E$93)/3</f>
        <v>1600.9430000000002</v>
      </c>
      <c r="P93" s="683">
        <f>O93+($H$93-$E$93)/3</f>
        <v>1607.9430000000002</v>
      </c>
      <c r="Q93" s="684">
        <f>P93+($H$93-$E$93)/3 + 0.06*Q97</f>
        <v>1686.8657200000002</v>
      </c>
      <c r="R93" s="683">
        <f>Q93+($H$93-$E$93)/3</f>
        <v>1693.8657200000002</v>
      </c>
      <c r="S93" s="683">
        <f>R93+($H$93-$E$93)/3</f>
        <v>1700.8657200000002</v>
      </c>
      <c r="T93" s="683">
        <f>S93+($H$93-$E$93)/3</f>
        <v>1707.8657200000002</v>
      </c>
      <c r="U93" s="683">
        <f>T93+U94</f>
        <v>1821.4964000000002</v>
      </c>
      <c r="V93" s="683">
        <f>U93+V94</f>
        <v>1828.4964000000002</v>
      </c>
      <c r="W93" s="676">
        <f t="shared" ref="W93:AC93" si="39">V93+W94</f>
        <v>1835.4964000000002</v>
      </c>
      <c r="X93" s="676">
        <f t="shared" si="39"/>
        <v>1842.4964000000002</v>
      </c>
      <c r="Y93" s="676">
        <f t="shared" si="39"/>
        <v>1892.1631197000004</v>
      </c>
      <c r="Z93" s="676">
        <f t="shared" si="39"/>
        <v>1899.1631197000004</v>
      </c>
      <c r="AA93" s="676">
        <f t="shared" si="39"/>
        <v>1906.1631197000004</v>
      </c>
      <c r="AB93" s="676">
        <f t="shared" si="39"/>
        <v>1913.1631197000004</v>
      </c>
      <c r="AC93" s="676">
        <f t="shared" si="39"/>
        <v>1949.8260890960005</v>
      </c>
      <c r="AD93" s="676">
        <f t="shared" ref="AD93" si="40">AC93+AD94</f>
        <v>1956.8260890960005</v>
      </c>
      <c r="AE93" s="676">
        <f t="shared" ref="AE93" si="41">AD93+AE94</f>
        <v>1963.8260890960005</v>
      </c>
      <c r="AF93" s="676">
        <f t="shared" ref="AF93" si="42">AE93+AF94</f>
        <v>1970.8260890960005</v>
      </c>
      <c r="AG93" s="469"/>
    </row>
    <row r="94" spans="2:33" ht="20.5" customHeight="1" x14ac:dyDescent="0.35">
      <c r="B94" s="677" t="s">
        <v>1868</v>
      </c>
      <c r="C94" s="202"/>
      <c r="D94" s="693"/>
      <c r="E94" s="401"/>
      <c r="F94" s="401"/>
      <c r="G94" s="401"/>
      <c r="H94" s="401"/>
      <c r="I94" s="401"/>
      <c r="J94" s="658"/>
      <c r="K94" s="658"/>
      <c r="L94" s="658"/>
      <c r="M94" s="685"/>
      <c r="N94" s="658"/>
      <c r="O94" s="658"/>
      <c r="P94" s="658"/>
      <c r="Q94" s="685"/>
      <c r="R94" s="658"/>
      <c r="S94" s="658"/>
      <c r="T94" s="658"/>
      <c r="U94" s="658">
        <f>U95+U96</f>
        <v>113.63068000000007</v>
      </c>
      <c r="V94" s="658">
        <f>V95+V96</f>
        <v>7.0000000000000755</v>
      </c>
      <c r="W94" s="402">
        <f t="shared" ref="W94:AC94" si="43">W95+W100*W97</f>
        <v>7.0000000000000755</v>
      </c>
      <c r="X94" s="402">
        <f t="shared" si="43"/>
        <v>7.0000000000000755</v>
      </c>
      <c r="Y94" s="402">
        <f t="shared" si="43"/>
        <v>49.666719700000073</v>
      </c>
      <c r="Z94" s="402">
        <f t="shared" si="43"/>
        <v>7.0000000000000755</v>
      </c>
      <c r="AA94" s="402">
        <f t="shared" si="43"/>
        <v>7.0000000000000755</v>
      </c>
      <c r="AB94" s="402">
        <f t="shared" si="43"/>
        <v>7.0000000000000755</v>
      </c>
      <c r="AC94" s="402">
        <f t="shared" si="43"/>
        <v>36.662969396000072</v>
      </c>
      <c r="AD94" s="402">
        <f t="shared" ref="AD94:AF94" si="44">AD95+AD100*AD97</f>
        <v>7.0000000000000755</v>
      </c>
      <c r="AE94" s="402">
        <f t="shared" si="44"/>
        <v>7.0000000000000755</v>
      </c>
      <c r="AF94" s="402">
        <f t="shared" si="44"/>
        <v>7.0000000000000755</v>
      </c>
      <c r="AG94" s="485"/>
    </row>
    <row r="95" spans="2:33" ht="28.4" customHeight="1" x14ac:dyDescent="0.35">
      <c r="B95" s="678" t="s">
        <v>1865</v>
      </c>
      <c r="C95" s="202"/>
      <c r="D95" s="693"/>
      <c r="E95" s="401"/>
      <c r="F95" s="401"/>
      <c r="G95" s="401"/>
      <c r="H95" s="401"/>
      <c r="I95" s="401"/>
      <c r="J95" s="658"/>
      <c r="K95" s="658"/>
      <c r="L95" s="658"/>
      <c r="M95" s="685"/>
      <c r="N95" s="658"/>
      <c r="O95" s="658"/>
      <c r="P95" s="658"/>
      <c r="Q95" s="685"/>
      <c r="R95" s="658"/>
      <c r="S95" s="658"/>
      <c r="T95" s="658"/>
      <c r="U95" s="658">
        <f>($H$93-$E$93)/3</f>
        <v>7.0000000000000755</v>
      </c>
      <c r="V95" s="658">
        <f>($H$93-$E$93)/3</f>
        <v>7.0000000000000755</v>
      </c>
      <c r="W95" s="402">
        <f t="shared" ref="W95:AC95" si="45">V95</f>
        <v>7.0000000000000755</v>
      </c>
      <c r="X95" s="402">
        <f t="shared" si="45"/>
        <v>7.0000000000000755</v>
      </c>
      <c r="Y95" s="402">
        <f t="shared" si="45"/>
        <v>7.0000000000000755</v>
      </c>
      <c r="Z95" s="402">
        <f t="shared" si="45"/>
        <v>7.0000000000000755</v>
      </c>
      <c r="AA95" s="402">
        <f t="shared" si="45"/>
        <v>7.0000000000000755</v>
      </c>
      <c r="AB95" s="402">
        <f t="shared" si="45"/>
        <v>7.0000000000000755</v>
      </c>
      <c r="AC95" s="402">
        <f t="shared" si="45"/>
        <v>7.0000000000000755</v>
      </c>
      <c r="AD95" s="402">
        <f t="shared" ref="AD95" si="46">AC95</f>
        <v>7.0000000000000755</v>
      </c>
      <c r="AE95" s="402">
        <f t="shared" ref="AE95" si="47">AD95</f>
        <v>7.0000000000000755</v>
      </c>
      <c r="AF95" s="402">
        <f t="shared" ref="AF95" si="48">AE95</f>
        <v>7.0000000000000755</v>
      </c>
      <c r="AG95" s="485"/>
    </row>
    <row r="96" spans="2:33" ht="30.65" customHeight="1" x14ac:dyDescent="0.35">
      <c r="B96" s="679" t="s">
        <v>1866</v>
      </c>
      <c r="C96" s="680"/>
      <c r="D96" s="686"/>
      <c r="E96" s="687"/>
      <c r="F96" s="687"/>
      <c r="G96" s="687"/>
      <c r="H96" s="687"/>
      <c r="I96" s="687"/>
      <c r="J96" s="688"/>
      <c r="K96" s="688"/>
      <c r="L96" s="688"/>
      <c r="M96" s="689"/>
      <c r="N96" s="688"/>
      <c r="O96" s="688"/>
      <c r="P96" s="688"/>
      <c r="Q96" s="689"/>
      <c r="R96" s="688"/>
      <c r="S96" s="688"/>
      <c r="T96" s="688"/>
      <c r="U96" s="688">
        <f>U100*T97</f>
        <v>106.63068</v>
      </c>
      <c r="V96" s="688">
        <f>V100*U97</f>
        <v>0</v>
      </c>
      <c r="W96" s="690">
        <f t="shared" ref="W96:AC96" si="49">W100*V97</f>
        <v>0</v>
      </c>
      <c r="X96" s="690">
        <f t="shared" si="49"/>
        <v>0</v>
      </c>
      <c r="Y96" s="690">
        <f>Y100*X97</f>
        <v>41.190989999999992</v>
      </c>
      <c r="Z96" s="690">
        <f t="shared" si="49"/>
        <v>0</v>
      </c>
      <c r="AA96" s="690">
        <f t="shared" si="49"/>
        <v>0</v>
      </c>
      <c r="AB96" s="690">
        <f t="shared" si="49"/>
        <v>0</v>
      </c>
      <c r="AC96" s="690">
        <f t="shared" si="49"/>
        <v>28.9244798</v>
      </c>
      <c r="AD96" s="690">
        <f t="shared" ref="AD96" si="50">AD100*AC97</f>
        <v>0</v>
      </c>
      <c r="AE96" s="690">
        <f t="shared" ref="AE96" si="51">AE100*AD97</f>
        <v>0</v>
      </c>
      <c r="AF96" s="690">
        <f t="shared" ref="AF96" si="52">AF100*AE97</f>
        <v>0</v>
      </c>
      <c r="AG96" s="485"/>
    </row>
    <row r="97" spans="2:33" ht="17.5" customHeight="1" x14ac:dyDescent="0.35">
      <c r="B97" s="250" t="s">
        <v>476</v>
      </c>
      <c r="C97" s="202" t="s">
        <v>477</v>
      </c>
      <c r="D97" s="693">
        <f>'Haver Pivoted'!GO88/1000</f>
        <v>983.88599999999997</v>
      </c>
      <c r="E97" s="401">
        <f>'Haver Pivoted'!GP88/1000</f>
        <v>1019.2089999999999</v>
      </c>
      <c r="F97" s="401">
        <f>'Haver Pivoted'!GQ88/1000</f>
        <v>1026.6220000000001</v>
      </c>
      <c r="G97" s="401">
        <f>'Haver Pivoted'!GR88/1000</f>
        <v>1034.357</v>
      </c>
      <c r="H97" s="401">
        <f>'Haver Pivoted'!GS88/1000</f>
        <v>1042.7819999999999</v>
      </c>
      <c r="I97" s="401">
        <f>'Haver Pivoted'!GT88/1000</f>
        <v>1068.2280000000001</v>
      </c>
      <c r="J97" s="401">
        <f>'Haver Pivoted'!GU88/1000</f>
        <v>1074.912</v>
      </c>
      <c r="K97" s="401">
        <f>'Haver Pivoted'!GV88/1000</f>
        <v>1080.3399999999999</v>
      </c>
      <c r="L97" s="401">
        <f>'Haver Pivoted'!GW88/1000</f>
        <v>1088.2329999999999</v>
      </c>
      <c r="M97" s="401">
        <f>'Haver Pivoted'!GX88/1000</f>
        <v>1105.6759999999999</v>
      </c>
      <c r="N97" s="401">
        <f>'Haver Pivoted'!GY88/1000</f>
        <v>1109.3710000000001</v>
      </c>
      <c r="O97" s="401">
        <f>'Haver Pivoted'!GZ88/1000</f>
        <v>1116.8150000000001</v>
      </c>
      <c r="P97" s="401">
        <f>'Haver Pivoted'!HA88/1000</f>
        <v>1126.539</v>
      </c>
      <c r="Q97" s="401">
        <f>'Haver Pivoted'!HB88/1000</f>
        <v>1198.712</v>
      </c>
      <c r="R97" s="401">
        <f>'Haver Pivoted'!HC88/1000</f>
        <v>1206.8920000000001</v>
      </c>
      <c r="S97" s="657">
        <f>'Haver Pivoted'!HD88/1000</f>
        <v>1214.6369999999999</v>
      </c>
      <c r="T97" s="657">
        <f>'Haver Pivoted'!HE88/1000</f>
        <v>1225.6400000000001</v>
      </c>
      <c r="U97" s="657">
        <f>'Haver Pivoted'!HF88/1000</f>
        <v>1340.1120000000001</v>
      </c>
      <c r="V97" s="657">
        <f>'Haver Pivoted'!HG88/1000</f>
        <v>1354.0329999999999</v>
      </c>
      <c r="W97" s="402">
        <f t="shared" ref="W97:AC97" si="53">V97+W98</f>
        <v>1365.0329999999999</v>
      </c>
      <c r="X97" s="402">
        <f t="shared" si="53"/>
        <v>1373.0329999999999</v>
      </c>
      <c r="Y97" s="402">
        <f t="shared" si="53"/>
        <v>1422.22399</v>
      </c>
      <c r="Z97" s="402">
        <f t="shared" si="53"/>
        <v>1430.22399</v>
      </c>
      <c r="AA97" s="402">
        <f t="shared" si="53"/>
        <v>1438.22399</v>
      </c>
      <c r="AB97" s="402">
        <f t="shared" si="53"/>
        <v>1446.22399</v>
      </c>
      <c r="AC97" s="402">
        <f t="shared" si="53"/>
        <v>1483.1484697999999</v>
      </c>
      <c r="AD97" s="402">
        <f t="shared" ref="AD97" si="54">AC97+AD98</f>
        <v>1492.1484697999999</v>
      </c>
      <c r="AE97" s="402">
        <f t="shared" ref="AE97" si="55">AD97+AE98</f>
        <v>1502.1484697999999</v>
      </c>
      <c r="AF97" s="402">
        <f t="shared" ref="AF97" si="56">AE97+AF98</f>
        <v>1513.1484697999999</v>
      </c>
      <c r="AG97" s="485"/>
    </row>
    <row r="98" spans="2:33" ht="17.5" customHeight="1" x14ac:dyDescent="0.35">
      <c r="B98" s="391" t="s">
        <v>1867</v>
      </c>
      <c r="C98" s="202"/>
      <c r="D98" s="693"/>
      <c r="E98" s="401"/>
      <c r="F98" s="401"/>
      <c r="G98" s="401"/>
      <c r="H98" s="401"/>
      <c r="I98" s="401"/>
      <c r="J98" s="401"/>
      <c r="K98" s="401"/>
      <c r="L98" s="401"/>
      <c r="M98" s="401"/>
      <c r="N98" s="401"/>
      <c r="O98" s="401"/>
      <c r="P98" s="401"/>
      <c r="Q98" s="401"/>
      <c r="R98" s="401"/>
      <c r="S98" s="657"/>
      <c r="T98" s="657"/>
      <c r="U98" s="657">
        <f>U96+U99</f>
        <v>114.63068</v>
      </c>
      <c r="V98" s="657">
        <f>V96+V99</f>
        <v>8</v>
      </c>
      <c r="W98" s="402">
        <f t="shared" ref="W98:AC98" si="57">W96+W99</f>
        <v>11</v>
      </c>
      <c r="X98" s="402">
        <f t="shared" si="57"/>
        <v>8</v>
      </c>
      <c r="Y98" s="402">
        <f>Y96+Y99</f>
        <v>49.190989999999992</v>
      </c>
      <c r="Z98" s="402">
        <f t="shared" si="57"/>
        <v>8</v>
      </c>
      <c r="AA98" s="402">
        <f t="shared" si="57"/>
        <v>8</v>
      </c>
      <c r="AB98" s="402">
        <f t="shared" si="57"/>
        <v>8</v>
      </c>
      <c r="AC98" s="402">
        <f t="shared" si="57"/>
        <v>36.9244798</v>
      </c>
      <c r="AD98" s="402">
        <f t="shared" ref="AD98:AF98" si="58">AD96+AD99</f>
        <v>9</v>
      </c>
      <c r="AE98" s="402">
        <f t="shared" si="58"/>
        <v>10</v>
      </c>
      <c r="AF98" s="402">
        <f t="shared" si="58"/>
        <v>11</v>
      </c>
      <c r="AG98" s="485"/>
    </row>
    <row r="99" spans="2:33" ht="17.5" customHeight="1" x14ac:dyDescent="0.35">
      <c r="B99" s="382" t="s">
        <v>1870</v>
      </c>
      <c r="C99" s="202"/>
      <c r="D99" s="693"/>
      <c r="E99" s="401"/>
      <c r="F99" s="401"/>
      <c r="G99" s="401"/>
      <c r="H99" s="401"/>
      <c r="I99" s="401"/>
      <c r="J99" s="401"/>
      <c r="K99" s="401"/>
      <c r="L99" s="401"/>
      <c r="M99" s="401"/>
      <c r="N99" s="401"/>
      <c r="O99" s="401"/>
      <c r="P99" s="401"/>
      <c r="Q99" s="401"/>
      <c r="R99" s="401"/>
      <c r="S99" s="657"/>
      <c r="T99" s="657"/>
      <c r="U99" s="657">
        <v>8</v>
      </c>
      <c r="V99" s="657">
        <v>8</v>
      </c>
      <c r="W99" s="402">
        <v>11</v>
      </c>
      <c r="X99" s="402">
        <v>8</v>
      </c>
      <c r="Y99" s="402">
        <v>8</v>
      </c>
      <c r="Z99" s="402">
        <v>8</v>
      </c>
      <c r="AA99" s="402">
        <v>8</v>
      </c>
      <c r="AB99" s="402">
        <v>8</v>
      </c>
      <c r="AC99" s="402">
        <v>8</v>
      </c>
      <c r="AD99" s="402">
        <v>9</v>
      </c>
      <c r="AE99" s="402">
        <v>10</v>
      </c>
      <c r="AF99" s="402">
        <v>11</v>
      </c>
      <c r="AG99" s="485"/>
    </row>
    <row r="100" spans="2:33" ht="39" customHeight="1" x14ac:dyDescent="0.35">
      <c r="B100" s="382" t="s">
        <v>1871</v>
      </c>
      <c r="C100" s="202"/>
      <c r="D100" s="693"/>
      <c r="E100" s="401"/>
      <c r="F100" s="401"/>
      <c r="G100" s="401"/>
      <c r="H100" s="401"/>
      <c r="I100" s="687"/>
      <c r="J100" s="687"/>
      <c r="K100" s="687"/>
      <c r="L100" s="687"/>
      <c r="M100" s="687"/>
      <c r="N100" s="687"/>
      <c r="O100" s="687"/>
      <c r="P100" s="687"/>
      <c r="Q100" s="687"/>
      <c r="R100" s="687"/>
      <c r="S100" s="691"/>
      <c r="T100" s="691"/>
      <c r="U100" s="659">
        <v>8.6999999999999994E-2</v>
      </c>
      <c r="V100" s="661">
        <v>0</v>
      </c>
      <c r="W100" s="692">
        <v>0</v>
      </c>
      <c r="X100" s="692">
        <v>0</v>
      </c>
      <c r="Y100" s="692">
        <v>0.03</v>
      </c>
      <c r="Z100" s="692">
        <v>0</v>
      </c>
      <c r="AA100" s="692">
        <v>0</v>
      </c>
      <c r="AB100" s="692">
        <v>0</v>
      </c>
      <c r="AC100" s="692">
        <v>0.02</v>
      </c>
      <c r="AD100" s="692">
        <v>0</v>
      </c>
      <c r="AE100" s="692">
        <v>0</v>
      </c>
      <c r="AF100" s="692">
        <v>0</v>
      </c>
      <c r="AG100" s="485"/>
    </row>
    <row r="101" spans="2:33" ht="49.75" customHeight="1" x14ac:dyDescent="0.35">
      <c r="B101" s="448" t="s">
        <v>1438</v>
      </c>
      <c r="C101" s="202"/>
      <c r="D101" s="693">
        <f t="shared" ref="D101:T101" si="59">D92-D93</f>
        <v>0</v>
      </c>
      <c r="E101" s="401">
        <f t="shared" si="59"/>
        <v>0</v>
      </c>
      <c r="F101" s="401">
        <f t="shared" si="59"/>
        <v>0</v>
      </c>
      <c r="G101" s="401">
        <f t="shared" si="59"/>
        <v>0</v>
      </c>
      <c r="H101" s="401">
        <f t="shared" si="59"/>
        <v>0</v>
      </c>
      <c r="I101" s="401">
        <f t="shared" si="59"/>
        <v>-5.0235000000002401</v>
      </c>
      <c r="J101" s="401">
        <f t="shared" si="59"/>
        <v>-36.906500000000278</v>
      </c>
      <c r="K101" s="401">
        <f t="shared" si="59"/>
        <v>86.321499999999787</v>
      </c>
      <c r="L101" s="401">
        <f t="shared" si="59"/>
        <v>18.985499999999547</v>
      </c>
      <c r="M101" s="401">
        <f t="shared" si="59"/>
        <v>6.8144999999999527</v>
      </c>
      <c r="N101" s="401">
        <f t="shared" si="59"/>
        <v>-23.256340000000364</v>
      </c>
      <c r="O101" s="401">
        <f t="shared" si="59"/>
        <v>-28.106993333332866</v>
      </c>
      <c r="P101" s="401">
        <f t="shared" si="59"/>
        <v>-48.677833333333183</v>
      </c>
      <c r="Q101" s="401">
        <f t="shared" si="59"/>
        <v>-29.785220000000209</v>
      </c>
      <c r="R101" s="401">
        <f t="shared" si="59"/>
        <v>-28.244220000000269</v>
      </c>
      <c r="S101" s="657">
        <f t="shared" si="59"/>
        <v>-30.699220000000196</v>
      </c>
      <c r="T101" s="657">
        <f t="shared" si="59"/>
        <v>-11.394220000000132</v>
      </c>
      <c r="U101" s="657">
        <f>U92-U93</f>
        <v>23.770099999999729</v>
      </c>
      <c r="V101" s="657">
        <f>V92-V93</f>
        <v>26.852099999999837</v>
      </c>
      <c r="W101" s="402">
        <f t="shared" ref="W101:AC101" si="60">V101</f>
        <v>26.852099999999837</v>
      </c>
      <c r="X101" s="402">
        <f t="shared" si="60"/>
        <v>26.852099999999837</v>
      </c>
      <c r="Y101" s="402">
        <f t="shared" si="60"/>
        <v>26.852099999999837</v>
      </c>
      <c r="Z101" s="402">
        <f t="shared" si="60"/>
        <v>26.852099999999837</v>
      </c>
      <c r="AA101" s="402">
        <f t="shared" si="60"/>
        <v>26.852099999999837</v>
      </c>
      <c r="AB101" s="402">
        <f t="shared" si="60"/>
        <v>26.852099999999837</v>
      </c>
      <c r="AC101" s="402">
        <f t="shared" si="60"/>
        <v>26.852099999999837</v>
      </c>
      <c r="AD101" s="402">
        <f t="shared" ref="AD101" si="61">AC101</f>
        <v>26.852099999999837</v>
      </c>
      <c r="AE101" s="402">
        <f t="shared" ref="AE101" si="62">AD101</f>
        <v>26.852099999999837</v>
      </c>
      <c r="AF101" s="402">
        <f t="shared" ref="AF101" si="63">AE101</f>
        <v>26.852099999999837</v>
      </c>
      <c r="AG101" s="469"/>
    </row>
    <row r="102" spans="2:33" ht="29.5" customHeight="1" x14ac:dyDescent="0.35">
      <c r="B102" s="249"/>
      <c r="C102" s="202"/>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2:33" ht="16.75" customHeight="1" x14ac:dyDescent="0.35">
      <c r="B103" s="202"/>
      <c r="C103" s="202"/>
      <c r="S103" s="530"/>
      <c r="T103" s="530"/>
      <c r="U103" s="202"/>
      <c r="V103" s="202"/>
      <c r="W103" s="202"/>
      <c r="X103" s="202"/>
      <c r="Y103" s="202"/>
      <c r="Z103" s="202"/>
      <c r="AA103" s="202"/>
      <c r="AB103" s="202"/>
      <c r="AC103" s="202"/>
    </row>
    <row r="104" spans="2:33" ht="16.75" customHeight="1" x14ac:dyDescent="0.35">
      <c r="B104" s="202"/>
      <c r="C104" s="202"/>
      <c r="S104" s="193"/>
      <c r="T104" s="193"/>
      <c r="U104" s="202"/>
      <c r="V104" s="202"/>
      <c r="W104" s="202"/>
      <c r="X104" s="202"/>
      <c r="Y104" s="202"/>
      <c r="Z104" s="202"/>
      <c r="AA104" s="202"/>
      <c r="AB104" s="202"/>
      <c r="AC104" s="202"/>
    </row>
    <row r="105" spans="2:33" ht="16.75" customHeight="1" x14ac:dyDescent="0.35">
      <c r="B105" s="202"/>
      <c r="C105" s="202"/>
      <c r="S105" s="193"/>
      <c r="T105" s="193"/>
      <c r="U105" s="202"/>
      <c r="V105" s="202"/>
      <c r="W105" s="202"/>
      <c r="X105" s="202"/>
      <c r="Y105" s="202"/>
      <c r="Z105" s="202"/>
      <c r="AA105" s="202"/>
      <c r="AB105" s="202"/>
      <c r="AC105" s="202"/>
    </row>
    <row r="106" spans="2:33" ht="16.75" customHeight="1" x14ac:dyDescent="0.35">
      <c r="B106" s="202"/>
      <c r="C106" s="202"/>
      <c r="S106" s="193"/>
      <c r="T106" s="193"/>
      <c r="U106" s="401"/>
      <c r="V106" s="401"/>
      <c r="W106" s="401"/>
      <c r="X106" s="401"/>
      <c r="Y106" s="401"/>
      <c r="Z106" s="401"/>
      <c r="AA106" s="401"/>
      <c r="AB106" s="401"/>
      <c r="AC106" s="401"/>
      <c r="AD106" s="495"/>
    </row>
    <row r="107" spans="2:33" ht="16.75" customHeight="1" x14ac:dyDescent="0.35">
      <c r="B107" s="437"/>
      <c r="C107" s="202"/>
      <c r="S107" s="193"/>
      <c r="T107" s="193"/>
      <c r="U107" s="193"/>
      <c r="V107" s="193"/>
      <c r="W107" s="193"/>
      <c r="X107" s="193"/>
      <c r="Y107" s="193"/>
      <c r="Z107" s="193"/>
      <c r="AA107" s="193"/>
      <c r="AB107" s="193"/>
      <c r="AC107" s="193"/>
      <c r="AD107" s="495"/>
    </row>
    <row r="108" spans="2:33" ht="16.75" customHeight="1" x14ac:dyDescent="0.35">
      <c r="B108" s="437"/>
      <c r="C108" s="202"/>
      <c r="S108" s="193"/>
      <c r="T108" s="193"/>
      <c r="U108" s="193"/>
      <c r="V108" s="193"/>
      <c r="W108" s="193"/>
      <c r="X108" s="193"/>
      <c r="Y108" s="193"/>
      <c r="Z108" s="193"/>
      <c r="AA108" s="193"/>
      <c r="AB108" s="193"/>
      <c r="AC108" s="193"/>
      <c r="AD108" s="495"/>
    </row>
    <row r="109" spans="2:33" ht="16.75" customHeight="1" x14ac:dyDescent="0.35">
      <c r="B109" s="437"/>
      <c r="C109" s="202"/>
      <c r="S109" s="193"/>
      <c r="T109" s="193"/>
      <c r="U109" s="193"/>
      <c r="V109" s="193"/>
      <c r="W109" s="193"/>
      <c r="X109" s="193"/>
      <c r="Y109" s="193"/>
      <c r="Z109" s="193"/>
      <c r="AA109" s="193"/>
      <c r="AB109" s="193"/>
      <c r="AC109" s="193"/>
      <c r="AD109" s="495"/>
    </row>
    <row r="110" spans="2:33" ht="16.75" customHeight="1" x14ac:dyDescent="0.35">
      <c r="B110" s="202"/>
      <c r="C110" s="202"/>
      <c r="S110" s="202"/>
      <c r="T110" s="202"/>
      <c r="U110" s="401"/>
      <c r="V110" s="401"/>
      <c r="W110" s="401"/>
      <c r="X110" s="401"/>
      <c r="Y110" s="401"/>
      <c r="Z110" s="401"/>
      <c r="AA110" s="401"/>
      <c r="AB110" s="401"/>
      <c r="AC110" s="401"/>
      <c r="AD110" s="495"/>
    </row>
    <row r="111" spans="2:33" ht="16.75" customHeight="1" x14ac:dyDescent="0.35">
      <c r="B111" s="437"/>
      <c r="C111" s="202"/>
      <c r="S111" s="202"/>
      <c r="T111" s="202"/>
      <c r="U111" s="401"/>
      <c r="V111" s="401"/>
      <c r="W111" s="401"/>
      <c r="X111" s="401"/>
      <c r="Y111" s="401"/>
      <c r="Z111" s="401"/>
      <c r="AA111" s="401"/>
      <c r="AB111" s="401"/>
      <c r="AC111" s="401"/>
      <c r="AD111" s="495"/>
    </row>
    <row r="112" spans="2:33" ht="16.75" customHeight="1" x14ac:dyDescent="0.35">
      <c r="B112" s="437"/>
      <c r="C112" s="202"/>
      <c r="S112" s="202"/>
      <c r="T112" s="202"/>
      <c r="U112" s="193"/>
      <c r="V112" s="193"/>
      <c r="W112" s="193"/>
      <c r="X112" s="193"/>
      <c r="Y112" s="193"/>
      <c r="Z112" s="193"/>
      <c r="AA112" s="193"/>
      <c r="AB112" s="193"/>
      <c r="AC112" s="193"/>
      <c r="AD112" s="495"/>
    </row>
    <row r="113" spans="2:30" ht="16.75" customHeight="1" x14ac:dyDescent="0.35">
      <c r="B113" s="437"/>
      <c r="C113" s="202"/>
      <c r="S113" s="202"/>
      <c r="T113" s="202"/>
      <c r="U113" s="660"/>
      <c r="V113" s="660"/>
      <c r="W113" s="660"/>
      <c r="X113" s="660"/>
      <c r="Y113" s="660"/>
      <c r="Z113" s="660"/>
      <c r="AA113" s="660"/>
      <c r="AB113" s="660"/>
      <c r="AC113" s="660"/>
      <c r="AD113" s="495"/>
    </row>
    <row r="114" spans="2:30" ht="16.75" customHeight="1" x14ac:dyDescent="0.35">
      <c r="B114" s="202"/>
      <c r="C114" s="202"/>
      <c r="S114" s="193"/>
      <c r="T114" s="193"/>
      <c r="U114" s="193"/>
      <c r="V114" s="193"/>
      <c r="W114" s="193"/>
      <c r="X114" s="193"/>
      <c r="Y114" s="193"/>
      <c r="Z114" s="193"/>
      <c r="AA114" s="193"/>
      <c r="AB114" s="193"/>
      <c r="AC114" s="193"/>
      <c r="AD114" s="495"/>
    </row>
    <row r="115" spans="2:30" ht="22.5" customHeight="1" x14ac:dyDescent="0.35">
      <c r="B115" s="249"/>
      <c r="C115" s="202"/>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2:30" ht="22.5" customHeight="1" x14ac:dyDescent="0.35">
      <c r="B116" s="249"/>
      <c r="C116" s="202"/>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2:30" ht="38.5" customHeight="1" x14ac:dyDescent="0.35">
      <c r="B117" s="461"/>
      <c r="C117" s="695">
        <v>2022</v>
      </c>
      <c r="D117" s="696">
        <v>2023</v>
      </c>
      <c r="E117" s="696">
        <v>2024</v>
      </c>
      <c r="F117" s="697">
        <v>2025</v>
      </c>
      <c r="G117" s="193">
        <v>2026</v>
      </c>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2:30" ht="38.5" customHeight="1" x14ac:dyDescent="0.35">
      <c r="B118" s="504" t="s">
        <v>1864</v>
      </c>
      <c r="C118" s="232">
        <v>1212.4870000000001</v>
      </c>
      <c r="D118" s="232">
        <v>1344.7529999999999</v>
      </c>
      <c r="E118" s="232">
        <v>1456.7</v>
      </c>
      <c r="F118" s="232">
        <v>1553.5309999999999</v>
      </c>
      <c r="G118" s="232">
        <v>1643.9870000000001</v>
      </c>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2:30" ht="69" customHeight="1" x14ac:dyDescent="0.35">
      <c r="B119" s="249"/>
      <c r="C119" s="202"/>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2:30" x14ac:dyDescent="0.35">
      <c r="B120" s="75" t="s">
        <v>1437</v>
      </c>
      <c r="D120" s="202"/>
      <c r="E120" s="202"/>
      <c r="F120" s="202"/>
      <c r="G120" s="202"/>
      <c r="H120" s="202"/>
      <c r="I120" s="202"/>
      <c r="J120" s="202"/>
      <c r="K120" s="202"/>
      <c r="L120" s="202"/>
      <c r="M120" s="193"/>
      <c r="N120" s="193"/>
      <c r="O120" s="193"/>
      <c r="P120" s="202"/>
    </row>
    <row r="121" spans="2:30" x14ac:dyDescent="0.35">
      <c r="B121" s="542" t="s">
        <v>812</v>
      </c>
      <c r="C121" s="707"/>
      <c r="D121" s="710">
        <v>2021</v>
      </c>
      <c r="E121" s="710">
        <v>2022</v>
      </c>
      <c r="F121" s="710">
        <v>2023</v>
      </c>
      <c r="G121" s="711">
        <v>2024</v>
      </c>
      <c r="R121" s="560"/>
    </row>
    <row r="122" spans="2:30" x14ac:dyDescent="0.35">
      <c r="B122" s="609" t="s">
        <v>813</v>
      </c>
      <c r="C122" s="717"/>
      <c r="D122" s="704">
        <v>3605.8330000000001</v>
      </c>
      <c r="E122" s="704">
        <v>2900</v>
      </c>
      <c r="F122" s="704">
        <f>E122*1.02</f>
        <v>2958</v>
      </c>
      <c r="G122" s="705">
        <f>F122*1.06</f>
        <v>3135.48</v>
      </c>
    </row>
    <row r="123" spans="2:30" x14ac:dyDescent="0.35">
      <c r="B123" s="609" t="s">
        <v>816</v>
      </c>
      <c r="C123" s="706"/>
      <c r="D123" s="699">
        <f>AVERAGE(Medicare!L10:O10)</f>
        <v>865</v>
      </c>
      <c r="E123" s="699">
        <f>AVERAGE(Medicare!P10:S10)</f>
        <v>910.02500000000009</v>
      </c>
      <c r="F123" s="699">
        <f>AVERAGE(Medicare!T10:W10)</f>
        <v>959.89061183771048</v>
      </c>
      <c r="G123" s="715">
        <f>AVERAGE(Medicare!X10:AA10)</f>
        <v>1030.0753230750706</v>
      </c>
    </row>
    <row r="124" spans="2:30" ht="13.4" customHeight="1" x14ac:dyDescent="0.35">
      <c r="B124" s="609" t="s">
        <v>814</v>
      </c>
      <c r="C124" s="706"/>
      <c r="D124" s="699">
        <f>D122-D123</f>
        <v>2740.8330000000001</v>
      </c>
      <c r="E124" s="699">
        <f t="shared" ref="E124:G124" si="64">E122-E123</f>
        <v>1989.9749999999999</v>
      </c>
      <c r="F124" s="699">
        <f t="shared" si="64"/>
        <v>1998.1093881622896</v>
      </c>
      <c r="G124" s="715">
        <f t="shared" si="64"/>
        <v>2105.4046769249294</v>
      </c>
    </row>
    <row r="125" spans="2:30" x14ac:dyDescent="0.35">
      <c r="B125" s="609" t="s">
        <v>817</v>
      </c>
      <c r="C125" s="706"/>
      <c r="D125" s="699">
        <f>AVERAGE(L12:O12)</f>
        <v>3629.5749999999998</v>
      </c>
      <c r="E125" s="699">
        <f>AVERAGE(P12:S12)</f>
        <v>2871.75</v>
      </c>
      <c r="F125" s="699">
        <f>AVERAGE(T12:W12)</f>
        <v>2934.9309689805677</v>
      </c>
      <c r="G125" s="715">
        <f>AVERAGE(X12:AA12)</f>
        <v>3045.1017914214995</v>
      </c>
    </row>
    <row r="126" spans="2:30" x14ac:dyDescent="0.35">
      <c r="B126" s="609" t="s">
        <v>816</v>
      </c>
      <c r="C126" s="706"/>
      <c r="D126" s="699">
        <f>AVERAGE(Medicare!L10:O10)</f>
        <v>865</v>
      </c>
      <c r="E126" s="699">
        <f>AVERAGE(Medicare!P10:S10)</f>
        <v>910.02500000000009</v>
      </c>
      <c r="F126" s="699">
        <f>AVERAGE(Medicare!T10:W10)</f>
        <v>959.89061183771048</v>
      </c>
      <c r="G126" s="715">
        <f>AVERAGE(Medicare!X10:AA10)</f>
        <v>1030.0753230750706</v>
      </c>
    </row>
    <row r="127" spans="2:30" x14ac:dyDescent="0.35">
      <c r="B127" s="609" t="s">
        <v>536</v>
      </c>
      <c r="C127" s="706"/>
      <c r="D127" s="699">
        <f>AVERAGE(L31:O31)</f>
        <v>1586.0822500000002</v>
      </c>
      <c r="E127" s="699">
        <f>AVERAGE(P31:S31)</f>
        <v>1672.3850400000001</v>
      </c>
      <c r="F127" s="699">
        <f>AVERAGE(T31:W31)</f>
        <v>1798.3387300000002</v>
      </c>
      <c r="G127" s="715">
        <f>AVERAGE(X31:AA31)</f>
        <v>1884.9964397750005</v>
      </c>
    </row>
    <row r="128" spans="2:30" ht="27.65" customHeight="1" x14ac:dyDescent="0.35">
      <c r="B128" s="708" t="s">
        <v>815</v>
      </c>
      <c r="C128" s="321"/>
      <c r="D128" s="599"/>
      <c r="E128" s="712">
        <v>1.157</v>
      </c>
      <c r="F128" s="712">
        <v>1.0109999999999999</v>
      </c>
      <c r="G128" s="716">
        <v>1.0529999999999999</v>
      </c>
    </row>
    <row r="129" spans="2:7" x14ac:dyDescent="0.35">
      <c r="B129" s="202" t="s">
        <v>818</v>
      </c>
      <c r="D129" s="713">
        <f>D125-D122</f>
        <v>23.741999999999734</v>
      </c>
      <c r="E129" s="713">
        <f>E125-E122</f>
        <v>-28.25</v>
      </c>
      <c r="F129" s="713">
        <f>F125-F122</f>
        <v>-23.069031019432259</v>
      </c>
      <c r="G129" s="713">
        <f t="shared" ref="G129" si="65">G125-G122</f>
        <v>-90.378208578500562</v>
      </c>
    </row>
    <row r="131" spans="2:7" x14ac:dyDescent="0.35">
      <c r="B131" t="s">
        <v>813</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5" width="12.08984375" customWidth="1"/>
    <col min="6" max="6" width="12.1796875" customWidth="1"/>
    <col min="7" max="7" width="10.453125" customWidth="1"/>
    <col min="8" max="8" width="12.08984375" customWidth="1"/>
    <col min="9" max="9" width="12" customWidth="1"/>
    <col min="10" max="29" width="13.26953125" customWidth="1"/>
  </cols>
  <sheetData>
    <row r="1" spans="1:29" ht="18" customHeight="1" x14ac:dyDescent="0.35">
      <c r="B1" s="1408" t="s">
        <v>466</v>
      </c>
      <c r="C1" s="1408"/>
      <c r="D1" s="1408"/>
      <c r="E1" s="1408"/>
      <c r="F1" s="1408"/>
      <c r="G1" s="1408"/>
      <c r="H1" s="1408"/>
      <c r="I1" s="1408"/>
      <c r="J1" s="1408"/>
      <c r="K1" s="1408"/>
      <c r="L1" s="1408"/>
      <c r="M1" s="1408"/>
      <c r="N1" s="1408"/>
      <c r="O1" s="1408"/>
      <c r="P1" s="1408"/>
      <c r="Q1" s="1408"/>
      <c r="R1" s="1408"/>
      <c r="S1" s="1408"/>
      <c r="T1" s="1408"/>
      <c r="U1" s="1408"/>
      <c r="V1" s="1408"/>
      <c r="W1" s="1408"/>
      <c r="X1" s="1408"/>
      <c r="Y1" s="1408"/>
      <c r="Z1" s="1408"/>
      <c r="AA1" s="1408"/>
      <c r="AB1" s="1408"/>
      <c r="AC1" s="1408"/>
    </row>
    <row r="2" spans="1:29" ht="34.5" hidden="1" customHeight="1" outlineLevel="1" x14ac:dyDescent="0.35">
      <c r="B2" s="1315" t="s">
        <v>865</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row>
    <row r="3" spans="1:29" ht="3" hidden="1" customHeight="1" outlineLevel="1"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row>
    <row r="4" spans="1:29" ht="10.4" hidden="1" customHeight="1" outlineLevel="1"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row>
    <row r="5" spans="1:29" ht="14.25" hidden="1" customHeight="1" outlineLevel="1" x14ac:dyDescent="0.35">
      <c r="B5" s="1353"/>
      <c r="C5" s="1353"/>
      <c r="D5" s="1353"/>
      <c r="E5" s="1353"/>
      <c r="F5" s="1353"/>
      <c r="G5" s="1353"/>
      <c r="H5" s="1353"/>
      <c r="I5" s="1353"/>
      <c r="J5" s="1353"/>
      <c r="K5" s="1353"/>
      <c r="L5" s="1353"/>
      <c r="M5" s="1353"/>
      <c r="N5" s="1353"/>
      <c r="O5" s="1353"/>
      <c r="P5" s="1353"/>
      <c r="Q5" s="1353"/>
      <c r="R5" s="1353"/>
      <c r="S5" s="1353"/>
      <c r="T5" s="1353"/>
      <c r="U5" s="1353"/>
      <c r="V5" s="1353"/>
      <c r="W5" s="1353"/>
      <c r="X5" s="1353"/>
      <c r="Y5" s="1353"/>
      <c r="Z5" s="1353"/>
      <c r="AA5" s="1353"/>
      <c r="AB5" s="1353"/>
      <c r="AC5" s="1353"/>
    </row>
    <row r="6" spans="1:29" ht="14.25" hidden="1" customHeight="1" outlineLevel="1" x14ac:dyDescent="0.35">
      <c r="B6" s="1353"/>
      <c r="C6" s="1353"/>
      <c r="D6" s="1353"/>
      <c r="E6" s="1353"/>
      <c r="F6" s="1353"/>
      <c r="G6" s="1353"/>
      <c r="H6" s="1353"/>
      <c r="I6" s="1353"/>
      <c r="J6" s="1353"/>
      <c r="K6" s="1353"/>
      <c r="L6" s="1353"/>
      <c r="M6" s="1353"/>
      <c r="N6" s="1353"/>
      <c r="O6" s="1353"/>
      <c r="P6" s="1353"/>
      <c r="Q6" s="1353"/>
      <c r="R6" s="1353"/>
      <c r="S6" s="1353"/>
      <c r="T6" s="1353"/>
      <c r="U6" s="1353"/>
      <c r="V6" s="1353"/>
      <c r="W6" s="1353"/>
      <c r="X6" s="1353"/>
      <c r="Y6" s="1353"/>
      <c r="Z6" s="1353"/>
      <c r="AA6" s="1353"/>
      <c r="AB6" s="1353"/>
      <c r="AC6" s="1353"/>
    </row>
    <row r="7" spans="1:29" x14ac:dyDescent="0.35">
      <c r="B7" s="709" t="s">
        <v>333</v>
      </c>
      <c r="C7" s="231"/>
      <c r="D7" s="231"/>
      <c r="E7" s="231"/>
      <c r="F7" s="231"/>
      <c r="G7" s="231"/>
      <c r="H7" s="232"/>
      <c r="I7" s="232"/>
      <c r="J7" s="232"/>
      <c r="K7" s="232"/>
      <c r="L7" s="232"/>
      <c r="M7" s="232"/>
      <c r="N7" s="232"/>
      <c r="O7" s="232"/>
      <c r="P7" s="232"/>
      <c r="Q7" s="232"/>
      <c r="R7" s="232"/>
      <c r="S7" s="232"/>
      <c r="T7" s="232"/>
      <c r="U7" s="232"/>
    </row>
    <row r="8" spans="1:29" ht="14.9" customHeight="1" x14ac:dyDescent="0.35">
      <c r="B8" s="666" t="s">
        <v>304</v>
      </c>
      <c r="C8" s="667"/>
      <c r="D8" s="670" t="s">
        <v>280</v>
      </c>
      <c r="E8" s="671"/>
      <c r="F8" s="671"/>
      <c r="G8" s="671"/>
      <c r="H8" s="671"/>
      <c r="I8" s="671"/>
      <c r="J8" s="671"/>
      <c r="K8" s="671"/>
      <c r="L8" s="671"/>
      <c r="M8" s="671"/>
      <c r="N8" s="671"/>
      <c r="O8" s="671"/>
      <c r="P8" s="1335"/>
      <c r="Q8" s="1335"/>
      <c r="R8" s="1335"/>
      <c r="S8" s="1335"/>
      <c r="T8" s="1335"/>
      <c r="U8" s="1335"/>
      <c r="V8" s="1324"/>
      <c r="W8" s="1350" t="s">
        <v>281</v>
      </c>
      <c r="X8" s="1333"/>
      <c r="Y8" s="1333"/>
      <c r="Z8" s="1333"/>
      <c r="AA8" s="1333"/>
      <c r="AB8" s="1333"/>
      <c r="AC8" s="1351"/>
    </row>
    <row r="9" spans="1:29" ht="14.9" customHeight="1" x14ac:dyDescent="0.35">
      <c r="B9" s="668"/>
      <c r="C9" s="669"/>
      <c r="D9" s="142">
        <v>2018</v>
      </c>
      <c r="E9" s="1310">
        <v>2019</v>
      </c>
      <c r="F9" s="1328"/>
      <c r="G9" s="1328"/>
      <c r="H9" s="1329"/>
      <c r="I9" s="1310">
        <v>2020</v>
      </c>
      <c r="J9" s="1328"/>
      <c r="K9" s="1328"/>
      <c r="L9" s="1328"/>
      <c r="M9" s="1310">
        <v>2021</v>
      </c>
      <c r="N9" s="1328"/>
      <c r="O9" s="1328"/>
      <c r="P9" s="1328"/>
      <c r="Q9" s="1310">
        <v>2022</v>
      </c>
      <c r="R9" s="1311"/>
      <c r="S9" s="1311"/>
      <c r="T9" s="1329"/>
      <c r="U9" s="256"/>
      <c r="V9" s="256">
        <v>2023</v>
      </c>
      <c r="W9" s="528"/>
      <c r="X9" s="226"/>
      <c r="Y9" s="1325">
        <v>2024</v>
      </c>
      <c r="Z9" s="1337"/>
      <c r="AA9" s="1337"/>
      <c r="AB9" s="1327"/>
      <c r="AC9" s="213">
        <v>2025</v>
      </c>
    </row>
    <row r="10" spans="1:29" x14ac:dyDescent="0.35">
      <c r="B10" s="668"/>
      <c r="C10" s="669"/>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140" t="s">
        <v>283</v>
      </c>
      <c r="V10" s="253" t="s">
        <v>284</v>
      </c>
      <c r="W10" s="236" t="s">
        <v>238</v>
      </c>
      <c r="X10" s="237" t="s">
        <v>282</v>
      </c>
      <c r="Y10" s="235" t="s">
        <v>283</v>
      </c>
      <c r="Z10" s="233" t="s">
        <v>284</v>
      </c>
      <c r="AA10" s="236" t="s">
        <v>238</v>
      </c>
      <c r="AB10" s="236" t="s">
        <v>282</v>
      </c>
      <c r="AC10" s="238" t="s">
        <v>283</v>
      </c>
    </row>
    <row r="11" spans="1:29" ht="15" customHeight="1" x14ac:dyDescent="0.35">
      <c r="B11" s="1410" t="s">
        <v>467</v>
      </c>
      <c r="C11" s="1411"/>
      <c r="D11" s="649"/>
      <c r="E11" s="701"/>
      <c r="F11" s="701"/>
      <c r="G11" s="701"/>
      <c r="H11" s="273"/>
      <c r="I11" s="273"/>
      <c r="J11" s="273"/>
      <c r="K11" s="273"/>
      <c r="L11" s="273"/>
      <c r="M11" s="553"/>
      <c r="N11" s="553"/>
      <c r="O11" s="553"/>
      <c r="P11" s="273"/>
      <c r="Q11" s="273"/>
      <c r="R11" s="273"/>
      <c r="S11" s="273"/>
      <c r="T11" s="255"/>
      <c r="U11" s="273"/>
      <c r="V11" s="273"/>
      <c r="W11" s="184"/>
      <c r="X11" s="184"/>
      <c r="Y11" s="184"/>
      <c r="Z11" s="184"/>
      <c r="AA11" s="184"/>
      <c r="AB11" s="184"/>
      <c r="AC11" s="185"/>
    </row>
    <row r="12" spans="1:29" ht="17.149999999999999" customHeight="1" x14ac:dyDescent="0.35">
      <c r="A12" t="s">
        <v>1943</v>
      </c>
      <c r="B12" s="721" t="s">
        <v>468</v>
      </c>
      <c r="C12" s="202" t="s">
        <v>469</v>
      </c>
      <c r="D12" s="575">
        <f>'Haver Pivoted'!GO31</f>
        <v>2224.3000000000002</v>
      </c>
      <c r="E12" s="530">
        <f>'Haver Pivoted'!GP31</f>
        <v>2303.4</v>
      </c>
      <c r="F12" s="530">
        <f>'Haver Pivoted'!GQ31</f>
        <v>2319.4</v>
      </c>
      <c r="G12" s="530">
        <f>'Haver Pivoted'!GR31</f>
        <v>2333.8000000000002</v>
      </c>
      <c r="H12" s="530">
        <f>'Haver Pivoted'!GS31</f>
        <v>2346.4</v>
      </c>
      <c r="I12" s="530">
        <f>'Haver Pivoted'!GT31</f>
        <v>2407.5</v>
      </c>
      <c r="J12" s="530">
        <f>'Haver Pivoted'!GU31</f>
        <v>4698.7</v>
      </c>
      <c r="K12" s="530">
        <f>'Haver Pivoted'!GV31</f>
        <v>3492.4</v>
      </c>
      <c r="L12" s="530">
        <f>'Haver Pivoted'!GW31</f>
        <v>2881.6</v>
      </c>
      <c r="M12" s="530">
        <f>'Haver Pivoted'!GX31</f>
        <v>5094.8</v>
      </c>
      <c r="N12" s="530">
        <f>'Haver Pivoted'!GY31</f>
        <v>3395.6</v>
      </c>
      <c r="O12" s="530">
        <f>'Haver Pivoted'!GZ31</f>
        <v>3146.3</v>
      </c>
      <c r="P12" s="530">
        <f>'Haver Pivoted'!HA31</f>
        <v>2937.4</v>
      </c>
      <c r="Q12" s="530">
        <f>'Haver Pivoted'!HB31</f>
        <v>2863</v>
      </c>
      <c r="R12" s="530">
        <f>'Haver Pivoted'!HC31</f>
        <v>2846.5</v>
      </c>
      <c r="S12" s="531">
        <f>'Haver Pivoted'!HD31</f>
        <v>2840.1</v>
      </c>
      <c r="T12" s="531">
        <f>'Haver Pivoted'!HE31</f>
        <v>2882.8</v>
      </c>
      <c r="U12" s="531">
        <f>'Haver Pivoted'!HF31</f>
        <v>2963</v>
      </c>
      <c r="V12" s="531">
        <f>'Haver Pivoted'!HG31</f>
        <v>2952.8</v>
      </c>
      <c r="W12" s="644">
        <f t="shared" ref="W12:AC12" si="0">SUM(W14:W39)-W38</f>
        <v>3080.4983759222705</v>
      </c>
      <c r="X12" s="644">
        <f t="shared" si="0"/>
        <v>3103.3665715390939</v>
      </c>
      <c r="Y12" s="644">
        <f t="shared" si="0"/>
        <v>3178.2944643582582</v>
      </c>
      <c r="Z12" s="644">
        <f t="shared" si="0"/>
        <v>3211.7847894312913</v>
      </c>
      <c r="AA12" s="644">
        <f t="shared" si="0"/>
        <v>3245.2153403573552</v>
      </c>
      <c r="AB12" s="644">
        <f t="shared" si="0"/>
        <v>3281.6364189041901</v>
      </c>
      <c r="AC12" s="700">
        <f t="shared" si="0"/>
        <v>3349.1230168316306</v>
      </c>
    </row>
    <row r="13" spans="1:29" ht="15.65" customHeight="1" x14ac:dyDescent="0.35">
      <c r="A13" t="s">
        <v>1943</v>
      </c>
      <c r="B13" s="720" t="s">
        <v>802</v>
      </c>
      <c r="C13" s="202" t="s">
        <v>829</v>
      </c>
      <c r="D13" s="240">
        <v>30</v>
      </c>
      <c r="E13" s="215">
        <v>30</v>
      </c>
      <c r="F13" s="215">
        <v>30</v>
      </c>
      <c r="G13" s="215">
        <v>30</v>
      </c>
      <c r="H13" s="215">
        <v>30</v>
      </c>
      <c r="I13" s="215">
        <v>30</v>
      </c>
      <c r="J13" s="215">
        <v>30</v>
      </c>
      <c r="K13" s="192">
        <v>30.2</v>
      </c>
      <c r="L13" s="192">
        <v>30.2</v>
      </c>
      <c r="M13" s="192">
        <f>'Haver Pivoted'!GX89</f>
        <v>34.4</v>
      </c>
      <c r="N13" s="192">
        <f>'Haver Pivoted'!GY89</f>
        <v>34.4</v>
      </c>
      <c r="O13" s="192">
        <f>'Haver Pivoted'!GZ89</f>
        <v>218.933333333333</v>
      </c>
      <c r="P13" s="192">
        <f>'Haver Pivoted'!HA89</f>
        <v>223.13333333333301</v>
      </c>
      <c r="Q13" s="192">
        <f>'Haver Pivoted'!HB89</f>
        <v>94.3</v>
      </c>
      <c r="R13" s="192">
        <f>'Haver Pivoted'!HC89</f>
        <v>94.3</v>
      </c>
      <c r="S13" s="192">
        <f>'Haver Pivoted'!HD89</f>
        <v>94.3</v>
      </c>
      <c r="T13" s="192">
        <f>'Haver Pivoted'!HE89</f>
        <v>94.3</v>
      </c>
      <c r="U13" s="644">
        <v>34</v>
      </c>
      <c r="V13" s="530">
        <v>34</v>
      </c>
      <c r="W13" s="644">
        <v>34</v>
      </c>
      <c r="X13" s="644">
        <v>34</v>
      </c>
      <c r="Y13" s="644">
        <v>34</v>
      </c>
      <c r="Z13" s="644">
        <v>34</v>
      </c>
      <c r="AA13" s="644">
        <v>34</v>
      </c>
      <c r="AB13" s="644">
        <v>34</v>
      </c>
      <c r="AC13" s="700">
        <v>34</v>
      </c>
    </row>
    <row r="14" spans="1:29" ht="15" customHeight="1" x14ac:dyDescent="0.35">
      <c r="A14" t="s">
        <v>1940</v>
      </c>
      <c r="B14" s="638" t="s">
        <v>1932</v>
      </c>
      <c r="C14" s="202"/>
      <c r="D14" s="575">
        <f>'Unemployment Insurance'!D20+'Unemployment Insurance'!D19</f>
        <v>27.8</v>
      </c>
      <c r="E14" s="530">
        <f>'Unemployment Insurance'!E20+'Unemployment Insurance'!E19</f>
        <v>29.4</v>
      </c>
      <c r="F14" s="530">
        <f>'Unemployment Insurance'!F20+'Unemployment Insurance'!F19</f>
        <v>26.9</v>
      </c>
      <c r="G14" s="530">
        <f>'Unemployment Insurance'!G20+'Unemployment Insurance'!G19</f>
        <v>26.4</v>
      </c>
      <c r="H14" s="530">
        <f>'Unemployment Insurance'!H20+'Unemployment Insurance'!H19</f>
        <v>27.7</v>
      </c>
      <c r="I14" s="530">
        <f>'Unemployment Insurance'!I20+'Unemployment Insurance'!I19</f>
        <v>40.700000000000003</v>
      </c>
      <c r="J14" s="530">
        <f>'Unemployment Insurance'!J20+'Unemployment Insurance'!J19</f>
        <v>1007.5</v>
      </c>
      <c r="K14" s="530">
        <f>'Unemployment Insurance'!K20+'Unemployment Insurance'!K19</f>
        <v>792.89999999999986</v>
      </c>
      <c r="L14" s="530">
        <f>'Unemployment Insurance'!L20+'Unemployment Insurance'!L19</f>
        <v>308.5</v>
      </c>
      <c r="M14" s="530">
        <f>'Unemployment Insurance'!M20+'Unemployment Insurance'!M19</f>
        <v>556.20000000000005</v>
      </c>
      <c r="N14" s="530">
        <f>'Unemployment Insurance'!N20+'Unemployment Insurance'!N19</f>
        <v>448.6</v>
      </c>
      <c r="O14" s="530">
        <f>'Unemployment Insurance'!O20+'Unemployment Insurance'!O19</f>
        <v>245.1</v>
      </c>
      <c r="P14" s="530">
        <f>'Unemployment Insurance'!P20+'Unemployment Insurance'!P19</f>
        <v>33.799999999999997</v>
      </c>
      <c r="Q14" s="530">
        <f>'Unemployment Insurance'!Q20+'Unemployment Insurance'!Q19</f>
        <v>23.6</v>
      </c>
      <c r="R14" s="530">
        <f>'Unemployment Insurance'!R20+'Unemployment Insurance'!R19</f>
        <v>18.600000000000001</v>
      </c>
      <c r="S14" s="530">
        <f>'Unemployment Insurance'!S20+'Unemployment Insurance'!S19</f>
        <v>18.5</v>
      </c>
      <c r="T14" s="530">
        <f>'Unemployment Insurance'!T20+'Unemployment Insurance'!T19</f>
        <v>20.399999999999999</v>
      </c>
      <c r="U14" s="530">
        <f>'Unemployment Insurance'!U20+'Unemployment Insurance'!U19</f>
        <v>22.8</v>
      </c>
      <c r="V14" s="636">
        <f>V15+V16</f>
        <v>23.1</v>
      </c>
      <c r="W14" s="644">
        <f>'Unemployment Insurance'!W20+'Unemployment Insurance'!W19</f>
        <v>23.451428571428572</v>
      </c>
      <c r="X14" s="644">
        <f>'Unemployment Insurance'!X20+'Unemployment Insurance'!X19</f>
        <v>23.451428571428572</v>
      </c>
      <c r="Y14" s="644">
        <f>'Unemployment Insurance'!Y20+'Unemployment Insurance'!Y19</f>
        <v>24.754285714285711</v>
      </c>
      <c r="Z14" s="644">
        <f>'Unemployment Insurance'!Z20+'Unemployment Insurance'!Z19</f>
        <v>26.708571428571425</v>
      </c>
      <c r="AA14" s="644">
        <f>'Unemployment Insurance'!AA20+'Unemployment Insurance'!AA19</f>
        <v>28.011428571428567</v>
      </c>
      <c r="AB14" s="644">
        <f>'Unemployment Insurance'!AB20+'Unemployment Insurance'!AB19</f>
        <v>29.31428571428571</v>
      </c>
      <c r="AC14" s="700">
        <f>'Unemployment Insurance'!AC20+'Unemployment Insurance'!AC19</f>
        <v>29.965714285714277</v>
      </c>
    </row>
    <row r="15" spans="1:29" x14ac:dyDescent="0.35">
      <c r="B15" s="382" t="s">
        <v>203</v>
      </c>
      <c r="C15" s="202"/>
      <c r="D15" s="575"/>
      <c r="E15" s="530"/>
      <c r="F15" s="530"/>
      <c r="G15" s="530"/>
      <c r="H15" s="530"/>
      <c r="I15" s="530"/>
      <c r="J15" s="530"/>
      <c r="K15" s="530"/>
      <c r="L15" s="530"/>
      <c r="M15" s="530"/>
      <c r="N15" s="530"/>
      <c r="O15" s="530"/>
      <c r="P15" s="530"/>
      <c r="Q15" s="530"/>
      <c r="R15" s="530"/>
      <c r="S15" s="530"/>
      <c r="T15" s="530"/>
      <c r="U15" s="530"/>
      <c r="V15" s="530">
        <f>'Unemployment Insurance'!V19</f>
        <v>-0.35142857142857054</v>
      </c>
      <c r="W15" s="644"/>
      <c r="X15" s="644"/>
      <c r="Y15" s="644"/>
      <c r="Z15" s="644"/>
      <c r="AA15" s="644"/>
      <c r="AB15" s="644"/>
      <c r="AC15" s="700"/>
    </row>
    <row r="16" spans="1:29" x14ac:dyDescent="0.35">
      <c r="B16" s="382" t="s">
        <v>205</v>
      </c>
      <c r="C16" s="202"/>
      <c r="D16" s="575"/>
      <c r="E16" s="530"/>
      <c r="F16" s="530"/>
      <c r="G16" s="530"/>
      <c r="H16" s="530"/>
      <c r="I16" s="530"/>
      <c r="J16" s="530"/>
      <c r="K16" s="530"/>
      <c r="L16" s="530"/>
      <c r="M16" s="530"/>
      <c r="N16" s="530"/>
      <c r="O16" s="530"/>
      <c r="P16" s="530"/>
      <c r="Q16" s="530"/>
      <c r="R16" s="530"/>
      <c r="S16" s="530"/>
      <c r="T16" s="530"/>
      <c r="U16" s="530"/>
      <c r="V16" s="530">
        <f>'Unemployment Insurance'!V20</f>
        <v>23.451428571428572</v>
      </c>
      <c r="W16" s="644"/>
      <c r="X16" s="644"/>
      <c r="Y16" s="644"/>
      <c r="Z16" s="644"/>
      <c r="AA16" s="644"/>
      <c r="AB16" s="644"/>
      <c r="AC16" s="700"/>
    </row>
    <row r="17" spans="1:101" ht="17.899999999999999" customHeight="1" x14ac:dyDescent="0.35">
      <c r="A17" t="s">
        <v>1940</v>
      </c>
      <c r="B17" s="638" t="s">
        <v>55</v>
      </c>
      <c r="C17" s="202"/>
      <c r="D17" s="575">
        <f>Medicare!D10</f>
        <v>755.3</v>
      </c>
      <c r="E17" s="530">
        <f>Medicare!E10</f>
        <v>772.6</v>
      </c>
      <c r="F17" s="530">
        <f>Medicare!F10</f>
        <v>785.8</v>
      </c>
      <c r="G17" s="530">
        <f>Medicare!G10</f>
        <v>793.7</v>
      </c>
      <c r="H17" s="530">
        <f>Medicare!H10</f>
        <v>796.3</v>
      </c>
      <c r="I17" s="530">
        <f>Medicare!I10</f>
        <v>795.3</v>
      </c>
      <c r="J17" s="530">
        <f>Medicare!J10</f>
        <v>808</v>
      </c>
      <c r="K17" s="530">
        <f>Medicare!K10</f>
        <v>822.1</v>
      </c>
      <c r="L17" s="530">
        <f>Medicare!L10</f>
        <v>837.5</v>
      </c>
      <c r="M17" s="530">
        <f>Medicare!M10</f>
        <v>857.6</v>
      </c>
      <c r="N17" s="530">
        <f>Medicare!N10</f>
        <v>875.4</v>
      </c>
      <c r="O17" s="530">
        <f>Medicare!O10</f>
        <v>889.5</v>
      </c>
      <c r="P17" s="530">
        <f>Medicare!P10</f>
        <v>900</v>
      </c>
      <c r="Q17" s="530">
        <f>Medicare!Q10</f>
        <v>908</v>
      </c>
      <c r="R17" s="530">
        <f>Medicare!R10</f>
        <v>911.8</v>
      </c>
      <c r="S17" s="530">
        <f>Medicare!S10</f>
        <v>920.3</v>
      </c>
      <c r="T17" s="530">
        <f>Medicare!T10</f>
        <v>941.6</v>
      </c>
      <c r="U17" s="530">
        <f>Medicare!U10</f>
        <v>960.5</v>
      </c>
      <c r="V17" s="636">
        <f>Medicare!V10</f>
        <v>967.3</v>
      </c>
      <c r="W17" s="644">
        <f>Medicare!W10</f>
        <v>970.16244735084217</v>
      </c>
      <c r="X17" s="644">
        <f>Medicare!X10</f>
        <v>993.55664296766474</v>
      </c>
      <c r="Y17" s="644">
        <f>Medicare!Y10</f>
        <v>1017.514958943972</v>
      </c>
      <c r="Z17" s="644">
        <f>Medicare!Z10</f>
        <v>1042.0509983027189</v>
      </c>
      <c r="AA17" s="644">
        <f>Medicare!AA10</f>
        <v>1067.1786920859263</v>
      </c>
      <c r="AB17" s="644">
        <f>Medicare!AB10</f>
        <v>1096.5429134899039</v>
      </c>
      <c r="AC17" s="700">
        <f>Medicare!AC10</f>
        <v>1126.7151134499154</v>
      </c>
    </row>
    <row r="18" spans="1:101" ht="18" customHeight="1" x14ac:dyDescent="0.35">
      <c r="A18" t="s">
        <v>1940</v>
      </c>
      <c r="B18" s="639" t="s">
        <v>470</v>
      </c>
      <c r="C18" s="202"/>
      <c r="D18" s="575"/>
      <c r="E18" s="530"/>
      <c r="F18" s="530"/>
      <c r="G18" s="530"/>
      <c r="H18" s="530">
        <f>'Rebate Checks (expired)'!H10 +'Rebate Checks (expired)'!H11</f>
        <v>0</v>
      </c>
      <c r="I18" s="530">
        <f>'Rebate Checks (expired)'!I10 +'Rebate Checks (expired)'!I11</f>
        <v>0</v>
      </c>
      <c r="J18" s="530">
        <f>'Rebate Checks (expired)'!J10 +'Rebate Checks (expired)'!J11</f>
        <v>1078.0999999999999</v>
      </c>
      <c r="K18" s="530">
        <f>'Rebate Checks (expired)'!K10 +'Rebate Checks (expired)'!K11</f>
        <v>15.6</v>
      </c>
      <c r="L18" s="530">
        <f>'Rebate Checks (expired)'!L10 +'Rebate Checks (expired)'!L11</f>
        <v>5</v>
      </c>
      <c r="M18" s="530">
        <f>'Rebate Checks (expired)'!M10 +'Rebate Checks (expired)'!M11</f>
        <v>1933.6999999999998</v>
      </c>
      <c r="N18" s="530">
        <f>'Rebate Checks (expired)'!N10 +'Rebate Checks (expired)'!N11</f>
        <v>290.10000000000002</v>
      </c>
      <c r="O18" s="530">
        <f>'Rebate Checks (expired)'!O10 +'Rebate Checks (expired)'!O11</f>
        <v>38.9</v>
      </c>
      <c r="P18" s="530">
        <f>'Rebate Checks (expired)'!P10 +'Rebate Checks (expired)'!P11</f>
        <v>14.2</v>
      </c>
      <c r="Q18" s="530">
        <f>'Rebate Checks (expired)'!Q10 +'Rebate Checks (expired)'!Q11</f>
        <v>0</v>
      </c>
      <c r="R18" s="530">
        <f>'Rebate Checks (expired)'!Q10 +'Rebate Checks (expired)'!R11</f>
        <v>0</v>
      </c>
      <c r="S18" s="530">
        <f>'Rebate Checks (expired)'!S10 +'Rebate Checks (expired)'!S11</f>
        <v>0</v>
      </c>
      <c r="T18" s="530">
        <f>'Rebate Checks (expired)'!T10 +'Rebate Checks (expired)'!T11</f>
        <v>0</v>
      </c>
      <c r="U18" s="530">
        <f>'Rebate Checks (expired)'!U10 +'Rebate Checks (expired)'!U11</f>
        <v>0</v>
      </c>
      <c r="V18" s="636">
        <f>V19+V20</f>
        <v>0</v>
      </c>
      <c r="W18" s="644">
        <f>'Rebate Checks (expired)'!W10 +'Rebate Checks (expired)'!W11</f>
        <v>0</v>
      </c>
      <c r="X18" s="644">
        <f>'Rebate Checks (expired)'!X10 +'Rebate Checks (expired)'!X11</f>
        <v>0</v>
      </c>
      <c r="Y18" s="644">
        <f>'Rebate Checks (expired)'!Y10 +'Rebate Checks (expired)'!Y11</f>
        <v>0</v>
      </c>
      <c r="Z18" s="644">
        <f>'Rebate Checks (expired)'!Z10 +'Rebate Checks (expired)'!Z11</f>
        <v>0</v>
      </c>
      <c r="AA18" s="644">
        <f>'Rebate Checks (expired)'!AA10 +'Rebate Checks (expired)'!AA11</f>
        <v>0</v>
      </c>
      <c r="AB18" s="644">
        <f>'Rebate Checks (expired)'!AB10 +'Rebate Checks (expired)'!AB11</f>
        <v>0</v>
      </c>
      <c r="AC18" s="700">
        <f>'Rebate Checks (expired)'!AC10 +'Rebate Checks (expired)'!AC11</f>
        <v>0</v>
      </c>
    </row>
    <row r="19" spans="1:101" ht="18" customHeight="1" x14ac:dyDescent="0.35">
      <c r="B19" s="640" t="s">
        <v>1933</v>
      </c>
      <c r="C19" s="202"/>
      <c r="D19" s="575"/>
      <c r="E19" s="530"/>
      <c r="F19" s="530"/>
      <c r="G19" s="530"/>
      <c r="H19" s="530"/>
      <c r="I19" s="530"/>
      <c r="J19" s="530"/>
      <c r="K19" s="530"/>
      <c r="L19" s="530"/>
      <c r="M19" s="530"/>
      <c r="N19" s="530"/>
      <c r="O19" s="530"/>
      <c r="P19" s="530"/>
      <c r="Q19" s="530"/>
      <c r="R19" s="530"/>
      <c r="S19" s="530"/>
      <c r="T19" s="530"/>
      <c r="U19" s="530"/>
      <c r="V19" s="530">
        <v>0</v>
      </c>
      <c r="W19" s="644"/>
      <c r="X19" s="644"/>
      <c r="Y19" s="644"/>
      <c r="Z19" s="644"/>
      <c r="AA19" s="644"/>
      <c r="AB19" s="644"/>
      <c r="AC19" s="700"/>
    </row>
    <row r="20" spans="1:101" ht="18" customHeight="1" x14ac:dyDescent="0.35">
      <c r="B20" s="640" t="s">
        <v>1934</v>
      </c>
      <c r="C20" s="202"/>
      <c r="D20" s="575"/>
      <c r="E20" s="530"/>
      <c r="F20" s="530"/>
      <c r="G20" s="530"/>
      <c r="H20" s="530"/>
      <c r="I20" s="530"/>
      <c r="J20" s="530"/>
      <c r="K20" s="530"/>
      <c r="L20" s="530"/>
      <c r="M20" s="530"/>
      <c r="N20" s="530"/>
      <c r="O20" s="530"/>
      <c r="P20" s="530"/>
      <c r="Q20" s="530"/>
      <c r="R20" s="530"/>
      <c r="S20" s="530"/>
      <c r="T20" s="530"/>
      <c r="U20" s="530"/>
      <c r="V20" s="530">
        <v>0</v>
      </c>
      <c r="W20" s="644"/>
      <c r="X20" s="644"/>
      <c r="Y20" s="644"/>
      <c r="Z20" s="644"/>
      <c r="AA20" s="644"/>
      <c r="AB20" s="644"/>
      <c r="AC20" s="700"/>
    </row>
    <row r="21" spans="1:101" ht="18" customHeight="1" x14ac:dyDescent="0.35">
      <c r="A21" t="s">
        <v>1940</v>
      </c>
      <c r="B21" s="641" t="s">
        <v>49</v>
      </c>
      <c r="C21" s="202"/>
      <c r="D21" s="360">
        <f>'Provider Relief (expired)'!D11</f>
        <v>0</v>
      </c>
      <c r="E21" s="366">
        <f>'Provider Relief (expired)'!E11</f>
        <v>0</v>
      </c>
      <c r="F21" s="366">
        <f>'Provider Relief (expired)'!F11</f>
        <v>0</v>
      </c>
      <c r="G21" s="366">
        <f>'Provider Relief (expired)'!G11</f>
        <v>0</v>
      </c>
      <c r="H21" s="366">
        <f>'Provider Relief (expired)'!H11</f>
        <v>0</v>
      </c>
      <c r="I21" s="366">
        <f>'Provider Relief (expired)'!I11</f>
        <v>0</v>
      </c>
      <c r="J21" s="366">
        <f>'Provider Relief (expired)'!J11</f>
        <v>160.9</v>
      </c>
      <c r="K21" s="366">
        <f>'Provider Relief (expired)'!K11</f>
        <v>58.4</v>
      </c>
      <c r="L21" s="366">
        <f>'Provider Relief (expired)'!L11</f>
        <v>34.5</v>
      </c>
      <c r="M21" s="366">
        <f>'Provider Relief (expired)'!M11</f>
        <v>21.4</v>
      </c>
      <c r="N21" s="366">
        <f>'Provider Relief (expired)'!N11</f>
        <v>13.3</v>
      </c>
      <c r="O21" s="366">
        <f>'Provider Relief (expired)'!O11</f>
        <v>18.7</v>
      </c>
      <c r="P21" s="366">
        <f>'Provider Relief (expired)'!P11</f>
        <v>32.200000000000003</v>
      </c>
      <c r="Q21" s="366">
        <f>'Provider Relief (expired)'!Q11</f>
        <v>26.9</v>
      </c>
      <c r="R21" s="366">
        <f>'Provider Relief (expired)'!R11</f>
        <v>20</v>
      </c>
      <c r="S21" s="366">
        <f>'Provider Relief (expired)'!S11</f>
        <v>8.1</v>
      </c>
      <c r="T21" s="366">
        <f>'Provider Relief (expired)'!T11</f>
        <v>4.9000000000000004</v>
      </c>
      <c r="U21" s="366">
        <v>0</v>
      </c>
      <c r="V21" s="636">
        <v>0</v>
      </c>
      <c r="W21" s="644">
        <v>0</v>
      </c>
      <c r="X21" s="644">
        <v>0</v>
      </c>
      <c r="Y21" s="644">
        <v>0</v>
      </c>
      <c r="Z21" s="644">
        <v>0</v>
      </c>
      <c r="AA21" s="644">
        <v>0</v>
      </c>
      <c r="AB21" s="644">
        <v>0</v>
      </c>
      <c r="AC21" s="700">
        <v>0</v>
      </c>
    </row>
    <row r="22" spans="1:101" ht="21.65" customHeight="1" x14ac:dyDescent="0.35">
      <c r="B22" s="391" t="s">
        <v>471</v>
      </c>
      <c r="C22" s="202"/>
      <c r="D22" s="575"/>
      <c r="E22" s="530"/>
      <c r="F22" s="530"/>
      <c r="G22" s="530"/>
      <c r="H22" s="530"/>
      <c r="I22" s="530"/>
      <c r="J22" s="530">
        <f>'PPP (expired)'!J53</f>
        <v>57.2</v>
      </c>
      <c r="K22" s="530">
        <f>'PPP (expired)'!K53</f>
        <v>81.2</v>
      </c>
      <c r="L22" s="530">
        <f>'PPP (expired)'!L53</f>
        <v>24.4</v>
      </c>
      <c r="M22" s="530">
        <f>'PPP (expired)'!M53</f>
        <v>11.7</v>
      </c>
      <c r="N22" s="530">
        <f>'PPP (expired)'!N53</f>
        <v>28.5</v>
      </c>
      <c r="O22" s="530">
        <f>'PPP (expired)'!O53</f>
        <v>18.8</v>
      </c>
      <c r="P22" s="530">
        <f>'PPP (expired)'!P53</f>
        <v>1.6</v>
      </c>
      <c r="Q22" s="530">
        <f>'PPP (expired)'!Q53</f>
        <v>0</v>
      </c>
      <c r="R22" s="530">
        <f>'PPP (expired)'!R53</f>
        <v>0</v>
      </c>
      <c r="S22" s="530">
        <f>'PPP (expired)'!S53</f>
        <v>0</v>
      </c>
      <c r="T22" s="530">
        <f>'PPP (expired)'!T53</f>
        <v>0</v>
      </c>
      <c r="U22" s="530">
        <f>'PPP (expired)'!U53</f>
        <v>0</v>
      </c>
      <c r="V22" s="530">
        <f>'PPP (expired)'!V53</f>
        <v>0</v>
      </c>
      <c r="W22" s="644">
        <f>'PPP (expired)'!W53</f>
        <v>0</v>
      </c>
      <c r="X22" s="644">
        <f>'PPP (expired)'!X53</f>
        <v>0</v>
      </c>
      <c r="Y22" s="644">
        <f>'PPP (expired)'!Y53</f>
        <v>0</v>
      </c>
      <c r="Z22" s="644">
        <f>'PPP (expired)'!Z53</f>
        <v>0</v>
      </c>
      <c r="AA22" s="644">
        <f>'PPP (expired)'!AA53</f>
        <v>0</v>
      </c>
      <c r="AB22" s="644">
        <f>'PPP (expired)'!AB53</f>
        <v>0</v>
      </c>
      <c r="AC22" s="644">
        <f>'PPP (expired)'!AC53</f>
        <v>0</v>
      </c>
    </row>
    <row r="23" spans="1:101" ht="22.4" customHeight="1" x14ac:dyDescent="0.35">
      <c r="B23" s="391" t="s">
        <v>218</v>
      </c>
      <c r="C23" s="655"/>
      <c r="D23" s="360"/>
      <c r="E23" s="366"/>
      <c r="F23" s="366"/>
      <c r="G23" s="366"/>
      <c r="H23" s="366"/>
      <c r="I23" s="366"/>
      <c r="J23" s="366"/>
      <c r="K23" s="366"/>
      <c r="L23" s="366"/>
      <c r="M23" s="530">
        <f>'ARP Quarterly'!C4</f>
        <v>0</v>
      </c>
      <c r="N23" s="530">
        <f>'ARP Quarterly'!D4</f>
        <v>0</v>
      </c>
      <c r="O23" s="530">
        <f>'ARP Quarterly'!E4</f>
        <v>3.1040000000000418</v>
      </c>
      <c r="P23" s="530">
        <f>'ARP Quarterly'!F4</f>
        <v>19.719000000000005</v>
      </c>
      <c r="Q23" s="530">
        <f>'ARP Quarterly'!G4</f>
        <v>19.719000000000005</v>
      </c>
      <c r="R23" s="530">
        <f>'ARP Quarterly'!H4</f>
        <v>19.719000000000005</v>
      </c>
      <c r="S23" s="530">
        <f>'ARP Quarterly'!I4</f>
        <v>19.719000000000005</v>
      </c>
      <c r="T23" s="530">
        <f>'ARP Quarterly'!J4</f>
        <v>1.4159999999999999</v>
      </c>
      <c r="U23" s="530">
        <f>'ARP Quarterly'!K4</f>
        <v>1.4159999999999999</v>
      </c>
      <c r="V23" s="530">
        <f>'ARP Quarterly'!L4</f>
        <v>1.4159999999999999</v>
      </c>
      <c r="W23" s="644">
        <f>'ARP Quarterly'!M4</f>
        <v>1.4159999999999999</v>
      </c>
      <c r="X23" s="644">
        <f>'ARP Quarterly'!N4</f>
        <v>1.4790000000000001</v>
      </c>
      <c r="Y23" s="644">
        <f>'ARP Quarterly'!O4</f>
        <v>1.4790000000000001</v>
      </c>
      <c r="Z23" s="644">
        <f>'ARP Quarterly'!P4</f>
        <v>1.4790000000000001</v>
      </c>
      <c r="AA23" s="644">
        <f>'ARP Quarterly'!Q4</f>
        <v>1.4790000000000001</v>
      </c>
      <c r="AB23" s="644">
        <f>'ARP Quarterly'!R4</f>
        <v>1.63</v>
      </c>
      <c r="AC23" s="644">
        <f>'ARP Quarterly'!S4</f>
        <v>1.63</v>
      </c>
      <c r="AE23" s="655"/>
      <c r="AF23" s="655"/>
      <c r="AG23" s="655"/>
      <c r="AH23" s="655"/>
      <c r="AI23" s="655"/>
      <c r="AJ23" s="655"/>
      <c r="AK23" s="655"/>
      <c r="AL23" s="655"/>
      <c r="AM23" s="655"/>
      <c r="AN23" s="655"/>
      <c r="AO23" s="655"/>
      <c r="AP23" s="655"/>
      <c r="AQ23" s="655"/>
      <c r="AR23" s="655"/>
      <c r="AS23" s="655"/>
      <c r="AT23" s="655"/>
      <c r="AU23" s="655"/>
      <c r="AV23" s="655"/>
      <c r="AW23" s="655"/>
      <c r="AX23" s="655"/>
      <c r="AY23" s="655"/>
      <c r="AZ23" s="655"/>
      <c r="BA23" s="655"/>
      <c r="BB23" s="655"/>
      <c r="BC23" s="655"/>
      <c r="BD23" s="655"/>
      <c r="BE23" s="655"/>
      <c r="BF23" s="655"/>
      <c r="BG23" s="655"/>
      <c r="BH23" s="655"/>
      <c r="BI23" s="655"/>
      <c r="BJ23" s="655"/>
      <c r="BK23" s="655"/>
      <c r="BL23" s="655"/>
      <c r="BM23" s="655"/>
      <c r="BN23" s="655"/>
      <c r="BO23" s="655"/>
      <c r="BP23" s="655"/>
      <c r="BQ23" s="655"/>
      <c r="BR23" s="655"/>
      <c r="BS23" s="655"/>
      <c r="BT23" s="655"/>
      <c r="BU23" s="655"/>
      <c r="BV23" s="655"/>
      <c r="BW23" s="655"/>
      <c r="BX23" s="655"/>
      <c r="BY23" s="655"/>
      <c r="BZ23" s="655"/>
      <c r="CA23" s="655"/>
      <c r="CB23" s="655"/>
      <c r="CC23" s="655"/>
      <c r="CD23" s="655"/>
      <c r="CE23" s="655"/>
      <c r="CF23" s="655"/>
      <c r="CG23" s="655"/>
      <c r="CH23" s="655"/>
      <c r="CI23" s="655"/>
      <c r="CJ23" s="655"/>
      <c r="CK23" s="655"/>
      <c r="CL23" s="655"/>
      <c r="CM23" s="655"/>
      <c r="CN23" s="655"/>
      <c r="CO23" s="655"/>
      <c r="CP23" s="655"/>
      <c r="CQ23" s="655"/>
      <c r="CR23" s="655"/>
      <c r="CS23" s="655"/>
      <c r="CT23" s="655"/>
      <c r="CU23" s="655"/>
      <c r="CV23" s="655"/>
      <c r="CW23" s="655"/>
    </row>
    <row r="24" spans="1:101" ht="36.65" customHeight="1" x14ac:dyDescent="0.35">
      <c r="B24" s="210" t="s">
        <v>1439</v>
      </c>
      <c r="C24" s="202"/>
      <c r="D24" s="575">
        <f>D85</f>
        <v>0</v>
      </c>
      <c r="E24" s="530">
        <f t="shared" ref="E24:AC24" si="1">E85</f>
        <v>0</v>
      </c>
      <c r="F24" s="530">
        <f t="shared" si="1"/>
        <v>0</v>
      </c>
      <c r="G24" s="530">
        <f t="shared" si="1"/>
        <v>0</v>
      </c>
      <c r="H24" s="530">
        <f t="shared" si="1"/>
        <v>0</v>
      </c>
      <c r="I24" s="530">
        <f t="shared" si="1"/>
        <v>5.0234999999999914</v>
      </c>
      <c r="J24" s="530">
        <f t="shared" si="1"/>
        <v>45.406499999999987</v>
      </c>
      <c r="K24" s="530">
        <f t="shared" si="1"/>
        <v>50.178499999999993</v>
      </c>
      <c r="L24" s="530">
        <f t="shared" si="1"/>
        <v>60.014499999999991</v>
      </c>
      <c r="M24" s="530">
        <f t="shared" si="1"/>
        <v>86.04249999999999</v>
      </c>
      <c r="N24" s="530">
        <f t="shared" si="1"/>
        <v>100.69149999999999</v>
      </c>
      <c r="O24" s="530">
        <f t="shared" si="1"/>
        <v>95.460499999999996</v>
      </c>
      <c r="P24" s="530">
        <f t="shared" si="1"/>
        <v>100.72550000000001</v>
      </c>
      <c r="Q24" s="530">
        <f t="shared" si="1"/>
        <v>80.643499999999989</v>
      </c>
      <c r="R24" s="530">
        <f t="shared" si="1"/>
        <v>63.702499999999993</v>
      </c>
      <c r="S24" s="530">
        <f t="shared" si="1"/>
        <v>56.879499999999986</v>
      </c>
      <c r="T24" s="530">
        <f t="shared" si="1"/>
        <v>71.822499999999991</v>
      </c>
      <c r="U24" s="530">
        <f t="shared" si="1"/>
        <v>65.127499999999998</v>
      </c>
      <c r="V24" s="530">
        <f t="shared" si="1"/>
        <v>37.745499999999986</v>
      </c>
      <c r="W24" s="644">
        <f t="shared" si="1"/>
        <v>37.745499999999986</v>
      </c>
      <c r="X24" s="644">
        <f t="shared" si="1"/>
        <v>37.745499999999986</v>
      </c>
      <c r="Y24" s="644">
        <f t="shared" si="1"/>
        <v>37.745499999999986</v>
      </c>
      <c r="Z24" s="644">
        <f t="shared" si="1"/>
        <v>37.745499999999986</v>
      </c>
      <c r="AA24" s="644">
        <f t="shared" si="1"/>
        <v>37.745499999999986</v>
      </c>
      <c r="AB24" s="644">
        <f t="shared" si="1"/>
        <v>37.745499999999986</v>
      </c>
      <c r="AC24" s="644">
        <f t="shared" si="1"/>
        <v>37.745499999999986</v>
      </c>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2"/>
      <c r="BZ24" s="202"/>
      <c r="CA24" s="202"/>
      <c r="CB24" s="202"/>
      <c r="CC24" s="202"/>
      <c r="CD24" s="202"/>
      <c r="CE24" s="202"/>
      <c r="CF24" s="202"/>
      <c r="CG24" s="202"/>
      <c r="CH24" s="202"/>
      <c r="CI24" s="202"/>
      <c r="CJ24" s="202"/>
      <c r="CK24" s="202"/>
      <c r="CL24" s="202"/>
      <c r="CM24" s="202"/>
      <c r="CN24" s="202"/>
      <c r="CO24" s="202"/>
      <c r="CP24" s="202"/>
      <c r="CQ24" s="202"/>
      <c r="CR24" s="202"/>
      <c r="CS24" s="202"/>
      <c r="CT24" s="202"/>
      <c r="CU24" s="202"/>
      <c r="CV24" s="202"/>
    </row>
    <row r="25" spans="1:101" ht="17.149999999999999" customHeight="1" x14ac:dyDescent="0.35">
      <c r="A25" t="s">
        <v>1943</v>
      </c>
      <c r="B25" s="721" t="s">
        <v>468</v>
      </c>
      <c r="C25" s="202" t="s">
        <v>469</v>
      </c>
      <c r="D25" s="530">
        <f>'Haver Pivoted'!GO31</f>
        <v>2224.3000000000002</v>
      </c>
      <c r="E25" s="530">
        <f>'Haver Pivoted'!GP31</f>
        <v>2303.4</v>
      </c>
      <c r="F25" s="530">
        <f>'Haver Pivoted'!GQ31</f>
        <v>2319.4</v>
      </c>
      <c r="G25" s="530">
        <f>'Haver Pivoted'!GR31</f>
        <v>2333.8000000000002</v>
      </c>
      <c r="H25" s="530">
        <f>'Haver Pivoted'!GS31</f>
        <v>2346.4</v>
      </c>
      <c r="I25" s="530">
        <f>'Haver Pivoted'!GT31</f>
        <v>2407.5</v>
      </c>
      <c r="J25" s="530">
        <f>'Haver Pivoted'!GU31</f>
        <v>4698.7</v>
      </c>
      <c r="K25" s="530">
        <f>'Haver Pivoted'!GV31</f>
        <v>3492.4</v>
      </c>
      <c r="L25" s="530">
        <f>'Haver Pivoted'!GW31</f>
        <v>2881.6</v>
      </c>
      <c r="M25" s="530">
        <f>'Haver Pivoted'!GX31</f>
        <v>5094.8</v>
      </c>
      <c r="N25" s="530">
        <f>'Haver Pivoted'!GY31</f>
        <v>3395.6</v>
      </c>
      <c r="O25" s="530">
        <f>'Haver Pivoted'!GZ31</f>
        <v>3146.3</v>
      </c>
      <c r="P25" s="530">
        <f>'Haver Pivoted'!HA31</f>
        <v>2937.4</v>
      </c>
      <c r="Q25" s="530">
        <f>'Haver Pivoted'!HB31</f>
        <v>2863</v>
      </c>
      <c r="R25" s="530">
        <f>'Haver Pivoted'!HC31</f>
        <v>2846.5</v>
      </c>
      <c r="S25" s="530">
        <f>'Haver Pivoted'!HD31</f>
        <v>2840.1</v>
      </c>
      <c r="T25" s="530">
        <f>'Haver Pivoted'!HE31</f>
        <v>2882.8</v>
      </c>
      <c r="U25" s="530">
        <f>'Haver Pivoted'!HF31</f>
        <v>2963</v>
      </c>
      <c r="V25" s="530">
        <f>'Haver Pivoted'!HG31</f>
        <v>2952.8</v>
      </c>
      <c r="W25" s="644"/>
      <c r="X25" s="644"/>
      <c r="Y25" s="644"/>
      <c r="Z25" s="644"/>
      <c r="AA25" s="644"/>
      <c r="AB25" s="644"/>
      <c r="AC25" s="644"/>
    </row>
    <row r="26" spans="1:101" ht="17.149999999999999" customHeight="1" x14ac:dyDescent="0.35">
      <c r="B26" s="231" t="s">
        <v>1942</v>
      </c>
      <c r="C26" s="202"/>
      <c r="D26" s="530">
        <f>D27+D28</f>
        <v>813.09999999999991</v>
      </c>
      <c r="E26" s="530">
        <f t="shared" ref="E26:V26" si="2">E27+E28</f>
        <v>832</v>
      </c>
      <c r="F26" s="530">
        <f t="shared" si="2"/>
        <v>842.69999999999993</v>
      </c>
      <c r="G26" s="530">
        <f t="shared" si="2"/>
        <v>850.1</v>
      </c>
      <c r="H26" s="530">
        <f t="shared" si="2"/>
        <v>854</v>
      </c>
      <c r="I26" s="530">
        <f t="shared" si="2"/>
        <v>871.02350000000001</v>
      </c>
      <c r="J26" s="530">
        <f t="shared" si="2"/>
        <v>3026.2065000000002</v>
      </c>
      <c r="K26" s="530">
        <f t="shared" si="2"/>
        <v>1792.1784999999998</v>
      </c>
      <c r="L26" s="530">
        <f t="shared" si="2"/>
        <v>1265.6145000000001</v>
      </c>
      <c r="M26" s="530">
        <f>M27+M28</f>
        <v>3479.6424999999999</v>
      </c>
      <c r="N26" s="530">
        <f t="shared" si="2"/>
        <v>1777.6915000000001</v>
      </c>
      <c r="O26" s="530">
        <f t="shared" si="2"/>
        <v>1509.7978333333328</v>
      </c>
      <c r="P26" s="530">
        <f t="shared" si="2"/>
        <v>1293.177833333333</v>
      </c>
      <c r="Q26" s="530">
        <f t="shared" si="2"/>
        <v>1126.2625</v>
      </c>
      <c r="R26" s="530">
        <f t="shared" si="2"/>
        <v>1108.1215</v>
      </c>
      <c r="S26" s="530">
        <f t="shared" si="2"/>
        <v>1109.6985</v>
      </c>
      <c r="T26" s="530">
        <f t="shared" si="2"/>
        <v>1129.5384999999999</v>
      </c>
      <c r="U26" s="530">
        <f t="shared" si="2"/>
        <v>1083.8434999999999</v>
      </c>
      <c r="V26" s="530">
        <f t="shared" si="2"/>
        <v>1063.5614999999998</v>
      </c>
      <c r="W26" s="644">
        <f>W27+W28</f>
        <v>39.161499999999982</v>
      </c>
      <c r="X26" s="644">
        <f t="shared" ref="X26" si="3">X27+X28</f>
        <v>39.224499999999985</v>
      </c>
      <c r="Y26" s="644">
        <f t="shared" ref="Y26" si="4">Y27+Y28</f>
        <v>39.224499999999985</v>
      </c>
      <c r="Z26" s="644">
        <f t="shared" ref="Z26" si="5">Z27+Z28</f>
        <v>39.224499999999985</v>
      </c>
      <c r="AA26" s="644">
        <f t="shared" ref="AA26" si="6">AA27+AA28</f>
        <v>39.224499999999985</v>
      </c>
      <c r="AB26" s="644">
        <f t="shared" ref="AB26" si="7">AB27+AB28</f>
        <v>39.375499999999988</v>
      </c>
      <c r="AC26" s="644">
        <f t="shared" ref="AC26" si="8">AC27+AC28</f>
        <v>39.375499999999988</v>
      </c>
    </row>
    <row r="27" spans="1:101" ht="17.149999999999999" customHeight="1" x14ac:dyDescent="0.35">
      <c r="B27" s="382" t="s">
        <v>1941</v>
      </c>
      <c r="C27" s="202"/>
      <c r="D27" s="575">
        <f t="shared" ref="D27:V27" si="9">D13+D14+D17</f>
        <v>813.09999999999991</v>
      </c>
      <c r="E27" s="530">
        <f t="shared" si="9"/>
        <v>832</v>
      </c>
      <c r="F27" s="530">
        <f t="shared" si="9"/>
        <v>842.69999999999993</v>
      </c>
      <c r="G27" s="530">
        <f t="shared" si="9"/>
        <v>850.1</v>
      </c>
      <c r="H27" s="530">
        <f t="shared" si="9"/>
        <v>854</v>
      </c>
      <c r="I27" s="530">
        <f t="shared" si="9"/>
        <v>866</v>
      </c>
      <c r="J27" s="530">
        <f t="shared" si="9"/>
        <v>1845.5</v>
      </c>
      <c r="K27" s="530">
        <f t="shared" si="9"/>
        <v>1645.1999999999998</v>
      </c>
      <c r="L27" s="530">
        <f t="shared" si="9"/>
        <v>1176.2</v>
      </c>
      <c r="M27" s="530">
        <f t="shared" si="9"/>
        <v>1448.2</v>
      </c>
      <c r="N27" s="530">
        <f t="shared" si="9"/>
        <v>1358.4</v>
      </c>
      <c r="O27" s="530">
        <f t="shared" si="9"/>
        <v>1353.5333333333328</v>
      </c>
      <c r="P27" s="530">
        <f t="shared" si="9"/>
        <v>1156.9333333333329</v>
      </c>
      <c r="Q27" s="530">
        <f t="shared" si="9"/>
        <v>1025.9000000000001</v>
      </c>
      <c r="R27" s="530">
        <f t="shared" si="9"/>
        <v>1024.7</v>
      </c>
      <c r="S27" s="530">
        <f t="shared" si="9"/>
        <v>1033.0999999999999</v>
      </c>
      <c r="T27" s="530">
        <f t="shared" si="9"/>
        <v>1056.3</v>
      </c>
      <c r="U27" s="530">
        <f t="shared" si="9"/>
        <v>1017.3</v>
      </c>
      <c r="V27" s="530">
        <f t="shared" si="9"/>
        <v>1024.3999999999999</v>
      </c>
      <c r="W27" s="644"/>
      <c r="X27" s="644"/>
      <c r="Y27" s="644"/>
      <c r="Z27" s="644"/>
      <c r="AA27" s="644"/>
      <c r="AB27" s="644"/>
      <c r="AC27" s="700"/>
    </row>
    <row r="28" spans="1:101" ht="28.5" customHeight="1" x14ac:dyDescent="0.35">
      <c r="B28" s="382" t="s">
        <v>1938</v>
      </c>
      <c r="C28" s="202"/>
      <c r="D28" s="360">
        <f t="shared" ref="D28:AC28" si="10">D18+D23+D24+D22</f>
        <v>0</v>
      </c>
      <c r="E28" s="366">
        <f t="shared" si="10"/>
        <v>0</v>
      </c>
      <c r="F28" s="366">
        <f t="shared" si="10"/>
        <v>0</v>
      </c>
      <c r="G28" s="366">
        <f t="shared" si="10"/>
        <v>0</v>
      </c>
      <c r="H28" s="366">
        <f t="shared" si="10"/>
        <v>0</v>
      </c>
      <c r="I28" s="366">
        <f t="shared" si="10"/>
        <v>5.0234999999999914</v>
      </c>
      <c r="J28" s="366">
        <f t="shared" si="10"/>
        <v>1180.7065</v>
      </c>
      <c r="K28" s="366">
        <f t="shared" si="10"/>
        <v>146.9785</v>
      </c>
      <c r="L28" s="366">
        <f t="shared" si="10"/>
        <v>89.414500000000004</v>
      </c>
      <c r="M28" s="366">
        <f t="shared" si="10"/>
        <v>2031.4424999999999</v>
      </c>
      <c r="N28" s="366">
        <f t="shared" si="10"/>
        <v>419.29150000000004</v>
      </c>
      <c r="O28" s="366">
        <f t="shared" si="10"/>
        <v>156.26450000000006</v>
      </c>
      <c r="P28" s="366">
        <f t="shared" si="10"/>
        <v>136.24450000000002</v>
      </c>
      <c r="Q28" s="366">
        <f t="shared" si="10"/>
        <v>100.3625</v>
      </c>
      <c r="R28" s="366">
        <f t="shared" si="10"/>
        <v>83.421499999999995</v>
      </c>
      <c r="S28" s="366">
        <f t="shared" si="10"/>
        <v>76.598499999999987</v>
      </c>
      <c r="T28" s="366">
        <f t="shared" si="10"/>
        <v>73.238499999999988</v>
      </c>
      <c r="U28" s="366">
        <f t="shared" si="10"/>
        <v>66.543499999999995</v>
      </c>
      <c r="V28" s="366">
        <f t="shared" si="10"/>
        <v>39.161499999999982</v>
      </c>
      <c r="W28" s="303">
        <f t="shared" si="10"/>
        <v>39.161499999999982</v>
      </c>
      <c r="X28" s="303">
        <f t="shared" si="10"/>
        <v>39.224499999999985</v>
      </c>
      <c r="Y28" s="303">
        <f t="shared" si="10"/>
        <v>39.224499999999985</v>
      </c>
      <c r="Z28" s="303">
        <f t="shared" si="10"/>
        <v>39.224499999999985</v>
      </c>
      <c r="AA28" s="303">
        <f t="shared" si="10"/>
        <v>39.224499999999985</v>
      </c>
      <c r="AB28" s="303">
        <f t="shared" si="10"/>
        <v>39.375499999999988</v>
      </c>
      <c r="AC28" s="303">
        <f t="shared" si="10"/>
        <v>39.375499999999988</v>
      </c>
    </row>
    <row r="29" spans="1:101" x14ac:dyDescent="0.35">
      <c r="B29" s="391" t="s">
        <v>1944</v>
      </c>
      <c r="C29" s="202"/>
      <c r="D29" s="366">
        <f>D25-D26</f>
        <v>1411.2000000000003</v>
      </c>
      <c r="E29" s="366">
        <f t="shared" ref="E29:V29" si="11">E25-E26</f>
        <v>1471.4</v>
      </c>
      <c r="F29" s="366">
        <f t="shared" si="11"/>
        <v>1476.7000000000003</v>
      </c>
      <c r="G29" s="366">
        <f t="shared" si="11"/>
        <v>1483.7000000000003</v>
      </c>
      <c r="H29" s="366">
        <f t="shared" si="11"/>
        <v>1492.4</v>
      </c>
      <c r="I29" s="366">
        <f t="shared" si="11"/>
        <v>1536.4765</v>
      </c>
      <c r="J29" s="366">
        <f t="shared" si="11"/>
        <v>1672.4934999999996</v>
      </c>
      <c r="K29" s="366">
        <f t="shared" si="11"/>
        <v>1700.2215000000003</v>
      </c>
      <c r="L29" s="366">
        <f t="shared" si="11"/>
        <v>1615.9854999999998</v>
      </c>
      <c r="M29" s="366">
        <f t="shared" si="11"/>
        <v>1615.1575000000003</v>
      </c>
      <c r="N29" s="366">
        <f t="shared" si="11"/>
        <v>1617.9084999999998</v>
      </c>
      <c r="O29" s="366">
        <f t="shared" si="11"/>
        <v>1636.5021666666673</v>
      </c>
      <c r="P29" s="366">
        <f t="shared" si="11"/>
        <v>1644.2221666666671</v>
      </c>
      <c r="Q29" s="366">
        <f t="shared" si="11"/>
        <v>1736.7375</v>
      </c>
      <c r="R29" s="366">
        <f t="shared" si="11"/>
        <v>1738.3785</v>
      </c>
      <c r="S29" s="366">
        <f t="shared" si="11"/>
        <v>1730.4014999999999</v>
      </c>
      <c r="T29" s="366">
        <f t="shared" si="11"/>
        <v>1753.2615000000003</v>
      </c>
      <c r="U29" s="366">
        <f t="shared" si="11"/>
        <v>1879.1565000000001</v>
      </c>
      <c r="V29" s="366">
        <f t="shared" si="11"/>
        <v>1889.2385000000004</v>
      </c>
      <c r="W29" s="303"/>
      <c r="X29" s="303"/>
      <c r="Y29" s="303"/>
      <c r="Z29" s="303"/>
      <c r="AA29" s="303"/>
      <c r="AB29" s="303"/>
      <c r="AC29" s="303"/>
    </row>
    <row r="30" spans="1:101" ht="18" customHeight="1" x14ac:dyDescent="0.35">
      <c r="B30" s="419" t="s">
        <v>1935</v>
      </c>
      <c r="C30" s="202"/>
      <c r="D30" s="240"/>
      <c r="E30" s="215"/>
      <c r="F30" s="215"/>
      <c r="G30" s="215"/>
      <c r="H30" s="215"/>
      <c r="I30" s="215"/>
      <c r="J30" s="215"/>
      <c r="K30" s="215"/>
      <c r="L30" s="215"/>
      <c r="M30" s="215"/>
      <c r="N30" s="215"/>
      <c r="O30" s="215"/>
      <c r="P30" s="215"/>
      <c r="Q30" s="215"/>
      <c r="R30" s="215"/>
      <c r="S30" s="215"/>
      <c r="T30" s="215"/>
      <c r="U30" s="215"/>
      <c r="V30" s="530"/>
      <c r="W30" s="644"/>
      <c r="X30" s="644"/>
      <c r="Y30" s="644"/>
      <c r="Z30" s="644"/>
      <c r="AA30" s="644"/>
      <c r="AB30" s="644"/>
      <c r="AC30" s="700"/>
    </row>
    <row r="31" spans="1:101" ht="18" customHeight="1" x14ac:dyDescent="0.35">
      <c r="B31" s="419" t="s">
        <v>1936</v>
      </c>
      <c r="C31" s="202"/>
      <c r="D31" s="240"/>
      <c r="E31" s="215"/>
      <c r="F31" s="215"/>
      <c r="G31" s="215"/>
      <c r="H31" s="215"/>
      <c r="I31" s="215"/>
      <c r="J31" s="215"/>
      <c r="K31" s="215"/>
      <c r="L31" s="215"/>
      <c r="M31" s="215"/>
      <c r="N31" s="215"/>
      <c r="O31" s="215"/>
      <c r="P31" s="215"/>
      <c r="Q31" s="215"/>
      <c r="R31" s="215"/>
      <c r="S31" s="215"/>
      <c r="T31" s="215"/>
      <c r="U31" s="215"/>
      <c r="V31" s="530"/>
      <c r="W31" s="644"/>
      <c r="X31" s="644"/>
      <c r="Y31" s="644"/>
      <c r="Z31" s="644"/>
      <c r="AA31" s="644"/>
      <c r="AB31" s="644"/>
      <c r="AC31" s="700"/>
    </row>
    <row r="32" spans="1:101" ht="20.149999999999999" customHeight="1" x14ac:dyDescent="0.35">
      <c r="B32" s="234" t="s">
        <v>473</v>
      </c>
      <c r="C32" s="229"/>
      <c r="D32" s="702"/>
      <c r="E32" s="611"/>
      <c r="F32" s="611"/>
      <c r="G32" s="611"/>
      <c r="H32" s="534"/>
      <c r="I32" s="534"/>
      <c r="J32" s="534"/>
      <c r="K32" s="534"/>
      <c r="L32" s="534"/>
      <c r="M32" s="534">
        <f>'ARP Quarterly'!C5</f>
        <v>0</v>
      </c>
      <c r="N32" s="534">
        <f>'ARP Quarterly'!D5</f>
        <v>33.921840000000024</v>
      </c>
      <c r="O32" s="534">
        <f>'ARP Quarterly'!E5</f>
        <v>44.966160000000031</v>
      </c>
      <c r="P32" s="534">
        <f>'ARP Quarterly'!F5</f>
        <v>52.756999999999998</v>
      </c>
      <c r="Q32" s="534">
        <f>'ARP Quarterly'!G5</f>
        <v>52.756999999999998</v>
      </c>
      <c r="R32" s="534">
        <f>'ARP Quarterly'!H5</f>
        <v>52.756999999999998</v>
      </c>
      <c r="S32" s="534">
        <f>'ARP Quarterly'!I5</f>
        <v>52.756999999999998</v>
      </c>
      <c r="T32" s="534">
        <v>30</v>
      </c>
      <c r="U32" s="534">
        <f>'ARP Quarterly'!K5</f>
        <v>12</v>
      </c>
      <c r="V32" s="637">
        <f>'ARP Quarterly'!L5</f>
        <v>12</v>
      </c>
      <c r="W32" s="529">
        <f>'ARP Quarterly'!M5</f>
        <v>12</v>
      </c>
      <c r="X32" s="529">
        <f>'ARP Quarterly'!N5</f>
        <v>4.2219999999999995</v>
      </c>
      <c r="Y32" s="529">
        <f>'ARP Quarterly'!O5</f>
        <v>4.2219999999999995</v>
      </c>
      <c r="Z32" s="529">
        <f>'ARP Quarterly'!P5</f>
        <v>4.2219999999999995</v>
      </c>
      <c r="AA32" s="529">
        <f>'ARP Quarterly'!Q5</f>
        <v>4.2219999999999995</v>
      </c>
      <c r="AB32" s="529">
        <f>'ARP Quarterly'!R5</f>
        <v>2.3719999999999999</v>
      </c>
      <c r="AC32" s="665">
        <f>'ARP Quarterly'!S5</f>
        <v>2.3719999999999999</v>
      </c>
    </row>
    <row r="33" spans="2:101" ht="22.4" customHeight="1" x14ac:dyDescent="0.35">
      <c r="B33" s="210" t="s">
        <v>218</v>
      </c>
      <c r="C33" s="655"/>
      <c r="D33" s="240"/>
      <c r="E33" s="215"/>
      <c r="F33" s="215"/>
      <c r="G33" s="215"/>
      <c r="H33" s="215"/>
      <c r="I33" s="215"/>
      <c r="J33" s="215"/>
      <c r="K33" s="215"/>
      <c r="L33" s="215"/>
      <c r="M33" s="530">
        <f>'ARP Quarterly'!C4</f>
        <v>0</v>
      </c>
      <c r="N33" s="530">
        <f>'ARP Quarterly'!D4</f>
        <v>0</v>
      </c>
      <c r="O33" s="530">
        <f>'ARP Quarterly'!E4</f>
        <v>3.1040000000000418</v>
      </c>
      <c r="P33" s="530">
        <f>'ARP Quarterly'!F4</f>
        <v>19.719000000000005</v>
      </c>
      <c r="Q33" s="530">
        <f>'ARP Quarterly'!G4</f>
        <v>19.719000000000005</v>
      </c>
      <c r="R33" s="530">
        <f>'ARP Quarterly'!H4</f>
        <v>19.719000000000005</v>
      </c>
      <c r="S33" s="530">
        <f>'ARP Quarterly'!I4</f>
        <v>19.719000000000005</v>
      </c>
      <c r="T33" s="530">
        <f>'ARP Quarterly'!J4</f>
        <v>1.4159999999999999</v>
      </c>
      <c r="U33" s="530">
        <f>'ARP Quarterly'!K4</f>
        <v>1.4159999999999999</v>
      </c>
      <c r="V33" s="530">
        <f>'ARP Quarterly'!L4</f>
        <v>1.4159999999999999</v>
      </c>
      <c r="W33" s="644">
        <f>'ARP Quarterly'!M4</f>
        <v>1.4159999999999999</v>
      </c>
      <c r="X33" s="644">
        <f>'ARP Quarterly'!N4</f>
        <v>1.4790000000000001</v>
      </c>
      <c r="Y33" s="644">
        <f>'ARP Quarterly'!O4</f>
        <v>1.4790000000000001</v>
      </c>
      <c r="Z33" s="644">
        <f>'ARP Quarterly'!P4</f>
        <v>1.4790000000000001</v>
      </c>
      <c r="AA33" s="644">
        <f>'ARP Quarterly'!Q4</f>
        <v>1.4790000000000001</v>
      </c>
      <c r="AB33" s="644">
        <f>'ARP Quarterly'!R4</f>
        <v>1.63</v>
      </c>
      <c r="AC33" s="700">
        <f>'ARP Quarterly'!S4</f>
        <v>1.63</v>
      </c>
      <c r="AE33" s="655"/>
      <c r="AF33" s="655"/>
      <c r="AG33" s="655"/>
      <c r="AH33" s="655"/>
      <c r="AI33" s="655"/>
      <c r="AJ33" s="655"/>
      <c r="AK33" s="655"/>
      <c r="AL33" s="655"/>
      <c r="AM33" s="655"/>
      <c r="AN33" s="655"/>
      <c r="AO33" s="655"/>
      <c r="AP33" s="655"/>
      <c r="AQ33" s="655"/>
      <c r="AR33" s="655"/>
      <c r="AS33" s="655"/>
      <c r="AT33" s="655"/>
      <c r="AU33" s="655"/>
      <c r="AV33" s="655"/>
      <c r="AW33" s="655"/>
      <c r="AX33" s="655"/>
      <c r="AY33" s="655"/>
      <c r="AZ33" s="655"/>
      <c r="BA33" s="655"/>
      <c r="BB33" s="655"/>
      <c r="BC33" s="655"/>
      <c r="BD33" s="655"/>
      <c r="BE33" s="655"/>
      <c r="BF33" s="655"/>
      <c r="BG33" s="655"/>
      <c r="BH33" s="655"/>
      <c r="BI33" s="655"/>
      <c r="BJ33" s="655"/>
      <c r="BK33" s="655"/>
      <c r="BL33" s="655"/>
      <c r="BM33" s="655"/>
      <c r="BN33" s="655"/>
      <c r="BO33" s="655"/>
      <c r="BP33" s="655"/>
      <c r="BQ33" s="655"/>
      <c r="BR33" s="655"/>
      <c r="BS33" s="655"/>
      <c r="BT33" s="655"/>
      <c r="BU33" s="655"/>
      <c r="BV33" s="655"/>
      <c r="BW33" s="655"/>
      <c r="BX33" s="655"/>
      <c r="BY33" s="655"/>
      <c r="BZ33" s="655"/>
      <c r="CA33" s="655"/>
      <c r="CB33" s="655"/>
      <c r="CC33" s="655"/>
      <c r="CD33" s="655"/>
      <c r="CE33" s="655"/>
      <c r="CF33" s="655"/>
      <c r="CG33" s="655"/>
      <c r="CH33" s="655"/>
      <c r="CI33" s="655"/>
      <c r="CJ33" s="655"/>
      <c r="CK33" s="655"/>
      <c r="CL33" s="655"/>
      <c r="CM33" s="655"/>
      <c r="CN33" s="655"/>
      <c r="CO33" s="655"/>
      <c r="CP33" s="655"/>
      <c r="CQ33" s="655"/>
      <c r="CR33" s="655"/>
      <c r="CS33" s="655"/>
      <c r="CT33" s="655"/>
      <c r="CU33" s="655"/>
      <c r="CV33" s="655"/>
      <c r="CW33" s="655"/>
    </row>
    <row r="34" spans="2:101" ht="36.65" customHeight="1" x14ac:dyDescent="0.35">
      <c r="B34" s="210" t="s">
        <v>1439</v>
      </c>
      <c r="C34" s="202"/>
      <c r="D34" s="241">
        <f>D85</f>
        <v>0</v>
      </c>
      <c r="E34" s="188">
        <f t="shared" ref="E34:AC34" si="12">E85</f>
        <v>0</v>
      </c>
      <c r="F34" s="188">
        <f t="shared" si="12"/>
        <v>0</v>
      </c>
      <c r="G34" s="188">
        <f t="shared" si="12"/>
        <v>0</v>
      </c>
      <c r="H34" s="188">
        <f t="shared" si="12"/>
        <v>0</v>
      </c>
      <c r="I34" s="530">
        <f t="shared" si="12"/>
        <v>5.0234999999999914</v>
      </c>
      <c r="J34" s="530">
        <f t="shared" si="12"/>
        <v>45.406499999999987</v>
      </c>
      <c r="K34" s="530">
        <f t="shared" si="12"/>
        <v>50.178499999999993</v>
      </c>
      <c r="L34" s="530">
        <f t="shared" si="12"/>
        <v>60.014499999999991</v>
      </c>
      <c r="M34" s="530">
        <f t="shared" si="12"/>
        <v>86.04249999999999</v>
      </c>
      <c r="N34" s="530">
        <f t="shared" si="12"/>
        <v>100.69149999999999</v>
      </c>
      <c r="O34" s="530">
        <f t="shared" si="12"/>
        <v>95.460499999999996</v>
      </c>
      <c r="P34" s="530">
        <f t="shared" si="12"/>
        <v>100.72550000000001</v>
      </c>
      <c r="Q34" s="530">
        <f t="shared" si="12"/>
        <v>80.643499999999989</v>
      </c>
      <c r="R34" s="530">
        <f t="shared" si="12"/>
        <v>63.702499999999993</v>
      </c>
      <c r="S34" s="530">
        <f t="shared" si="12"/>
        <v>56.879499999999986</v>
      </c>
      <c r="T34" s="530">
        <f t="shared" si="12"/>
        <v>71.822499999999991</v>
      </c>
      <c r="U34" s="530">
        <f t="shared" si="12"/>
        <v>65.127499999999998</v>
      </c>
      <c r="V34" s="530">
        <f>V85</f>
        <v>37.745499999999986</v>
      </c>
      <c r="W34" s="644">
        <f>W85</f>
        <v>37.745499999999986</v>
      </c>
      <c r="X34" s="644">
        <f t="shared" si="12"/>
        <v>37.745499999999986</v>
      </c>
      <c r="Y34" s="644">
        <f t="shared" si="12"/>
        <v>37.745499999999986</v>
      </c>
      <c r="Z34" s="644">
        <f t="shared" si="12"/>
        <v>37.745499999999986</v>
      </c>
      <c r="AA34" s="644">
        <f t="shared" si="12"/>
        <v>37.745499999999986</v>
      </c>
      <c r="AB34" s="644">
        <f t="shared" si="12"/>
        <v>37.745499999999986</v>
      </c>
      <c r="AC34" s="700">
        <f t="shared" si="12"/>
        <v>37.745499999999986</v>
      </c>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c r="CF34" s="202"/>
      <c r="CG34" s="202"/>
      <c r="CH34" s="202"/>
      <c r="CI34" s="202"/>
      <c r="CJ34" s="202"/>
      <c r="CK34" s="202"/>
      <c r="CL34" s="202"/>
      <c r="CM34" s="202"/>
      <c r="CN34" s="202"/>
      <c r="CO34" s="202"/>
      <c r="CP34" s="202"/>
      <c r="CQ34" s="202"/>
      <c r="CR34" s="202"/>
      <c r="CS34" s="202"/>
      <c r="CT34" s="202"/>
      <c r="CU34" s="202"/>
      <c r="CV34" s="202"/>
    </row>
    <row r="35" spans="2:101" ht="15.65" customHeight="1" x14ac:dyDescent="0.35">
      <c r="B35" s="719" t="s">
        <v>802</v>
      </c>
      <c r="C35" s="202" t="s">
        <v>829</v>
      </c>
      <c r="D35" s="240">
        <v>30</v>
      </c>
      <c r="E35" s="215">
        <v>30</v>
      </c>
      <c r="F35" s="215">
        <v>30</v>
      </c>
      <c r="G35" s="215">
        <v>30</v>
      </c>
      <c r="H35" s="215">
        <v>30</v>
      </c>
      <c r="I35" s="215">
        <v>30</v>
      </c>
      <c r="J35" s="215">
        <v>30</v>
      </c>
      <c r="K35" s="192">
        <v>30.2</v>
      </c>
      <c r="L35" s="192">
        <v>30.2</v>
      </c>
      <c r="M35" s="192">
        <f>'Haver Pivoted'!GX89</f>
        <v>34.4</v>
      </c>
      <c r="N35" s="192">
        <f>'Haver Pivoted'!GY89</f>
        <v>34.4</v>
      </c>
      <c r="O35" s="192">
        <f>'Haver Pivoted'!GZ89</f>
        <v>218.933333333333</v>
      </c>
      <c r="P35" s="192">
        <f>'Haver Pivoted'!HA89</f>
        <v>223.13333333333301</v>
      </c>
      <c r="Q35" s="192">
        <f>'Haver Pivoted'!HB89</f>
        <v>94.3</v>
      </c>
      <c r="R35" s="192">
        <f>'Haver Pivoted'!HC89</f>
        <v>94.3</v>
      </c>
      <c r="S35" s="194">
        <f>'Haver Pivoted'!HD89</f>
        <v>94.3</v>
      </c>
      <c r="T35" s="194">
        <f>'Haver Pivoted'!HE89</f>
        <v>94.3</v>
      </c>
      <c r="U35" s="644">
        <v>34</v>
      </c>
      <c r="V35" s="530">
        <v>34</v>
      </c>
      <c r="W35" s="644">
        <v>34</v>
      </c>
      <c r="X35" s="644">
        <v>34</v>
      </c>
      <c r="Y35" s="644">
        <v>34</v>
      </c>
      <c r="Z35" s="644">
        <v>34</v>
      </c>
      <c r="AA35" s="644">
        <v>34</v>
      </c>
      <c r="AB35" s="644">
        <v>34</v>
      </c>
      <c r="AC35" s="700">
        <v>34</v>
      </c>
    </row>
    <row r="36" spans="2:101" ht="21.65" customHeight="1" x14ac:dyDescent="0.35">
      <c r="B36" s="210" t="s">
        <v>471</v>
      </c>
      <c r="C36" s="202"/>
      <c r="D36" s="241"/>
      <c r="E36" s="188"/>
      <c r="F36" s="188"/>
      <c r="G36" s="188"/>
      <c r="H36" s="530"/>
      <c r="I36" s="530"/>
      <c r="J36" s="530">
        <f>'PPP (expired)'!J53</f>
        <v>57.2</v>
      </c>
      <c r="K36" s="530">
        <f>'PPP (expired)'!K53</f>
        <v>81.2</v>
      </c>
      <c r="L36" s="530">
        <f>'PPP (expired)'!L53</f>
        <v>24.4</v>
      </c>
      <c r="M36" s="530">
        <f>'PPP (expired)'!M53</f>
        <v>11.7</v>
      </c>
      <c r="N36" s="530">
        <f>'PPP (expired)'!N53</f>
        <v>28.5</v>
      </c>
      <c r="O36" s="530">
        <f>'PPP (expired)'!O53</f>
        <v>18.8</v>
      </c>
      <c r="P36" s="530">
        <f>'PPP (expired)'!P53</f>
        <v>1.6</v>
      </c>
      <c r="Q36" s="530">
        <f>'PPP (expired)'!Q53</f>
        <v>0</v>
      </c>
      <c r="R36" s="530">
        <f>'PPP (expired)'!Q61</f>
        <v>0</v>
      </c>
      <c r="S36" s="530">
        <f>'PPP (expired)'!S53</f>
        <v>0</v>
      </c>
      <c r="T36" s="530">
        <f>'PPP (expired)'!T53</f>
        <v>0</v>
      </c>
      <c r="U36" s="530">
        <f>'PPP (expired)'!U53</f>
        <v>0</v>
      </c>
      <c r="V36" s="530">
        <f>'PPP (expired)'!V53</f>
        <v>0</v>
      </c>
      <c r="W36" s="644">
        <f>'PPP (expired)'!W53</f>
        <v>0</v>
      </c>
      <c r="X36" s="644">
        <f>'PPP (expired)'!X53</f>
        <v>0</v>
      </c>
      <c r="Y36" s="644">
        <f>'PPP (expired)'!Y53</f>
        <v>0</v>
      </c>
      <c r="Z36" s="644">
        <f>'PPP (expired)'!Z53</f>
        <v>0</v>
      </c>
      <c r="AA36" s="644">
        <f>'PPP (expired)'!AA53</f>
        <v>0</v>
      </c>
      <c r="AB36" s="644">
        <f>'PPP (expired)'!AB53</f>
        <v>0</v>
      </c>
      <c r="AC36" s="700">
        <f>'PPP (expired)'!AC53</f>
        <v>0</v>
      </c>
    </row>
    <row r="37" spans="2:101" ht="21.65" customHeight="1" x14ac:dyDescent="0.35">
      <c r="B37" s="419" t="s">
        <v>803</v>
      </c>
      <c r="C37" s="202"/>
      <c r="D37" s="575">
        <f t="shared" ref="D37:AC37" si="13">D109</f>
        <v>0</v>
      </c>
      <c r="E37" s="530">
        <f t="shared" si="13"/>
        <v>0</v>
      </c>
      <c r="F37" s="530">
        <f t="shared" si="13"/>
        <v>0</v>
      </c>
      <c r="G37" s="530">
        <f t="shared" si="13"/>
        <v>0</v>
      </c>
      <c r="H37" s="530">
        <f t="shared" si="13"/>
        <v>0</v>
      </c>
      <c r="I37" s="530">
        <f t="shared" si="13"/>
        <v>-5.0235000000002401</v>
      </c>
      <c r="J37" s="530">
        <f t="shared" si="13"/>
        <v>-36.906500000000278</v>
      </c>
      <c r="K37" s="530">
        <f t="shared" si="13"/>
        <v>86.321499999999787</v>
      </c>
      <c r="L37" s="530">
        <f t="shared" si="13"/>
        <v>18.985499999999547</v>
      </c>
      <c r="M37" s="530">
        <f t="shared" si="13"/>
        <v>6.8144999999999527</v>
      </c>
      <c r="N37" s="530">
        <f t="shared" si="13"/>
        <v>-23.256340000000364</v>
      </c>
      <c r="O37" s="530">
        <f t="shared" si="13"/>
        <v>-28.106993333332866</v>
      </c>
      <c r="P37" s="530">
        <f t="shared" si="13"/>
        <v>-48.677833333333183</v>
      </c>
      <c r="Q37" s="530">
        <f t="shared" si="13"/>
        <v>-29.785220000000209</v>
      </c>
      <c r="R37" s="530">
        <f t="shared" si="13"/>
        <v>-28.244220000000269</v>
      </c>
      <c r="S37" s="530">
        <f t="shared" si="13"/>
        <v>-31.321220000000267</v>
      </c>
      <c r="T37" s="530">
        <f t="shared" si="13"/>
        <v>10.495779999999968</v>
      </c>
      <c r="U37" s="653">
        <f t="shared" si="13"/>
        <v>45.660099999999829</v>
      </c>
      <c r="V37" s="530">
        <f>V109</f>
        <v>48.742099999999937</v>
      </c>
      <c r="W37" s="644">
        <f t="shared" si="13"/>
        <v>48.742099999999937</v>
      </c>
      <c r="X37" s="644">
        <f t="shared" si="13"/>
        <v>48.742099999999937</v>
      </c>
      <c r="Y37" s="644">
        <f t="shared" si="13"/>
        <v>48.742099999999937</v>
      </c>
      <c r="Z37" s="644">
        <f t="shared" si="13"/>
        <v>48.742099999999937</v>
      </c>
      <c r="AA37" s="644">
        <f t="shared" si="13"/>
        <v>48.742099999999937</v>
      </c>
      <c r="AB37" s="644">
        <f t="shared" si="13"/>
        <v>48.742099999999937</v>
      </c>
      <c r="AC37" s="700">
        <f t="shared" si="13"/>
        <v>48.742099999999937</v>
      </c>
    </row>
    <row r="38" spans="2:101" ht="21" customHeight="1" x14ac:dyDescent="0.35">
      <c r="B38" s="234" t="s">
        <v>800</v>
      </c>
      <c r="C38" s="229"/>
      <c r="D38" s="702">
        <f t="shared" ref="D38:AC38" si="14">D33+D21</f>
        <v>0</v>
      </c>
      <c r="E38" s="611">
        <f t="shared" si="14"/>
        <v>0</v>
      </c>
      <c r="F38" s="611">
        <f t="shared" si="14"/>
        <v>0</v>
      </c>
      <c r="G38" s="611">
        <f t="shared" si="14"/>
        <v>0</v>
      </c>
      <c r="H38" s="611">
        <f t="shared" si="14"/>
        <v>0</v>
      </c>
      <c r="I38" s="611">
        <f t="shared" si="14"/>
        <v>0</v>
      </c>
      <c r="J38" s="611">
        <f t="shared" si="14"/>
        <v>160.9</v>
      </c>
      <c r="K38" s="611">
        <f t="shared" si="14"/>
        <v>58.4</v>
      </c>
      <c r="L38" s="611">
        <f t="shared" si="14"/>
        <v>34.5</v>
      </c>
      <c r="M38" s="611">
        <f t="shared" si="14"/>
        <v>21.4</v>
      </c>
      <c r="N38" s="611">
        <f t="shared" si="14"/>
        <v>13.3</v>
      </c>
      <c r="O38" s="611">
        <f t="shared" si="14"/>
        <v>21.804000000000041</v>
      </c>
      <c r="P38" s="534">
        <f t="shared" si="14"/>
        <v>51.919000000000011</v>
      </c>
      <c r="Q38" s="611">
        <f t="shared" si="14"/>
        <v>46.619</v>
      </c>
      <c r="R38" s="611">
        <f t="shared" si="14"/>
        <v>39.719000000000008</v>
      </c>
      <c r="S38" s="611">
        <f t="shared" si="14"/>
        <v>27.819000000000003</v>
      </c>
      <c r="T38" s="534">
        <f t="shared" si="14"/>
        <v>6.3160000000000007</v>
      </c>
      <c r="U38" s="534">
        <f t="shared" si="14"/>
        <v>1.4159999999999999</v>
      </c>
      <c r="V38" s="637">
        <f t="shared" si="14"/>
        <v>1.4159999999999999</v>
      </c>
      <c r="W38" s="529">
        <f t="shared" si="14"/>
        <v>1.4159999999999999</v>
      </c>
      <c r="X38" s="529">
        <f t="shared" si="14"/>
        <v>1.4790000000000001</v>
      </c>
      <c r="Y38" s="529">
        <f t="shared" si="14"/>
        <v>1.4790000000000001</v>
      </c>
      <c r="Z38" s="529">
        <f t="shared" si="14"/>
        <v>1.4790000000000001</v>
      </c>
      <c r="AA38" s="529">
        <f t="shared" si="14"/>
        <v>1.4790000000000001</v>
      </c>
      <c r="AB38" s="529">
        <f t="shared" si="14"/>
        <v>1.63</v>
      </c>
      <c r="AC38" s="529">
        <f t="shared" si="14"/>
        <v>1.63</v>
      </c>
    </row>
    <row r="39" spans="2:101" ht="44.9" customHeight="1" x14ac:dyDescent="0.35">
      <c r="B39" s="210" t="s">
        <v>807</v>
      </c>
      <c r="C39" s="202"/>
      <c r="D39" s="575">
        <f t="shared" ref="D39:AC39" si="15">D101</f>
        <v>1411.2</v>
      </c>
      <c r="E39" s="530">
        <f t="shared" si="15"/>
        <v>1471.4</v>
      </c>
      <c r="F39" s="530">
        <f t="shared" si="15"/>
        <v>1476.7</v>
      </c>
      <c r="G39" s="530">
        <f t="shared" si="15"/>
        <v>1483.7</v>
      </c>
      <c r="H39" s="530">
        <f t="shared" si="15"/>
        <v>1492.4000000000003</v>
      </c>
      <c r="I39" s="530">
        <f t="shared" si="15"/>
        <v>1541.5000000000002</v>
      </c>
      <c r="J39" s="530">
        <f t="shared" si="15"/>
        <v>1548.5000000000002</v>
      </c>
      <c r="K39" s="530">
        <f t="shared" si="15"/>
        <v>1555.5000000000002</v>
      </c>
      <c r="L39" s="530">
        <f t="shared" si="15"/>
        <v>1562.5000000000002</v>
      </c>
      <c r="M39" s="530">
        <f t="shared" si="15"/>
        <v>1586.9430000000002</v>
      </c>
      <c r="N39" s="530">
        <f t="shared" si="15"/>
        <v>1593.9430000000002</v>
      </c>
      <c r="O39" s="530">
        <f t="shared" si="15"/>
        <v>1600.9430000000002</v>
      </c>
      <c r="P39" s="530">
        <f t="shared" si="15"/>
        <v>1607.9430000000002</v>
      </c>
      <c r="Q39" s="530">
        <f t="shared" si="15"/>
        <v>1686.8657200000002</v>
      </c>
      <c r="R39" s="530">
        <f t="shared" si="15"/>
        <v>1693.8657200000002</v>
      </c>
      <c r="S39" s="530">
        <f t="shared" si="15"/>
        <v>1700.8657200000002</v>
      </c>
      <c r="T39" s="530">
        <f t="shared" si="15"/>
        <v>1707.8657200000002</v>
      </c>
      <c r="U39" s="530">
        <f t="shared" si="15"/>
        <v>1821.4964000000002</v>
      </c>
      <c r="V39" s="530">
        <f t="shared" si="15"/>
        <v>1828.4964000000002</v>
      </c>
      <c r="W39" s="644">
        <f t="shared" si="15"/>
        <v>1835.4964000000002</v>
      </c>
      <c r="X39" s="644">
        <f t="shared" si="15"/>
        <v>1842.4964000000002</v>
      </c>
      <c r="Y39" s="644">
        <f t="shared" si="15"/>
        <v>1892.1631197000004</v>
      </c>
      <c r="Z39" s="644">
        <f t="shared" si="15"/>
        <v>1899.1631197000004</v>
      </c>
      <c r="AA39" s="644">
        <f t="shared" si="15"/>
        <v>1906.1631197000004</v>
      </c>
      <c r="AB39" s="644">
        <f t="shared" si="15"/>
        <v>1913.1631197000004</v>
      </c>
      <c r="AC39" s="700">
        <f t="shared" si="15"/>
        <v>1949.8260890960005</v>
      </c>
    </row>
    <row r="40" spans="2:101" ht="44.9" customHeight="1" x14ac:dyDescent="0.35">
      <c r="B40" s="392" t="s">
        <v>1191</v>
      </c>
      <c r="D40" s="575"/>
      <c r="E40" s="530"/>
      <c r="F40" s="530"/>
      <c r="G40" s="530"/>
      <c r="H40" s="530"/>
      <c r="I40" s="530"/>
      <c r="J40" s="530"/>
      <c r="K40" s="530"/>
      <c r="L40" s="530"/>
      <c r="M40" s="530"/>
      <c r="N40" s="530"/>
      <c r="O40" s="530"/>
      <c r="P40" s="530"/>
      <c r="Q40" s="530"/>
      <c r="R40" s="530"/>
      <c r="S40" s="654">
        <f>'IRA and CHIPS'!E191</f>
        <v>-0.622</v>
      </c>
      <c r="T40" s="654">
        <f>'IRA and CHIPS'!F191</f>
        <v>21.89</v>
      </c>
      <c r="U40" s="654">
        <f>'IRA and CHIPS'!G191</f>
        <v>21.89</v>
      </c>
      <c r="V40" s="654">
        <f>'IRA and CHIPS'!H191</f>
        <v>21.89</v>
      </c>
      <c r="W40" s="647">
        <f>'IRA and CHIPS'!I191</f>
        <v>21.89</v>
      </c>
      <c r="X40" s="647">
        <f>'IRA and CHIPS'!J191</f>
        <v>15.439</v>
      </c>
      <c r="Y40" s="647">
        <f>'IRA and CHIPS'!K191</f>
        <v>15.439</v>
      </c>
      <c r="Z40" s="647">
        <f>'IRA and CHIPS'!L191</f>
        <v>15.439</v>
      </c>
      <c r="AA40" s="647">
        <f>'IRA and CHIPS'!M191</f>
        <v>15.439</v>
      </c>
      <c r="AB40" s="647">
        <f>'IRA and CHIPS'!N191</f>
        <v>16.966999999999999</v>
      </c>
      <c r="AC40" s="722">
        <f>'IRA and CHIPS'!O191</f>
        <v>16.966999999999999</v>
      </c>
    </row>
    <row r="41" spans="2:101" ht="31.4" customHeight="1" x14ac:dyDescent="0.35">
      <c r="B41" s="562" t="s">
        <v>804</v>
      </c>
      <c r="C41" s="229"/>
      <c r="D41" s="534">
        <f t="shared" ref="D41:R41" si="16">D39+SUM(D34:D37)+D40</f>
        <v>1441.2</v>
      </c>
      <c r="E41" s="534">
        <f t="shared" si="16"/>
        <v>1501.4</v>
      </c>
      <c r="F41" s="534">
        <f t="shared" si="16"/>
        <v>1506.7</v>
      </c>
      <c r="G41" s="534">
        <f t="shared" si="16"/>
        <v>1513.7</v>
      </c>
      <c r="H41" s="534">
        <f t="shared" si="16"/>
        <v>1522.4000000000003</v>
      </c>
      <c r="I41" s="534">
        <f t="shared" si="16"/>
        <v>1571.5</v>
      </c>
      <c r="J41" s="534">
        <f t="shared" si="16"/>
        <v>1644.1999999999998</v>
      </c>
      <c r="K41" s="534">
        <f t="shared" si="16"/>
        <v>1803.4</v>
      </c>
      <c r="L41" s="534">
        <f t="shared" si="16"/>
        <v>1696.0999999999997</v>
      </c>
      <c r="M41" s="534">
        <f t="shared" si="16"/>
        <v>1725.9</v>
      </c>
      <c r="N41" s="534">
        <f t="shared" si="16"/>
        <v>1734.2781599999998</v>
      </c>
      <c r="O41" s="534">
        <f t="shared" si="16"/>
        <v>1906.0298400000004</v>
      </c>
      <c r="P41" s="534">
        <f t="shared" si="16"/>
        <v>1884.7240000000002</v>
      </c>
      <c r="Q41" s="534">
        <f t="shared" si="16"/>
        <v>1832.0239999999999</v>
      </c>
      <c r="R41" s="534">
        <f t="shared" si="16"/>
        <v>1823.624</v>
      </c>
      <c r="S41" s="534">
        <f>S39+SUM(S34:S37)+S40</f>
        <v>1820.1019999999999</v>
      </c>
      <c r="T41" s="672">
        <f>T39+SUM(T34:T37)+T40</f>
        <v>1906.3740000000003</v>
      </c>
      <c r="U41" s="672">
        <f>U39+SUM(U34:U37)+U40</f>
        <v>1988.1740000000002</v>
      </c>
      <c r="V41" s="637">
        <f>V39+SUM(V34:V37)+V40</f>
        <v>1970.8740000000003</v>
      </c>
      <c r="W41" s="529">
        <f t="shared" ref="W41:AC41" si="17">W39+SUM(W34:W37)+W40</f>
        <v>1977.8740000000003</v>
      </c>
      <c r="X41" s="529">
        <f t="shared" si="17"/>
        <v>1978.4230000000002</v>
      </c>
      <c r="Y41" s="529">
        <f t="shared" si="17"/>
        <v>2028.0897197000004</v>
      </c>
      <c r="Z41" s="529">
        <f t="shared" si="17"/>
        <v>2035.0897197000004</v>
      </c>
      <c r="AA41" s="529">
        <f t="shared" si="17"/>
        <v>2042.0897197000004</v>
      </c>
      <c r="AB41" s="529">
        <f t="shared" si="17"/>
        <v>2050.6177197000002</v>
      </c>
      <c r="AC41" s="529">
        <f t="shared" si="17"/>
        <v>2087.2806890960005</v>
      </c>
    </row>
    <row r="42" spans="2:101" ht="31.4" customHeight="1" x14ac:dyDescent="0.35">
      <c r="B42" s="562"/>
      <c r="C42" s="229"/>
      <c r="D42" s="534"/>
      <c r="E42" s="534"/>
      <c r="F42" s="534"/>
      <c r="G42" s="534"/>
      <c r="H42" s="534"/>
      <c r="I42" s="534"/>
      <c r="J42" s="534"/>
      <c r="K42" s="534"/>
      <c r="L42" s="534"/>
      <c r="M42" s="534"/>
      <c r="N42" s="534"/>
      <c r="O42" s="534"/>
      <c r="P42" s="534"/>
      <c r="Q42" s="534"/>
      <c r="R42" s="534"/>
      <c r="S42" s="534"/>
      <c r="T42" s="534"/>
      <c r="U42" s="534"/>
      <c r="V42" s="534">
        <f>V12-SUM(V14,V17,V18,V21,V32,V33,V34,V35)+V40</f>
        <v>1899.1285000000003</v>
      </c>
      <c r="W42" s="529"/>
      <c r="X42" s="529"/>
      <c r="Y42" s="529"/>
      <c r="Z42" s="529"/>
      <c r="AA42" s="529"/>
      <c r="AB42" s="529"/>
      <c r="AC42" s="529"/>
    </row>
    <row r="43" spans="2:101" ht="31.4" customHeight="1" x14ac:dyDescent="0.35">
      <c r="B43" s="1410" t="s">
        <v>474</v>
      </c>
      <c r="C43" s="1411"/>
      <c r="D43" s="556"/>
      <c r="E43" s="557"/>
      <c r="F43" s="557"/>
      <c r="G43" s="557"/>
      <c r="H43" s="557"/>
      <c r="I43" s="557"/>
      <c r="J43" s="557"/>
      <c r="K43" s="557"/>
      <c r="L43" s="557"/>
      <c r="M43" s="557"/>
      <c r="N43" s="557"/>
      <c r="O43" s="557"/>
      <c r="P43" s="557"/>
      <c r="Q43" s="557"/>
      <c r="R43" s="557"/>
      <c r="S43" s="557"/>
      <c r="T43" s="534"/>
      <c r="U43" s="557"/>
      <c r="V43" s="534">
        <f>V39+V37</f>
        <v>1877.2385000000002</v>
      </c>
      <c r="W43" s="529"/>
      <c r="X43" s="529"/>
      <c r="Y43" s="529"/>
      <c r="Z43" s="529"/>
      <c r="AA43" s="529"/>
      <c r="AB43" s="529"/>
      <c r="AC43" s="665"/>
    </row>
    <row r="44" spans="2:101" x14ac:dyDescent="0.35">
      <c r="B44" s="419" t="s">
        <v>809</v>
      </c>
      <c r="C44" s="202" t="s">
        <v>475</v>
      </c>
      <c r="D44" s="241">
        <f>'Haver Pivoted'!GO37</f>
        <v>734.3</v>
      </c>
      <c r="E44" s="188">
        <f>'Haver Pivoted'!GP37</f>
        <v>745.2</v>
      </c>
      <c r="F44" s="188">
        <f>'Haver Pivoted'!GQ37</f>
        <v>763.2</v>
      </c>
      <c r="G44" s="188">
        <f>'Haver Pivoted'!GR37</f>
        <v>773.5</v>
      </c>
      <c r="H44" s="188">
        <f>'Haver Pivoted'!GS37</f>
        <v>773.8</v>
      </c>
      <c r="I44" s="188">
        <f>'Haver Pivoted'!GT37</f>
        <v>762.4</v>
      </c>
      <c r="J44" s="188">
        <f>'Haver Pivoted'!GU37</f>
        <v>813.3</v>
      </c>
      <c r="K44" s="188">
        <f>'Haver Pivoted'!GV37</f>
        <v>851.9</v>
      </c>
      <c r="L44" s="188">
        <f>'Haver Pivoted'!GW37</f>
        <v>840.6</v>
      </c>
      <c r="M44" s="188">
        <f>'Haver Pivoted'!GX37</f>
        <v>868</v>
      </c>
      <c r="N44" s="188">
        <f>'Haver Pivoted'!GY37</f>
        <v>910.1</v>
      </c>
      <c r="O44" s="188">
        <f>'Haver Pivoted'!GZ37</f>
        <v>918.1</v>
      </c>
      <c r="P44" s="188">
        <f>'Haver Pivoted'!HA37</f>
        <v>915.2</v>
      </c>
      <c r="Q44" s="188">
        <f>'Haver Pivoted'!HB37</f>
        <v>934.7</v>
      </c>
      <c r="R44" s="188">
        <f>'Haver Pivoted'!HC37</f>
        <v>962.7</v>
      </c>
      <c r="S44" s="136">
        <f>'Haver Pivoted'!HD37</f>
        <v>982.9</v>
      </c>
      <c r="T44" s="136">
        <f>'Haver Pivoted'!HE37</f>
        <v>1045.9000000000001</v>
      </c>
      <c r="U44" s="136">
        <f>'Haver Pivoted'!HF37</f>
        <v>1023.2</v>
      </c>
      <c r="V44" s="136">
        <f>'Haver Pivoted'!HG37</f>
        <v>1054</v>
      </c>
      <c r="W44" s="652"/>
      <c r="X44" s="652"/>
      <c r="Y44" s="652"/>
      <c r="Z44" s="652"/>
      <c r="AA44" s="652"/>
      <c r="AB44" s="652"/>
      <c r="AC44" s="714"/>
    </row>
    <row r="45" spans="2:101" x14ac:dyDescent="0.35">
      <c r="B45" s="250" t="s">
        <v>209</v>
      </c>
      <c r="C45" s="202"/>
      <c r="D45" s="575">
        <f>Medicaid!D26</f>
        <v>589.5</v>
      </c>
      <c r="E45" s="530">
        <f>Medicaid!E26</f>
        <v>598.70000000000005</v>
      </c>
      <c r="F45" s="530">
        <f>Medicaid!F26</f>
        <v>614.4</v>
      </c>
      <c r="G45" s="530">
        <f>Medicaid!G26</f>
        <v>622.4</v>
      </c>
      <c r="H45" s="530">
        <f>Medicaid!H26</f>
        <v>620.70000000000005</v>
      </c>
      <c r="I45" s="530">
        <f>Medicaid!I26</f>
        <v>606.6</v>
      </c>
      <c r="J45" s="530">
        <f>Medicaid!J26</f>
        <v>654.70000000000005</v>
      </c>
      <c r="K45" s="530">
        <f>Medicaid!K26</f>
        <v>690.7</v>
      </c>
      <c r="L45" s="530">
        <f>Medicaid!L26</f>
        <v>678.3</v>
      </c>
      <c r="M45" s="530">
        <f>Medicaid!M26</f>
        <v>704.4</v>
      </c>
      <c r="N45" s="530">
        <f>Medicaid!N26</f>
        <v>744.8</v>
      </c>
      <c r="O45" s="530">
        <f>Medicaid!O26</f>
        <v>748.2</v>
      </c>
      <c r="P45" s="530">
        <f>Medicaid!P26</f>
        <v>745</v>
      </c>
      <c r="Q45" s="530">
        <f>Medicaid!Q26</f>
        <v>763.1</v>
      </c>
      <c r="R45" s="530">
        <f>Medicaid!R26</f>
        <v>789.5</v>
      </c>
      <c r="S45" s="136">
        <f>Medicaid!S26</f>
        <v>786.1</v>
      </c>
      <c r="T45" s="530">
        <f>Medicaid!T26</f>
        <v>796.2</v>
      </c>
      <c r="U45" s="530">
        <f>Medicaid!U26</f>
        <v>839.4</v>
      </c>
      <c r="V45" s="530">
        <f>Medicaid!V26</f>
        <v>878.5</v>
      </c>
      <c r="W45" s="644">
        <f>Medicaid!W26</f>
        <v>897.66625425843256</v>
      </c>
      <c r="X45" s="644">
        <f>Medicaid!X26</f>
        <v>883.93055985183616</v>
      </c>
      <c r="Y45" s="644">
        <f>Medicaid!Y26</f>
        <v>870.40504300280793</v>
      </c>
      <c r="Z45" s="644">
        <f>Medicaid!Z26</f>
        <v>857.08648766675651</v>
      </c>
      <c r="AA45" s="644">
        <f>Medicaid!AA26</f>
        <v>843.97172700959106</v>
      </c>
      <c r="AB45" s="644">
        <f>Medicaid!AB26</f>
        <v>843.56572744728408</v>
      </c>
      <c r="AC45" s="700">
        <f>Medicaid!AC26</f>
        <v>843.15992319441614</v>
      </c>
    </row>
    <row r="46" spans="2:101" ht="14.9" customHeight="1" x14ac:dyDescent="0.35">
      <c r="B46" s="562" t="s">
        <v>810</v>
      </c>
      <c r="C46" s="229"/>
      <c r="D46" s="574">
        <f>D44-D45</f>
        <v>144.79999999999995</v>
      </c>
      <c r="E46" s="534">
        <f t="shared" ref="E46:O46" si="18">E44-E45</f>
        <v>146.5</v>
      </c>
      <c r="F46" s="534">
        <f t="shared" si="18"/>
        <v>148.80000000000007</v>
      </c>
      <c r="G46" s="534">
        <f t="shared" si="18"/>
        <v>151.10000000000002</v>
      </c>
      <c r="H46" s="534">
        <f t="shared" si="18"/>
        <v>153.09999999999991</v>
      </c>
      <c r="I46" s="534">
        <f t="shared" si="18"/>
        <v>155.79999999999995</v>
      </c>
      <c r="J46" s="534">
        <f t="shared" si="18"/>
        <v>158.59999999999991</v>
      </c>
      <c r="K46" s="534">
        <f t="shared" si="18"/>
        <v>161.19999999999993</v>
      </c>
      <c r="L46" s="534">
        <f t="shared" si="18"/>
        <v>162.30000000000007</v>
      </c>
      <c r="M46" s="534">
        <f t="shared" si="18"/>
        <v>163.60000000000002</v>
      </c>
      <c r="N46" s="534">
        <f t="shared" si="18"/>
        <v>165.30000000000007</v>
      </c>
      <c r="O46" s="534">
        <f t="shared" si="18"/>
        <v>169.89999999999998</v>
      </c>
      <c r="P46" s="534">
        <f>P44-P45</f>
        <v>170.20000000000005</v>
      </c>
      <c r="Q46" s="534">
        <f>Q44-Q45</f>
        <v>171.60000000000002</v>
      </c>
      <c r="R46" s="534">
        <f>R44-R45</f>
        <v>173.20000000000005</v>
      </c>
      <c r="S46" s="136">
        <f>S44-S45</f>
        <v>196.79999999999995</v>
      </c>
      <c r="T46" s="136">
        <f>T44-T45</f>
        <v>249.70000000000005</v>
      </c>
      <c r="U46" s="534">
        <f>T46*(1+AVERAGE($F$48:$I$48))+U47</f>
        <v>183.57212584485049</v>
      </c>
      <c r="V46" s="637">
        <f>U46*(1+AVERAGE($F$48:$I$48))+V47</f>
        <v>186.41879934456207</v>
      </c>
      <c r="W46" s="529">
        <f t="shared" ref="W46:AC46" si="19">V46*(1+AVERAGE($F$48:$I$48))</f>
        <v>189.30961652881547</v>
      </c>
      <c r="X46" s="529">
        <f t="shared" si="19"/>
        <v>192.24526193866711</v>
      </c>
      <c r="Y46" s="529">
        <f t="shared" si="19"/>
        <v>195.22643073042826</v>
      </c>
      <c r="Z46" s="529">
        <f t="shared" si="19"/>
        <v>198.25382884027687</v>
      </c>
      <c r="AA46" s="529">
        <f t="shared" si="19"/>
        <v>201.32817315142222</v>
      </c>
      <c r="AB46" s="529">
        <f t="shared" si="19"/>
        <v>204.45019166386174</v>
      </c>
      <c r="AC46" s="665">
        <f t="shared" si="19"/>
        <v>207.62062366677031</v>
      </c>
    </row>
    <row r="47" spans="2:101" ht="14.9" customHeight="1" x14ac:dyDescent="0.35">
      <c r="B47" s="562" t="s">
        <v>1701</v>
      </c>
      <c r="C47" s="229"/>
      <c r="D47" s="574"/>
      <c r="E47" s="534"/>
      <c r="F47" s="534"/>
      <c r="G47" s="534"/>
      <c r="H47" s="534"/>
      <c r="I47" s="534"/>
      <c r="J47" s="534"/>
      <c r="K47" s="534"/>
      <c r="L47" s="534"/>
      <c r="M47" s="534"/>
      <c r="N47" s="534"/>
      <c r="O47" s="534"/>
      <c r="P47" s="534"/>
      <c r="Q47" s="534"/>
      <c r="R47" s="534"/>
      <c r="S47" s="136"/>
      <c r="T47" s="534"/>
      <c r="U47" s="534">
        <v>-70</v>
      </c>
      <c r="V47" s="534"/>
      <c r="W47" s="529"/>
      <c r="X47" s="529"/>
      <c r="Y47" s="529"/>
      <c r="Z47" s="529"/>
      <c r="AA47" s="529"/>
      <c r="AB47" s="529"/>
      <c r="AC47" s="665"/>
    </row>
    <row r="48" spans="2:101" x14ac:dyDescent="0.35">
      <c r="B48" s="694" t="s">
        <v>811</v>
      </c>
      <c r="C48" s="322"/>
      <c r="D48" s="576"/>
      <c r="E48" s="561">
        <f>E46/D46-1</f>
        <v>1.1740331491713052E-2</v>
      </c>
      <c r="F48" s="561">
        <f t="shared" ref="F48:N48" si="20">F46/E46-1</f>
        <v>1.5699658703072217E-2</v>
      </c>
      <c r="G48" s="561">
        <f t="shared" si="20"/>
        <v>1.5456989247311537E-2</v>
      </c>
      <c r="H48" s="561">
        <f t="shared" si="20"/>
        <v>1.3236267372600086E-2</v>
      </c>
      <c r="I48" s="561">
        <f t="shared" si="20"/>
        <v>1.7635532331809589E-2</v>
      </c>
      <c r="J48" s="561">
        <f t="shared" si="20"/>
        <v>1.7971758664954818E-2</v>
      </c>
      <c r="K48" s="561">
        <f t="shared" si="20"/>
        <v>1.639344262295106E-2</v>
      </c>
      <c r="L48" s="561">
        <f t="shared" si="20"/>
        <v>6.823821339951186E-3</v>
      </c>
      <c r="M48" s="561">
        <f t="shared" si="20"/>
        <v>8.0098582871224178E-3</v>
      </c>
      <c r="N48" s="561">
        <f t="shared" si="20"/>
        <v>1.0391198044010119E-2</v>
      </c>
      <c r="O48" s="561">
        <f>O46/N46-1</f>
        <v>2.7828191167573513E-2</v>
      </c>
      <c r="P48" s="561">
        <f t="shared" ref="P48:S48" si="21">P46/O46-1</f>
        <v>1.7657445556213958E-3</v>
      </c>
      <c r="Q48" s="561">
        <f t="shared" si="21"/>
        <v>8.2256169212688857E-3</v>
      </c>
      <c r="R48" s="561">
        <f t="shared" si="21"/>
        <v>9.3240093240094524E-3</v>
      </c>
      <c r="S48" s="630">
        <f t="shared" si="21"/>
        <v>0.13625866050808266</v>
      </c>
      <c r="T48" s="549"/>
      <c r="U48" s="549"/>
      <c r="V48" s="549"/>
      <c r="W48" s="570"/>
      <c r="X48" s="570"/>
      <c r="Y48" s="570"/>
      <c r="Z48" s="570"/>
      <c r="AA48" s="570"/>
      <c r="AB48" s="570"/>
      <c r="AC48" s="664"/>
    </row>
    <row r="51" spans="2:39" x14ac:dyDescent="0.35">
      <c r="B51" s="1358"/>
      <c r="C51" s="1358"/>
      <c r="U51" s="188"/>
      <c r="V51" s="188"/>
      <c r="W51" s="188"/>
      <c r="X51" s="188"/>
      <c r="Y51" s="188"/>
      <c r="Z51" s="188"/>
      <c r="AA51" s="188"/>
      <c r="AB51" s="188"/>
      <c r="AC51" s="188"/>
    </row>
    <row r="52" spans="2:39" x14ac:dyDescent="0.35">
      <c r="B52" s="437"/>
      <c r="C52" s="202"/>
      <c r="U52" s="530"/>
      <c r="V52" s="530">
        <f>V40+V39+V34+V35+V36+V37</f>
        <v>1970.8740000000003</v>
      </c>
      <c r="W52" s="530"/>
      <c r="X52" s="530"/>
      <c r="Y52" s="530"/>
      <c r="Z52" s="530"/>
      <c r="AA52" s="530"/>
      <c r="AB52" s="530"/>
      <c r="AC52" s="530"/>
      <c r="AD52" s="495"/>
      <c r="AE52" s="495"/>
      <c r="AF52" s="495"/>
      <c r="AG52" s="495"/>
      <c r="AH52" s="495"/>
      <c r="AI52" s="495"/>
      <c r="AJ52" s="495"/>
      <c r="AK52" s="495"/>
      <c r="AL52" s="495"/>
      <c r="AM52" s="495"/>
    </row>
    <row r="53" spans="2:39" x14ac:dyDescent="0.35">
      <c r="B53" s="437"/>
      <c r="C53" s="202"/>
      <c r="U53" s="188"/>
      <c r="V53" s="188"/>
      <c r="W53" s="188"/>
      <c r="X53" s="188"/>
      <c r="Y53" s="188"/>
      <c r="Z53" s="188"/>
      <c r="AA53" s="188"/>
      <c r="AB53" s="188"/>
      <c r="AC53" s="188"/>
      <c r="AD53" s="495"/>
      <c r="AE53" s="495"/>
      <c r="AF53" s="495"/>
      <c r="AG53" s="495"/>
      <c r="AH53" s="495"/>
      <c r="AI53" s="495"/>
      <c r="AJ53" s="495"/>
      <c r="AK53" s="495"/>
      <c r="AL53" s="495"/>
      <c r="AM53" s="495"/>
    </row>
    <row r="54" spans="2:39" ht="28.5" customHeight="1" x14ac:dyDescent="0.35">
      <c r="B54" s="211"/>
      <c r="C54" s="202"/>
      <c r="U54" s="530"/>
      <c r="V54" s="530"/>
      <c r="W54" s="530"/>
      <c r="X54" s="530"/>
      <c r="Y54" s="530"/>
      <c r="Z54" s="530"/>
      <c r="AA54" s="530"/>
      <c r="AB54" s="530"/>
      <c r="AC54" s="530"/>
      <c r="AD54" s="495"/>
      <c r="AE54" s="495"/>
      <c r="AF54" s="495"/>
      <c r="AG54" s="495"/>
      <c r="AH54" s="495"/>
      <c r="AI54" s="495"/>
      <c r="AJ54" s="495"/>
      <c r="AK54" s="495"/>
      <c r="AL54" s="495"/>
      <c r="AM54" s="495"/>
    </row>
    <row r="55" spans="2:39" x14ac:dyDescent="0.35">
      <c r="B55" s="211"/>
      <c r="C55" s="202"/>
      <c r="U55" s="530"/>
      <c r="V55" s="530"/>
      <c r="W55" s="530"/>
      <c r="X55" s="530"/>
      <c r="Y55" s="530"/>
      <c r="Z55" s="530"/>
      <c r="AA55" s="530"/>
      <c r="AB55" s="530"/>
      <c r="AC55" s="530"/>
      <c r="AD55" s="495"/>
      <c r="AE55" s="495"/>
      <c r="AF55" s="495"/>
      <c r="AG55" s="495"/>
      <c r="AH55" s="495"/>
      <c r="AI55" s="495"/>
      <c r="AJ55" s="495"/>
      <c r="AK55" s="495"/>
      <c r="AL55" s="495"/>
      <c r="AM55" s="495"/>
    </row>
    <row r="56" spans="2:39" x14ac:dyDescent="0.35">
      <c r="B56" s="437"/>
      <c r="C56" s="202"/>
      <c r="U56" s="530"/>
      <c r="V56" s="530"/>
      <c r="W56" s="530"/>
      <c r="X56" s="530"/>
      <c r="Y56" s="530"/>
      <c r="Z56" s="530"/>
      <c r="AA56" s="530"/>
      <c r="AB56" s="530"/>
      <c r="AC56" s="530"/>
      <c r="AD56" s="495"/>
      <c r="AE56" s="495"/>
      <c r="AF56" s="495"/>
      <c r="AG56" s="495"/>
      <c r="AH56" s="495"/>
      <c r="AI56" s="495"/>
      <c r="AJ56" s="495"/>
      <c r="AK56" s="495"/>
      <c r="AL56" s="495"/>
      <c r="AM56" s="495"/>
    </row>
    <row r="57" spans="2:39" x14ac:dyDescent="0.35">
      <c r="B57" s="221"/>
      <c r="C57" s="229"/>
      <c r="U57" s="534"/>
      <c r="V57" s="534"/>
      <c r="W57" s="534"/>
      <c r="X57" s="534"/>
      <c r="Y57" s="534"/>
      <c r="Z57" s="534"/>
      <c r="AA57" s="534"/>
      <c r="AB57" s="534"/>
      <c r="AC57" s="534"/>
      <c r="AD57" s="495"/>
      <c r="AE57" s="495"/>
      <c r="AF57" s="495"/>
      <c r="AG57" s="495"/>
      <c r="AH57" s="495"/>
      <c r="AI57" s="495"/>
      <c r="AJ57" s="495"/>
      <c r="AK57" s="495"/>
      <c r="AL57" s="495"/>
      <c r="AM57" s="495"/>
    </row>
    <row r="58" spans="2:39" x14ac:dyDescent="0.35">
      <c r="B58" s="211"/>
      <c r="C58" s="655"/>
      <c r="U58" s="530"/>
      <c r="V58" s="530"/>
      <c r="W58" s="530"/>
      <c r="X58" s="530"/>
      <c r="Y58" s="530"/>
      <c r="Z58" s="530"/>
      <c r="AA58" s="530"/>
      <c r="AB58" s="530"/>
      <c r="AC58" s="530"/>
      <c r="AD58" s="495"/>
      <c r="AE58" s="495"/>
      <c r="AF58" s="495"/>
      <c r="AG58" s="495"/>
      <c r="AH58" s="495"/>
      <c r="AI58" s="495"/>
      <c r="AJ58" s="495"/>
      <c r="AK58" s="495"/>
      <c r="AL58" s="495"/>
      <c r="AM58" s="495"/>
    </row>
    <row r="59" spans="2:39" x14ac:dyDescent="0.35">
      <c r="B59" s="211"/>
      <c r="C59" s="655"/>
      <c r="U59" s="215"/>
      <c r="V59" s="215"/>
      <c r="W59" s="215"/>
      <c r="X59" s="215"/>
      <c r="Y59" s="215"/>
      <c r="Z59" s="215"/>
      <c r="AA59" s="215"/>
      <c r="AB59" s="215"/>
      <c r="AC59" s="215"/>
      <c r="AD59" s="495"/>
      <c r="AE59" s="495"/>
      <c r="AF59" s="495"/>
      <c r="AG59" s="495"/>
      <c r="AH59" s="495"/>
      <c r="AI59" s="495"/>
      <c r="AJ59" s="495"/>
      <c r="AK59" s="495"/>
      <c r="AL59" s="495"/>
      <c r="AM59" s="495"/>
    </row>
    <row r="60" spans="2:39" x14ac:dyDescent="0.35">
      <c r="B60" s="211"/>
      <c r="C60" s="202"/>
      <c r="U60" s="530"/>
      <c r="V60" s="530"/>
      <c r="W60" s="530"/>
      <c r="X60" s="530"/>
      <c r="Y60" s="530"/>
      <c r="Z60" s="530"/>
      <c r="AA60" s="530"/>
      <c r="AB60" s="530"/>
      <c r="AC60" s="530"/>
      <c r="AD60" s="495"/>
      <c r="AE60" s="495"/>
      <c r="AF60" s="495"/>
      <c r="AG60" s="495"/>
      <c r="AH60" s="495"/>
      <c r="AI60" s="495"/>
      <c r="AJ60" s="495"/>
      <c r="AK60" s="495"/>
      <c r="AL60" s="495"/>
      <c r="AM60" s="495"/>
    </row>
    <row r="61" spans="2:39" x14ac:dyDescent="0.35">
      <c r="B61" s="211"/>
      <c r="C61" s="202"/>
      <c r="U61" s="530"/>
      <c r="V61" s="530"/>
      <c r="W61" s="530"/>
      <c r="X61" s="530"/>
      <c r="Y61" s="530"/>
      <c r="Z61" s="530"/>
      <c r="AA61" s="530"/>
      <c r="AB61" s="530"/>
      <c r="AC61" s="530"/>
      <c r="AD61" s="495"/>
      <c r="AE61" s="495"/>
      <c r="AF61" s="495"/>
      <c r="AG61" s="495"/>
      <c r="AH61" s="495"/>
      <c r="AI61" s="495"/>
      <c r="AJ61" s="495"/>
      <c r="AK61" s="495"/>
      <c r="AL61" s="495"/>
      <c r="AM61" s="495"/>
    </row>
    <row r="62" spans="2:39" x14ac:dyDescent="0.35">
      <c r="B62" s="211"/>
      <c r="C62" s="202"/>
      <c r="U62" s="530"/>
      <c r="V62" s="530"/>
      <c r="W62" s="530"/>
      <c r="X62" s="530"/>
      <c r="Y62" s="530"/>
      <c r="Z62" s="530"/>
      <c r="AA62" s="530"/>
      <c r="AB62" s="530"/>
      <c r="AC62" s="530"/>
      <c r="AD62" s="495"/>
      <c r="AE62" s="495"/>
      <c r="AF62" s="495"/>
      <c r="AG62" s="495"/>
      <c r="AH62" s="495"/>
      <c r="AI62" s="495"/>
      <c r="AJ62" s="495"/>
      <c r="AK62" s="495"/>
      <c r="AL62" s="495"/>
      <c r="AM62" s="495"/>
    </row>
    <row r="63" spans="2:39" x14ac:dyDescent="0.35">
      <c r="B63" s="437"/>
      <c r="C63" s="202"/>
      <c r="U63" s="530"/>
      <c r="V63" s="530"/>
      <c r="W63" s="530"/>
      <c r="X63" s="530"/>
      <c r="Y63" s="530"/>
      <c r="Z63" s="530"/>
      <c r="AA63" s="530"/>
      <c r="AB63" s="530"/>
      <c r="AC63" s="530"/>
      <c r="AD63" s="495"/>
      <c r="AE63" s="495"/>
      <c r="AF63" s="495"/>
      <c r="AG63" s="495"/>
      <c r="AH63" s="495"/>
      <c r="AI63" s="495"/>
      <c r="AJ63" s="495"/>
      <c r="AK63" s="495"/>
      <c r="AL63" s="495"/>
      <c r="AM63" s="495"/>
    </row>
    <row r="64" spans="2:39" x14ac:dyDescent="0.35">
      <c r="B64" s="221"/>
      <c r="C64" s="229"/>
      <c r="U64" s="611"/>
      <c r="V64" s="611"/>
      <c r="W64" s="611"/>
      <c r="X64" s="611"/>
      <c r="Y64" s="611"/>
      <c r="Z64" s="611"/>
      <c r="AA64" s="611"/>
      <c r="AB64" s="611"/>
      <c r="AC64" s="611"/>
      <c r="AD64" s="495"/>
      <c r="AE64" s="495"/>
      <c r="AF64" s="495"/>
      <c r="AG64" s="495"/>
      <c r="AH64" s="495"/>
      <c r="AI64" s="495"/>
      <c r="AJ64" s="495"/>
      <c r="AK64" s="495"/>
      <c r="AL64" s="495"/>
      <c r="AM64" s="495"/>
    </row>
    <row r="65" spans="2:39" ht="28.5" customHeight="1" x14ac:dyDescent="0.35">
      <c r="B65" s="211"/>
      <c r="C65" s="202"/>
      <c r="U65" s="530"/>
      <c r="V65" s="530"/>
      <c r="W65" s="530"/>
      <c r="X65" s="530"/>
      <c r="Y65" s="530"/>
      <c r="Z65" s="530"/>
      <c r="AA65" s="530"/>
      <c r="AB65" s="530"/>
      <c r="AC65" s="530"/>
      <c r="AD65" s="495"/>
      <c r="AE65" s="495"/>
      <c r="AF65" s="495"/>
      <c r="AG65" s="495"/>
      <c r="AH65" s="495"/>
      <c r="AI65" s="495"/>
      <c r="AJ65" s="495"/>
      <c r="AK65" s="495"/>
      <c r="AL65" s="495"/>
      <c r="AM65" s="495"/>
    </row>
    <row r="66" spans="2:39" x14ac:dyDescent="0.35">
      <c r="B66" s="343"/>
      <c r="C66" s="295"/>
      <c r="U66" s="654"/>
      <c r="V66" s="654"/>
      <c r="W66" s="654"/>
      <c r="X66" s="654"/>
      <c r="Y66" s="654"/>
      <c r="Z66" s="654"/>
      <c r="AA66" s="654"/>
      <c r="AB66" s="654"/>
      <c r="AC66" s="654"/>
      <c r="AD66" s="495"/>
      <c r="AE66" s="495"/>
      <c r="AF66" s="495"/>
      <c r="AG66" s="495"/>
      <c r="AH66" s="495"/>
      <c r="AI66" s="495"/>
      <c r="AJ66" s="495"/>
      <c r="AK66" s="495"/>
      <c r="AL66" s="495"/>
      <c r="AM66" s="495"/>
    </row>
    <row r="67" spans="2:39" x14ac:dyDescent="0.35">
      <c r="B67" s="229"/>
      <c r="C67" s="229"/>
      <c r="U67" s="534"/>
      <c r="V67" s="534"/>
      <c r="W67" s="534"/>
      <c r="X67" s="534"/>
      <c r="Y67" s="534"/>
      <c r="Z67" s="534"/>
      <c r="AA67" s="534"/>
      <c r="AB67" s="534"/>
      <c r="AC67" s="534"/>
      <c r="AD67" s="495"/>
      <c r="AE67" s="495"/>
      <c r="AF67" s="495"/>
      <c r="AG67" s="495"/>
      <c r="AH67" s="495"/>
      <c r="AI67" s="495"/>
      <c r="AJ67" s="495"/>
      <c r="AK67" s="495"/>
      <c r="AL67" s="495"/>
      <c r="AM67" s="495"/>
    </row>
    <row r="68" spans="2:39" x14ac:dyDescent="0.35">
      <c r="B68" s="1358"/>
      <c r="C68" s="1358"/>
      <c r="U68" s="534"/>
      <c r="V68" s="534"/>
      <c r="W68" s="534"/>
      <c r="X68" s="534"/>
      <c r="Y68" s="534"/>
      <c r="Z68" s="534"/>
      <c r="AA68" s="534"/>
      <c r="AB68" s="534"/>
      <c r="AC68" s="534"/>
      <c r="AD68" s="495"/>
      <c r="AE68" s="495"/>
      <c r="AF68" s="495"/>
      <c r="AG68" s="495"/>
      <c r="AH68" s="495"/>
      <c r="AI68" s="495"/>
      <c r="AJ68" s="495"/>
      <c r="AK68" s="495"/>
      <c r="AL68" s="495"/>
      <c r="AM68" s="495"/>
    </row>
    <row r="69" spans="2:39" x14ac:dyDescent="0.35">
      <c r="B69" s="437"/>
      <c r="C69" s="202"/>
      <c r="U69" s="202"/>
      <c r="V69" s="202"/>
      <c r="W69" s="202"/>
      <c r="X69" s="202"/>
      <c r="Y69" s="202"/>
      <c r="Z69" s="202"/>
      <c r="AA69" s="202"/>
      <c r="AB69" s="202"/>
      <c r="AC69" s="202"/>
      <c r="AD69" s="495"/>
      <c r="AE69" s="495"/>
      <c r="AF69" s="495"/>
      <c r="AG69" s="495"/>
      <c r="AH69" s="495"/>
      <c r="AI69" s="495"/>
      <c r="AJ69" s="495"/>
      <c r="AK69" s="495"/>
      <c r="AL69" s="495"/>
      <c r="AM69" s="495"/>
    </row>
    <row r="70" spans="2:39" x14ac:dyDescent="0.35">
      <c r="B70" s="202"/>
      <c r="C70" s="202"/>
      <c r="U70" s="530"/>
      <c r="V70" s="530"/>
      <c r="W70" s="530"/>
      <c r="X70" s="530"/>
      <c r="Y70" s="530"/>
      <c r="Z70" s="530"/>
      <c r="AA70" s="530"/>
      <c r="AB70" s="530"/>
      <c r="AC70" s="530"/>
      <c r="AD70" s="495"/>
      <c r="AE70" s="495"/>
      <c r="AF70" s="495"/>
      <c r="AG70" s="495"/>
      <c r="AH70" s="495"/>
      <c r="AI70" s="495"/>
      <c r="AJ70" s="495"/>
      <c r="AK70" s="495"/>
      <c r="AL70" s="495"/>
      <c r="AM70" s="495"/>
    </row>
    <row r="71" spans="2:39" x14ac:dyDescent="0.35">
      <c r="B71" s="229"/>
      <c r="C71" s="229"/>
      <c r="U71" s="534"/>
      <c r="V71" s="534"/>
      <c r="W71" s="534"/>
      <c r="X71" s="534"/>
      <c r="Y71" s="534"/>
      <c r="Z71" s="534"/>
      <c r="AA71" s="534"/>
      <c r="AB71" s="534"/>
      <c r="AC71" s="534"/>
      <c r="AD71" s="495"/>
      <c r="AE71" s="495"/>
      <c r="AF71" s="495"/>
      <c r="AG71" s="495"/>
      <c r="AH71" s="495"/>
      <c r="AI71" s="495"/>
      <c r="AJ71" s="495"/>
      <c r="AK71" s="495"/>
      <c r="AL71" s="495"/>
      <c r="AM71" s="495"/>
    </row>
    <row r="72" spans="2:39" x14ac:dyDescent="0.35">
      <c r="B72" s="229"/>
      <c r="C72" s="229"/>
      <c r="U72" s="534"/>
      <c r="V72" s="534"/>
      <c r="W72" s="534"/>
      <c r="X72" s="534"/>
      <c r="Y72" s="534"/>
      <c r="Z72" s="534"/>
      <c r="AA72" s="534"/>
      <c r="AB72" s="534"/>
      <c r="AC72" s="534"/>
      <c r="AD72" s="495"/>
      <c r="AE72" s="495"/>
      <c r="AF72" s="495"/>
      <c r="AG72" s="495"/>
      <c r="AH72" s="495"/>
      <c r="AI72" s="495"/>
      <c r="AJ72" s="495"/>
      <c r="AK72" s="495"/>
      <c r="AL72" s="495"/>
      <c r="AM72" s="495"/>
    </row>
    <row r="73" spans="2:39" x14ac:dyDescent="0.35">
      <c r="B73" s="656"/>
      <c r="C73" s="202"/>
      <c r="U73" s="530"/>
      <c r="V73" s="530"/>
      <c r="W73" s="530"/>
      <c r="X73" s="530"/>
      <c r="Y73" s="530"/>
      <c r="Z73" s="530"/>
      <c r="AA73" s="530"/>
      <c r="AB73" s="530"/>
      <c r="AC73" s="530"/>
      <c r="AD73" s="495"/>
      <c r="AE73" s="495"/>
      <c r="AF73" s="495"/>
      <c r="AG73" s="495"/>
      <c r="AH73" s="495"/>
      <c r="AI73" s="495"/>
      <c r="AJ73" s="495"/>
      <c r="AK73" s="495"/>
      <c r="AL73" s="495"/>
      <c r="AM73" s="495"/>
    </row>
    <row r="75" spans="2:39" x14ac:dyDescent="0.35">
      <c r="U75" s="1409"/>
      <c r="V75" s="1409"/>
      <c r="W75" s="1409"/>
      <c r="X75" s="1409"/>
    </row>
    <row r="76" spans="2:39" x14ac:dyDescent="0.35">
      <c r="U76" s="1409"/>
      <c r="V76" s="1409"/>
      <c r="W76" s="1409"/>
      <c r="X76" s="1409"/>
    </row>
    <row r="77" spans="2:39" x14ac:dyDescent="0.35">
      <c r="U77" s="1409"/>
      <c r="V77" s="1409"/>
      <c r="W77" s="1409"/>
      <c r="X77" s="1409"/>
    </row>
    <row r="79" spans="2:39" x14ac:dyDescent="0.35">
      <c r="P79" s="454"/>
      <c r="Q79" s="454"/>
    </row>
    <row r="80" spans="2:39" x14ac:dyDescent="0.35">
      <c r="B80" s="490" t="s">
        <v>352</v>
      </c>
      <c r="D80" s="530"/>
      <c r="E80" s="530"/>
      <c r="F80" s="530"/>
      <c r="G80" s="530"/>
      <c r="H80" s="530"/>
      <c r="I80" s="530"/>
      <c r="J80" s="530"/>
      <c r="K80" s="530"/>
      <c r="L80" s="530"/>
      <c r="M80" s="530"/>
      <c r="N80" s="530"/>
      <c r="O80" s="530"/>
      <c r="P80" s="530"/>
      <c r="Q80" s="530"/>
      <c r="R80" s="530"/>
      <c r="S80" s="530"/>
      <c r="T80" s="530"/>
      <c r="U80" s="530"/>
      <c r="V80" s="530"/>
      <c r="W80" s="530"/>
      <c r="X80" s="530"/>
      <c r="Y80" s="530"/>
      <c r="Z80" s="530"/>
      <c r="AA80" s="530"/>
      <c r="AB80" s="530"/>
      <c r="AC80" s="530"/>
    </row>
    <row r="81" spans="2:33" ht="45.75" customHeight="1" x14ac:dyDescent="0.35">
      <c r="B81" s="1412" t="s">
        <v>478</v>
      </c>
      <c r="C81" s="1412"/>
      <c r="D81" s="1412"/>
      <c r="E81" s="1412"/>
      <c r="F81" s="1412"/>
      <c r="G81" s="1412"/>
      <c r="H81" s="1412"/>
      <c r="I81" s="1412"/>
      <c r="J81" s="1412"/>
      <c r="K81" s="1412"/>
      <c r="L81" s="1412"/>
      <c r="M81" s="1412"/>
      <c r="N81" s="1412"/>
      <c r="O81" s="1412"/>
      <c r="P81" s="1412"/>
      <c r="Q81" s="1412"/>
      <c r="R81" s="1412"/>
      <c r="S81" s="1412"/>
      <c r="T81" s="1412"/>
      <c r="U81" s="1412"/>
      <c r="V81" s="1412"/>
      <c r="W81" s="1412"/>
      <c r="X81" s="1412"/>
      <c r="Y81" s="1412"/>
      <c r="Z81" s="1412"/>
      <c r="AA81" s="1412"/>
      <c r="AB81" s="1412"/>
      <c r="AC81" s="1412"/>
    </row>
    <row r="82" spans="2:33" ht="14.9" customHeight="1" x14ac:dyDescent="0.35">
      <c r="B82" s="1321" t="s">
        <v>479</v>
      </c>
      <c r="C82" s="1322"/>
      <c r="D82" s="1382" t="s">
        <v>280</v>
      </c>
      <c r="E82" s="1383"/>
      <c r="F82" s="1383"/>
      <c r="G82" s="1383"/>
      <c r="H82" s="1383"/>
      <c r="I82" s="1383"/>
      <c r="J82" s="1383"/>
      <c r="K82" s="1383"/>
      <c r="L82" s="1383"/>
      <c r="M82" s="1383"/>
      <c r="N82" s="1383"/>
      <c r="O82" s="1383"/>
      <c r="P82" s="1383"/>
      <c r="Q82" s="1383"/>
      <c r="R82" s="1383"/>
      <c r="S82" s="1383"/>
      <c r="T82" s="1383"/>
      <c r="U82" s="1383"/>
      <c r="V82" s="1407"/>
      <c r="W82" s="1361" t="s">
        <v>281</v>
      </c>
      <c r="X82" s="1362"/>
      <c r="Y82" s="1362"/>
      <c r="Z82" s="1362"/>
      <c r="AA82" s="1362"/>
      <c r="AB82" s="1362"/>
      <c r="AC82" s="1362"/>
      <c r="AD82" s="1362"/>
      <c r="AE82" s="1362"/>
      <c r="AF82" s="1362"/>
      <c r="AG82" s="1362"/>
    </row>
    <row r="83" spans="2:33" x14ac:dyDescent="0.35">
      <c r="B83" s="1321"/>
      <c r="C83" s="1322"/>
      <c r="D83" s="142">
        <v>2018</v>
      </c>
      <c r="E83" s="1310">
        <v>2019</v>
      </c>
      <c r="F83" s="1328"/>
      <c r="G83" s="1328"/>
      <c r="H83" s="1329"/>
      <c r="I83" s="1310">
        <v>2020</v>
      </c>
      <c r="J83" s="1328"/>
      <c r="K83" s="1328"/>
      <c r="L83" s="1328"/>
      <c r="M83" s="1310">
        <v>2021</v>
      </c>
      <c r="N83" s="1328"/>
      <c r="O83" s="1328"/>
      <c r="P83" s="1328"/>
      <c r="Q83" s="1310">
        <v>2022</v>
      </c>
      <c r="R83" s="1311"/>
      <c r="S83" s="1311"/>
      <c r="T83" s="1329"/>
      <c r="U83" s="256"/>
      <c r="V83" s="535">
        <v>2023</v>
      </c>
      <c r="W83" s="528"/>
      <c r="X83" s="226"/>
      <c r="Y83" s="1325">
        <v>2024</v>
      </c>
      <c r="Z83" s="1337"/>
      <c r="AA83" s="1337"/>
      <c r="AB83" s="1327"/>
      <c r="AC83" s="1325">
        <v>2025</v>
      </c>
      <c r="AD83" s="1337"/>
      <c r="AE83" s="1337"/>
      <c r="AF83" s="1327"/>
      <c r="AG83" s="475">
        <v>2026</v>
      </c>
    </row>
    <row r="84" spans="2:33" x14ac:dyDescent="0.35">
      <c r="B84" s="1323"/>
      <c r="C84" s="1324"/>
      <c r="D84" s="149" t="s">
        <v>282</v>
      </c>
      <c r="E84" s="149" t="s">
        <v>283</v>
      </c>
      <c r="F84" s="140" t="s">
        <v>284</v>
      </c>
      <c r="G84" s="140" t="s">
        <v>238</v>
      </c>
      <c r="H84" s="146" t="s">
        <v>282</v>
      </c>
      <c r="I84" s="140" t="s">
        <v>283</v>
      </c>
      <c r="J84" s="140" t="s">
        <v>284</v>
      </c>
      <c r="K84" s="140" t="s">
        <v>238</v>
      </c>
      <c r="L84" s="140" t="s">
        <v>282</v>
      </c>
      <c r="M84" s="149" t="s">
        <v>283</v>
      </c>
      <c r="N84" s="140" t="s">
        <v>284</v>
      </c>
      <c r="O84" s="140" t="s">
        <v>238</v>
      </c>
      <c r="P84" s="140" t="s">
        <v>282</v>
      </c>
      <c r="Q84" s="149" t="s">
        <v>283</v>
      </c>
      <c r="R84" s="140" t="s">
        <v>284</v>
      </c>
      <c r="S84" s="140" t="s">
        <v>238</v>
      </c>
      <c r="T84" s="146" t="s">
        <v>282</v>
      </c>
      <c r="U84" s="140" t="s">
        <v>283</v>
      </c>
      <c r="V84" s="253" t="s">
        <v>284</v>
      </c>
      <c r="W84" s="236" t="s">
        <v>238</v>
      </c>
      <c r="X84" s="237" t="s">
        <v>282</v>
      </c>
      <c r="Y84" s="235" t="s">
        <v>283</v>
      </c>
      <c r="Z84" s="233" t="s">
        <v>284</v>
      </c>
      <c r="AA84" s="236" t="s">
        <v>238</v>
      </c>
      <c r="AB84" s="236" t="s">
        <v>282</v>
      </c>
      <c r="AC84" s="235" t="s">
        <v>283</v>
      </c>
      <c r="AD84" s="233" t="s">
        <v>284</v>
      </c>
      <c r="AE84" s="236" t="s">
        <v>238</v>
      </c>
      <c r="AF84" s="236" t="s">
        <v>282</v>
      </c>
      <c r="AG84" s="235" t="s">
        <v>283</v>
      </c>
    </row>
    <row r="85" spans="2:33" x14ac:dyDescent="0.35">
      <c r="B85" s="250" t="s">
        <v>1440</v>
      </c>
      <c r="D85" s="219"/>
      <c r="E85" s="273"/>
      <c r="F85" s="273"/>
      <c r="G85" s="273"/>
      <c r="H85" s="273"/>
      <c r="I85" s="553">
        <f>(I86-AVERAGE($E86:$H86))</f>
        <v>5.0234999999999914</v>
      </c>
      <c r="J85" s="553">
        <f t="shared" ref="J85:U85" si="22">(J86-AVERAGE($E86:$H86))</f>
        <v>45.406499999999987</v>
      </c>
      <c r="K85" s="553">
        <f t="shared" si="22"/>
        <v>50.178499999999993</v>
      </c>
      <c r="L85" s="553">
        <f t="shared" si="22"/>
        <v>60.014499999999991</v>
      </c>
      <c r="M85" s="553">
        <f t="shared" si="22"/>
        <v>86.04249999999999</v>
      </c>
      <c r="N85" s="553">
        <f t="shared" si="22"/>
        <v>100.69149999999999</v>
      </c>
      <c r="O85" s="553">
        <f t="shared" si="22"/>
        <v>95.460499999999996</v>
      </c>
      <c r="P85" s="553">
        <f t="shared" si="22"/>
        <v>100.72550000000001</v>
      </c>
      <c r="Q85" s="553">
        <f t="shared" si="22"/>
        <v>80.643499999999989</v>
      </c>
      <c r="R85" s="553">
        <f t="shared" si="22"/>
        <v>63.702499999999993</v>
      </c>
      <c r="S85" s="554">
        <f t="shared" si="22"/>
        <v>56.879499999999986</v>
      </c>
      <c r="T85" s="540">
        <f t="shared" si="22"/>
        <v>71.822499999999991</v>
      </c>
      <c r="U85" s="554">
        <f t="shared" si="22"/>
        <v>65.127499999999998</v>
      </c>
      <c r="V85" s="554">
        <f>(V86-AVERAGE($E86:$H86))</f>
        <v>37.745499999999986</v>
      </c>
      <c r="W85" s="703">
        <f>V85</f>
        <v>37.745499999999986</v>
      </c>
      <c r="X85" s="703">
        <f t="shared" ref="X85:AG85" si="23">W85</f>
        <v>37.745499999999986</v>
      </c>
      <c r="Y85" s="703">
        <f t="shared" si="23"/>
        <v>37.745499999999986</v>
      </c>
      <c r="Z85" s="703">
        <f t="shared" si="23"/>
        <v>37.745499999999986</v>
      </c>
      <c r="AA85" s="703">
        <f t="shared" si="23"/>
        <v>37.745499999999986</v>
      </c>
      <c r="AB85" s="703">
        <f t="shared" si="23"/>
        <v>37.745499999999986</v>
      </c>
      <c r="AC85" s="662">
        <f t="shared" si="23"/>
        <v>37.745499999999986</v>
      </c>
      <c r="AD85" s="703">
        <f t="shared" si="23"/>
        <v>37.745499999999986</v>
      </c>
      <c r="AE85" s="703">
        <f t="shared" si="23"/>
        <v>37.745499999999986</v>
      </c>
      <c r="AF85" s="703">
        <f t="shared" si="23"/>
        <v>37.745499999999986</v>
      </c>
      <c r="AG85" s="703">
        <f t="shared" si="23"/>
        <v>37.745499999999986</v>
      </c>
    </row>
    <row r="86" spans="2:33" x14ac:dyDescent="0.35">
      <c r="B86" s="250" t="s">
        <v>160</v>
      </c>
      <c r="C86" s="202" t="s">
        <v>480</v>
      </c>
      <c r="D86" s="241">
        <f>'Haver Pivoted'!GO66</f>
        <v>57.347000000000001</v>
      </c>
      <c r="E86" s="188">
        <f>'Haver Pivoted'!GP66</f>
        <v>56.009</v>
      </c>
      <c r="F86" s="188">
        <f>'Haver Pivoted'!GQ66</f>
        <v>54.273000000000003</v>
      </c>
      <c r="G86" s="188">
        <f>'Haver Pivoted'!GR66</f>
        <v>54.103999999999999</v>
      </c>
      <c r="H86" s="188">
        <f>'Haver Pivoted'!GS66</f>
        <v>54.46</v>
      </c>
      <c r="I86" s="188">
        <f>'Haver Pivoted'!GT66</f>
        <v>59.734999999999999</v>
      </c>
      <c r="J86" s="188">
        <f>'Haver Pivoted'!GU66</f>
        <v>100.11799999999999</v>
      </c>
      <c r="K86" s="188">
        <f>'Haver Pivoted'!GV66</f>
        <v>104.89</v>
      </c>
      <c r="L86" s="188">
        <f>'Haver Pivoted'!GW66</f>
        <v>114.726</v>
      </c>
      <c r="M86" s="188">
        <f>'Haver Pivoted'!GX66</f>
        <v>140.75399999999999</v>
      </c>
      <c r="N86" s="188">
        <f>'Haver Pivoted'!GY66</f>
        <v>155.40299999999999</v>
      </c>
      <c r="O86" s="188">
        <f>'Haver Pivoted'!GZ66</f>
        <v>150.172</v>
      </c>
      <c r="P86" s="188">
        <f>'Haver Pivoted'!HA66</f>
        <v>155.43700000000001</v>
      </c>
      <c r="Q86" s="188">
        <f>'Haver Pivoted'!HB66</f>
        <v>135.35499999999999</v>
      </c>
      <c r="R86" s="188">
        <f>'Haver Pivoted'!HC66</f>
        <v>118.414</v>
      </c>
      <c r="S86" s="140">
        <f>'Haver Pivoted'!HD66</f>
        <v>111.59099999999999</v>
      </c>
      <c r="T86" s="140">
        <f>'Haver Pivoted'!HE66</f>
        <v>126.53400000000001</v>
      </c>
      <c r="U86" s="140">
        <f>'Haver Pivoted'!HF66</f>
        <v>119.839</v>
      </c>
      <c r="V86" s="140">
        <f>'Haver Pivoted'!HG66</f>
        <v>92.456999999999994</v>
      </c>
      <c r="W86" s="280"/>
      <c r="X86" s="280"/>
      <c r="Y86" s="280"/>
      <c r="Z86" s="280"/>
      <c r="AA86" s="280"/>
      <c r="AB86" s="280"/>
      <c r="AC86" s="280"/>
      <c r="AD86" s="485"/>
      <c r="AE86" s="485"/>
      <c r="AF86" s="485"/>
      <c r="AG86" s="485"/>
    </row>
    <row r="87" spans="2:33" ht="29.15" customHeight="1" x14ac:dyDescent="0.35">
      <c r="B87" s="321" t="s">
        <v>481</v>
      </c>
      <c r="C87" s="322"/>
      <c r="D87" s="698"/>
      <c r="E87" s="543"/>
      <c r="F87" s="543"/>
      <c r="G87" s="543"/>
      <c r="H87" s="543"/>
      <c r="I87" s="543"/>
      <c r="J87" s="543">
        <f t="shared" ref="J87:V87" si="24">J86-$H86</f>
        <v>45.657999999999994</v>
      </c>
      <c r="K87" s="543">
        <f t="shared" si="24"/>
        <v>50.43</v>
      </c>
      <c r="L87" s="543">
        <f t="shared" si="24"/>
        <v>60.265999999999998</v>
      </c>
      <c r="M87" s="543">
        <f t="shared" si="24"/>
        <v>86.293999999999983</v>
      </c>
      <c r="N87" s="543">
        <f>N86-$H86</f>
        <v>100.94299999999998</v>
      </c>
      <c r="O87" s="543">
        <f>O86-$H86</f>
        <v>95.711999999999989</v>
      </c>
      <c r="P87" s="543">
        <f t="shared" si="24"/>
        <v>100.977</v>
      </c>
      <c r="Q87" s="543">
        <f t="shared" si="24"/>
        <v>80.894999999999982</v>
      </c>
      <c r="R87" s="543">
        <f t="shared" si="24"/>
        <v>63.954000000000001</v>
      </c>
      <c r="S87" s="253">
        <f t="shared" si="24"/>
        <v>57.130999999999993</v>
      </c>
      <c r="T87" s="253">
        <f t="shared" si="24"/>
        <v>72.074000000000012</v>
      </c>
      <c r="U87" s="253">
        <f t="shared" si="24"/>
        <v>65.378999999999991</v>
      </c>
      <c r="V87" s="253">
        <f t="shared" si="24"/>
        <v>37.996999999999993</v>
      </c>
      <c r="W87" s="236"/>
      <c r="X87" s="236"/>
      <c r="Y87" s="236"/>
      <c r="Z87" s="236"/>
      <c r="AA87" s="236"/>
      <c r="AB87" s="236"/>
      <c r="AC87" s="236"/>
      <c r="AD87" s="485"/>
      <c r="AE87" s="485"/>
      <c r="AF87" s="485"/>
      <c r="AG87" s="485"/>
    </row>
    <row r="88" spans="2:33" ht="29.15" customHeight="1" x14ac:dyDescent="0.35">
      <c r="B88" s="202"/>
      <c r="C88" s="202"/>
      <c r="D88" s="188"/>
      <c r="E88" s="188"/>
      <c r="F88" s="188"/>
      <c r="G88" s="188"/>
      <c r="H88" s="188"/>
      <c r="I88" s="188"/>
      <c r="J88" s="188"/>
      <c r="K88" s="188"/>
      <c r="L88" s="188"/>
      <c r="M88" s="188"/>
      <c r="N88" s="188"/>
      <c r="O88" s="188"/>
      <c r="P88" s="188"/>
      <c r="Q88" s="188"/>
      <c r="R88" s="188"/>
      <c r="S88" s="188"/>
      <c r="T88" s="188"/>
      <c r="U88" s="188"/>
      <c r="V88" s="188"/>
      <c r="W88" s="188"/>
      <c r="X88" s="188"/>
      <c r="Y88" s="188"/>
      <c r="Z88" s="188"/>
      <c r="AA88" s="188"/>
      <c r="AB88" s="188"/>
      <c r="AC88" s="188"/>
    </row>
    <row r="89" spans="2:33" ht="29.15" customHeight="1" x14ac:dyDescent="0.35">
      <c r="B89" s="202"/>
      <c r="C89" s="202"/>
      <c r="D89" s="188"/>
      <c r="E89" s="188"/>
      <c r="F89" s="188"/>
      <c r="G89" s="188"/>
      <c r="H89" s="188"/>
      <c r="I89" s="188"/>
      <c r="J89" s="188"/>
      <c r="K89" s="188"/>
      <c r="L89" s="188"/>
      <c r="M89" s="188"/>
      <c r="N89" s="188"/>
      <c r="O89" s="188"/>
      <c r="P89" s="188"/>
      <c r="Q89" s="188"/>
      <c r="R89" s="188"/>
      <c r="S89" s="188"/>
      <c r="T89" s="188"/>
      <c r="U89" s="188"/>
      <c r="V89" s="188"/>
      <c r="W89" s="188"/>
      <c r="X89" s="188"/>
      <c r="Y89" s="188"/>
      <c r="Z89" s="188"/>
      <c r="AA89" s="188"/>
      <c r="AB89" s="188"/>
      <c r="AC89" s="188"/>
    </row>
    <row r="90" spans="2:33" ht="29.15" customHeight="1" x14ac:dyDescent="0.35">
      <c r="B90" s="202"/>
      <c r="C90" s="202"/>
      <c r="D90" s="188"/>
      <c r="E90" s="188"/>
      <c r="F90" s="188"/>
      <c r="G90" s="188"/>
      <c r="H90" s="188"/>
      <c r="I90" s="188"/>
      <c r="J90" s="188"/>
      <c r="K90" s="188"/>
      <c r="L90" s="188"/>
      <c r="M90" s="188"/>
      <c r="N90" s="188"/>
      <c r="O90" s="188"/>
      <c r="P90" s="188"/>
      <c r="Q90" s="188"/>
      <c r="R90" s="188"/>
      <c r="S90" s="188"/>
      <c r="T90" s="188"/>
      <c r="U90" s="188"/>
      <c r="V90" s="188"/>
      <c r="W90" s="188"/>
      <c r="X90" s="188"/>
      <c r="Y90" s="188"/>
      <c r="Z90" s="188"/>
      <c r="AA90" s="188"/>
      <c r="AB90" s="188"/>
      <c r="AC90" s="188"/>
    </row>
    <row r="91" spans="2:33" ht="35.9" customHeight="1" x14ac:dyDescent="0.35"/>
    <row r="92" spans="2:33" x14ac:dyDescent="0.35">
      <c r="B92" s="490" t="s">
        <v>365</v>
      </c>
    </row>
    <row r="93" spans="2:33" x14ac:dyDescent="0.35">
      <c r="B93" s="1413" t="s">
        <v>808</v>
      </c>
      <c r="C93" s="1414"/>
      <c r="D93" s="1323" t="s">
        <v>280</v>
      </c>
      <c r="E93" s="1335"/>
      <c r="F93" s="1335"/>
      <c r="G93" s="1335"/>
      <c r="H93" s="1335"/>
      <c r="I93" s="1335"/>
      <c r="J93" s="1335"/>
      <c r="K93" s="1335"/>
      <c r="L93" s="1335"/>
      <c r="M93" s="1335"/>
      <c r="N93" s="1335"/>
      <c r="O93" s="1335"/>
      <c r="P93" s="1335"/>
      <c r="Q93" s="1335"/>
      <c r="R93" s="1335"/>
      <c r="S93" s="1335"/>
      <c r="T93" s="1335"/>
      <c r="U93" s="1335"/>
      <c r="V93" s="1324"/>
      <c r="W93" s="1361" t="s">
        <v>281</v>
      </c>
      <c r="X93" s="1362"/>
      <c r="Y93" s="1362"/>
      <c r="Z93" s="1362"/>
      <c r="AA93" s="1362"/>
      <c r="AB93" s="1362"/>
      <c r="AC93" s="1362"/>
      <c r="AD93" s="1362"/>
      <c r="AE93" s="1362"/>
      <c r="AF93" s="1362"/>
      <c r="AG93" s="1362"/>
    </row>
    <row r="94" spans="2:33" x14ac:dyDescent="0.35">
      <c r="B94" s="1415"/>
      <c r="C94" s="1416"/>
      <c r="D94" s="142">
        <v>2018</v>
      </c>
      <c r="E94" s="1310">
        <v>2019</v>
      </c>
      <c r="F94" s="1328"/>
      <c r="G94" s="1328"/>
      <c r="H94" s="1329"/>
      <c r="I94" s="1310">
        <v>2020</v>
      </c>
      <c r="J94" s="1328"/>
      <c r="K94" s="1328"/>
      <c r="L94" s="1328"/>
      <c r="M94" s="1310">
        <v>2021</v>
      </c>
      <c r="N94" s="1328"/>
      <c r="O94" s="1328"/>
      <c r="P94" s="1328"/>
      <c r="Q94" s="1310">
        <v>2022</v>
      </c>
      <c r="R94" s="1311"/>
      <c r="S94" s="1311"/>
      <c r="T94" s="1329"/>
      <c r="U94" s="256"/>
      <c r="V94" s="535">
        <v>2023</v>
      </c>
      <c r="W94" s="528"/>
      <c r="X94" s="226"/>
      <c r="Y94" s="1325">
        <v>2024</v>
      </c>
      <c r="Z94" s="1337"/>
      <c r="AA94" s="1337"/>
      <c r="AB94" s="1327"/>
      <c r="AC94" s="1325">
        <v>2025</v>
      </c>
      <c r="AD94" s="1337"/>
      <c r="AE94" s="1337"/>
      <c r="AF94" s="1327"/>
      <c r="AG94" s="475">
        <v>2026</v>
      </c>
    </row>
    <row r="95" spans="2:33" x14ac:dyDescent="0.35">
      <c r="B95" s="1415"/>
      <c r="C95" s="1416"/>
      <c r="D95" s="149" t="s">
        <v>282</v>
      </c>
      <c r="E95" s="149" t="s">
        <v>283</v>
      </c>
      <c r="F95" s="140" t="s">
        <v>284</v>
      </c>
      <c r="G95" s="140" t="s">
        <v>238</v>
      </c>
      <c r="H95" s="146" t="s">
        <v>282</v>
      </c>
      <c r="I95" s="140" t="s">
        <v>283</v>
      </c>
      <c r="J95" s="140" t="s">
        <v>284</v>
      </c>
      <c r="K95" s="140" t="s">
        <v>238</v>
      </c>
      <c r="L95" s="140" t="s">
        <v>282</v>
      </c>
      <c r="M95" s="149" t="s">
        <v>283</v>
      </c>
      <c r="N95" s="140" t="s">
        <v>284</v>
      </c>
      <c r="O95" s="140" t="s">
        <v>238</v>
      </c>
      <c r="P95" s="140" t="s">
        <v>282</v>
      </c>
      <c r="Q95" s="149" t="s">
        <v>283</v>
      </c>
      <c r="R95" s="140" t="s">
        <v>284</v>
      </c>
      <c r="S95" s="140" t="s">
        <v>238</v>
      </c>
      <c r="T95" s="146" t="s">
        <v>282</v>
      </c>
      <c r="U95" s="140" t="s">
        <v>283</v>
      </c>
      <c r="V95" s="253" t="s">
        <v>284</v>
      </c>
      <c r="W95" s="236" t="s">
        <v>238</v>
      </c>
      <c r="X95" s="237" t="s">
        <v>282</v>
      </c>
      <c r="Y95" s="235" t="s">
        <v>283</v>
      </c>
      <c r="Z95" s="233" t="s">
        <v>284</v>
      </c>
      <c r="AA95" s="236" t="s">
        <v>238</v>
      </c>
      <c r="AB95" s="236" t="s">
        <v>282</v>
      </c>
      <c r="AC95" s="235" t="s">
        <v>283</v>
      </c>
      <c r="AD95" s="233" t="s">
        <v>284</v>
      </c>
      <c r="AE95" s="236" t="s">
        <v>238</v>
      </c>
      <c r="AF95" s="236" t="s">
        <v>282</v>
      </c>
      <c r="AG95" s="235" t="s">
        <v>283</v>
      </c>
    </row>
    <row r="96" spans="2:33" ht="25.75" customHeight="1" x14ac:dyDescent="0.35">
      <c r="B96" s="643" t="s">
        <v>468</v>
      </c>
      <c r="C96" s="453" t="s">
        <v>469</v>
      </c>
      <c r="D96" s="330">
        <f>'Haver Pivoted'!GO31</f>
        <v>2224.3000000000002</v>
      </c>
      <c r="E96" s="331">
        <f>'Haver Pivoted'!GP31</f>
        <v>2303.4</v>
      </c>
      <c r="F96" s="331">
        <f>'Haver Pivoted'!GQ31</f>
        <v>2319.4</v>
      </c>
      <c r="G96" s="331">
        <f>'Haver Pivoted'!GR31</f>
        <v>2333.8000000000002</v>
      </c>
      <c r="H96" s="331">
        <f>'Haver Pivoted'!GS31</f>
        <v>2346.4</v>
      </c>
      <c r="I96" s="331">
        <f>'Haver Pivoted'!GT31</f>
        <v>2407.5</v>
      </c>
      <c r="J96" s="331">
        <f>'Haver Pivoted'!GU31</f>
        <v>4698.7</v>
      </c>
      <c r="K96" s="331">
        <f>'Haver Pivoted'!GV31</f>
        <v>3492.4</v>
      </c>
      <c r="L96" s="331">
        <f>'Haver Pivoted'!GW31</f>
        <v>2881.6</v>
      </c>
      <c r="M96" s="331">
        <f>'Haver Pivoted'!GX31</f>
        <v>5094.8</v>
      </c>
      <c r="N96" s="331">
        <f>'Haver Pivoted'!GY31</f>
        <v>3395.6</v>
      </c>
      <c r="O96" s="331">
        <f>'Haver Pivoted'!GZ31</f>
        <v>3146.3</v>
      </c>
      <c r="P96" s="331">
        <f>'Haver Pivoted'!HA31</f>
        <v>2937.4</v>
      </c>
      <c r="Q96" s="331">
        <f>'Haver Pivoted'!HB31</f>
        <v>2863</v>
      </c>
      <c r="R96" s="331">
        <f>'Haver Pivoted'!HC31</f>
        <v>2846.5</v>
      </c>
      <c r="S96" s="332">
        <f>'Haver Pivoted'!HD31</f>
        <v>2840.1</v>
      </c>
      <c r="T96" s="663">
        <f>'Haver Pivoted'!HE31</f>
        <v>2882.8</v>
      </c>
      <c r="U96" s="332">
        <f>'Haver Pivoted'!HF31</f>
        <v>2963</v>
      </c>
      <c r="V96" s="332">
        <f>'Haver Pivoted'!HG31</f>
        <v>2952.8</v>
      </c>
      <c r="W96" s="673"/>
      <c r="X96" s="673"/>
      <c r="Y96" s="673"/>
      <c r="Z96" s="673"/>
      <c r="AA96" s="673"/>
      <c r="AB96" s="673"/>
      <c r="AC96" s="718"/>
      <c r="AD96" s="718"/>
      <c r="AE96" s="718"/>
      <c r="AF96" s="718"/>
      <c r="AG96" s="485"/>
    </row>
    <row r="97" spans="2:33" ht="25.75" customHeight="1" x14ac:dyDescent="0.35">
      <c r="B97" s="448" t="s">
        <v>1939</v>
      </c>
      <c r="C97" s="202"/>
      <c r="D97" s="693">
        <f>D98+D99</f>
        <v>813.09999999999991</v>
      </c>
      <c r="E97" s="401">
        <f>E98+E99</f>
        <v>832</v>
      </c>
      <c r="F97" s="401">
        <f>F98+F99</f>
        <v>842.69999999999993</v>
      </c>
      <c r="G97" s="401">
        <f t="shared" ref="G97:N97" si="25">G98+G99</f>
        <v>850.1</v>
      </c>
      <c r="H97" s="401">
        <f t="shared" si="25"/>
        <v>854</v>
      </c>
      <c r="I97" s="401">
        <f t="shared" si="25"/>
        <v>871.02350000000001</v>
      </c>
      <c r="J97" s="401">
        <f t="shared" si="25"/>
        <v>3187.1064999999999</v>
      </c>
      <c r="K97" s="401">
        <f t="shared" si="25"/>
        <v>1850.5785000000001</v>
      </c>
      <c r="L97" s="401">
        <f t="shared" si="25"/>
        <v>1300.1145000000001</v>
      </c>
      <c r="M97" s="401">
        <f t="shared" si="25"/>
        <v>3501.0425</v>
      </c>
      <c r="N97" s="401">
        <f t="shared" si="25"/>
        <v>1824.9133400000001</v>
      </c>
      <c r="O97" s="401">
        <f>O98+O99</f>
        <v>1573.4639933333328</v>
      </c>
      <c r="P97" s="401">
        <f t="shared" ref="P97:R97" si="26">P98+P99</f>
        <v>1378.1348333333331</v>
      </c>
      <c r="Q97" s="401">
        <f t="shared" si="26"/>
        <v>1205.9195</v>
      </c>
      <c r="R97" s="401">
        <f t="shared" si="26"/>
        <v>1180.8785</v>
      </c>
      <c r="S97" s="657">
        <f>S98+S99</f>
        <v>1170.5554999999999</v>
      </c>
      <c r="T97" s="657">
        <f t="shared" ref="T97:U97" si="27">T98+T99</f>
        <v>1164.4385</v>
      </c>
      <c r="U97" s="657">
        <f t="shared" si="27"/>
        <v>1095.8434999999999</v>
      </c>
      <c r="V97" s="657">
        <f>V98+V99</f>
        <v>1075.5615</v>
      </c>
      <c r="W97" s="402"/>
      <c r="X97" s="402"/>
      <c r="Y97" s="402"/>
      <c r="Z97" s="402"/>
      <c r="AA97" s="402"/>
      <c r="AB97" s="402"/>
      <c r="AC97" s="402"/>
      <c r="AD97" s="402"/>
      <c r="AE97" s="402"/>
      <c r="AF97" s="402"/>
      <c r="AG97" s="485"/>
    </row>
    <row r="98" spans="2:33" ht="25.75" customHeight="1" x14ac:dyDescent="0.35">
      <c r="B98" s="391" t="s">
        <v>1937</v>
      </c>
      <c r="C98" s="202"/>
      <c r="D98" s="693">
        <f t="shared" ref="D98:V98" si="28">D14+D17+D35</f>
        <v>813.09999999999991</v>
      </c>
      <c r="E98" s="693">
        <f t="shared" si="28"/>
        <v>832</v>
      </c>
      <c r="F98" s="401">
        <f t="shared" si="28"/>
        <v>842.69999999999993</v>
      </c>
      <c r="G98" s="401">
        <f t="shared" si="28"/>
        <v>850.1</v>
      </c>
      <c r="H98" s="401">
        <f t="shared" si="28"/>
        <v>854</v>
      </c>
      <c r="I98" s="401">
        <f t="shared" si="28"/>
        <v>866</v>
      </c>
      <c r="J98" s="401">
        <f t="shared" si="28"/>
        <v>1845.5</v>
      </c>
      <c r="K98" s="401">
        <f t="shared" si="28"/>
        <v>1645.2</v>
      </c>
      <c r="L98" s="401">
        <f t="shared" si="28"/>
        <v>1176.2</v>
      </c>
      <c r="M98" s="401">
        <f t="shared" si="28"/>
        <v>1448.2000000000003</v>
      </c>
      <c r="N98" s="401">
        <f t="shared" si="28"/>
        <v>1358.4</v>
      </c>
      <c r="O98" s="401">
        <f t="shared" si="28"/>
        <v>1353.5333333333328</v>
      </c>
      <c r="P98" s="401">
        <f t="shared" si="28"/>
        <v>1156.9333333333329</v>
      </c>
      <c r="Q98" s="401">
        <f t="shared" si="28"/>
        <v>1025.9000000000001</v>
      </c>
      <c r="R98" s="401">
        <f t="shared" si="28"/>
        <v>1024.7</v>
      </c>
      <c r="S98" s="657">
        <f t="shared" si="28"/>
        <v>1033.0999999999999</v>
      </c>
      <c r="T98" s="657">
        <f t="shared" si="28"/>
        <v>1056.3</v>
      </c>
      <c r="U98" s="657">
        <f t="shared" si="28"/>
        <v>1017.3</v>
      </c>
      <c r="V98" s="657">
        <f t="shared" si="28"/>
        <v>1024.4000000000001</v>
      </c>
      <c r="W98" s="402"/>
      <c r="X98" s="402"/>
      <c r="Y98" s="402"/>
      <c r="Z98" s="402"/>
      <c r="AA98" s="402"/>
      <c r="AB98" s="402"/>
      <c r="AC98" s="402"/>
      <c r="AD98" s="402"/>
      <c r="AE98" s="402"/>
      <c r="AF98" s="402"/>
      <c r="AG98" s="402"/>
    </row>
    <row r="99" spans="2:33" ht="36" customHeight="1" x14ac:dyDescent="0.35">
      <c r="B99" s="391" t="s">
        <v>1938</v>
      </c>
      <c r="C99" s="202"/>
      <c r="D99" s="401">
        <f t="shared" ref="D99:AG99" si="29">D18+D21+D32+D33+D34+D36</f>
        <v>0</v>
      </c>
      <c r="E99" s="401">
        <f t="shared" si="29"/>
        <v>0</v>
      </c>
      <c r="F99" s="401">
        <f t="shared" si="29"/>
        <v>0</v>
      </c>
      <c r="G99" s="401">
        <f t="shared" si="29"/>
        <v>0</v>
      </c>
      <c r="H99" s="401">
        <f t="shared" si="29"/>
        <v>0</v>
      </c>
      <c r="I99" s="401">
        <f t="shared" si="29"/>
        <v>5.0234999999999914</v>
      </c>
      <c r="J99" s="401">
        <f t="shared" si="29"/>
        <v>1341.6065000000001</v>
      </c>
      <c r="K99" s="401">
        <f t="shared" si="29"/>
        <v>205.37849999999997</v>
      </c>
      <c r="L99" s="401">
        <f t="shared" si="29"/>
        <v>123.9145</v>
      </c>
      <c r="M99" s="401">
        <f t="shared" si="29"/>
        <v>2052.8424999999997</v>
      </c>
      <c r="N99" s="401">
        <f t="shared" si="29"/>
        <v>466.51334000000008</v>
      </c>
      <c r="O99" s="401">
        <f t="shared" si="29"/>
        <v>219.93066000000007</v>
      </c>
      <c r="P99" s="401">
        <f t="shared" si="29"/>
        <v>221.20150000000004</v>
      </c>
      <c r="Q99" s="401">
        <f t="shared" si="29"/>
        <v>180.01949999999999</v>
      </c>
      <c r="R99" s="401">
        <f t="shared" si="29"/>
        <v>156.17850000000001</v>
      </c>
      <c r="S99" s="657">
        <f t="shared" si="29"/>
        <v>137.4555</v>
      </c>
      <c r="T99" s="657">
        <f t="shared" si="29"/>
        <v>108.13849999999999</v>
      </c>
      <c r="U99" s="657">
        <f t="shared" si="29"/>
        <v>78.543499999999995</v>
      </c>
      <c r="V99" s="657">
        <f t="shared" si="29"/>
        <v>51.16149999999999</v>
      </c>
      <c r="W99" s="402">
        <f t="shared" si="29"/>
        <v>51.16149999999999</v>
      </c>
      <c r="X99" s="402">
        <f t="shared" si="29"/>
        <v>43.446499999999986</v>
      </c>
      <c r="Y99" s="402">
        <f t="shared" si="29"/>
        <v>43.446499999999986</v>
      </c>
      <c r="Z99" s="402">
        <f t="shared" si="29"/>
        <v>43.446499999999986</v>
      </c>
      <c r="AA99" s="402">
        <f t="shared" si="29"/>
        <v>43.446499999999986</v>
      </c>
      <c r="AB99" s="402">
        <f t="shared" si="29"/>
        <v>41.747499999999988</v>
      </c>
      <c r="AC99" s="402">
        <f t="shared" si="29"/>
        <v>41.747499999999988</v>
      </c>
      <c r="AD99" s="402">
        <f t="shared" si="29"/>
        <v>0</v>
      </c>
      <c r="AE99" s="402">
        <f t="shared" si="29"/>
        <v>0</v>
      </c>
      <c r="AF99" s="402">
        <f t="shared" si="29"/>
        <v>0</v>
      </c>
      <c r="AG99" s="402">
        <f t="shared" si="29"/>
        <v>0</v>
      </c>
    </row>
    <row r="100" spans="2:33" ht="25.75" customHeight="1" x14ac:dyDescent="0.35">
      <c r="B100" s="448" t="s">
        <v>805</v>
      </c>
      <c r="C100" s="202"/>
      <c r="D100" s="693">
        <f>D96-D97</f>
        <v>1411.2000000000003</v>
      </c>
      <c r="E100" s="401">
        <f t="shared" ref="E100:T100" si="30">E96-E97</f>
        <v>1471.4</v>
      </c>
      <c r="F100" s="401">
        <f t="shared" si="30"/>
        <v>1476.7000000000003</v>
      </c>
      <c r="G100" s="401">
        <f t="shared" si="30"/>
        <v>1483.7000000000003</v>
      </c>
      <c r="H100" s="401">
        <f t="shared" si="30"/>
        <v>1492.4</v>
      </c>
      <c r="I100" s="401">
        <f t="shared" si="30"/>
        <v>1536.4765</v>
      </c>
      <c r="J100" s="401">
        <f t="shared" si="30"/>
        <v>1511.5934999999999</v>
      </c>
      <c r="K100" s="401">
        <f t="shared" si="30"/>
        <v>1641.8215</v>
      </c>
      <c r="L100" s="401">
        <f t="shared" si="30"/>
        <v>1581.4854999999998</v>
      </c>
      <c r="M100" s="401">
        <f t="shared" si="30"/>
        <v>1593.7575000000002</v>
      </c>
      <c r="N100" s="401">
        <f t="shared" si="30"/>
        <v>1570.6866599999998</v>
      </c>
      <c r="O100" s="401">
        <f t="shared" si="30"/>
        <v>1572.8360066666673</v>
      </c>
      <c r="P100" s="401">
        <f t="shared" si="30"/>
        <v>1559.265166666667</v>
      </c>
      <c r="Q100" s="401">
        <f t="shared" si="30"/>
        <v>1657.0805</v>
      </c>
      <c r="R100" s="401">
        <f t="shared" si="30"/>
        <v>1665.6215</v>
      </c>
      <c r="S100" s="657">
        <f t="shared" si="30"/>
        <v>1669.5445</v>
      </c>
      <c r="T100" s="657">
        <f t="shared" si="30"/>
        <v>1718.3615000000002</v>
      </c>
      <c r="U100" s="657">
        <f>U96-U97</f>
        <v>1867.1565000000001</v>
      </c>
      <c r="V100" s="657">
        <f>V96-V97</f>
        <v>1877.2385000000002</v>
      </c>
      <c r="W100" s="402"/>
      <c r="X100" s="402"/>
      <c r="Y100" s="402"/>
      <c r="Z100" s="402"/>
      <c r="AA100" s="402"/>
      <c r="AB100" s="402"/>
      <c r="AC100" s="402"/>
      <c r="AD100" s="402"/>
      <c r="AE100" s="402"/>
      <c r="AF100" s="402"/>
      <c r="AG100" s="485"/>
    </row>
    <row r="101" spans="2:33" ht="20.5" customHeight="1" x14ac:dyDescent="0.35">
      <c r="B101" s="674" t="s">
        <v>806</v>
      </c>
      <c r="C101" s="675"/>
      <c r="D101" s="681">
        <f t="shared" ref="D101:I101" si="31">D12-D14-D17-D35</f>
        <v>1411.2</v>
      </c>
      <c r="E101" s="682">
        <f t="shared" si="31"/>
        <v>1471.4</v>
      </c>
      <c r="F101" s="682">
        <f t="shared" si="31"/>
        <v>1476.7</v>
      </c>
      <c r="G101" s="682">
        <f t="shared" si="31"/>
        <v>1483.7</v>
      </c>
      <c r="H101" s="682">
        <f t="shared" si="31"/>
        <v>1492.4000000000003</v>
      </c>
      <c r="I101" s="682">
        <f t="shared" si="31"/>
        <v>1541.5000000000002</v>
      </c>
      <c r="J101" s="683">
        <f>I101+($H$101-$E$101)/3</f>
        <v>1548.5000000000002</v>
      </c>
      <c r="K101" s="683">
        <f>J101+($H$101-$E$101)/3</f>
        <v>1555.5000000000002</v>
      </c>
      <c r="L101" s="683">
        <f>K101+($H$101-$E$101)/3</f>
        <v>1562.5000000000002</v>
      </c>
      <c r="M101" s="684">
        <f>L101+($H$101-$E$101)/3 +(M105-L105)</f>
        <v>1586.9430000000002</v>
      </c>
      <c r="N101" s="683">
        <f>M101+($H$101-$E$101)/3</f>
        <v>1593.9430000000002</v>
      </c>
      <c r="O101" s="683">
        <f>N101+($H$101-$E$101)/3</f>
        <v>1600.9430000000002</v>
      </c>
      <c r="P101" s="683">
        <f>O101+($H$101-$E$101)/3</f>
        <v>1607.9430000000002</v>
      </c>
      <c r="Q101" s="684">
        <f>P101+($H$101-$E$101)/3 + 0.06*Q105</f>
        <v>1686.8657200000002</v>
      </c>
      <c r="R101" s="683">
        <f>Q101+($H$101-$E$101)/3</f>
        <v>1693.8657200000002</v>
      </c>
      <c r="S101" s="683">
        <f>R101+($H$101-$E$101)/3</f>
        <v>1700.8657200000002</v>
      </c>
      <c r="T101" s="683">
        <f>S101+($H$101-$E$101)/3</f>
        <v>1707.8657200000002</v>
      </c>
      <c r="U101" s="683">
        <f>T101+U102</f>
        <v>1821.4964000000002</v>
      </c>
      <c r="V101" s="683">
        <f>U101+V102</f>
        <v>1828.4964000000002</v>
      </c>
      <c r="W101" s="676">
        <f t="shared" ref="W101:AF101" si="32">V101+W102</f>
        <v>1835.4964000000002</v>
      </c>
      <c r="X101" s="676">
        <f t="shared" si="32"/>
        <v>1842.4964000000002</v>
      </c>
      <c r="Y101" s="676">
        <f t="shared" si="32"/>
        <v>1892.1631197000004</v>
      </c>
      <c r="Z101" s="676">
        <f t="shared" si="32"/>
        <v>1899.1631197000004</v>
      </c>
      <c r="AA101" s="676">
        <f t="shared" si="32"/>
        <v>1906.1631197000004</v>
      </c>
      <c r="AB101" s="676">
        <f t="shared" si="32"/>
        <v>1913.1631197000004</v>
      </c>
      <c r="AC101" s="676">
        <f t="shared" si="32"/>
        <v>1949.8260890960005</v>
      </c>
      <c r="AD101" s="676">
        <f t="shared" si="32"/>
        <v>1956.8260890960005</v>
      </c>
      <c r="AE101" s="676">
        <f t="shared" si="32"/>
        <v>1963.8260890960005</v>
      </c>
      <c r="AF101" s="676">
        <f t="shared" si="32"/>
        <v>1970.8260890960005</v>
      </c>
      <c r="AG101" s="485"/>
    </row>
    <row r="102" spans="2:33" ht="20.5" customHeight="1" x14ac:dyDescent="0.35">
      <c r="B102" s="677" t="s">
        <v>1868</v>
      </c>
      <c r="C102" s="202"/>
      <c r="D102" s="693"/>
      <c r="E102" s="401"/>
      <c r="F102" s="401"/>
      <c r="G102" s="401"/>
      <c r="H102" s="401"/>
      <c r="I102" s="401"/>
      <c r="J102" s="658"/>
      <c r="K102" s="658"/>
      <c r="L102" s="658"/>
      <c r="M102" s="685"/>
      <c r="N102" s="658"/>
      <c r="O102" s="658"/>
      <c r="P102" s="658"/>
      <c r="Q102" s="685"/>
      <c r="R102" s="658"/>
      <c r="S102" s="658"/>
      <c r="T102" s="658"/>
      <c r="U102" s="658">
        <f>U103+U104</f>
        <v>113.63068000000007</v>
      </c>
      <c r="V102" s="658">
        <f>V103+V104</f>
        <v>7.0000000000000755</v>
      </c>
      <c r="W102" s="402">
        <f t="shared" ref="W102:AF102" si="33">W103+W108*W105</f>
        <v>7.0000000000000755</v>
      </c>
      <c r="X102" s="402">
        <f t="shared" si="33"/>
        <v>7.0000000000000755</v>
      </c>
      <c r="Y102" s="402">
        <f t="shared" si="33"/>
        <v>49.666719700000073</v>
      </c>
      <c r="Z102" s="402">
        <f t="shared" si="33"/>
        <v>7.0000000000000755</v>
      </c>
      <c r="AA102" s="402">
        <f t="shared" si="33"/>
        <v>7.0000000000000755</v>
      </c>
      <c r="AB102" s="402">
        <f t="shared" si="33"/>
        <v>7.0000000000000755</v>
      </c>
      <c r="AC102" s="402">
        <f t="shared" si="33"/>
        <v>36.662969396000072</v>
      </c>
      <c r="AD102" s="402">
        <f t="shared" si="33"/>
        <v>7.0000000000000755</v>
      </c>
      <c r="AE102" s="402">
        <f t="shared" si="33"/>
        <v>7.0000000000000755</v>
      </c>
      <c r="AF102" s="402">
        <f t="shared" si="33"/>
        <v>7.0000000000000755</v>
      </c>
      <c r="AG102" s="485"/>
    </row>
    <row r="103" spans="2:33" ht="28.4" customHeight="1" x14ac:dyDescent="0.35">
      <c r="B103" s="678" t="s">
        <v>1865</v>
      </c>
      <c r="C103" s="202"/>
      <c r="D103" s="693"/>
      <c r="E103" s="401"/>
      <c r="F103" s="401"/>
      <c r="G103" s="401"/>
      <c r="H103" s="401"/>
      <c r="I103" s="401"/>
      <c r="J103" s="658"/>
      <c r="K103" s="658"/>
      <c r="L103" s="658"/>
      <c r="M103" s="685"/>
      <c r="N103" s="658"/>
      <c r="O103" s="658"/>
      <c r="P103" s="658"/>
      <c r="Q103" s="685"/>
      <c r="R103" s="658"/>
      <c r="S103" s="658"/>
      <c r="T103" s="658"/>
      <c r="U103" s="658">
        <f>($H$101-$E$101)/3</f>
        <v>7.0000000000000755</v>
      </c>
      <c r="V103" s="658">
        <f>($H$101-$E$101)/3</f>
        <v>7.0000000000000755</v>
      </c>
      <c r="W103" s="402">
        <f t="shared" ref="W103:AF103" si="34">V103</f>
        <v>7.0000000000000755</v>
      </c>
      <c r="X103" s="402">
        <f t="shared" si="34"/>
        <v>7.0000000000000755</v>
      </c>
      <c r="Y103" s="402">
        <f t="shared" si="34"/>
        <v>7.0000000000000755</v>
      </c>
      <c r="Z103" s="402">
        <f t="shared" si="34"/>
        <v>7.0000000000000755</v>
      </c>
      <c r="AA103" s="402">
        <f t="shared" si="34"/>
        <v>7.0000000000000755</v>
      </c>
      <c r="AB103" s="402">
        <f t="shared" si="34"/>
        <v>7.0000000000000755</v>
      </c>
      <c r="AC103" s="402">
        <f t="shared" si="34"/>
        <v>7.0000000000000755</v>
      </c>
      <c r="AD103" s="402">
        <f t="shared" si="34"/>
        <v>7.0000000000000755</v>
      </c>
      <c r="AE103" s="402">
        <f t="shared" si="34"/>
        <v>7.0000000000000755</v>
      </c>
      <c r="AF103" s="402">
        <f t="shared" si="34"/>
        <v>7.0000000000000755</v>
      </c>
      <c r="AG103" s="485"/>
    </row>
    <row r="104" spans="2:33" ht="30.65" customHeight="1" x14ac:dyDescent="0.35">
      <c r="B104" s="679" t="s">
        <v>1866</v>
      </c>
      <c r="C104" s="680"/>
      <c r="D104" s="686"/>
      <c r="E104" s="687"/>
      <c r="F104" s="687"/>
      <c r="G104" s="687"/>
      <c r="H104" s="687"/>
      <c r="I104" s="687"/>
      <c r="J104" s="688"/>
      <c r="K104" s="688"/>
      <c r="L104" s="688"/>
      <c r="M104" s="689"/>
      <c r="N104" s="688"/>
      <c r="O104" s="688"/>
      <c r="P104" s="688"/>
      <c r="Q104" s="689"/>
      <c r="R104" s="688"/>
      <c r="S104" s="688"/>
      <c r="T104" s="688"/>
      <c r="U104" s="688">
        <f>U108*T105</f>
        <v>106.63068</v>
      </c>
      <c r="V104" s="688">
        <f>V108*U105</f>
        <v>0</v>
      </c>
      <c r="W104" s="690">
        <f t="shared" ref="W104:AF104" si="35">W108*V105</f>
        <v>0</v>
      </c>
      <c r="X104" s="690">
        <f t="shared" si="35"/>
        <v>0</v>
      </c>
      <c r="Y104" s="690">
        <f>Y108*X105</f>
        <v>41.190989999999992</v>
      </c>
      <c r="Z104" s="690">
        <f t="shared" si="35"/>
        <v>0</v>
      </c>
      <c r="AA104" s="690">
        <f t="shared" si="35"/>
        <v>0</v>
      </c>
      <c r="AB104" s="690">
        <f t="shared" si="35"/>
        <v>0</v>
      </c>
      <c r="AC104" s="690">
        <f t="shared" si="35"/>
        <v>28.9244798</v>
      </c>
      <c r="AD104" s="690">
        <f t="shared" si="35"/>
        <v>0</v>
      </c>
      <c r="AE104" s="690">
        <f t="shared" si="35"/>
        <v>0</v>
      </c>
      <c r="AF104" s="690">
        <f t="shared" si="35"/>
        <v>0</v>
      </c>
      <c r="AG104" s="485"/>
    </row>
    <row r="105" spans="2:33" ht="17.5" customHeight="1" x14ac:dyDescent="0.35">
      <c r="B105" s="250" t="s">
        <v>476</v>
      </c>
      <c r="C105" s="202" t="s">
        <v>477</v>
      </c>
      <c r="D105" s="693">
        <f>'Haver Pivoted'!GO88/1000</f>
        <v>983.88599999999997</v>
      </c>
      <c r="E105" s="401">
        <f>'Haver Pivoted'!GP88/1000</f>
        <v>1019.2089999999999</v>
      </c>
      <c r="F105" s="401">
        <f>'Haver Pivoted'!GQ88/1000</f>
        <v>1026.6220000000001</v>
      </c>
      <c r="G105" s="401">
        <f>'Haver Pivoted'!GR88/1000</f>
        <v>1034.357</v>
      </c>
      <c r="H105" s="401">
        <f>'Haver Pivoted'!GS88/1000</f>
        <v>1042.7819999999999</v>
      </c>
      <c r="I105" s="401">
        <f>'Haver Pivoted'!GT88/1000</f>
        <v>1068.2280000000001</v>
      </c>
      <c r="J105" s="401">
        <f>'Haver Pivoted'!GU88/1000</f>
        <v>1074.912</v>
      </c>
      <c r="K105" s="401">
        <f>'Haver Pivoted'!GV88/1000</f>
        <v>1080.3399999999999</v>
      </c>
      <c r="L105" s="401">
        <f>'Haver Pivoted'!GW88/1000</f>
        <v>1088.2329999999999</v>
      </c>
      <c r="M105" s="401">
        <f>'Haver Pivoted'!GX88/1000</f>
        <v>1105.6759999999999</v>
      </c>
      <c r="N105" s="401">
        <f>'Haver Pivoted'!GY88/1000</f>
        <v>1109.3710000000001</v>
      </c>
      <c r="O105" s="401">
        <f>'Haver Pivoted'!GZ88/1000</f>
        <v>1116.8150000000001</v>
      </c>
      <c r="P105" s="401">
        <f>'Haver Pivoted'!HA88/1000</f>
        <v>1126.539</v>
      </c>
      <c r="Q105" s="401">
        <f>'Haver Pivoted'!HB88/1000</f>
        <v>1198.712</v>
      </c>
      <c r="R105" s="401">
        <f>'Haver Pivoted'!HC88/1000</f>
        <v>1206.8920000000001</v>
      </c>
      <c r="S105" s="657">
        <f>'Haver Pivoted'!HD88/1000</f>
        <v>1214.6369999999999</v>
      </c>
      <c r="T105" s="657">
        <f>'Haver Pivoted'!HE88/1000</f>
        <v>1225.6400000000001</v>
      </c>
      <c r="U105" s="657">
        <f>'Haver Pivoted'!HF88/1000</f>
        <v>1340.1120000000001</v>
      </c>
      <c r="V105" s="657">
        <f>'Haver Pivoted'!HG88/1000</f>
        <v>1354.0329999999999</v>
      </c>
      <c r="W105" s="402">
        <f t="shared" ref="W105:AF105" si="36">V105+W106</f>
        <v>1365.0329999999999</v>
      </c>
      <c r="X105" s="402">
        <f t="shared" si="36"/>
        <v>1373.0329999999999</v>
      </c>
      <c r="Y105" s="402">
        <f t="shared" si="36"/>
        <v>1422.22399</v>
      </c>
      <c r="Z105" s="402">
        <f t="shared" si="36"/>
        <v>1430.22399</v>
      </c>
      <c r="AA105" s="402">
        <f t="shared" si="36"/>
        <v>1438.22399</v>
      </c>
      <c r="AB105" s="402">
        <f t="shared" si="36"/>
        <v>1446.22399</v>
      </c>
      <c r="AC105" s="402">
        <f t="shared" si="36"/>
        <v>1483.1484697999999</v>
      </c>
      <c r="AD105" s="402">
        <f t="shared" si="36"/>
        <v>1492.1484697999999</v>
      </c>
      <c r="AE105" s="402">
        <f t="shared" si="36"/>
        <v>1502.1484697999999</v>
      </c>
      <c r="AF105" s="402">
        <f t="shared" si="36"/>
        <v>1513.1484697999999</v>
      </c>
      <c r="AG105" s="485"/>
    </row>
    <row r="106" spans="2:33" ht="17.5" customHeight="1" x14ac:dyDescent="0.35">
      <c r="B106" s="391" t="s">
        <v>1867</v>
      </c>
      <c r="C106" s="202"/>
      <c r="D106" s="693"/>
      <c r="E106" s="401"/>
      <c r="F106" s="401"/>
      <c r="G106" s="401"/>
      <c r="H106" s="401"/>
      <c r="I106" s="401"/>
      <c r="J106" s="401"/>
      <c r="K106" s="401"/>
      <c r="L106" s="401"/>
      <c r="M106" s="401"/>
      <c r="N106" s="401"/>
      <c r="O106" s="401"/>
      <c r="P106" s="401"/>
      <c r="Q106" s="401"/>
      <c r="R106" s="401"/>
      <c r="S106" s="657"/>
      <c r="T106" s="657"/>
      <c r="U106" s="657">
        <f>U104+U107</f>
        <v>114.63068</v>
      </c>
      <c r="V106" s="657">
        <f>V104+V107</f>
        <v>8</v>
      </c>
      <c r="W106" s="402">
        <f t="shared" ref="W106:AF106" si="37">W104+W107</f>
        <v>11</v>
      </c>
      <c r="X106" s="402">
        <f t="shared" si="37"/>
        <v>8</v>
      </c>
      <c r="Y106" s="402">
        <f>Y104+Y107</f>
        <v>49.190989999999992</v>
      </c>
      <c r="Z106" s="402">
        <f t="shared" si="37"/>
        <v>8</v>
      </c>
      <c r="AA106" s="402">
        <f t="shared" si="37"/>
        <v>8</v>
      </c>
      <c r="AB106" s="402">
        <f t="shared" si="37"/>
        <v>8</v>
      </c>
      <c r="AC106" s="402">
        <f t="shared" si="37"/>
        <v>36.9244798</v>
      </c>
      <c r="AD106" s="402">
        <f t="shared" si="37"/>
        <v>9</v>
      </c>
      <c r="AE106" s="402">
        <f t="shared" si="37"/>
        <v>10</v>
      </c>
      <c r="AF106" s="402">
        <f t="shared" si="37"/>
        <v>11</v>
      </c>
      <c r="AG106" s="485"/>
    </row>
    <row r="107" spans="2:33" ht="17.5" customHeight="1" x14ac:dyDescent="0.35">
      <c r="B107" s="382" t="s">
        <v>1870</v>
      </c>
      <c r="C107" s="202"/>
      <c r="D107" s="693"/>
      <c r="E107" s="401"/>
      <c r="F107" s="401"/>
      <c r="G107" s="401"/>
      <c r="H107" s="401"/>
      <c r="I107" s="401"/>
      <c r="J107" s="401"/>
      <c r="K107" s="401"/>
      <c r="L107" s="401"/>
      <c r="M107" s="401"/>
      <c r="N107" s="401"/>
      <c r="O107" s="401"/>
      <c r="P107" s="401"/>
      <c r="Q107" s="401"/>
      <c r="R107" s="401"/>
      <c r="S107" s="657"/>
      <c r="T107" s="657"/>
      <c r="U107" s="657">
        <v>8</v>
      </c>
      <c r="V107" s="657">
        <v>8</v>
      </c>
      <c r="W107" s="402">
        <v>11</v>
      </c>
      <c r="X107" s="402">
        <v>8</v>
      </c>
      <c r="Y107" s="402">
        <v>8</v>
      </c>
      <c r="Z107" s="402">
        <v>8</v>
      </c>
      <c r="AA107" s="402">
        <v>8</v>
      </c>
      <c r="AB107" s="402">
        <v>8</v>
      </c>
      <c r="AC107" s="402">
        <v>8</v>
      </c>
      <c r="AD107" s="402">
        <v>9</v>
      </c>
      <c r="AE107" s="402">
        <v>10</v>
      </c>
      <c r="AF107" s="402">
        <v>11</v>
      </c>
      <c r="AG107" s="485"/>
    </row>
    <row r="108" spans="2:33" ht="39" customHeight="1" x14ac:dyDescent="0.35">
      <c r="B108" s="382" t="s">
        <v>1871</v>
      </c>
      <c r="C108" s="202"/>
      <c r="D108" s="693"/>
      <c r="E108" s="401"/>
      <c r="F108" s="401"/>
      <c r="G108" s="401"/>
      <c r="H108" s="401"/>
      <c r="I108" s="687"/>
      <c r="J108" s="687"/>
      <c r="K108" s="687"/>
      <c r="L108" s="687"/>
      <c r="M108" s="687"/>
      <c r="N108" s="687"/>
      <c r="O108" s="687"/>
      <c r="P108" s="687"/>
      <c r="Q108" s="687"/>
      <c r="R108" s="687"/>
      <c r="S108" s="691"/>
      <c r="T108" s="691"/>
      <c r="U108" s="659">
        <v>8.6999999999999994E-2</v>
      </c>
      <c r="V108" s="661">
        <v>0</v>
      </c>
      <c r="W108" s="692">
        <v>0</v>
      </c>
      <c r="X108" s="692">
        <v>0</v>
      </c>
      <c r="Y108" s="692">
        <v>0.03</v>
      </c>
      <c r="Z108" s="692">
        <v>0</v>
      </c>
      <c r="AA108" s="692">
        <v>0</v>
      </c>
      <c r="AB108" s="692">
        <v>0</v>
      </c>
      <c r="AC108" s="692">
        <v>0.02</v>
      </c>
      <c r="AD108" s="692">
        <v>0</v>
      </c>
      <c r="AE108" s="692">
        <v>0</v>
      </c>
      <c r="AF108" s="692">
        <v>0</v>
      </c>
      <c r="AG108" s="485"/>
    </row>
    <row r="109" spans="2:33" ht="49.75" customHeight="1" x14ac:dyDescent="0.35">
      <c r="B109" s="448" t="s">
        <v>1438</v>
      </c>
      <c r="C109" s="202"/>
      <c r="D109" s="693">
        <f t="shared" ref="D109:T109" si="38">D100-D101</f>
        <v>0</v>
      </c>
      <c r="E109" s="401">
        <f t="shared" si="38"/>
        <v>0</v>
      </c>
      <c r="F109" s="401">
        <f t="shared" si="38"/>
        <v>0</v>
      </c>
      <c r="G109" s="401">
        <f t="shared" si="38"/>
        <v>0</v>
      </c>
      <c r="H109" s="401">
        <f t="shared" si="38"/>
        <v>0</v>
      </c>
      <c r="I109" s="401">
        <f t="shared" si="38"/>
        <v>-5.0235000000002401</v>
      </c>
      <c r="J109" s="401">
        <f t="shared" si="38"/>
        <v>-36.906500000000278</v>
      </c>
      <c r="K109" s="401">
        <f t="shared" si="38"/>
        <v>86.321499999999787</v>
      </c>
      <c r="L109" s="401">
        <f t="shared" si="38"/>
        <v>18.985499999999547</v>
      </c>
      <c r="M109" s="401">
        <f t="shared" si="38"/>
        <v>6.8144999999999527</v>
      </c>
      <c r="N109" s="401">
        <f t="shared" si="38"/>
        <v>-23.256340000000364</v>
      </c>
      <c r="O109" s="401">
        <f t="shared" si="38"/>
        <v>-28.106993333332866</v>
      </c>
      <c r="P109" s="401">
        <f t="shared" si="38"/>
        <v>-48.677833333333183</v>
      </c>
      <c r="Q109" s="401">
        <f t="shared" si="38"/>
        <v>-29.785220000000209</v>
      </c>
      <c r="R109" s="401">
        <f t="shared" si="38"/>
        <v>-28.244220000000269</v>
      </c>
      <c r="S109" s="657">
        <f t="shared" si="38"/>
        <v>-31.321220000000267</v>
      </c>
      <c r="T109" s="657">
        <f t="shared" si="38"/>
        <v>10.495779999999968</v>
      </c>
      <c r="U109" s="657">
        <f>U100-U101</f>
        <v>45.660099999999829</v>
      </c>
      <c r="V109" s="657">
        <f>V100-V101</f>
        <v>48.742099999999937</v>
      </c>
      <c r="W109" s="402">
        <f t="shared" ref="W109:AF109" si="39">V109</f>
        <v>48.742099999999937</v>
      </c>
      <c r="X109" s="402">
        <f t="shared" si="39"/>
        <v>48.742099999999937</v>
      </c>
      <c r="Y109" s="402">
        <f t="shared" si="39"/>
        <v>48.742099999999937</v>
      </c>
      <c r="Z109" s="402">
        <f t="shared" si="39"/>
        <v>48.742099999999937</v>
      </c>
      <c r="AA109" s="402">
        <f t="shared" si="39"/>
        <v>48.742099999999937</v>
      </c>
      <c r="AB109" s="402">
        <f t="shared" si="39"/>
        <v>48.742099999999937</v>
      </c>
      <c r="AC109" s="402">
        <f t="shared" si="39"/>
        <v>48.742099999999937</v>
      </c>
      <c r="AD109" s="402">
        <f t="shared" si="39"/>
        <v>48.742099999999937</v>
      </c>
      <c r="AE109" s="402">
        <f t="shared" si="39"/>
        <v>48.742099999999937</v>
      </c>
      <c r="AF109" s="402">
        <f t="shared" si="39"/>
        <v>48.742099999999937</v>
      </c>
      <c r="AG109" s="485"/>
    </row>
    <row r="110" spans="2:33" ht="29.5" customHeight="1" x14ac:dyDescent="0.35">
      <c r="B110" s="249"/>
      <c r="C110" s="202"/>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2:33" ht="16.75" customHeight="1" x14ac:dyDescent="0.35">
      <c r="B111" s="202"/>
      <c r="C111" s="202"/>
      <c r="S111" s="530"/>
      <c r="T111" s="530"/>
      <c r="U111" s="202"/>
      <c r="V111" s="202"/>
      <c r="W111" s="202"/>
      <c r="X111" s="202"/>
      <c r="Y111" s="202"/>
      <c r="Z111" s="202"/>
      <c r="AA111" s="202"/>
      <c r="AB111" s="202"/>
      <c r="AC111" s="202"/>
    </row>
    <row r="112" spans="2:33" ht="16.75" customHeight="1" x14ac:dyDescent="0.35">
      <c r="B112" s="202"/>
      <c r="C112" s="202"/>
      <c r="S112" s="193"/>
      <c r="T112" s="193"/>
      <c r="U112" s="202"/>
      <c r="V112" s="202"/>
      <c r="W112" s="202"/>
      <c r="X112" s="202"/>
      <c r="Y112" s="202"/>
      <c r="Z112" s="202"/>
      <c r="AA112" s="202"/>
      <c r="AB112" s="202"/>
      <c r="AC112" s="202"/>
    </row>
    <row r="113" spans="2:30" ht="16.75" customHeight="1" x14ac:dyDescent="0.35">
      <c r="B113" s="202"/>
      <c r="C113" s="202"/>
      <c r="S113" s="193"/>
      <c r="T113" s="193"/>
      <c r="U113" s="202"/>
      <c r="V113" s="202"/>
      <c r="W113" s="202"/>
      <c r="X113" s="202"/>
      <c r="Y113" s="202"/>
      <c r="Z113" s="202"/>
      <c r="AA113" s="202"/>
      <c r="AB113" s="202"/>
      <c r="AC113" s="202"/>
    </row>
    <row r="114" spans="2:30" ht="16.75" customHeight="1" x14ac:dyDescent="0.35">
      <c r="B114" s="202"/>
      <c r="C114" s="202"/>
      <c r="S114" s="193"/>
      <c r="T114" s="193"/>
      <c r="U114" s="401"/>
      <c r="V114" s="401"/>
      <c r="W114" s="401"/>
      <c r="X114" s="401"/>
      <c r="Y114" s="401"/>
      <c r="Z114" s="401"/>
      <c r="AA114" s="401"/>
      <c r="AB114" s="401"/>
      <c r="AC114" s="401"/>
      <c r="AD114" s="495"/>
    </row>
    <row r="115" spans="2:30" ht="16.75" customHeight="1" x14ac:dyDescent="0.35">
      <c r="B115" s="437"/>
      <c r="C115" s="202"/>
      <c r="S115" s="193"/>
      <c r="T115" s="193"/>
      <c r="U115" s="193"/>
      <c r="V115" s="193"/>
      <c r="W115" s="193"/>
      <c r="X115" s="193"/>
      <c r="Y115" s="193"/>
      <c r="Z115" s="193"/>
      <c r="AA115" s="193"/>
      <c r="AB115" s="193"/>
      <c r="AC115" s="193"/>
      <c r="AD115" s="495"/>
    </row>
    <row r="116" spans="2:30" ht="16.75" customHeight="1" x14ac:dyDescent="0.35">
      <c r="B116" s="437"/>
      <c r="C116" s="202"/>
      <c r="S116" s="193"/>
      <c r="T116" s="193"/>
      <c r="U116" s="193"/>
      <c r="V116" s="193"/>
      <c r="W116" s="193"/>
      <c r="X116" s="193"/>
      <c r="Y116" s="193"/>
      <c r="Z116" s="193"/>
      <c r="AA116" s="193"/>
      <c r="AB116" s="193"/>
      <c r="AC116" s="193"/>
      <c r="AD116" s="495"/>
    </row>
    <row r="117" spans="2:30" ht="16.75" customHeight="1" x14ac:dyDescent="0.35">
      <c r="B117" s="437"/>
      <c r="C117" s="202"/>
      <c r="S117" s="193"/>
      <c r="T117" s="193"/>
      <c r="U117" s="193"/>
      <c r="V117" s="193"/>
      <c r="W117" s="193"/>
      <c r="X117" s="193"/>
      <c r="Y117" s="193"/>
      <c r="Z117" s="193"/>
      <c r="AA117" s="193"/>
      <c r="AB117" s="193"/>
      <c r="AC117" s="193"/>
      <c r="AD117" s="495"/>
    </row>
    <row r="118" spans="2:30" ht="16.75" customHeight="1" x14ac:dyDescent="0.35">
      <c r="B118" s="202"/>
      <c r="C118" s="202"/>
      <c r="S118" s="202"/>
      <c r="T118" s="202"/>
      <c r="U118" s="401"/>
      <c r="V118" s="401"/>
      <c r="W118" s="401"/>
      <c r="X118" s="401"/>
      <c r="Y118" s="401"/>
      <c r="Z118" s="401"/>
      <c r="AA118" s="401"/>
      <c r="AB118" s="401"/>
      <c r="AC118" s="401"/>
      <c r="AD118" s="495"/>
    </row>
    <row r="119" spans="2:30" ht="16.75" customHeight="1" x14ac:dyDescent="0.35">
      <c r="B119" s="437"/>
      <c r="C119" s="202"/>
      <c r="S119" s="202"/>
      <c r="T119" s="202"/>
      <c r="U119" s="401"/>
      <c r="V119" s="401"/>
      <c r="W119" s="401"/>
      <c r="X119" s="401"/>
      <c r="Y119" s="401"/>
      <c r="Z119" s="401"/>
      <c r="AA119" s="401"/>
      <c r="AB119" s="401"/>
      <c r="AC119" s="401"/>
      <c r="AD119" s="495"/>
    </row>
    <row r="120" spans="2:30" ht="16.75" customHeight="1" x14ac:dyDescent="0.35">
      <c r="B120" s="437"/>
      <c r="C120" s="202"/>
      <c r="S120" s="202"/>
      <c r="T120" s="202"/>
      <c r="U120" s="193"/>
      <c r="V120" s="193"/>
      <c r="W120" s="193"/>
      <c r="X120" s="193"/>
      <c r="Y120" s="193"/>
      <c r="Z120" s="193"/>
      <c r="AA120" s="193"/>
      <c r="AB120" s="193"/>
      <c r="AC120" s="193"/>
      <c r="AD120" s="495"/>
    </row>
    <row r="121" spans="2:30" ht="16.75" customHeight="1" x14ac:dyDescent="0.35">
      <c r="B121" s="437"/>
      <c r="C121" s="202"/>
      <c r="S121" s="202"/>
      <c r="T121" s="202"/>
      <c r="U121" s="660"/>
      <c r="V121" s="660"/>
      <c r="W121" s="660"/>
      <c r="X121" s="660"/>
      <c r="Y121" s="660"/>
      <c r="Z121" s="660"/>
      <c r="AA121" s="660"/>
      <c r="AB121" s="660"/>
      <c r="AC121" s="660"/>
      <c r="AD121" s="495"/>
    </row>
    <row r="122" spans="2:30" ht="16.75" customHeight="1" x14ac:dyDescent="0.35">
      <c r="B122" s="202"/>
      <c r="C122" s="202"/>
      <c r="S122" s="193"/>
      <c r="T122" s="193"/>
      <c r="U122" s="193"/>
      <c r="V122" s="193"/>
      <c r="W122" s="193"/>
      <c r="X122" s="193"/>
      <c r="Y122" s="193"/>
      <c r="Z122" s="193"/>
      <c r="AA122" s="193"/>
      <c r="AB122" s="193"/>
      <c r="AC122" s="193"/>
      <c r="AD122" s="495"/>
    </row>
    <row r="123" spans="2:30" ht="22.5" customHeight="1" x14ac:dyDescent="0.35">
      <c r="B123" s="249"/>
      <c r="C123" s="202"/>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2:30" ht="22.5" customHeight="1" x14ac:dyDescent="0.35">
      <c r="B124" s="249"/>
      <c r="C124" s="202"/>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2:30" ht="38.5" customHeight="1" x14ac:dyDescent="0.35">
      <c r="B125" s="461"/>
      <c r="C125" s="695">
        <v>2022</v>
      </c>
      <c r="D125" s="696">
        <v>2023</v>
      </c>
      <c r="E125" s="696">
        <v>2024</v>
      </c>
      <c r="F125" s="697">
        <v>2025</v>
      </c>
      <c r="G125" s="193">
        <v>2026</v>
      </c>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2:30" ht="38.5" customHeight="1" x14ac:dyDescent="0.35">
      <c r="B126" s="504" t="s">
        <v>1864</v>
      </c>
      <c r="C126" s="232">
        <v>1212.4870000000001</v>
      </c>
      <c r="D126" s="232">
        <v>1344.7529999999999</v>
      </c>
      <c r="E126" s="232">
        <v>1456.7</v>
      </c>
      <c r="F126" s="232">
        <v>1553.5309999999999</v>
      </c>
      <c r="G126" s="232">
        <v>1643.9870000000001</v>
      </c>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2:30" ht="69" customHeight="1" x14ac:dyDescent="0.35">
      <c r="B127" s="249"/>
      <c r="C127" s="202"/>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2:30" x14ac:dyDescent="0.35">
      <c r="B128" s="75" t="s">
        <v>1437</v>
      </c>
      <c r="D128" s="202"/>
      <c r="E128" s="202"/>
      <c r="F128" s="202"/>
      <c r="G128" s="202"/>
      <c r="H128" s="202"/>
      <c r="I128" s="202"/>
      <c r="J128" s="202"/>
      <c r="K128" s="202"/>
      <c r="L128" s="202"/>
      <c r="M128" s="193"/>
      <c r="N128" s="193"/>
      <c r="O128" s="193"/>
      <c r="P128" s="202"/>
    </row>
    <row r="129" spans="2:18" x14ac:dyDescent="0.35">
      <c r="B129" s="542" t="s">
        <v>812</v>
      </c>
      <c r="C129" s="707"/>
      <c r="D129" s="710">
        <v>2021</v>
      </c>
      <c r="E129" s="710">
        <v>2022</v>
      </c>
      <c r="F129" s="710">
        <v>2023</v>
      </c>
      <c r="G129" s="711">
        <v>2024</v>
      </c>
      <c r="R129" s="560"/>
    </row>
    <row r="130" spans="2:18" x14ac:dyDescent="0.35">
      <c r="B130" s="609" t="s">
        <v>813</v>
      </c>
      <c r="C130" s="717"/>
      <c r="D130" s="704">
        <v>3605.8330000000001</v>
      </c>
      <c r="E130" s="704">
        <v>2900</v>
      </c>
      <c r="F130" s="704">
        <f>E130*1.02</f>
        <v>2958</v>
      </c>
      <c r="G130" s="705">
        <f>F130*1.06</f>
        <v>3135.48</v>
      </c>
    </row>
    <row r="131" spans="2:18" x14ac:dyDescent="0.35">
      <c r="B131" s="609" t="s">
        <v>816</v>
      </c>
      <c r="C131" s="706"/>
      <c r="D131" s="699">
        <f>AVERAGE(Medicare!L10:O10)</f>
        <v>865</v>
      </c>
      <c r="E131" s="699">
        <f>AVERAGE(Medicare!P10:S10)</f>
        <v>910.02500000000009</v>
      </c>
      <c r="F131" s="699">
        <f>AVERAGE(Medicare!T10:W10)</f>
        <v>959.89061183771048</v>
      </c>
      <c r="G131" s="715">
        <f>AVERAGE(Medicare!X10:AA10)</f>
        <v>1030.0753230750706</v>
      </c>
    </row>
    <row r="132" spans="2:18" ht="13.4" customHeight="1" x14ac:dyDescent="0.35">
      <c r="B132" s="609" t="s">
        <v>814</v>
      </c>
      <c r="C132" s="706"/>
      <c r="D132" s="699">
        <f>D130-D131</f>
        <v>2740.8330000000001</v>
      </c>
      <c r="E132" s="699">
        <f t="shared" ref="E132:G132" si="40">E130-E131</f>
        <v>1989.9749999999999</v>
      </c>
      <c r="F132" s="699">
        <f t="shared" si="40"/>
        <v>1998.1093881622896</v>
      </c>
      <c r="G132" s="715">
        <f t="shared" si="40"/>
        <v>2105.4046769249294</v>
      </c>
    </row>
    <row r="133" spans="2:18" x14ac:dyDescent="0.35">
      <c r="B133" s="609" t="s">
        <v>817</v>
      </c>
      <c r="C133" s="706"/>
      <c r="D133" s="699">
        <f>AVERAGE(L12:O12)</f>
        <v>3629.5749999999998</v>
      </c>
      <c r="E133" s="699">
        <f>AVERAGE(P12:S12)</f>
        <v>2871.75</v>
      </c>
      <c r="F133" s="699">
        <f>AVERAGE(T12:W12)</f>
        <v>2969.7745939805677</v>
      </c>
      <c r="G133" s="715">
        <f>AVERAGE(X12:AA12)</f>
        <v>3184.6652914214997</v>
      </c>
    </row>
    <row r="134" spans="2:18" x14ac:dyDescent="0.35">
      <c r="B134" s="609" t="s">
        <v>816</v>
      </c>
      <c r="C134" s="706"/>
      <c r="D134" s="699">
        <f>AVERAGE(Medicare!L10:O10)</f>
        <v>865</v>
      </c>
      <c r="E134" s="699">
        <f>AVERAGE(Medicare!P10:S10)</f>
        <v>910.02500000000009</v>
      </c>
      <c r="F134" s="699">
        <f>AVERAGE(Medicare!T10:W10)</f>
        <v>959.89061183771048</v>
      </c>
      <c r="G134" s="715">
        <f>AVERAGE(Medicare!X10:AA10)</f>
        <v>1030.0753230750706</v>
      </c>
    </row>
    <row r="135" spans="2:18" x14ac:dyDescent="0.35">
      <c r="B135" s="609" t="s">
        <v>536</v>
      </c>
      <c r="C135" s="706"/>
      <c r="D135" s="699">
        <f>AVERAGE(L39:O39)</f>
        <v>1586.0822500000002</v>
      </c>
      <c r="E135" s="699">
        <f>AVERAGE(P39:S39)</f>
        <v>1672.3850400000001</v>
      </c>
      <c r="F135" s="699">
        <f>AVERAGE(T39:W39)</f>
        <v>1798.3387300000002</v>
      </c>
      <c r="G135" s="715">
        <f>AVERAGE(X39:AA39)</f>
        <v>1884.9964397750005</v>
      </c>
    </row>
    <row r="136" spans="2:18" ht="27.65" customHeight="1" x14ac:dyDescent="0.35">
      <c r="B136" s="708" t="s">
        <v>815</v>
      </c>
      <c r="C136" s="321"/>
      <c r="D136" s="599"/>
      <c r="E136" s="712">
        <v>1.157</v>
      </c>
      <c r="F136" s="712">
        <v>1.0109999999999999</v>
      </c>
      <c r="G136" s="716">
        <v>1.0529999999999999</v>
      </c>
    </row>
    <row r="137" spans="2:18" x14ac:dyDescent="0.35">
      <c r="B137" s="202" t="s">
        <v>818</v>
      </c>
      <c r="D137" s="713">
        <f>D133-D130</f>
        <v>23.741999999999734</v>
      </c>
      <c r="E137" s="713">
        <f>E133-E130</f>
        <v>-28.25</v>
      </c>
      <c r="F137" s="713">
        <f>F133-F130</f>
        <v>11.774593980567715</v>
      </c>
      <c r="G137" s="713">
        <f t="shared" ref="G137" si="41">G133-G130</f>
        <v>49.185291421499642</v>
      </c>
    </row>
    <row r="139" spans="2:18" x14ac:dyDescent="0.35">
      <c r="B139" t="s">
        <v>813</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M1:Y37"/>
  <sheetViews>
    <sheetView topLeftCell="M1" workbookViewId="0">
      <selection activeCell="R27" sqref="R27"/>
    </sheetView>
  </sheetViews>
  <sheetFormatPr defaultColWidth="10.90625" defaultRowHeight="14.5" x14ac:dyDescent="0.35"/>
  <sheetData>
    <row r="1" spans="13:24" x14ac:dyDescent="0.35">
      <c r="M1" s="160" t="s">
        <v>1972</v>
      </c>
      <c r="S1" s="160" t="s">
        <v>1973</v>
      </c>
    </row>
    <row r="2" spans="13:24" x14ac:dyDescent="0.35">
      <c r="M2" t="s">
        <v>1974</v>
      </c>
      <c r="Q2">
        <v>2952.3</v>
      </c>
      <c r="S2" t="s">
        <v>1974</v>
      </c>
      <c r="X2">
        <v>2952.3</v>
      </c>
    </row>
    <row r="3" spans="13:24" x14ac:dyDescent="0.35">
      <c r="M3" t="s">
        <v>1975</v>
      </c>
      <c r="P3" t="s">
        <v>1976</v>
      </c>
      <c r="Q3">
        <v>23.1</v>
      </c>
      <c r="S3" t="s">
        <v>1975</v>
      </c>
      <c r="W3" t="s">
        <v>1976</v>
      </c>
      <c r="X3">
        <v>23.1</v>
      </c>
    </row>
    <row r="4" spans="13:24" x14ac:dyDescent="0.35">
      <c r="M4" t="s">
        <v>55</v>
      </c>
      <c r="P4" t="s">
        <v>1976</v>
      </c>
      <c r="Q4">
        <v>967.3</v>
      </c>
      <c r="S4" t="s">
        <v>55</v>
      </c>
      <c r="W4" t="s">
        <v>1976</v>
      </c>
      <c r="X4">
        <v>967.3</v>
      </c>
    </row>
    <row r="5" spans="13:24" x14ac:dyDescent="0.35">
      <c r="M5" t="s">
        <v>56</v>
      </c>
      <c r="P5" t="s">
        <v>1976</v>
      </c>
      <c r="Q5">
        <v>0</v>
      </c>
      <c r="S5" t="s">
        <v>56</v>
      </c>
      <c r="W5" t="s">
        <v>1976</v>
      </c>
      <c r="X5">
        <v>0</v>
      </c>
    </row>
    <row r="6" spans="13:24" x14ac:dyDescent="0.35">
      <c r="M6" t="s">
        <v>1977</v>
      </c>
      <c r="P6" t="s">
        <v>1976</v>
      </c>
      <c r="Q6">
        <v>0</v>
      </c>
      <c r="S6" t="s">
        <v>1977</v>
      </c>
      <c r="W6" t="s">
        <v>1976</v>
      </c>
      <c r="X6">
        <v>0</v>
      </c>
    </row>
    <row r="7" spans="13:24" x14ac:dyDescent="0.35">
      <c r="Q7">
        <f>Q2-SUM(Q3:Q6)</f>
        <v>1961.9</v>
      </c>
      <c r="X7">
        <f>X2-SUM(X3:X6)</f>
        <v>1961.9</v>
      </c>
    </row>
    <row r="8" spans="13:24" x14ac:dyDescent="0.35">
      <c r="S8" t="s">
        <v>1978</v>
      </c>
      <c r="W8" t="s">
        <v>1976</v>
      </c>
      <c r="X8">
        <v>34</v>
      </c>
    </row>
    <row r="9" spans="13:24" x14ac:dyDescent="0.35">
      <c r="S9" t="s">
        <v>1978</v>
      </c>
      <c r="W9" t="s">
        <v>1979</v>
      </c>
      <c r="X9">
        <v>34</v>
      </c>
    </row>
    <row r="10" spans="13:24" x14ac:dyDescent="0.35">
      <c r="S10" t="s">
        <v>1980</v>
      </c>
      <c r="W10" t="s">
        <v>1976</v>
      </c>
      <c r="X10">
        <v>37.700000000000003</v>
      </c>
    </row>
    <row r="11" spans="13:24" x14ac:dyDescent="0.35">
      <c r="S11" t="s">
        <v>1980</v>
      </c>
      <c r="W11" t="s">
        <v>1979</v>
      </c>
      <c r="X11">
        <v>37.700000000000003</v>
      </c>
    </row>
    <row r="12" spans="13:24" x14ac:dyDescent="0.35">
      <c r="S12" t="s">
        <v>471</v>
      </c>
      <c r="W12" t="s">
        <v>1976</v>
      </c>
      <c r="X12">
        <v>0</v>
      </c>
    </row>
    <row r="13" spans="13:24" x14ac:dyDescent="0.35">
      <c r="S13" t="s">
        <v>471</v>
      </c>
      <c r="W13" t="s">
        <v>1979</v>
      </c>
      <c r="X13">
        <v>0</v>
      </c>
    </row>
    <row r="14" spans="13:24" x14ac:dyDescent="0.35">
      <c r="S14" t="s">
        <v>1982</v>
      </c>
      <c r="W14" t="s">
        <v>1976</v>
      </c>
      <c r="X14">
        <v>21.9</v>
      </c>
    </row>
    <row r="15" spans="13:24" x14ac:dyDescent="0.35">
      <c r="S15" t="s">
        <v>1982</v>
      </c>
      <c r="W15" t="s">
        <v>1979</v>
      </c>
      <c r="X15">
        <f>X8-X9+X10-X11+X12-X13+X14</f>
        <v>21.9</v>
      </c>
    </row>
    <row r="16" spans="13:24" x14ac:dyDescent="0.35">
      <c r="X16">
        <f>X7-X8+X9-X10+X11-X12+X13-X14+X15</f>
        <v>1961.9</v>
      </c>
    </row>
    <row r="17" spans="13:25" x14ac:dyDescent="0.35">
      <c r="S17" t="s">
        <v>1981</v>
      </c>
      <c r="W17" t="s">
        <v>1976</v>
      </c>
      <c r="X17">
        <v>12</v>
      </c>
    </row>
    <row r="18" spans="13:25" x14ac:dyDescent="0.35">
      <c r="S18" t="s">
        <v>218</v>
      </c>
      <c r="W18" t="s">
        <v>1976</v>
      </c>
      <c r="X18">
        <v>1.4</v>
      </c>
    </row>
    <row r="19" spans="13:25" x14ac:dyDescent="0.35">
      <c r="X19">
        <f>X16-X17-X18</f>
        <v>1948.5</v>
      </c>
    </row>
    <row r="21" spans="13:25" x14ac:dyDescent="0.35">
      <c r="M21" s="160" t="s">
        <v>1983</v>
      </c>
    </row>
    <row r="22" spans="13:25" x14ac:dyDescent="0.35">
      <c r="M22" s="723" t="s">
        <v>123</v>
      </c>
      <c r="N22" s="422"/>
      <c r="O22" s="422"/>
      <c r="P22" s="422"/>
      <c r="Q22" s="422"/>
      <c r="R22" s="422"/>
      <c r="S22" s="422"/>
      <c r="T22" s="422"/>
      <c r="U22" s="422"/>
      <c r="V22" s="422"/>
      <c r="W22" s="424"/>
    </row>
    <row r="23" spans="13:25" x14ac:dyDescent="0.35">
      <c r="M23" s="724" t="s">
        <v>1992</v>
      </c>
      <c r="W23" s="425"/>
    </row>
    <row r="24" spans="13:25" x14ac:dyDescent="0.35">
      <c r="M24" s="724" t="s">
        <v>1991</v>
      </c>
      <c r="N24" s="725"/>
      <c r="O24" s="725"/>
      <c r="P24" s="725"/>
      <c r="Q24" s="725"/>
      <c r="R24" s="725"/>
      <c r="S24" s="725"/>
      <c r="T24" s="725"/>
      <c r="U24" s="725"/>
      <c r="V24" s="725"/>
      <c r="W24" s="726"/>
      <c r="X24" s="725"/>
      <c r="Y24" s="725"/>
    </row>
    <row r="25" spans="13:25" x14ac:dyDescent="0.35">
      <c r="M25" s="727" t="s">
        <v>203</v>
      </c>
      <c r="W25" s="425"/>
    </row>
    <row r="26" spans="13:25" x14ac:dyDescent="0.35">
      <c r="M26" s="727" t="s">
        <v>205</v>
      </c>
      <c r="W26" s="425"/>
    </row>
    <row r="27" spans="13:25" x14ac:dyDescent="0.35">
      <c r="M27" s="727" t="s">
        <v>56</v>
      </c>
      <c r="W27" s="425"/>
    </row>
    <row r="28" spans="13:25" x14ac:dyDescent="0.35">
      <c r="M28" s="727" t="s">
        <v>214</v>
      </c>
      <c r="W28" s="425"/>
    </row>
    <row r="29" spans="13:25" x14ac:dyDescent="0.35">
      <c r="M29" s="727" t="s">
        <v>1984</v>
      </c>
      <c r="W29" s="425"/>
    </row>
    <row r="30" spans="13:25" x14ac:dyDescent="0.35">
      <c r="M30" s="728" t="s">
        <v>1985</v>
      </c>
      <c r="N30" s="423"/>
      <c r="O30" s="423"/>
      <c r="P30" s="423"/>
      <c r="Q30" s="423"/>
      <c r="R30" s="423"/>
      <c r="S30" s="423"/>
      <c r="T30" s="423"/>
      <c r="U30" s="423"/>
      <c r="V30" s="423"/>
      <c r="W30" s="426"/>
      <c r="X30" t="s">
        <v>1986</v>
      </c>
    </row>
    <row r="31" spans="13:25" x14ac:dyDescent="0.35">
      <c r="M31" s="729" t="s">
        <v>1981</v>
      </c>
      <c r="N31" s="422"/>
      <c r="O31" s="422"/>
      <c r="P31" s="422"/>
      <c r="Q31" s="422"/>
      <c r="R31" s="422"/>
      <c r="S31" s="422"/>
      <c r="T31" s="422"/>
      <c r="U31" s="422"/>
      <c r="V31" s="422"/>
      <c r="W31" s="424"/>
    </row>
    <row r="32" spans="13:25" x14ac:dyDescent="0.35">
      <c r="M32" s="728" t="s">
        <v>218</v>
      </c>
      <c r="N32" s="423"/>
      <c r="O32" s="423"/>
      <c r="P32" s="423"/>
      <c r="Q32" s="423"/>
      <c r="R32" s="423"/>
      <c r="S32" s="423"/>
      <c r="T32" s="423"/>
      <c r="U32" s="423"/>
      <c r="V32" s="423"/>
      <c r="W32" s="426"/>
      <c r="X32" t="s">
        <v>1987</v>
      </c>
    </row>
    <row r="33" spans="13:24" x14ac:dyDescent="0.35">
      <c r="M33" s="729" t="s">
        <v>135</v>
      </c>
      <c r="N33" s="422"/>
      <c r="O33" s="422"/>
      <c r="P33" s="422"/>
      <c r="Q33" s="422"/>
      <c r="R33" s="422"/>
      <c r="S33" s="422"/>
      <c r="T33" s="422"/>
      <c r="U33" s="422"/>
      <c r="V33" s="422"/>
      <c r="W33" s="424"/>
    </row>
    <row r="34" spans="13:24" x14ac:dyDescent="0.35">
      <c r="M34" s="727" t="s">
        <v>136</v>
      </c>
      <c r="W34" s="425"/>
    </row>
    <row r="35" spans="13:24" x14ac:dyDescent="0.35">
      <c r="M35" s="727" t="s">
        <v>1988</v>
      </c>
      <c r="W35" s="425"/>
    </row>
    <row r="36" spans="13:24" x14ac:dyDescent="0.35">
      <c r="M36" s="727" t="s">
        <v>129</v>
      </c>
      <c r="W36" s="425"/>
    </row>
    <row r="37" spans="13:24" x14ac:dyDescent="0.35">
      <c r="M37" s="728" t="s">
        <v>1989</v>
      </c>
      <c r="N37" s="423"/>
      <c r="O37" s="423"/>
      <c r="P37" s="423"/>
      <c r="Q37" s="423"/>
      <c r="R37" s="423"/>
      <c r="S37" s="423"/>
      <c r="T37" s="423"/>
      <c r="U37" s="423"/>
      <c r="V37" s="423"/>
      <c r="W37" s="426"/>
      <c r="X37" t="s">
        <v>1990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AL14"/>
  <sheetViews>
    <sheetView topLeftCell="A7" workbookViewId="0">
      <selection activeCell="AJ14" sqref="AJ14"/>
    </sheetView>
  </sheetViews>
  <sheetFormatPr defaultColWidth="10.90625" defaultRowHeight="14.5" x14ac:dyDescent="0.35"/>
  <sheetData>
    <row r="1" spans="2:38" x14ac:dyDescent="0.35">
      <c r="B1" s="1314" t="s">
        <v>55</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row>
    <row r="2" spans="2:38" ht="14.25" customHeight="1" x14ac:dyDescent="0.35">
      <c r="B2" s="1386" t="s">
        <v>1994</v>
      </c>
      <c r="C2" s="1386"/>
      <c r="D2" s="1386"/>
      <c r="E2" s="1386"/>
      <c r="F2" s="1386"/>
      <c r="G2" s="1386"/>
      <c r="H2" s="1386"/>
      <c r="I2" s="1386"/>
      <c r="J2" s="1386"/>
      <c r="K2" s="1386"/>
      <c r="L2" s="1386"/>
      <c r="M2" s="1386"/>
      <c r="N2" s="1386"/>
      <c r="O2" s="1386"/>
      <c r="P2" s="1386"/>
      <c r="Q2" s="1386"/>
      <c r="R2" s="1386"/>
      <c r="S2" s="579"/>
      <c r="T2" s="1405"/>
      <c r="U2" s="1405"/>
      <c r="V2" s="1405"/>
      <c r="W2" s="1405"/>
      <c r="X2" s="1405"/>
      <c r="Y2" s="1405"/>
      <c r="Z2" s="1405"/>
      <c r="AA2" s="1405"/>
      <c r="AB2" s="1405"/>
      <c r="AC2" s="1405"/>
    </row>
    <row r="3" spans="2:38" x14ac:dyDescent="0.35">
      <c r="B3" s="1386"/>
      <c r="C3" s="1386"/>
      <c r="D3" s="1386"/>
      <c r="E3" s="1386"/>
      <c r="F3" s="1386"/>
      <c r="G3" s="1386"/>
      <c r="H3" s="1386"/>
      <c r="I3" s="1386"/>
      <c r="J3" s="1386"/>
      <c r="K3" s="1386"/>
      <c r="L3" s="1386"/>
      <c r="M3" s="1386"/>
      <c r="N3" s="1386"/>
      <c r="O3" s="1386"/>
      <c r="P3" s="1386"/>
      <c r="Q3" s="1386"/>
      <c r="R3" s="1386"/>
      <c r="S3" s="579"/>
      <c r="T3" s="1405"/>
      <c r="U3" s="1405"/>
      <c r="V3" s="1405"/>
      <c r="W3" s="1405"/>
      <c r="X3" s="1405"/>
      <c r="Y3" s="1405"/>
      <c r="Z3" s="1405"/>
      <c r="AA3" s="1405"/>
      <c r="AB3" s="1405"/>
      <c r="AC3" s="1405"/>
    </row>
    <row r="4" spans="2:38" ht="21" customHeight="1" x14ac:dyDescent="0.35">
      <c r="B4" s="1386"/>
      <c r="C4" s="1386"/>
      <c r="D4" s="1386"/>
      <c r="E4" s="1386"/>
      <c r="F4" s="1386"/>
      <c r="G4" s="1386"/>
      <c r="H4" s="1386"/>
      <c r="I4" s="1386"/>
      <c r="J4" s="1386"/>
      <c r="K4" s="1386"/>
      <c r="L4" s="1386"/>
      <c r="M4" s="1386"/>
      <c r="N4" s="1386"/>
      <c r="O4" s="1386"/>
      <c r="P4" s="1386"/>
      <c r="Q4" s="1386"/>
      <c r="R4" s="1386"/>
      <c r="S4" s="579"/>
      <c r="T4" s="1405"/>
      <c r="U4" s="1405"/>
      <c r="V4" s="1405"/>
      <c r="W4" s="1405"/>
      <c r="X4" s="1405"/>
      <c r="Y4" s="1405"/>
      <c r="Z4" s="1405"/>
      <c r="AA4" s="1405"/>
      <c r="AB4" s="1405"/>
      <c r="AC4" s="1405"/>
    </row>
    <row r="6" spans="2:38" x14ac:dyDescent="0.35">
      <c r="B6" s="490" t="s">
        <v>333</v>
      </c>
    </row>
    <row r="7" spans="2:38" ht="14.9" customHeight="1" x14ac:dyDescent="0.35">
      <c r="B7" s="1319" t="s">
        <v>1995</v>
      </c>
      <c r="C7" s="1320"/>
      <c r="D7" s="1323" t="s">
        <v>280</v>
      </c>
      <c r="E7" s="1335"/>
      <c r="F7" s="1335"/>
      <c r="G7" s="1335"/>
      <c r="H7" s="1335"/>
      <c r="I7" s="1335"/>
      <c r="J7" s="1335"/>
      <c r="K7" s="1335"/>
      <c r="L7" s="1335"/>
      <c r="M7" s="1335"/>
      <c r="N7" s="1335"/>
      <c r="O7" s="1335"/>
      <c r="P7" s="1335"/>
      <c r="Q7" s="1335"/>
      <c r="R7" s="1335"/>
      <c r="S7" s="1335"/>
      <c r="T7" s="1335"/>
      <c r="U7" s="1336"/>
      <c r="V7" s="1322"/>
      <c r="W7" s="1361" t="s">
        <v>281</v>
      </c>
      <c r="X7" s="1362"/>
      <c r="Y7" s="1362"/>
      <c r="Z7" s="1362"/>
      <c r="AA7" s="1362"/>
      <c r="AB7" s="1362"/>
      <c r="AC7" s="1362"/>
      <c r="AD7" s="1362"/>
      <c r="AE7" s="1362"/>
      <c r="AF7" s="1362"/>
      <c r="AG7" s="1362"/>
    </row>
    <row r="8" spans="2:38" x14ac:dyDescent="0.35">
      <c r="B8" s="1321"/>
      <c r="C8" s="1322"/>
      <c r="D8" s="142">
        <v>2018</v>
      </c>
      <c r="E8" s="1310">
        <v>2019</v>
      </c>
      <c r="F8" s="1328"/>
      <c r="G8" s="1328"/>
      <c r="H8" s="1329"/>
      <c r="I8" s="1310">
        <v>2020</v>
      </c>
      <c r="J8" s="1328"/>
      <c r="K8" s="1328"/>
      <c r="L8" s="1328"/>
      <c r="M8" s="1310">
        <v>2021</v>
      </c>
      <c r="N8" s="1328"/>
      <c r="O8" s="1328"/>
      <c r="P8" s="1311"/>
      <c r="Q8" s="1310">
        <v>2022</v>
      </c>
      <c r="R8" s="1311"/>
      <c r="S8" s="1311"/>
      <c r="T8" s="1311"/>
      <c r="U8" s="201"/>
      <c r="V8" s="256">
        <v>2023</v>
      </c>
      <c r="W8" s="258"/>
      <c r="X8" s="226"/>
      <c r="Y8" s="1326">
        <v>2024</v>
      </c>
      <c r="Z8" s="1337"/>
      <c r="AA8" s="1337"/>
      <c r="AB8" s="1327"/>
      <c r="AC8" s="1325">
        <v>2025</v>
      </c>
      <c r="AD8" s="1337"/>
      <c r="AE8" s="1337"/>
      <c r="AF8" s="1327"/>
      <c r="AG8" s="475">
        <v>2026</v>
      </c>
    </row>
    <row r="9" spans="2:38" x14ac:dyDescent="0.35">
      <c r="B9" s="1323"/>
      <c r="C9" s="1324"/>
      <c r="D9" s="149" t="s">
        <v>282</v>
      </c>
      <c r="E9" s="149" t="s">
        <v>283</v>
      </c>
      <c r="F9" s="140" t="s">
        <v>284</v>
      </c>
      <c r="G9" s="140" t="s">
        <v>238</v>
      </c>
      <c r="H9" s="146" t="s">
        <v>282</v>
      </c>
      <c r="I9" s="140" t="s">
        <v>283</v>
      </c>
      <c r="J9" s="140" t="s">
        <v>284</v>
      </c>
      <c r="K9" s="140" t="s">
        <v>238</v>
      </c>
      <c r="L9" s="140" t="s">
        <v>282</v>
      </c>
      <c r="M9" s="149" t="s">
        <v>283</v>
      </c>
      <c r="N9" s="140" t="s">
        <v>284</v>
      </c>
      <c r="O9" s="140" t="s">
        <v>238</v>
      </c>
      <c r="P9" s="140" t="s">
        <v>282</v>
      </c>
      <c r="Q9" s="149" t="s">
        <v>283</v>
      </c>
      <c r="R9" s="140" t="s">
        <v>284</v>
      </c>
      <c r="S9" s="140" t="s">
        <v>238</v>
      </c>
      <c r="T9" s="140" t="s">
        <v>282</v>
      </c>
      <c r="U9" s="252" t="s">
        <v>283</v>
      </c>
      <c r="V9" s="253" t="s">
        <v>284</v>
      </c>
      <c r="W9" s="236" t="s">
        <v>238</v>
      </c>
      <c r="X9" s="237" t="s">
        <v>282</v>
      </c>
      <c r="Y9" s="236" t="s">
        <v>283</v>
      </c>
      <c r="Z9" s="233" t="s">
        <v>284</v>
      </c>
      <c r="AA9" s="236" t="s">
        <v>238</v>
      </c>
      <c r="AB9" s="236" t="s">
        <v>282</v>
      </c>
      <c r="AC9" s="235" t="s">
        <v>283</v>
      </c>
      <c r="AD9" s="233" t="s">
        <v>284</v>
      </c>
      <c r="AE9" s="236" t="s">
        <v>238</v>
      </c>
      <c r="AF9" s="236" t="s">
        <v>282</v>
      </c>
      <c r="AG9" s="235" t="s">
        <v>283</v>
      </c>
    </row>
    <row r="10" spans="2:38" x14ac:dyDescent="0.35">
      <c r="S10" s="731" t="s">
        <v>184</v>
      </c>
      <c r="T10" s="731" t="s">
        <v>185</v>
      </c>
      <c r="U10" s="731" t="s">
        <v>186</v>
      </c>
      <c r="V10" s="731" t="s">
        <v>187</v>
      </c>
      <c r="W10" s="731" t="s">
        <v>188</v>
      </c>
      <c r="X10" s="731" t="s">
        <v>189</v>
      </c>
      <c r="Y10" s="731" t="s">
        <v>190</v>
      </c>
      <c r="Z10" s="731" t="s">
        <v>191</v>
      </c>
      <c r="AA10" s="731" t="s">
        <v>175</v>
      </c>
      <c r="AB10" s="731" t="s">
        <v>176</v>
      </c>
      <c r="AC10" s="731" t="s">
        <v>177</v>
      </c>
      <c r="AD10" s="731" t="s">
        <v>769</v>
      </c>
      <c r="AE10" s="731" t="s">
        <v>770</v>
      </c>
      <c r="AF10" s="731" t="s">
        <v>771</v>
      </c>
      <c r="AG10" s="731" t="s">
        <v>1163</v>
      </c>
      <c r="AH10" s="731" t="s">
        <v>1164</v>
      </c>
    </row>
    <row r="11" spans="2:38" x14ac:dyDescent="0.35">
      <c r="S11" s="730"/>
      <c r="T11" s="730"/>
      <c r="U11" s="730"/>
      <c r="V11" s="730"/>
      <c r="W11" s="730"/>
      <c r="X11" s="730"/>
      <c r="Y11" s="730"/>
      <c r="Z11" s="730"/>
      <c r="AA11" s="730"/>
      <c r="AB11" s="730"/>
      <c r="AC11" s="730"/>
      <c r="AD11" s="730"/>
      <c r="AE11" s="730"/>
      <c r="AF11" s="730"/>
      <c r="AG11" s="730"/>
      <c r="AH11" s="730"/>
    </row>
    <row r="12" spans="2:38" x14ac:dyDescent="0.35">
      <c r="B12" s="730" t="s">
        <v>1952</v>
      </c>
      <c r="S12" s="730">
        <v>11.428571428571429</v>
      </c>
      <c r="T12" s="730">
        <v>13</v>
      </c>
      <c r="U12" s="730">
        <v>33</v>
      </c>
      <c r="V12" s="730">
        <v>60</v>
      </c>
      <c r="W12" s="730">
        <v>88</v>
      </c>
      <c r="X12" s="730">
        <v>106</v>
      </c>
      <c r="Y12" s="730">
        <v>114.28571428571429</v>
      </c>
      <c r="Z12" s="730">
        <v>112</v>
      </c>
      <c r="AA12" s="730">
        <v>101</v>
      </c>
      <c r="AB12" s="730">
        <v>90</v>
      </c>
      <c r="AC12" s="730">
        <v>52</v>
      </c>
      <c r="AD12" s="730">
        <v>28</v>
      </c>
      <c r="AE12" s="730">
        <v>28.571428571428573</v>
      </c>
      <c r="AF12" s="730">
        <v>28.571428571428573</v>
      </c>
      <c r="AG12" s="730">
        <v>28.571428571428573</v>
      </c>
      <c r="AH12" s="730">
        <v>28.571428571428573</v>
      </c>
      <c r="AI12">
        <v>28.571428571428573</v>
      </c>
      <c r="AJ12">
        <v>28.571428571428573</v>
      </c>
      <c r="AK12">
        <v>28.571428571428573</v>
      </c>
      <c r="AL12">
        <v>28.571428571428573</v>
      </c>
    </row>
    <row r="13" spans="2:38" x14ac:dyDescent="0.35">
      <c r="B13" s="730" t="s">
        <v>1953</v>
      </c>
      <c r="S13" s="732">
        <f>Deflators!S61</f>
        <v>1.2372660206226285</v>
      </c>
      <c r="T13" s="732">
        <f>Deflators!T61</f>
        <v>1.248682720244251</v>
      </c>
      <c r="U13" s="732">
        <f>Deflators!U61</f>
        <v>1.2615323491280164</v>
      </c>
      <c r="V13" s="732">
        <f>Deflators!V61</f>
        <v>1.2711595804574931</v>
      </c>
      <c r="W13" s="732">
        <f>Deflators!W61</f>
        <v>1.2805988589197217</v>
      </c>
      <c r="X13" s="732">
        <f>Deflators!X61</f>
        <v>1.2903026473835131</v>
      </c>
      <c r="Y13" s="732">
        <f>Deflators!Y61</f>
        <v>1.2992703261336995</v>
      </c>
      <c r="Z13" s="732">
        <f>Deflators!Z61</f>
        <v>1.3072384685165053</v>
      </c>
      <c r="AA13" s="732">
        <f>Deflators!AA61</f>
        <v>1.3154269306958029</v>
      </c>
      <c r="AB13" s="732">
        <f>Deflators!AB61</f>
        <v>1.3233344552591992</v>
      </c>
      <c r="AC13" s="732">
        <f>Deflators!AC61</f>
        <v>1.3308984310938612</v>
      </c>
      <c r="AD13" s="732">
        <f>Deflators!AD61</f>
        <v>1.3383543012580754</v>
      </c>
      <c r="AE13" s="732">
        <f>Deflators!AE61</f>
        <v>1.3457221150918501</v>
      </c>
      <c r="AF13" s="732">
        <f>Deflators!AF61</f>
        <v>1.3530984416878797</v>
      </c>
      <c r="AG13" s="733">
        <f>Deflators!AG61</f>
        <v>0</v>
      </c>
      <c r="AH13" s="733">
        <f>Deflators!AH61</f>
        <v>0</v>
      </c>
    </row>
    <row r="14" spans="2:38" x14ac:dyDescent="0.35">
      <c r="B14" s="730" t="s">
        <v>1954</v>
      </c>
      <c r="S14" s="730">
        <f t="shared" ref="S14:AH14" si="0">S12*S13</f>
        <v>14.140183092830039</v>
      </c>
      <c r="T14" s="730">
        <f t="shared" si="0"/>
        <v>16.232875363175264</v>
      </c>
      <c r="U14" s="730">
        <f t="shared" si="0"/>
        <v>41.630567521224542</v>
      </c>
      <c r="V14" s="730">
        <f t="shared" si="0"/>
        <v>76.269574827449588</v>
      </c>
      <c r="W14" s="730">
        <f t="shared" si="0"/>
        <v>112.69269958493551</v>
      </c>
      <c r="X14" s="730">
        <f t="shared" si="0"/>
        <v>136.7720806226524</v>
      </c>
      <c r="Y14" s="730">
        <f t="shared" si="0"/>
        <v>148.48803727242282</v>
      </c>
      <c r="Z14" s="730">
        <f t="shared" si="0"/>
        <v>146.41070847384859</v>
      </c>
      <c r="AA14" s="730">
        <f t="shared" si="0"/>
        <v>132.8581200002761</v>
      </c>
      <c r="AB14" s="730">
        <f t="shared" si="0"/>
        <v>119.10010097332793</v>
      </c>
      <c r="AC14" s="730">
        <f t="shared" si="0"/>
        <v>69.206718416880776</v>
      </c>
      <c r="AD14" s="730">
        <f t="shared" si="0"/>
        <v>37.473920435226113</v>
      </c>
      <c r="AE14" s="730">
        <f t="shared" si="0"/>
        <v>38.44920328833858</v>
      </c>
      <c r="AF14" s="730">
        <f t="shared" si="0"/>
        <v>38.659955476796569</v>
      </c>
      <c r="AG14" s="730">
        <f t="shared" si="0"/>
        <v>0</v>
      </c>
      <c r="AH14" s="730">
        <f t="shared" si="0"/>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C1:BD169"/>
  <sheetViews>
    <sheetView tabSelected="1" topLeftCell="C1" zoomScale="80" zoomScaleNormal="80" workbookViewId="0">
      <selection activeCell="V22" sqref="V22"/>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14" t="s">
        <v>58</v>
      </c>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row>
    <row r="2" spans="4:56" ht="14.25" customHeight="1" x14ac:dyDescent="0.35">
      <c r="D2" s="1353" t="s">
        <v>918</v>
      </c>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row>
    <row r="3" spans="4:56" ht="84.75" customHeight="1" x14ac:dyDescent="0.35">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row>
    <row r="4" spans="4:56" x14ac:dyDescent="0.35">
      <c r="D4" s="794" t="s">
        <v>333</v>
      </c>
      <c r="W4" s="35"/>
    </row>
    <row r="5" spans="4:56" x14ac:dyDescent="0.35">
      <c r="D5" s="1319" t="s">
        <v>405</v>
      </c>
      <c r="E5" s="1320"/>
      <c r="F5" s="1424" t="s">
        <v>280</v>
      </c>
      <c r="G5" s="1425"/>
      <c r="H5" s="1425"/>
      <c r="I5" s="1425"/>
      <c r="J5" s="1425"/>
      <c r="K5" s="1425"/>
      <c r="L5" s="1425"/>
      <c r="M5" s="1425"/>
      <c r="N5" s="1425"/>
      <c r="O5" s="1425"/>
      <c r="P5" s="1425"/>
      <c r="Q5" s="1425"/>
      <c r="R5" s="1425"/>
      <c r="S5" s="1425"/>
      <c r="T5" s="1425"/>
      <c r="U5" s="1425"/>
      <c r="V5" s="1426"/>
      <c r="W5" s="1361" t="s">
        <v>281</v>
      </c>
      <c r="X5" s="1362"/>
      <c r="Y5" s="1362"/>
      <c r="Z5" s="1362"/>
      <c r="AA5" s="1362"/>
      <c r="AB5" s="1362"/>
      <c r="AC5" s="1362"/>
      <c r="AD5" s="1362"/>
      <c r="AE5" s="1362"/>
      <c r="AF5" s="1362"/>
      <c r="AG5" s="1362"/>
      <c r="AH5" s="922"/>
      <c r="AI5" s="922"/>
      <c r="AJ5" s="922"/>
      <c r="AK5" s="922"/>
      <c r="AL5" s="922"/>
      <c r="AM5" s="922"/>
      <c r="AN5" s="922"/>
      <c r="AO5" s="922"/>
      <c r="AP5" s="922"/>
      <c r="AQ5" s="922"/>
      <c r="AR5" s="922"/>
      <c r="AS5" s="922"/>
      <c r="AT5" s="922"/>
      <c r="AU5" s="922"/>
      <c r="AV5" s="922"/>
      <c r="AW5" s="922"/>
      <c r="AX5" s="922"/>
      <c r="AY5" s="922"/>
      <c r="AZ5" s="922"/>
      <c r="BA5" s="922"/>
      <c r="BB5" s="922"/>
      <c r="BC5" s="922"/>
      <c r="BD5" s="922"/>
    </row>
    <row r="6" spans="4:56" x14ac:dyDescent="0.35">
      <c r="D6" s="1321"/>
      <c r="E6" s="1336"/>
      <c r="F6" s="1316">
        <v>2019</v>
      </c>
      <c r="G6" s="1317"/>
      <c r="H6" s="1318"/>
      <c r="I6" s="1317">
        <v>2020</v>
      </c>
      <c r="J6" s="1317"/>
      <c r="K6" s="1317"/>
      <c r="L6" s="1317"/>
      <c r="M6" s="1310">
        <v>2021</v>
      </c>
      <c r="N6" s="1328"/>
      <c r="O6" s="1328"/>
      <c r="P6" s="1328"/>
      <c r="Q6" s="1310">
        <v>2022</v>
      </c>
      <c r="R6" s="1311"/>
      <c r="S6" s="1311"/>
      <c r="T6" s="1329"/>
      <c r="U6" s="256"/>
      <c r="V6" s="256">
        <v>2023</v>
      </c>
      <c r="W6" s="528"/>
      <c r="X6" s="226"/>
      <c r="Y6" s="1325">
        <v>2024</v>
      </c>
      <c r="Z6" s="1337"/>
      <c r="AA6" s="1337"/>
      <c r="AB6" s="1327"/>
      <c r="AC6" s="1325">
        <v>2025</v>
      </c>
      <c r="AD6" s="1337"/>
      <c r="AE6" s="1337"/>
      <c r="AF6" s="1327"/>
      <c r="AG6" s="475">
        <v>2026</v>
      </c>
      <c r="AH6" s="923"/>
      <c r="AI6" s="923"/>
      <c r="AJ6" s="923"/>
      <c r="AK6" s="923"/>
      <c r="AL6" s="923"/>
      <c r="AM6" s="923"/>
      <c r="AN6" s="923"/>
      <c r="AO6" s="923"/>
      <c r="AP6" s="923"/>
      <c r="AQ6" s="923"/>
      <c r="AR6" s="923"/>
      <c r="AS6" s="923"/>
      <c r="AT6" s="923"/>
      <c r="AU6" s="923"/>
      <c r="AV6" s="923"/>
      <c r="AW6" s="923"/>
      <c r="AX6" s="923"/>
      <c r="AY6" s="923"/>
      <c r="AZ6" s="923"/>
      <c r="BA6" s="923"/>
      <c r="BB6" s="923"/>
      <c r="BC6" s="923"/>
    </row>
    <row r="7" spans="4:56" x14ac:dyDescent="0.35">
      <c r="D7" s="1323"/>
      <c r="E7" s="1335"/>
      <c r="F7" s="149" t="s">
        <v>284</v>
      </c>
      <c r="G7" s="140" t="s">
        <v>238</v>
      </c>
      <c r="H7" s="146" t="s">
        <v>282</v>
      </c>
      <c r="I7" s="140" t="s">
        <v>283</v>
      </c>
      <c r="J7" s="140" t="s">
        <v>284</v>
      </c>
      <c r="K7" s="140" t="s">
        <v>238</v>
      </c>
      <c r="L7" s="140" t="s">
        <v>282</v>
      </c>
      <c r="M7" s="149" t="s">
        <v>283</v>
      </c>
      <c r="N7" s="140" t="s">
        <v>284</v>
      </c>
      <c r="O7" s="140" t="s">
        <v>238</v>
      </c>
      <c r="P7" s="140" t="s">
        <v>282</v>
      </c>
      <c r="Q7" s="149" t="s">
        <v>283</v>
      </c>
      <c r="R7" s="140" t="s">
        <v>284</v>
      </c>
      <c r="S7" s="140" t="s">
        <v>238</v>
      </c>
      <c r="T7" s="146" t="s">
        <v>282</v>
      </c>
      <c r="U7" s="140" t="s">
        <v>283</v>
      </c>
      <c r="V7" s="253" t="s">
        <v>284</v>
      </c>
      <c r="W7" s="280" t="s">
        <v>238</v>
      </c>
      <c r="X7" s="399" t="s">
        <v>282</v>
      </c>
      <c r="Y7" s="400" t="s">
        <v>283</v>
      </c>
      <c r="Z7" s="289" t="s">
        <v>284</v>
      </c>
      <c r="AA7" s="280" t="s">
        <v>238</v>
      </c>
      <c r="AB7" s="280" t="s">
        <v>282</v>
      </c>
      <c r="AC7" s="235" t="s">
        <v>283</v>
      </c>
      <c r="AD7" s="233" t="s">
        <v>284</v>
      </c>
      <c r="AE7" s="236" t="s">
        <v>238</v>
      </c>
      <c r="AF7" s="236" t="s">
        <v>282</v>
      </c>
      <c r="AG7" s="235" t="s">
        <v>283</v>
      </c>
      <c r="AH7" s="884"/>
      <c r="AI7" s="884"/>
      <c r="AJ7" s="884"/>
      <c r="AK7" s="884"/>
      <c r="AL7" s="884"/>
      <c r="AM7" s="884"/>
      <c r="AN7" s="884"/>
      <c r="AO7" s="884"/>
      <c r="AP7" s="884"/>
      <c r="AQ7" s="884"/>
      <c r="AR7" s="884"/>
      <c r="AS7" s="884"/>
      <c r="AT7" s="884"/>
      <c r="AU7" s="884"/>
      <c r="AV7" s="884"/>
      <c r="AW7" s="884"/>
      <c r="AX7" s="884"/>
      <c r="AY7" s="884"/>
      <c r="AZ7" s="884"/>
      <c r="BA7" s="884"/>
      <c r="BB7" s="884"/>
      <c r="BC7" s="884"/>
    </row>
    <row r="8" spans="4:56" x14ac:dyDescent="0.35">
      <c r="D8" s="815" t="s">
        <v>467</v>
      </c>
      <c r="E8" s="69"/>
      <c r="F8" s="809"/>
      <c r="G8" s="810"/>
      <c r="H8" s="810"/>
      <c r="I8" s="810"/>
      <c r="J8" s="810"/>
      <c r="K8" s="810"/>
      <c r="L8" s="810"/>
      <c r="M8" s="810"/>
      <c r="N8" s="810"/>
      <c r="O8" s="810"/>
      <c r="P8" s="810"/>
      <c r="Q8" s="810"/>
      <c r="R8" s="810"/>
      <c r="S8" s="810"/>
      <c r="T8" s="810"/>
      <c r="U8" s="741"/>
      <c r="V8" s="741"/>
      <c r="W8" s="763"/>
      <c r="X8" s="811"/>
      <c r="Y8" s="811"/>
      <c r="Z8" s="811"/>
      <c r="AA8" s="811"/>
      <c r="AB8" s="811"/>
      <c r="AC8" s="763"/>
      <c r="AD8" s="763"/>
      <c r="AE8" s="763"/>
      <c r="AF8" s="763"/>
      <c r="AG8" s="763"/>
      <c r="AH8" s="660"/>
      <c r="AI8" s="660"/>
      <c r="AJ8" s="660"/>
      <c r="AK8" s="660"/>
      <c r="AL8" s="660"/>
      <c r="AM8" s="660"/>
      <c r="AN8" s="660"/>
      <c r="AO8" s="660"/>
      <c r="AP8" s="660"/>
      <c r="AQ8" s="660"/>
      <c r="AR8" s="660"/>
      <c r="AS8" s="660"/>
      <c r="AT8" s="660"/>
      <c r="AU8" s="660"/>
      <c r="AV8" s="660"/>
      <c r="AW8" s="660"/>
      <c r="AX8" s="660"/>
      <c r="AY8" s="660"/>
      <c r="AZ8" s="660"/>
      <c r="BA8" s="660"/>
      <c r="BB8" s="660"/>
      <c r="BC8" s="660"/>
    </row>
    <row r="9" spans="4:56" ht="14.9" customHeight="1" x14ac:dyDescent="0.35">
      <c r="D9" s="466" t="s">
        <v>482</v>
      </c>
      <c r="E9" s="814"/>
      <c r="F9" s="742">
        <f t="shared" ref="F9:S9" si="0">SUM(F10:F14)</f>
        <v>3266.5</v>
      </c>
      <c r="G9" s="742">
        <f t="shared" si="0"/>
        <v>3286.9</v>
      </c>
      <c r="H9" s="742">
        <f t="shared" si="0"/>
        <v>3332.3</v>
      </c>
      <c r="I9" s="742">
        <f t="shared" si="0"/>
        <v>3393.2999999999997</v>
      </c>
      <c r="J9" s="742">
        <f t="shared" si="0"/>
        <v>3128.1</v>
      </c>
      <c r="K9" s="742">
        <f t="shared" si="0"/>
        <v>3303.4</v>
      </c>
      <c r="L9" s="742">
        <f t="shared" si="0"/>
        <v>3457.8</v>
      </c>
      <c r="M9" s="742">
        <f t="shared" si="0"/>
        <v>3596.7999999999997</v>
      </c>
      <c r="N9" s="742">
        <f t="shared" si="0"/>
        <v>3753.5</v>
      </c>
      <c r="O9" s="742">
        <f t="shared" si="0"/>
        <v>3871.9000000000005</v>
      </c>
      <c r="P9" s="742">
        <f t="shared" si="0"/>
        <v>4000.8999999999996</v>
      </c>
      <c r="Q9" s="742">
        <f t="shared" si="0"/>
        <v>4383.5999999999995</v>
      </c>
      <c r="R9" s="742">
        <f t="shared" si="0"/>
        <v>4444.7999999999993</v>
      </c>
      <c r="S9" s="742">
        <f t="shared" si="0"/>
        <v>4522.2</v>
      </c>
      <c r="T9" s="742">
        <f t="shared" ref="T9:AC9" si="1">SUM(T10,T12,T14)</f>
        <v>4511.7</v>
      </c>
      <c r="U9" s="742">
        <f t="shared" si="1"/>
        <v>4289.2</v>
      </c>
      <c r="V9" s="742">
        <f t="shared" si="1"/>
        <v>4304.8000000000011</v>
      </c>
      <c r="W9" s="744">
        <f t="shared" si="1"/>
        <v>4310.1282844676371</v>
      </c>
      <c r="X9" s="744">
        <f t="shared" si="1"/>
        <v>4331.6167990739586</v>
      </c>
      <c r="Y9" s="744">
        <f t="shared" si="1"/>
        <v>4340.6625742893257</v>
      </c>
      <c r="Z9" s="744">
        <f t="shared" si="1"/>
        <v>4350.0771590003769</v>
      </c>
      <c r="AA9" s="744">
        <f t="shared" si="1"/>
        <v>4359.8618441041708</v>
      </c>
      <c r="AB9" s="744">
        <f t="shared" si="1"/>
        <v>4401.0002347233822</v>
      </c>
      <c r="AC9" s="744">
        <f t="shared" si="1"/>
        <v>4408.0319998979385</v>
      </c>
      <c r="AD9" s="744">
        <f t="shared" ref="AD9:AG9" si="2">SUM(AD10,AD12,AD14)</f>
        <v>4415.3969315790519</v>
      </c>
      <c r="AE9" s="744">
        <f t="shared" si="2"/>
        <v>4423.0958561949819</v>
      </c>
      <c r="AF9" s="744">
        <f t="shared" si="2"/>
        <v>4431.1296366363849</v>
      </c>
      <c r="AG9" s="744">
        <f t="shared" si="2"/>
        <v>4439.499172352962</v>
      </c>
      <c r="AH9" s="873"/>
      <c r="AI9" s="873"/>
      <c r="AJ9" s="873"/>
      <c r="AK9" s="873"/>
      <c r="AL9" s="873"/>
      <c r="AM9" s="873"/>
      <c r="AN9" s="873"/>
      <c r="AO9" s="873"/>
      <c r="AU9" s="927"/>
      <c r="AV9" s="927"/>
      <c r="AW9" s="927"/>
      <c r="AX9" s="927"/>
      <c r="AY9" s="927"/>
      <c r="AZ9" s="927"/>
      <c r="BA9" s="927"/>
      <c r="BB9" s="927"/>
      <c r="BC9" s="927"/>
    </row>
    <row r="10" spans="4:56" x14ac:dyDescent="0.35">
      <c r="D10" s="499" t="s">
        <v>483</v>
      </c>
      <c r="E10" s="52" t="s">
        <v>115</v>
      </c>
      <c r="F10" s="804">
        <f>'Haver Pivoted'!GQ27</f>
        <v>1692.6</v>
      </c>
      <c r="G10" s="804">
        <f>'Haver Pivoted'!GR27</f>
        <v>1700.6</v>
      </c>
      <c r="H10" s="804">
        <f>'Haver Pivoted'!GS27</f>
        <v>1726.4</v>
      </c>
      <c r="I10" s="804">
        <f>'Haver Pivoted'!GT27</f>
        <v>1751.6</v>
      </c>
      <c r="J10" s="804">
        <f>'Haver Pivoted'!GU27</f>
        <v>1610.2</v>
      </c>
      <c r="K10" s="804">
        <f>'Haver Pivoted'!GV27</f>
        <v>1722.1</v>
      </c>
      <c r="L10" s="804">
        <f>'Haver Pivoted'!GW27</f>
        <v>1837.8</v>
      </c>
      <c r="M10" s="804">
        <f>'Haver Pivoted'!GX27</f>
        <v>1965.4</v>
      </c>
      <c r="N10" s="804">
        <f>'Haver Pivoted'!GY27</f>
        <v>2071.9</v>
      </c>
      <c r="O10" s="804">
        <f>'Haver Pivoted'!GZ27</f>
        <v>2158.8000000000002</v>
      </c>
      <c r="P10" s="804">
        <f>'Haver Pivoted'!HA27</f>
        <v>2235.1999999999998</v>
      </c>
      <c r="Q10" s="804">
        <f>'Haver Pivoted'!HB27</f>
        <v>2564.1</v>
      </c>
      <c r="R10" s="804">
        <f>'Haver Pivoted'!HC27</f>
        <v>2598.6</v>
      </c>
      <c r="S10" s="804">
        <f>'Haver Pivoted'!HD27</f>
        <v>2641.7</v>
      </c>
      <c r="T10" s="743">
        <f>'Haver Pivoted'!HE27</f>
        <v>2634</v>
      </c>
      <c r="U10" s="743">
        <f>'Haver Pivoted'!HF27</f>
        <v>2387.8000000000002</v>
      </c>
      <c r="V10" s="743">
        <f>'Haver Pivoted'!HG27</f>
        <v>2386.3000000000002</v>
      </c>
      <c r="W10" s="745">
        <f>V10*(1+$J41)^0.25+W11</f>
        <v>2373.6007834982306</v>
      </c>
      <c r="X10" s="745">
        <f>W10*(1+$K41)^0.25+X11</f>
        <v>2373.7107181291622</v>
      </c>
      <c r="Y10" s="745">
        <f>X10*(1+$J41)^0.25+Y11</f>
        <v>2361.1418060310843</v>
      </c>
      <c r="Z10" s="745">
        <f>Y10*(1+$J41)^0.25+Z11</f>
        <v>2348.7029875009157</v>
      </c>
      <c r="AA10" s="745">
        <f>Z10*(1+$J41)^0.25+AA11</f>
        <v>2336.3929160150847</v>
      </c>
      <c r="AB10" s="745">
        <f>AA10*(1+$L41)^0.25+AB11</f>
        <v>2358.2928026122486</v>
      </c>
      <c r="AC10" s="745">
        <f>AB10*(1+$J41)^0.25+AC11</f>
        <v>2345.8834724750968</v>
      </c>
      <c r="AD10" s="745">
        <f>AC10*(1+$J41)^0.25+AD11</f>
        <v>2333.6025841649157</v>
      </c>
      <c r="AE10" s="745">
        <f>AD10*(1+$J41)^0.25+AE11</f>
        <v>2321.4488082543521</v>
      </c>
      <c r="AF10" s="745">
        <f>AE10*(1+$J41)^0.25+AF11</f>
        <v>2309.4208290761894</v>
      </c>
      <c r="AG10" s="745">
        <f>AF10*(1+$J41)^0.25+AG11</f>
        <v>2297.5173445809251</v>
      </c>
      <c r="AH10" s="873"/>
      <c r="AI10" s="873"/>
      <c r="AJ10" s="873"/>
      <c r="AK10" s="873"/>
      <c r="AL10" s="873"/>
      <c r="AM10" s="873"/>
      <c r="AN10" s="873"/>
      <c r="AO10" s="873"/>
      <c r="AU10" s="660"/>
      <c r="AV10" s="660"/>
      <c r="AW10" s="660"/>
      <c r="AX10" s="660"/>
      <c r="AY10" s="660"/>
      <c r="AZ10" s="660"/>
      <c r="BA10" s="660"/>
      <c r="BB10" s="660"/>
      <c r="BC10" s="660"/>
    </row>
    <row r="11" spans="4:56" x14ac:dyDescent="0.35">
      <c r="D11" s="499" t="s">
        <v>1811</v>
      </c>
      <c r="E11" s="52"/>
      <c r="F11" s="812"/>
      <c r="G11" s="812"/>
      <c r="H11" s="812"/>
      <c r="I11" s="812"/>
      <c r="J11" s="812"/>
      <c r="K11" s="812"/>
      <c r="L11" s="812"/>
      <c r="M11" s="812"/>
      <c r="N11" s="812"/>
      <c r="O11" s="812"/>
      <c r="P11" s="812"/>
      <c r="Q11" s="812"/>
      <c r="R11" s="812"/>
      <c r="S11" s="749"/>
      <c r="T11" s="749">
        <v>46</v>
      </c>
      <c r="U11" s="749">
        <v>-5</v>
      </c>
      <c r="V11" s="749">
        <v>12</v>
      </c>
      <c r="W11" s="808">
        <f>V11</f>
        <v>12</v>
      </c>
      <c r="X11" s="808">
        <f t="shared" ref="X11:AC11" si="3">W11</f>
        <v>12</v>
      </c>
      <c r="Y11" s="808">
        <f t="shared" si="3"/>
        <v>12</v>
      </c>
      <c r="Z11" s="808">
        <f t="shared" si="3"/>
        <v>12</v>
      </c>
      <c r="AA11" s="808">
        <f t="shared" si="3"/>
        <v>12</v>
      </c>
      <c r="AB11" s="808">
        <f t="shared" si="3"/>
        <v>12</v>
      </c>
      <c r="AC11" s="808">
        <f t="shared" si="3"/>
        <v>12</v>
      </c>
      <c r="AD11" s="808">
        <f t="shared" ref="AD11" si="4">AC11</f>
        <v>12</v>
      </c>
      <c r="AE11" s="808">
        <f t="shared" ref="AE11" si="5">AD11</f>
        <v>12</v>
      </c>
      <c r="AF11" s="808">
        <f t="shared" ref="AF11" si="6">AE11</f>
        <v>12</v>
      </c>
      <c r="AG11" s="808">
        <f t="shared" ref="AG11" si="7">AF11</f>
        <v>12</v>
      </c>
      <c r="AH11" s="873"/>
      <c r="AI11" s="873"/>
      <c r="AJ11" s="873"/>
      <c r="AK11" s="873"/>
      <c r="AL11" s="873"/>
      <c r="AM11" s="873"/>
      <c r="AN11" s="873"/>
      <c r="AO11" s="873"/>
      <c r="AU11" s="660"/>
      <c r="AV11" s="660"/>
      <c r="AW11" s="660"/>
      <c r="AX11" s="660"/>
      <c r="AY11" s="660"/>
      <c r="AZ11" s="660"/>
      <c r="BA11" s="660"/>
      <c r="BB11" s="660"/>
      <c r="BC11" s="660"/>
    </row>
    <row r="12" spans="4:56" x14ac:dyDescent="0.35">
      <c r="D12" s="499" t="s">
        <v>484</v>
      </c>
      <c r="E12" s="49" t="s">
        <v>121</v>
      </c>
      <c r="F12" s="804">
        <f>'Haver Pivoted'!GQ30</f>
        <v>1402.6</v>
      </c>
      <c r="G12" s="804">
        <f>'Haver Pivoted'!GR30</f>
        <v>1410</v>
      </c>
      <c r="H12" s="804">
        <f>'Haver Pivoted'!GS30</f>
        <v>1429</v>
      </c>
      <c r="I12" s="804">
        <f>'Haver Pivoted'!GT30</f>
        <v>1455.1</v>
      </c>
      <c r="J12" s="804">
        <f>'Haver Pivoted'!GU30</f>
        <v>1385.3</v>
      </c>
      <c r="K12" s="804">
        <f>'Haver Pivoted'!GV30</f>
        <v>1432.2</v>
      </c>
      <c r="L12" s="804">
        <f>'Haver Pivoted'!GW30</f>
        <v>1465</v>
      </c>
      <c r="M12" s="804">
        <f>'Haver Pivoted'!GX30</f>
        <v>1474.8</v>
      </c>
      <c r="N12" s="804">
        <f>'Haver Pivoted'!GY30</f>
        <v>1504.3</v>
      </c>
      <c r="O12" s="804">
        <f>'Haver Pivoted'!GZ30</f>
        <v>1536.3</v>
      </c>
      <c r="P12" s="804">
        <f>'Haver Pivoted'!HA30</f>
        <v>1578.1</v>
      </c>
      <c r="Q12" s="804">
        <f>'Haver Pivoted'!HB30</f>
        <v>1617.1</v>
      </c>
      <c r="R12" s="804">
        <f>'Haver Pivoted'!HC30</f>
        <v>1636.8</v>
      </c>
      <c r="S12" s="804">
        <f>'Haver Pivoted'!HD30</f>
        <v>1677.7</v>
      </c>
      <c r="T12" s="743">
        <f>'Haver Pivoted'!HE30</f>
        <v>1685.3</v>
      </c>
      <c r="U12" s="743">
        <f>'Haver Pivoted'!HF30</f>
        <v>1711.6</v>
      </c>
      <c r="V12" s="743">
        <f>'Haver Pivoted'!HG30</f>
        <v>1730.4</v>
      </c>
      <c r="W12" s="745">
        <f>V12*(1+$J42)^0.25+W13</f>
        <v>1747.9292184587525</v>
      </c>
      <c r="X12" s="745">
        <f>W12*(1+$K42)^0.25+X13</f>
        <v>1767.3531510343769</v>
      </c>
      <c r="Y12" s="745">
        <f>X12*(1+$K42)^0.25+Y13</f>
        <v>1786.9929328290189</v>
      </c>
      <c r="Z12" s="745">
        <f>Y12*(1+$K42)^0.25+Z13</f>
        <v>1806.8509624756621</v>
      </c>
      <c r="AA12" s="745">
        <f>Z12*(1+$K42)^0.25+AA13</f>
        <v>1826.9296652621945</v>
      </c>
      <c r="AB12" s="745">
        <f t="shared" ref="AB12:AG12" si="8">AA12*(1+$L42)^0.25+AB13</f>
        <v>1846.1681692842415</v>
      </c>
      <c r="AC12" s="745">
        <f t="shared" si="8"/>
        <v>1865.60926459595</v>
      </c>
      <c r="AD12" s="745">
        <f t="shared" si="8"/>
        <v>1885.2550845872447</v>
      </c>
      <c r="AE12" s="745">
        <f t="shared" si="8"/>
        <v>1905.1077851137375</v>
      </c>
      <c r="AF12" s="745">
        <f t="shared" si="8"/>
        <v>1925.1695447333032</v>
      </c>
      <c r="AG12" s="745">
        <f t="shared" si="8"/>
        <v>1945.442564945145</v>
      </c>
      <c r="AH12" s="873"/>
      <c r="AI12" s="873"/>
      <c r="AJ12" s="873"/>
      <c r="AK12" s="873"/>
      <c r="AL12" s="873"/>
      <c r="AM12" s="873"/>
      <c r="AN12" s="873"/>
      <c r="AO12" s="873"/>
      <c r="AU12" s="660"/>
      <c r="AV12" s="660"/>
      <c r="AW12" s="660"/>
      <c r="AX12" s="660"/>
      <c r="AY12" s="660"/>
      <c r="AZ12" s="660"/>
      <c r="BA12" s="660"/>
      <c r="BB12" s="660"/>
      <c r="BC12" s="660"/>
    </row>
    <row r="13" spans="4:56" x14ac:dyDescent="0.35">
      <c r="D13" s="499" t="s">
        <v>1743</v>
      </c>
      <c r="E13" s="49"/>
      <c r="F13" s="812"/>
      <c r="G13" s="812"/>
      <c r="H13" s="812"/>
      <c r="I13" s="812"/>
      <c r="J13" s="812"/>
      <c r="K13" s="812"/>
      <c r="L13" s="812"/>
      <c r="M13" s="812"/>
      <c r="N13" s="812"/>
      <c r="O13" s="812"/>
      <c r="P13" s="812"/>
      <c r="Q13" s="812"/>
      <c r="R13" s="812"/>
      <c r="S13" s="812"/>
      <c r="T13" s="749"/>
      <c r="U13" s="749">
        <v>8</v>
      </c>
      <c r="V13" s="749">
        <v>-10</v>
      </c>
      <c r="W13" s="808">
        <v>-5</v>
      </c>
      <c r="X13" s="808"/>
      <c r="Y13" s="808"/>
      <c r="Z13" s="808"/>
      <c r="AA13" s="808"/>
      <c r="AB13" s="808"/>
      <c r="AC13" s="808"/>
      <c r="AD13" s="808"/>
      <c r="AE13" s="808"/>
      <c r="AF13" s="808"/>
      <c r="AG13" s="808"/>
      <c r="AH13" s="873"/>
      <c r="AI13" s="873"/>
      <c r="AJ13" s="873"/>
      <c r="AK13" s="873"/>
      <c r="AL13" s="873"/>
      <c r="AM13" s="873"/>
      <c r="AN13" s="873"/>
      <c r="AO13" s="873"/>
      <c r="AU13" s="660"/>
      <c r="AV13" s="660"/>
      <c r="AW13" s="660"/>
      <c r="AX13" s="660"/>
      <c r="AY13" s="660"/>
      <c r="AZ13" s="660"/>
      <c r="BA13" s="660"/>
      <c r="BB13" s="660"/>
      <c r="BC13" s="660"/>
    </row>
    <row r="14" spans="4:56" x14ac:dyDescent="0.35">
      <c r="D14" s="499" t="s">
        <v>485</v>
      </c>
      <c r="E14" s="52" t="s">
        <v>117</v>
      </c>
      <c r="F14" s="804">
        <f>'Haver Pivoted'!GQ28</f>
        <v>171.3</v>
      </c>
      <c r="G14" s="804">
        <f>'Haver Pivoted'!GR28</f>
        <v>176.3</v>
      </c>
      <c r="H14" s="804">
        <f>'Haver Pivoted'!GS28</f>
        <v>176.9</v>
      </c>
      <c r="I14" s="804">
        <f>'Haver Pivoted'!GT28</f>
        <v>186.6</v>
      </c>
      <c r="J14" s="804">
        <f>'Haver Pivoted'!GU28</f>
        <v>132.6</v>
      </c>
      <c r="K14" s="804">
        <f>'Haver Pivoted'!GV28</f>
        <v>149.1</v>
      </c>
      <c r="L14" s="804">
        <f>'Haver Pivoted'!GW28</f>
        <v>155</v>
      </c>
      <c r="M14" s="804">
        <f>'Haver Pivoted'!GX28</f>
        <v>156.6</v>
      </c>
      <c r="N14" s="804">
        <f>'Haver Pivoted'!GY28</f>
        <v>177.3</v>
      </c>
      <c r="O14" s="804">
        <f>'Haver Pivoted'!GZ28</f>
        <v>176.8</v>
      </c>
      <c r="P14" s="804">
        <f>'Haver Pivoted'!HA28</f>
        <v>187.6</v>
      </c>
      <c r="Q14" s="804">
        <f>'Haver Pivoted'!HB28</f>
        <v>202.4</v>
      </c>
      <c r="R14" s="804">
        <f>'Haver Pivoted'!HC28</f>
        <v>209.4</v>
      </c>
      <c r="S14" s="804">
        <f>'Haver Pivoted'!HD28</f>
        <v>202.8</v>
      </c>
      <c r="T14" s="743">
        <f>'Haver Pivoted'!HE28</f>
        <v>192.4</v>
      </c>
      <c r="U14" s="743">
        <f>'Haver Pivoted'!HF28</f>
        <v>189.8</v>
      </c>
      <c r="V14" s="743">
        <f>'Haver Pivoted'!HG28</f>
        <v>188.1</v>
      </c>
      <c r="W14" s="745">
        <f>V14*(1+$J43)^0.25</f>
        <v>188.5982825106536</v>
      </c>
      <c r="X14" s="745">
        <f>W14*(1+$K43)^0.25</f>
        <v>190.55292991041907</v>
      </c>
      <c r="Y14" s="745">
        <f>X14*(1+$K43)^0.25</f>
        <v>192.52783542922225</v>
      </c>
      <c r="Z14" s="745">
        <f>Y14*(1+$K43)^0.25</f>
        <v>194.52320902379859</v>
      </c>
      <c r="AA14" s="745">
        <f>Z14*(1+$K43)^0.25</f>
        <v>196.53926282689153</v>
      </c>
      <c r="AB14" s="745">
        <f t="shared" ref="AB14:AG14" si="9">AA14*(1+$L43)^0.25</f>
        <v>196.53926282689153</v>
      </c>
      <c r="AC14" s="745">
        <f t="shared" si="9"/>
        <v>196.53926282689153</v>
      </c>
      <c r="AD14" s="745">
        <f t="shared" si="9"/>
        <v>196.53926282689153</v>
      </c>
      <c r="AE14" s="745">
        <f t="shared" si="9"/>
        <v>196.53926282689153</v>
      </c>
      <c r="AF14" s="745">
        <f t="shared" si="9"/>
        <v>196.53926282689153</v>
      </c>
      <c r="AG14" s="745">
        <f t="shared" si="9"/>
        <v>196.53926282689153</v>
      </c>
      <c r="AH14" s="873"/>
      <c r="AI14" s="873"/>
      <c r="AJ14" s="873"/>
      <c r="AK14" s="873"/>
      <c r="AL14" s="873"/>
      <c r="AM14" s="873"/>
      <c r="AN14" s="873"/>
      <c r="AO14" s="873"/>
      <c r="AU14" s="660"/>
      <c r="AV14" s="660"/>
      <c r="AW14" s="660"/>
      <c r="AX14" s="660"/>
      <c r="AY14" s="660"/>
      <c r="AZ14" s="660"/>
      <c r="BA14" s="660"/>
      <c r="BB14" s="660"/>
      <c r="BC14" s="660"/>
    </row>
    <row r="15" spans="4:56" x14ac:dyDescent="0.35">
      <c r="D15" s="917" t="s">
        <v>1436</v>
      </c>
      <c r="E15" s="918"/>
      <c r="F15" s="813"/>
      <c r="G15" s="812"/>
      <c r="H15" s="812"/>
      <c r="I15" s="812"/>
      <c r="J15" s="812"/>
      <c r="K15" s="812"/>
      <c r="L15" s="812"/>
      <c r="M15" s="812"/>
      <c r="N15" s="812"/>
      <c r="O15" s="812"/>
      <c r="P15" s="812"/>
      <c r="Q15" s="812"/>
      <c r="R15" s="812"/>
      <c r="S15" s="749"/>
      <c r="T15" s="749"/>
      <c r="U15" s="749">
        <v>0</v>
      </c>
      <c r="V15" s="749">
        <v>0</v>
      </c>
      <c r="W15" s="808">
        <v>0</v>
      </c>
      <c r="X15" s="808">
        <v>0</v>
      </c>
      <c r="Y15" s="808">
        <v>0</v>
      </c>
      <c r="Z15" s="808">
        <v>0</v>
      </c>
      <c r="AA15" s="808">
        <v>0</v>
      </c>
      <c r="AB15" s="808">
        <v>0</v>
      </c>
      <c r="AC15" s="808">
        <v>0</v>
      </c>
      <c r="AD15" s="808">
        <v>1</v>
      </c>
      <c r="AE15" s="808">
        <v>2</v>
      </c>
      <c r="AF15" s="808">
        <v>3</v>
      </c>
      <c r="AG15" s="808">
        <v>4</v>
      </c>
      <c r="AH15" s="873"/>
      <c r="AI15" s="873"/>
      <c r="AJ15" s="873"/>
      <c r="AK15" s="873"/>
      <c r="AL15" s="873"/>
      <c r="AM15" s="873"/>
      <c r="AN15" s="873"/>
      <c r="AO15" s="873"/>
      <c r="AU15" s="660"/>
      <c r="AV15" s="660"/>
      <c r="AW15" s="660"/>
      <c r="AX15" s="660"/>
      <c r="AY15" s="660"/>
      <c r="AZ15" s="660"/>
      <c r="BA15" s="660"/>
      <c r="BB15" s="660"/>
      <c r="BC15" s="660"/>
    </row>
    <row r="16" spans="4:56" ht="14.9" customHeight="1" x14ac:dyDescent="0.35">
      <c r="D16" s="390" t="s">
        <v>1993</v>
      </c>
      <c r="E16" s="910" t="s">
        <v>119</v>
      </c>
      <c r="F16" s="795">
        <f>'Haver Pivoted'!GQ29</f>
        <v>215.9</v>
      </c>
      <c r="G16" s="734">
        <f>'Haver Pivoted'!GR29</f>
        <v>196.9</v>
      </c>
      <c r="H16" s="734">
        <f>'Haver Pivoted'!GS29</f>
        <v>226.2</v>
      </c>
      <c r="I16" s="734">
        <f>'Haver Pivoted'!GT29</f>
        <v>183.1</v>
      </c>
      <c r="J16" s="734">
        <f>'Haver Pivoted'!GU29</f>
        <v>177.8</v>
      </c>
      <c r="K16" s="734">
        <f>'Haver Pivoted'!GV29</f>
        <v>218.4</v>
      </c>
      <c r="L16" s="734">
        <f>'Haver Pivoted'!GW29</f>
        <v>226.5</v>
      </c>
      <c r="M16" s="734">
        <f>'Haver Pivoted'!GX29</f>
        <v>249.6</v>
      </c>
      <c r="N16" s="734">
        <f>'Haver Pivoted'!GY29</f>
        <v>281.39999999999998</v>
      </c>
      <c r="O16" s="734">
        <f>'Haver Pivoted'!GZ29</f>
        <v>278.39999999999998</v>
      </c>
      <c r="P16" s="734">
        <f>'Haver Pivoted'!HA29</f>
        <v>304.8</v>
      </c>
      <c r="Q16" s="734">
        <f>'Haver Pivoted'!HB29</f>
        <v>313.8</v>
      </c>
      <c r="R16" s="734">
        <f>'Haver Pivoted'!HC29</f>
        <v>353.2</v>
      </c>
      <c r="S16" s="734">
        <f>'Haver Pivoted'!HD29</f>
        <v>340.6</v>
      </c>
      <c r="T16" s="734">
        <f>'Haver Pivoted'!HE29</f>
        <v>332.2</v>
      </c>
      <c r="U16" s="734">
        <f>'Haver Pivoted'!HF29</f>
        <v>342.6</v>
      </c>
      <c r="V16" s="751">
        <f>U16*(1+$J44)^0.25</f>
        <v>352.35816139271878</v>
      </c>
      <c r="W16" s="745">
        <f>V16*(1+$J44)^0.25</f>
        <v>362.39426123776195</v>
      </c>
      <c r="X16" s="745">
        <f>W16*(1+$K44)^0.25</f>
        <v>362.99064117435239</v>
      </c>
      <c r="Y16" s="745">
        <f>X16*(1+$K44)^0.25</f>
        <v>363.58800255316419</v>
      </c>
      <c r="Z16" s="745">
        <f>Y16*(1+$K44)^0.25</f>
        <v>364.18634698932357</v>
      </c>
      <c r="AA16" s="745">
        <f>Z16*(1+$K44)^0.25</f>
        <v>364.78567610061458</v>
      </c>
      <c r="AB16" s="745">
        <f>AA16*(1+$L44)^0.25</f>
        <v>366.69061900199682</v>
      </c>
      <c r="AC16" s="745">
        <f>AB16*(1+$I44)^0.25</f>
        <v>380.87315519662525</v>
      </c>
      <c r="AD16" s="745">
        <f>AC16*(1+$I44)^0.25</f>
        <v>395.60423101154555</v>
      </c>
      <c r="AE16" s="745">
        <f>AD16*(1+$I44)^0.25</f>
        <v>410.90506237816101</v>
      </c>
      <c r="AF16" s="745">
        <f>AE16*(1+$I44)^0.25</f>
        <v>426.79768579894886</v>
      </c>
      <c r="AG16" s="745">
        <f>AF16*(1+$I44)^0.25</f>
        <v>443.30499008478415</v>
      </c>
      <c r="AH16" s="873"/>
      <c r="AI16" s="873"/>
      <c r="AJ16" s="873"/>
      <c r="AK16" s="873"/>
      <c r="AL16" s="873"/>
      <c r="AM16" s="873"/>
      <c r="AN16" s="873"/>
      <c r="AO16" s="873"/>
      <c r="AU16" s="927"/>
      <c r="AV16" s="927"/>
      <c r="AW16" s="927"/>
      <c r="AX16" s="927"/>
      <c r="AY16" s="927"/>
      <c r="AZ16" s="927"/>
      <c r="BA16" s="927"/>
      <c r="BB16" s="927"/>
      <c r="BC16" s="927"/>
    </row>
    <row r="17" spans="4:55" ht="14.9" customHeight="1" x14ac:dyDescent="0.35">
      <c r="D17" s="390"/>
      <c r="E17" s="910"/>
      <c r="F17" s="795"/>
      <c r="G17" s="734"/>
      <c r="H17" s="734"/>
      <c r="I17" s="734"/>
      <c r="J17" s="734"/>
      <c r="K17" s="734"/>
      <c r="L17" s="734"/>
      <c r="M17" s="734"/>
      <c r="N17" s="734"/>
      <c r="O17" s="734"/>
      <c r="P17" s="734"/>
      <c r="Q17" s="734"/>
      <c r="R17" s="734"/>
      <c r="S17" s="735"/>
      <c r="T17" s="735"/>
      <c r="U17" s="735"/>
      <c r="V17" s="735"/>
      <c r="W17" s="735"/>
      <c r="X17" s="735"/>
      <c r="Y17" s="735"/>
      <c r="Z17" s="735"/>
      <c r="AA17" s="735"/>
      <c r="AB17" s="735"/>
      <c r="AC17" s="735"/>
      <c r="AD17" s="735"/>
      <c r="AE17" s="735"/>
      <c r="AF17" s="735"/>
      <c r="AG17" s="735"/>
      <c r="AH17" s="873"/>
      <c r="AI17" s="873"/>
      <c r="AJ17" s="873"/>
      <c r="AK17" s="873"/>
      <c r="AL17" s="873"/>
      <c r="AM17" s="873"/>
      <c r="AN17" s="873"/>
      <c r="AO17" s="873"/>
      <c r="AU17" s="927"/>
      <c r="AV17" s="927"/>
      <c r="AW17" s="927"/>
      <c r="AX17" s="927"/>
      <c r="AY17" s="927"/>
      <c r="AZ17" s="927"/>
      <c r="BA17" s="927"/>
      <c r="BB17" s="927"/>
      <c r="BC17" s="927"/>
    </row>
    <row r="19" spans="4:55" x14ac:dyDescent="0.35">
      <c r="D19" s="807" t="s">
        <v>474</v>
      </c>
      <c r="E19" s="383"/>
      <c r="F19" s="775"/>
      <c r="G19" s="764"/>
      <c r="H19" s="764"/>
      <c r="I19" s="764"/>
      <c r="J19" s="764"/>
      <c r="K19" s="764"/>
      <c r="L19" s="764"/>
      <c r="M19" s="764"/>
      <c r="N19" s="764"/>
      <c r="O19" s="764"/>
      <c r="P19" s="764"/>
      <c r="Q19" s="764"/>
      <c r="R19" s="764"/>
      <c r="S19" s="764"/>
      <c r="T19" s="764"/>
      <c r="U19" s="810"/>
      <c r="V19" s="764"/>
      <c r="W19" s="764"/>
      <c r="X19" s="764"/>
      <c r="Y19" s="764"/>
      <c r="Z19" s="764"/>
      <c r="AA19" s="764"/>
      <c r="AB19" s="764"/>
      <c r="AC19" s="764"/>
      <c r="AF19" s="873"/>
      <c r="AG19" s="873"/>
      <c r="AH19" s="873"/>
      <c r="AI19" s="873"/>
      <c r="AJ19" s="873"/>
      <c r="AK19" s="873"/>
      <c r="AL19" s="873"/>
      <c r="AM19" s="873"/>
      <c r="AN19" s="873"/>
      <c r="AO19" s="873"/>
    </row>
    <row r="20" spans="4:55" ht="14.9" customHeight="1" x14ac:dyDescent="0.35">
      <c r="D20" s="925" t="s">
        <v>482</v>
      </c>
      <c r="E20" s="911"/>
      <c r="F20" s="795">
        <f t="shared" ref="F20:P20" si="10">SUM(F22:F24)</f>
        <v>1894.6</v>
      </c>
      <c r="G20" s="734">
        <f t="shared" si="10"/>
        <v>1889.1999999999998</v>
      </c>
      <c r="H20" s="734">
        <f t="shared" si="10"/>
        <v>1883</v>
      </c>
      <c r="I20" s="734">
        <f t="shared" si="10"/>
        <v>1897.5</v>
      </c>
      <c r="J20" s="734">
        <f t="shared" si="10"/>
        <v>1801.6</v>
      </c>
      <c r="K20" s="734">
        <f t="shared" si="10"/>
        <v>1933.3000000000002</v>
      </c>
      <c r="L20" s="734">
        <f t="shared" si="10"/>
        <v>1955.6</v>
      </c>
      <c r="M20" s="734">
        <f t="shared" si="10"/>
        <v>1992.6</v>
      </c>
      <c r="N20" s="734">
        <f t="shared" si="10"/>
        <v>2088.7000000000003</v>
      </c>
      <c r="O20" s="734">
        <f t="shared" si="10"/>
        <v>2060.8000000000002</v>
      </c>
      <c r="P20" s="734">
        <f t="shared" si="10"/>
        <v>2119.9</v>
      </c>
      <c r="Q20" s="734">
        <f>SUM(Q21:Q24)</f>
        <v>2152.4</v>
      </c>
      <c r="R20" s="734">
        <f t="shared" ref="R20:AC20" si="11">SUM(R21:R24)</f>
        <v>2179.5</v>
      </c>
      <c r="S20" s="734">
        <f t="shared" si="11"/>
        <v>2201</v>
      </c>
      <c r="T20" s="734">
        <f t="shared" si="11"/>
        <v>2193.3000000000002</v>
      </c>
      <c r="U20" s="734">
        <f>SUM(U22:U24)</f>
        <v>2147.3999999999996</v>
      </c>
      <c r="V20" s="734">
        <f t="shared" si="11"/>
        <v>2100.1000000000004</v>
      </c>
      <c r="W20" s="747">
        <f t="shared" si="11"/>
        <v>2128.28379646338</v>
      </c>
      <c r="X20" s="747">
        <f t="shared" si="11"/>
        <v>2147.1481662454094</v>
      </c>
      <c r="Y20" s="747">
        <f t="shared" si="11"/>
        <v>2165.6886541287622</v>
      </c>
      <c r="Z20" s="747">
        <f t="shared" si="11"/>
        <v>2183.1055332910864</v>
      </c>
      <c r="AA20" s="747">
        <f t="shared" si="11"/>
        <v>2203.6556772916761</v>
      </c>
      <c r="AB20" s="747">
        <f t="shared" si="11"/>
        <v>2226.4928070645333</v>
      </c>
      <c r="AC20" s="747">
        <f t="shared" si="11"/>
        <v>2249.5251506808277</v>
      </c>
      <c r="AD20" s="747">
        <f>SUM(AD21:AD24)</f>
        <v>2272.257058566307</v>
      </c>
      <c r="AE20" s="747">
        <f t="shared" ref="AE20:AG20" si="12">SUM(AE21:AE24)</f>
        <v>2295.9155721399502</v>
      </c>
      <c r="AF20" s="747">
        <f t="shared" si="12"/>
        <v>2319.7440930221032</v>
      </c>
      <c r="AG20" s="747">
        <f t="shared" si="12"/>
        <v>2258.1456315933178</v>
      </c>
      <c r="AH20" s="873"/>
      <c r="AI20" s="873"/>
      <c r="AJ20" s="873"/>
      <c r="AK20" s="873"/>
      <c r="AL20" s="873"/>
      <c r="AM20" s="873"/>
      <c r="AN20" s="873"/>
      <c r="AO20" s="873"/>
    </row>
    <row r="21" spans="4:55" ht="42" customHeight="1" x14ac:dyDescent="0.35">
      <c r="D21" s="921" t="s">
        <v>831</v>
      </c>
      <c r="E21" s="911"/>
      <c r="F21" s="795"/>
      <c r="G21" s="734"/>
      <c r="H21" s="734"/>
      <c r="I21" s="734"/>
      <c r="J21" s="734"/>
      <c r="K21" s="734"/>
      <c r="L21" s="734"/>
      <c r="M21" s="734"/>
      <c r="N21" s="734"/>
      <c r="O21" s="734"/>
      <c r="P21" s="734"/>
      <c r="Q21" s="366"/>
      <c r="R21" s="366"/>
      <c r="S21" s="366"/>
      <c r="T21" s="366"/>
      <c r="U21" s="366">
        <v>0</v>
      </c>
      <c r="V21" s="366"/>
      <c r="W21" s="303"/>
      <c r="X21" s="303"/>
      <c r="Y21" s="303"/>
      <c r="Z21" s="303"/>
      <c r="AA21" s="303"/>
      <c r="AB21" s="303"/>
      <c r="AC21" s="303"/>
      <c r="AD21" s="303"/>
      <c r="AE21" s="303"/>
      <c r="AF21" s="303"/>
      <c r="AG21" s="303"/>
      <c r="AH21" s="873"/>
      <c r="AI21" s="873"/>
      <c r="AJ21" s="873"/>
      <c r="AK21" s="873"/>
      <c r="AL21" s="873"/>
      <c r="AM21" s="873"/>
      <c r="AN21" s="873"/>
      <c r="AO21" s="873"/>
    </row>
    <row r="22" spans="4:55" x14ac:dyDescent="0.35">
      <c r="D22" s="499" t="s">
        <v>487</v>
      </c>
      <c r="E22" s="49" t="s">
        <v>488</v>
      </c>
      <c r="F22" s="878">
        <f>'Haver Pivoted'!GQ33</f>
        <v>529</v>
      </c>
      <c r="G22" s="804">
        <f>'Haver Pivoted'!GR33</f>
        <v>495.2</v>
      </c>
      <c r="H22" s="804">
        <f>'Haver Pivoted'!GS33</f>
        <v>489.6</v>
      </c>
      <c r="I22" s="804">
        <f>'Haver Pivoted'!GT33</f>
        <v>497.5</v>
      </c>
      <c r="J22" s="804">
        <f>'Haver Pivoted'!GU33</f>
        <v>488</v>
      </c>
      <c r="K22" s="804">
        <f>'Haver Pivoted'!GV33</f>
        <v>515.4</v>
      </c>
      <c r="L22" s="804">
        <f>'Haver Pivoted'!GW33</f>
        <v>522.9</v>
      </c>
      <c r="M22" s="804">
        <f>'Haver Pivoted'!GX33</f>
        <v>543.6</v>
      </c>
      <c r="N22" s="804">
        <f>'Haver Pivoted'!GY33</f>
        <v>566.6</v>
      </c>
      <c r="O22" s="804">
        <f>'Haver Pivoted'!GZ33</f>
        <v>534.4</v>
      </c>
      <c r="P22" s="804">
        <f>'Haver Pivoted'!HA33</f>
        <v>570.79999999999995</v>
      </c>
      <c r="Q22" s="804">
        <f>'Haver Pivoted'!HB33</f>
        <v>581.29999999999995</v>
      </c>
      <c r="R22" s="804">
        <f>'Haver Pivoted'!HC33</f>
        <v>589.79999999999995</v>
      </c>
      <c r="S22" s="804">
        <f>'Haver Pivoted'!HD33</f>
        <v>594.79999999999995</v>
      </c>
      <c r="T22" s="743">
        <f>'Haver Pivoted'!HE33</f>
        <v>582.20000000000005</v>
      </c>
      <c r="U22" s="743">
        <f>'Haver Pivoted'!HF33</f>
        <v>518.4</v>
      </c>
      <c r="V22" s="743">
        <f>'Haver Pivoted'!HG33</f>
        <v>467.6</v>
      </c>
      <c r="W22" s="748">
        <f t="shared" ref="W22:AC22" si="13">$U114*W123*(W96/$U96)+W21</f>
        <v>481.2217862546982</v>
      </c>
      <c r="X22" s="748">
        <f t="shared" si="13"/>
        <v>487.96501151464514</v>
      </c>
      <c r="Y22" s="748">
        <f t="shared" si="13"/>
        <v>493.19902632793224</v>
      </c>
      <c r="Z22" s="748">
        <f t="shared" si="13"/>
        <v>497.54680357323241</v>
      </c>
      <c r="AA22" s="748">
        <f t="shared" si="13"/>
        <v>501.95192560234352</v>
      </c>
      <c r="AB22" s="748">
        <f t="shared" si="13"/>
        <v>506.30491600980838</v>
      </c>
      <c r="AC22" s="748">
        <f t="shared" si="13"/>
        <v>510.49369180908747</v>
      </c>
      <c r="AD22" s="748">
        <f t="shared" ref="AD22:AG22" si="14">$U114*AD123*(AD96/$U96)+AD21</f>
        <v>515.06042186530215</v>
      </c>
      <c r="AE22" s="748">
        <f t="shared" si="14"/>
        <v>520.10936942174487</v>
      </c>
      <c r="AF22" s="748">
        <f t="shared" si="14"/>
        <v>525.75783062711992</v>
      </c>
      <c r="AG22" s="748">
        <f t="shared" si="14"/>
        <v>509.18518810576575</v>
      </c>
      <c r="AH22" s="873"/>
      <c r="AI22" s="873"/>
      <c r="AJ22" s="873"/>
      <c r="AK22" s="873"/>
      <c r="AL22" s="873"/>
      <c r="AM22" s="873"/>
      <c r="AN22" s="873"/>
      <c r="AO22" s="873"/>
    </row>
    <row r="23" spans="4:55" x14ac:dyDescent="0.35">
      <c r="D23" s="499" t="s">
        <v>484</v>
      </c>
      <c r="E23" s="49" t="s">
        <v>489</v>
      </c>
      <c r="F23" s="878">
        <f>'Haver Pivoted'!GQ36</f>
        <v>20.8</v>
      </c>
      <c r="G23" s="804">
        <f>'Haver Pivoted'!GR36</f>
        <v>20.7</v>
      </c>
      <c r="H23" s="804">
        <f>'Haver Pivoted'!GS36</f>
        <v>20.7</v>
      </c>
      <c r="I23" s="804">
        <f>'Haver Pivoted'!GT36</f>
        <v>20.7</v>
      </c>
      <c r="J23" s="804">
        <f>'Haver Pivoted'!GU36</f>
        <v>19.8</v>
      </c>
      <c r="K23" s="804">
        <f>'Haver Pivoted'!GV36</f>
        <v>20.5</v>
      </c>
      <c r="L23" s="804">
        <f>'Haver Pivoted'!GW36</f>
        <v>21.3</v>
      </c>
      <c r="M23" s="804">
        <f>'Haver Pivoted'!GX36</f>
        <v>22</v>
      </c>
      <c r="N23" s="804">
        <f>'Haver Pivoted'!GY36</f>
        <v>22.7</v>
      </c>
      <c r="O23" s="804">
        <f>'Haver Pivoted'!GZ36</f>
        <v>23.2</v>
      </c>
      <c r="P23" s="804">
        <f>'Haver Pivoted'!HA36</f>
        <v>23.4</v>
      </c>
      <c r="Q23" s="804">
        <f>'Haver Pivoted'!HB36</f>
        <v>23.4</v>
      </c>
      <c r="R23" s="804">
        <f>'Haver Pivoted'!HC36</f>
        <v>23.6</v>
      </c>
      <c r="S23" s="804">
        <f>'Haver Pivoted'!HD36</f>
        <v>23.9</v>
      </c>
      <c r="T23" s="743">
        <f>'Haver Pivoted'!HE36</f>
        <v>24.5</v>
      </c>
      <c r="U23" s="743">
        <f>'Haver Pivoted'!HF36</f>
        <v>25.4</v>
      </c>
      <c r="V23" s="743">
        <f>'Haver Pivoted'!HG36</f>
        <v>25.6</v>
      </c>
      <c r="W23" s="748">
        <f t="shared" ref="W23:AC23" si="15">$U115*W124*(W97/$U97)</f>
        <v>25.834668433073315</v>
      </c>
      <c r="X23" s="748">
        <f t="shared" si="15"/>
        <v>26.181109089164146</v>
      </c>
      <c r="Y23" s="748">
        <f t="shared" si="15"/>
        <v>26.482685352015174</v>
      </c>
      <c r="Z23" s="748">
        <f t="shared" si="15"/>
        <v>26.757780680319772</v>
      </c>
      <c r="AA23" s="748">
        <f t="shared" si="15"/>
        <v>27.033313710021837</v>
      </c>
      <c r="AB23" s="748">
        <f t="shared" si="15"/>
        <v>27.310597545313748</v>
      </c>
      <c r="AC23" s="748">
        <f t="shared" si="15"/>
        <v>27.5782519498615</v>
      </c>
      <c r="AD23" s="748">
        <f t="shared" ref="AD23:AG23" si="16">$U115*AD124*(AD97/$U97)</f>
        <v>27.852909576768635</v>
      </c>
      <c r="AE23" s="748">
        <f t="shared" si="16"/>
        <v>28.132600769746581</v>
      </c>
      <c r="AF23" s="748">
        <f t="shared" si="16"/>
        <v>28.422140244167412</v>
      </c>
      <c r="AG23" s="748">
        <f t="shared" si="16"/>
        <v>27.692054313201506</v>
      </c>
      <c r="AH23" s="873"/>
      <c r="AI23" s="873"/>
      <c r="AJ23" s="873"/>
      <c r="AK23" s="873"/>
      <c r="AL23" s="873"/>
      <c r="AM23" s="873"/>
      <c r="AN23" s="873"/>
      <c r="AO23" s="873"/>
    </row>
    <row r="24" spans="4:55" x14ac:dyDescent="0.35">
      <c r="D24" s="499" t="s">
        <v>485</v>
      </c>
      <c r="E24" s="49" t="s">
        <v>490</v>
      </c>
      <c r="F24" s="878">
        <f>'Haver Pivoted'!GQ34</f>
        <v>1344.8</v>
      </c>
      <c r="G24" s="804">
        <f>'Haver Pivoted'!GR34</f>
        <v>1373.3</v>
      </c>
      <c r="H24" s="804">
        <f>'Haver Pivoted'!GS34</f>
        <v>1372.7</v>
      </c>
      <c r="I24" s="804">
        <f>'Haver Pivoted'!GT34</f>
        <v>1379.3</v>
      </c>
      <c r="J24" s="804">
        <f>'Haver Pivoted'!GU34</f>
        <v>1293.8</v>
      </c>
      <c r="K24" s="804">
        <f>'Haver Pivoted'!GV34</f>
        <v>1397.4</v>
      </c>
      <c r="L24" s="804">
        <f>'Haver Pivoted'!GW34</f>
        <v>1411.4</v>
      </c>
      <c r="M24" s="804">
        <f>'Haver Pivoted'!GX34</f>
        <v>1427</v>
      </c>
      <c r="N24" s="804">
        <f>'Haver Pivoted'!GY34</f>
        <v>1499.4</v>
      </c>
      <c r="O24" s="804">
        <f>'Haver Pivoted'!GZ34</f>
        <v>1503.2</v>
      </c>
      <c r="P24" s="804">
        <f>'Haver Pivoted'!HA34</f>
        <v>1525.7</v>
      </c>
      <c r="Q24" s="804">
        <f>'Haver Pivoted'!HB34</f>
        <v>1547.7</v>
      </c>
      <c r="R24" s="804">
        <f>'Haver Pivoted'!HC34</f>
        <v>1566.1</v>
      </c>
      <c r="S24" s="804">
        <f>'Haver Pivoted'!HD34</f>
        <v>1582.3</v>
      </c>
      <c r="T24" s="743">
        <f>'Haver Pivoted'!HE34</f>
        <v>1586.6</v>
      </c>
      <c r="U24" s="743">
        <f>'Haver Pivoted'!HF34</f>
        <v>1603.6</v>
      </c>
      <c r="V24" s="743">
        <f>'Haver Pivoted'!HG34</f>
        <v>1606.9</v>
      </c>
      <c r="W24" s="748">
        <f t="shared" ref="W24:AC24" si="17">$U120*W125*(W99/$U99)</f>
        <v>1621.2273417756087</v>
      </c>
      <c r="X24" s="748">
        <f t="shared" si="17"/>
        <v>1633.0020456416</v>
      </c>
      <c r="Y24" s="748">
        <f t="shared" si="17"/>
        <v>1646.0069424488147</v>
      </c>
      <c r="Z24" s="748">
        <f t="shared" si="17"/>
        <v>1658.8009490375341</v>
      </c>
      <c r="AA24" s="748">
        <f t="shared" si="17"/>
        <v>1674.6704379793107</v>
      </c>
      <c r="AB24" s="748">
        <f t="shared" si="17"/>
        <v>1692.8772935094112</v>
      </c>
      <c r="AC24" s="748">
        <f t="shared" si="17"/>
        <v>1711.4532069218787</v>
      </c>
      <c r="AD24" s="748">
        <f t="shared" ref="AD24:AG24" si="18">$U120*AD125*(AD99/$U99)</f>
        <v>1729.343727124236</v>
      </c>
      <c r="AE24" s="748">
        <f t="shared" si="18"/>
        <v>1747.6736019484586</v>
      </c>
      <c r="AF24" s="748">
        <f t="shared" si="18"/>
        <v>1765.564122150816</v>
      </c>
      <c r="AG24" s="748">
        <f t="shared" si="18"/>
        <v>1721.2683891743504</v>
      </c>
      <c r="AH24" s="873"/>
      <c r="AI24" s="873"/>
      <c r="AJ24" s="873"/>
      <c r="AK24" s="873"/>
      <c r="AL24" s="873"/>
      <c r="AM24" s="873"/>
      <c r="AN24" s="873"/>
      <c r="AO24" s="873"/>
    </row>
    <row r="25" spans="4:55" ht="14.9" customHeight="1" x14ac:dyDescent="0.35">
      <c r="D25" s="928" t="s">
        <v>486</v>
      </c>
      <c r="E25" s="776" t="s">
        <v>491</v>
      </c>
      <c r="F25" s="796">
        <f>'Haver Pivoted'!GQ35</f>
        <v>74.5</v>
      </c>
      <c r="G25" s="816">
        <f>'Haver Pivoted'!GR35</f>
        <v>73.400000000000006</v>
      </c>
      <c r="H25" s="816">
        <f>'Haver Pivoted'!GS35</f>
        <v>72.099999999999994</v>
      </c>
      <c r="I25" s="816">
        <f>'Haver Pivoted'!GT35</f>
        <v>67.7</v>
      </c>
      <c r="J25" s="816">
        <f>'Haver Pivoted'!GU35</f>
        <v>65</v>
      </c>
      <c r="K25" s="816">
        <f>'Haver Pivoted'!GV35</f>
        <v>80.900000000000006</v>
      </c>
      <c r="L25" s="816">
        <f>'Haver Pivoted'!GW35</f>
        <v>84.8</v>
      </c>
      <c r="M25" s="816">
        <f>'Haver Pivoted'!GX35</f>
        <v>88</v>
      </c>
      <c r="N25" s="816">
        <f>'Haver Pivoted'!GY35</f>
        <v>90.3</v>
      </c>
      <c r="O25" s="816">
        <f>'Haver Pivoted'!GZ35</f>
        <v>94.4</v>
      </c>
      <c r="P25" s="816">
        <f>'Haver Pivoted'!HA35</f>
        <v>110.5</v>
      </c>
      <c r="Q25" s="816">
        <f>'Haver Pivoted'!HB35</f>
        <v>165.9</v>
      </c>
      <c r="R25" s="816">
        <f>'Haver Pivoted'!HC35</f>
        <v>109.8</v>
      </c>
      <c r="S25" s="816">
        <f>'Haver Pivoted'!HD35</f>
        <v>100.7</v>
      </c>
      <c r="T25" s="818">
        <f>'Haver Pivoted'!HE35</f>
        <v>117.1</v>
      </c>
      <c r="U25" s="746">
        <f>'Haver Pivoted'!HF35</f>
        <v>129.80000000000001</v>
      </c>
      <c r="V25" s="750">
        <f>$U121*V126*(V100/$U100)</f>
        <v>120.77299494992725</v>
      </c>
      <c r="W25" s="817">
        <f t="shared" ref="W25:AC25" si="19">$U121*W126*(W100/$U100)</f>
        <v>118.93426345972783</v>
      </c>
      <c r="X25" s="817">
        <f t="shared" si="19"/>
        <v>116.08450740392023</v>
      </c>
      <c r="Y25" s="817">
        <f t="shared" si="19"/>
        <v>116.60112984678594</v>
      </c>
      <c r="Z25" s="817">
        <f t="shared" si="19"/>
        <v>117.53993837199351</v>
      </c>
      <c r="AA25" s="817">
        <f t="shared" si="19"/>
        <v>118.70650517846445</v>
      </c>
      <c r="AB25" s="817">
        <f t="shared" si="19"/>
        <v>122.25620131815461</v>
      </c>
      <c r="AC25" s="817">
        <f t="shared" si="19"/>
        <v>126.91135838397672</v>
      </c>
      <c r="AD25" s="817">
        <f t="shared" ref="AD25:AG25" si="20">$U121*AD126*(AD100/$U100)</f>
        <v>130.80546948557733</v>
      </c>
      <c r="AE25" s="817">
        <f t="shared" si="20"/>
        <v>133.97186510314131</v>
      </c>
      <c r="AF25" s="817">
        <f t="shared" si="20"/>
        <v>136.43276555679194</v>
      </c>
      <c r="AG25" s="817">
        <f t="shared" si="20"/>
        <v>123.35055208422496</v>
      </c>
      <c r="AH25" s="873"/>
      <c r="AI25" s="873"/>
      <c r="AJ25" s="873"/>
      <c r="AK25" s="873"/>
      <c r="AL25" s="873"/>
      <c r="AM25" s="873"/>
      <c r="AN25" s="873"/>
      <c r="AO25" s="873"/>
    </row>
    <row r="26" spans="4:55" ht="14.9" customHeight="1" x14ac:dyDescent="0.35">
      <c r="D26" s="916"/>
      <c r="E26" s="911"/>
    </row>
    <row r="27" spans="4:55" ht="14.9" customHeight="1" x14ac:dyDescent="0.35">
      <c r="D27" s="916"/>
      <c r="E27" s="911"/>
      <c r="F27" s="734"/>
      <c r="G27" s="734"/>
      <c r="H27" s="734"/>
      <c r="I27" s="734"/>
      <c r="J27" s="734"/>
      <c r="K27" s="734"/>
      <c r="L27" s="734"/>
      <c r="M27" s="734"/>
      <c r="N27" s="734"/>
    </row>
    <row r="28" spans="4:55" ht="14.9" customHeight="1" x14ac:dyDescent="0.35">
      <c r="D28" s="916"/>
      <c r="E28" s="911"/>
      <c r="F28" s="734"/>
      <c r="G28" s="734"/>
      <c r="H28" s="734"/>
      <c r="I28" s="734"/>
      <c r="J28" s="734"/>
      <c r="K28" s="734"/>
      <c r="L28" s="734"/>
      <c r="M28" s="734"/>
      <c r="N28" s="734"/>
    </row>
    <row r="29" spans="4:55" ht="14.9" customHeight="1" x14ac:dyDescent="0.35">
      <c r="D29" s="916"/>
      <c r="E29" s="911"/>
      <c r="F29" s="734"/>
      <c r="G29" s="734"/>
      <c r="H29" s="734"/>
      <c r="I29" s="734"/>
      <c r="J29" s="734"/>
      <c r="K29" s="734"/>
      <c r="L29" s="734"/>
      <c r="M29" s="734"/>
      <c r="N29" s="734"/>
    </row>
    <row r="30" spans="4:55" ht="14.9" customHeight="1" x14ac:dyDescent="0.35">
      <c r="D30" s="916"/>
      <c r="E30" s="911"/>
      <c r="F30" s="734"/>
      <c r="G30" s="734"/>
      <c r="H30" s="734"/>
      <c r="I30" s="734"/>
      <c r="J30" s="734"/>
      <c r="K30" s="734"/>
      <c r="L30" s="734"/>
      <c r="M30" s="734"/>
      <c r="N30" s="734"/>
    </row>
    <row r="31" spans="4:55" ht="14.9" customHeight="1" x14ac:dyDescent="0.35">
      <c r="D31" s="916"/>
      <c r="E31" s="911"/>
      <c r="F31" s="734"/>
      <c r="G31" s="734"/>
      <c r="H31" s="734"/>
      <c r="I31" s="734"/>
      <c r="J31" s="734"/>
      <c r="K31" s="734"/>
      <c r="L31" s="734"/>
      <c r="M31" s="734"/>
      <c r="N31" s="734"/>
    </row>
    <row r="32" spans="4:55" ht="14.9" customHeight="1" x14ac:dyDescent="0.35">
      <c r="D32" s="916"/>
      <c r="E32" s="911"/>
      <c r="F32" s="734"/>
      <c r="G32" s="734"/>
      <c r="H32" s="734"/>
      <c r="I32" s="734"/>
      <c r="J32" s="734"/>
      <c r="K32" s="734"/>
      <c r="L32" s="734"/>
      <c r="M32" s="734"/>
      <c r="N32" s="734"/>
    </row>
    <row r="33" spans="3:40" ht="14.9" customHeight="1" x14ac:dyDescent="0.35">
      <c r="D33" s="916"/>
      <c r="E33" s="911"/>
      <c r="F33" s="734"/>
      <c r="G33" s="734"/>
      <c r="H33" s="734"/>
      <c r="I33" s="734"/>
      <c r="J33" s="734"/>
      <c r="K33" s="734"/>
      <c r="L33" s="734"/>
      <c r="M33" s="734"/>
      <c r="N33" s="734"/>
    </row>
    <row r="34" spans="3:40" ht="14.9" customHeight="1" x14ac:dyDescent="0.35">
      <c r="D34" s="916"/>
      <c r="E34" s="911"/>
      <c r="F34" s="935"/>
      <c r="G34" s="935"/>
      <c r="H34" s="734"/>
      <c r="I34" s="734"/>
      <c r="J34" s="734"/>
      <c r="K34" s="734"/>
      <c r="L34" s="734"/>
      <c r="AF34" s="454"/>
      <c r="AG34" s="454"/>
      <c r="AH34" s="454"/>
      <c r="AI34" s="454"/>
      <c r="AJ34" s="454"/>
      <c r="AK34" s="454"/>
      <c r="AL34" s="229"/>
      <c r="AM34" s="229"/>
      <c r="AN34" s="229"/>
    </row>
    <row r="35" spans="3:40" ht="14.9" customHeight="1" x14ac:dyDescent="0.35">
      <c r="D35" s="490"/>
      <c r="E35" s="169"/>
      <c r="F35" s="169"/>
      <c r="G35" s="169"/>
      <c r="H35" s="169"/>
      <c r="I35" s="169"/>
      <c r="J35" s="169"/>
      <c r="K35" s="169"/>
      <c r="L35" s="169"/>
      <c r="AF35" s="229"/>
      <c r="AG35" s="229"/>
      <c r="AH35" s="229"/>
      <c r="AI35" s="229"/>
      <c r="AJ35" s="229"/>
      <c r="AK35" s="229"/>
      <c r="AL35" s="229"/>
      <c r="AM35" s="229"/>
      <c r="AN35" s="229"/>
    </row>
    <row r="36" spans="3:40" ht="14.9" customHeight="1" x14ac:dyDescent="0.35">
      <c r="D36" s="1429" t="s">
        <v>924</v>
      </c>
      <c r="E36" s="1430"/>
      <c r="F36" s="1431"/>
      <c r="G36" s="474">
        <v>2020</v>
      </c>
      <c r="H36" s="474">
        <v>2021</v>
      </c>
      <c r="I36" s="473">
        <v>2022</v>
      </c>
      <c r="J36" s="778">
        <v>2023</v>
      </c>
      <c r="K36" s="778">
        <v>2024</v>
      </c>
      <c r="L36" s="779">
        <v>2025</v>
      </c>
      <c r="AF36" s="229"/>
      <c r="AG36" s="229"/>
      <c r="AH36" s="229"/>
      <c r="AI36" s="229"/>
      <c r="AJ36" s="229"/>
      <c r="AK36" s="229"/>
      <c r="AL36" s="229"/>
      <c r="AM36" s="229"/>
      <c r="AN36" s="229"/>
    </row>
    <row r="37" spans="3:40" ht="14.9" customHeight="1" x14ac:dyDescent="0.35">
      <c r="D37" s="920" t="s">
        <v>492</v>
      </c>
      <c r="E37" s="255"/>
      <c r="F37" s="766"/>
      <c r="G37" s="919">
        <f>AVERAGE(H10:K10)</f>
        <v>1702.5749999999998</v>
      </c>
      <c r="H37" s="214">
        <f>AVERAGE(L10:O10)</f>
        <v>2008.4750000000001</v>
      </c>
      <c r="I37" s="214">
        <f>AVERAGE(P10:S10)</f>
        <v>2509.8999999999996</v>
      </c>
      <c r="J37" s="214">
        <f t="shared" ref="J37:L39" si="21">I37*J50/I50</f>
        <v>2407.5881134967863</v>
      </c>
      <c r="K37" s="214">
        <f t="shared" si="21"/>
        <v>2359.7081149404758</v>
      </c>
      <c r="L37" s="328">
        <f t="shared" si="21"/>
        <v>2399.9577512637024</v>
      </c>
      <c r="M37" t="s">
        <v>907</v>
      </c>
    </row>
    <row r="38" spans="3:40" ht="14.9" customHeight="1" x14ac:dyDescent="0.35">
      <c r="D38" s="765" t="s">
        <v>498</v>
      </c>
      <c r="E38" s="188"/>
      <c r="F38" s="550"/>
      <c r="G38" s="919">
        <f>AVERAGE(H12:K12)</f>
        <v>1425.3999999999999</v>
      </c>
      <c r="H38" s="214">
        <f>AVERAGE(L12:O12)</f>
        <v>1495.1000000000001</v>
      </c>
      <c r="I38" s="214">
        <f>AVERAGE(P12:S12)</f>
        <v>1627.425</v>
      </c>
      <c r="J38" s="214">
        <f t="shared" si="21"/>
        <v>1713.8486935180104</v>
      </c>
      <c r="K38" s="214">
        <f t="shared" si="21"/>
        <v>1791.3088166806649</v>
      </c>
      <c r="L38" s="328">
        <f t="shared" si="21"/>
        <v>1867.9626463405427</v>
      </c>
    </row>
    <row r="39" spans="3:40" ht="14.9" customHeight="1" x14ac:dyDescent="0.35">
      <c r="D39" s="765" t="s">
        <v>105</v>
      </c>
      <c r="E39" s="188"/>
      <c r="F39" s="550"/>
      <c r="G39" s="919">
        <f>AVERAGE(H14:K14)</f>
        <v>161.30000000000001</v>
      </c>
      <c r="H39" s="214">
        <f>AVERAGE(L14:O14)</f>
        <v>166.42500000000001</v>
      </c>
      <c r="I39" s="214">
        <f>AVERAGE(P14:S14)</f>
        <v>200.55</v>
      </c>
      <c r="J39" s="214">
        <f t="shared" si="21"/>
        <v>202.68351063829786</v>
      </c>
      <c r="K39" s="214">
        <f t="shared" si="21"/>
        <v>211.21755319148934</v>
      </c>
      <c r="L39" s="328">
        <f t="shared" si="21"/>
        <v>211.21755319148934</v>
      </c>
    </row>
    <row r="40" spans="3:40" ht="14.9" customHeight="1" x14ac:dyDescent="0.35">
      <c r="D40" s="765" t="s">
        <v>258</v>
      </c>
      <c r="E40" s="188"/>
      <c r="F40" s="550"/>
      <c r="G40" s="919">
        <f>AVERAGE(H16:K16)</f>
        <v>201.37499999999997</v>
      </c>
      <c r="H40" s="214">
        <f>AVERAGE(L16:O16)</f>
        <v>258.97500000000002</v>
      </c>
      <c r="I40" s="214">
        <f>AVERAGE(P16:S16)</f>
        <v>328.1</v>
      </c>
      <c r="J40" s="214">
        <f>I40*J55/I55</f>
        <v>367.10824328554583</v>
      </c>
      <c r="K40" s="214">
        <f>J40*K55/J55</f>
        <v>369.53076539246399</v>
      </c>
      <c r="L40" s="328">
        <f>K40*L55/K55</f>
        <v>377.3103279379194</v>
      </c>
    </row>
    <row r="41" spans="3:40" ht="14.9" customHeight="1" x14ac:dyDescent="0.35">
      <c r="C41" s="35"/>
      <c r="D41" s="765" t="s">
        <v>920</v>
      </c>
      <c r="E41" s="35"/>
      <c r="F41" s="602"/>
      <c r="G41" s="202"/>
      <c r="H41" s="882">
        <f>H37/G37-1+0.021</f>
        <v>0.20066903073286077</v>
      </c>
      <c r="I41" s="882">
        <f>I37/H37-1.05</f>
        <v>0.19965458868046615</v>
      </c>
      <c r="J41" s="882">
        <f>J37/I37-1</f>
        <v>-4.0763331807328385E-2</v>
      </c>
      <c r="K41" s="882">
        <f>K37/J37-1</f>
        <v>-1.9887122007247959E-2</v>
      </c>
      <c r="L41" s="883">
        <f>L37/K37-1</f>
        <v>1.705704026205046E-2</v>
      </c>
      <c r="M41" t="s">
        <v>906</v>
      </c>
    </row>
    <row r="42" spans="3:40" ht="14.9" customHeight="1" x14ac:dyDescent="0.35">
      <c r="C42" s="35"/>
      <c r="D42" s="765" t="s">
        <v>921</v>
      </c>
      <c r="E42" s="35"/>
      <c r="F42" s="602"/>
      <c r="G42" s="202"/>
      <c r="H42" s="882">
        <f>H38/G38-1.03</f>
        <v>1.8898554791637601E-2</v>
      </c>
      <c r="I42" s="882">
        <f>I38/H38-1.013</f>
        <v>7.5505785566182926E-2</v>
      </c>
      <c r="J42" s="884">
        <f>J38/I38-1</f>
        <v>5.3104563047765785E-2</v>
      </c>
      <c r="K42" s="882">
        <f t="shared" ref="K42" si="22">K38/J38-1</f>
        <v>4.5196593757441006E-2</v>
      </c>
      <c r="L42" s="883">
        <f>L38/K38-1</f>
        <v>4.2792079705116892E-2</v>
      </c>
      <c r="M42" t="s">
        <v>908</v>
      </c>
    </row>
    <row r="43" spans="3:40" ht="14.9" customHeight="1" x14ac:dyDescent="0.35">
      <c r="C43" s="35"/>
      <c r="D43" s="765" t="s">
        <v>922</v>
      </c>
      <c r="E43" s="35"/>
      <c r="F43" s="602"/>
      <c r="G43" s="202"/>
      <c r="H43" s="882">
        <f t="shared" ref="H43:H44" si="23">H39/G39-1</f>
        <v>3.1773093614383185E-2</v>
      </c>
      <c r="I43" s="882">
        <f>I39/H39-1.01</f>
        <v>0.19504731861198743</v>
      </c>
      <c r="J43" s="882">
        <f>J39/I39-1</f>
        <v>1.0638297872340274E-2</v>
      </c>
      <c r="K43" s="882">
        <f t="shared" ref="K43" si="24">K39/J39-1</f>
        <v>4.2105263157894646E-2</v>
      </c>
      <c r="L43" s="883">
        <f>L39/K39-1</f>
        <v>0</v>
      </c>
    </row>
    <row r="44" spans="3:40" ht="14.9" customHeight="1" x14ac:dyDescent="0.35">
      <c r="C44" s="35"/>
      <c r="D44" s="885" t="s">
        <v>923</v>
      </c>
      <c r="E44" s="36"/>
      <c r="F44" s="398"/>
      <c r="G44" s="322"/>
      <c r="H44" s="886">
        <f t="shared" si="23"/>
        <v>0.28603351955307299</v>
      </c>
      <c r="I44" s="886">
        <f>I40/H40-1.103</f>
        <v>0.16391765614441556</v>
      </c>
      <c r="J44" s="886">
        <f>J40/I40-1</f>
        <v>0.11889132363775001</v>
      </c>
      <c r="K44" s="886">
        <f>K40/J40-1</f>
        <v>6.5989313812109263E-3</v>
      </c>
      <c r="L44" s="887">
        <f>L40/K40-1</f>
        <v>2.1052543587793071E-2</v>
      </c>
    </row>
    <row r="45" spans="3:40" ht="14.9" customHeight="1" x14ac:dyDescent="0.35">
      <c r="D45" s="916"/>
      <c r="E45" s="911"/>
      <c r="F45" s="935"/>
      <c r="G45" s="935"/>
      <c r="H45" s="734"/>
      <c r="I45" s="734"/>
      <c r="J45" s="734"/>
      <c r="K45" s="734"/>
      <c r="L45" s="734"/>
    </row>
    <row r="46" spans="3:40" ht="14.9" customHeight="1" x14ac:dyDescent="0.35">
      <c r="D46" s="916"/>
      <c r="E46" s="911"/>
      <c r="F46" s="935"/>
      <c r="G46" s="935"/>
      <c r="H46" s="734"/>
      <c r="I46" s="734"/>
      <c r="J46" s="801"/>
      <c r="K46" s="734"/>
      <c r="L46" s="734"/>
    </row>
    <row r="47" spans="3:40" ht="14.9" customHeight="1" x14ac:dyDescent="0.35">
      <c r="D47" s="916"/>
      <c r="E47" s="911"/>
      <c r="F47" s="935"/>
      <c r="G47" s="935"/>
      <c r="H47" s="734"/>
      <c r="I47" s="734"/>
      <c r="J47" s="734"/>
      <c r="K47" s="734"/>
      <c r="L47" s="734"/>
    </row>
    <row r="48" spans="3:40" ht="41.9" customHeight="1" x14ac:dyDescent="0.35">
      <c r="F48" s="202"/>
      <c r="G48" s="202"/>
      <c r="H48" s="699"/>
      <c r="I48" s="699"/>
      <c r="J48" s="699"/>
      <c r="K48" s="699"/>
      <c r="L48" s="699"/>
      <c r="M48" s="249"/>
      <c r="N48" s="249"/>
      <c r="AF48" s="699"/>
      <c r="AG48" s="699"/>
      <c r="AH48" s="699"/>
      <c r="AI48" s="699"/>
      <c r="AJ48" s="699"/>
      <c r="AK48" s="699"/>
      <c r="AM48" s="699"/>
      <c r="AN48" s="699"/>
    </row>
    <row r="49" spans="4:26" ht="30.75" customHeight="1" x14ac:dyDescent="0.35">
      <c r="D49" s="857" t="s">
        <v>1907</v>
      </c>
      <c r="E49" s="649">
        <v>2018</v>
      </c>
      <c r="F49" s="858">
        <v>2019</v>
      </c>
      <c r="G49" s="858">
        <v>2020</v>
      </c>
      <c r="H49" s="858">
        <v>2021</v>
      </c>
      <c r="I49" s="859">
        <v>2022</v>
      </c>
      <c r="J49" s="860">
        <v>2023</v>
      </c>
      <c r="K49" s="860">
        <v>2024</v>
      </c>
      <c r="L49" s="861">
        <v>2025</v>
      </c>
      <c r="N49" s="777"/>
      <c r="O49" s="193"/>
    </row>
    <row r="50" spans="4:26" ht="30.75" customHeight="1" x14ac:dyDescent="0.35">
      <c r="D50" s="863" t="s">
        <v>1906</v>
      </c>
      <c r="E50" s="864">
        <v>1683.5</v>
      </c>
      <c r="F50" s="864">
        <v>1717.9</v>
      </c>
      <c r="G50" s="864">
        <v>1609</v>
      </c>
      <c r="H50" s="331">
        <v>2044.377</v>
      </c>
      <c r="I50" s="421">
        <v>2632.145</v>
      </c>
      <c r="J50" s="232">
        <v>2524.85</v>
      </c>
      <c r="K50" s="232">
        <v>2474.6379999999999</v>
      </c>
      <c r="L50" s="232">
        <v>2516.848</v>
      </c>
      <c r="M50" s="786" t="s">
        <v>493</v>
      </c>
      <c r="N50" s="777"/>
      <c r="O50" s="193"/>
    </row>
    <row r="51" spans="4:26" ht="16.5" customHeight="1" x14ac:dyDescent="0.35">
      <c r="D51" s="782" t="s">
        <v>1908</v>
      </c>
      <c r="E51" s="862">
        <v>1170.7</v>
      </c>
      <c r="F51" s="862">
        <v>1243.4000000000001</v>
      </c>
      <c r="G51" s="862">
        <v>1310</v>
      </c>
      <c r="H51" s="806">
        <v>1314.088</v>
      </c>
      <c r="I51" s="214">
        <v>1483.5260000000001</v>
      </c>
      <c r="J51" s="232">
        <v>1562.308</v>
      </c>
      <c r="K51" s="232">
        <v>1632.9190000000001</v>
      </c>
      <c r="L51" s="232">
        <v>1702.7950000000001</v>
      </c>
      <c r="M51" s="786"/>
      <c r="N51" s="772"/>
      <c r="O51" s="924"/>
      <c r="P51" s="769"/>
    </row>
    <row r="52" spans="4:26" x14ac:dyDescent="0.35">
      <c r="D52" s="250" t="s">
        <v>495</v>
      </c>
      <c r="E52" s="806">
        <f t="shared" ref="E52:L52" si="25">E53+E54</f>
        <v>136.30000000000001</v>
      </c>
      <c r="F52" s="806">
        <f t="shared" si="25"/>
        <v>170.6</v>
      </c>
      <c r="G52" s="806">
        <f t="shared" si="25"/>
        <v>156</v>
      </c>
      <c r="H52" s="806">
        <f t="shared" si="25"/>
        <v>155.25900000000001</v>
      </c>
      <c r="I52" s="806">
        <f t="shared" si="25"/>
        <v>188</v>
      </c>
      <c r="J52" s="895">
        <f t="shared" si="25"/>
        <v>190</v>
      </c>
      <c r="K52" s="806">
        <f t="shared" si="25"/>
        <v>198</v>
      </c>
      <c r="L52" s="896">
        <f t="shared" si="25"/>
        <v>198</v>
      </c>
      <c r="N52" s="169"/>
      <c r="P52" s="773"/>
      <c r="Q52" s="773"/>
      <c r="R52" s="773"/>
      <c r="S52" s="773"/>
      <c r="T52" s="773"/>
      <c r="U52" s="773"/>
      <c r="V52" s="773"/>
      <c r="W52" s="773"/>
    </row>
    <row r="53" spans="4:26" x14ac:dyDescent="0.35">
      <c r="D53" s="640" t="s">
        <v>1804</v>
      </c>
      <c r="E53" s="862">
        <v>95</v>
      </c>
      <c r="F53" s="862">
        <v>99.8</v>
      </c>
      <c r="G53" s="862">
        <v>87</v>
      </c>
      <c r="H53" s="806">
        <v>75.274000000000001</v>
      </c>
      <c r="I53" s="867">
        <v>88</v>
      </c>
      <c r="J53" s="868">
        <v>91</v>
      </c>
      <c r="K53" s="867">
        <v>101</v>
      </c>
      <c r="L53" s="869">
        <v>100</v>
      </c>
      <c r="N53" s="169"/>
      <c r="P53" s="773"/>
      <c r="Q53" s="773"/>
      <c r="R53" s="773"/>
      <c r="S53" s="773"/>
      <c r="T53" s="773"/>
      <c r="U53" s="773"/>
      <c r="V53" s="773"/>
      <c r="W53" s="773"/>
    </row>
    <row r="54" spans="4:26" ht="16.5" customHeight="1" x14ac:dyDescent="0.35">
      <c r="D54" s="499" t="s">
        <v>1805</v>
      </c>
      <c r="E54" s="862">
        <v>41.3</v>
      </c>
      <c r="F54" s="862">
        <v>70.8</v>
      </c>
      <c r="G54" s="862">
        <v>69</v>
      </c>
      <c r="H54" s="806">
        <v>79.984999999999999</v>
      </c>
      <c r="I54" s="867">
        <v>100</v>
      </c>
      <c r="J54" s="868">
        <v>99</v>
      </c>
      <c r="K54" s="867">
        <v>97</v>
      </c>
      <c r="L54" s="869">
        <v>98</v>
      </c>
      <c r="M54" s="936"/>
      <c r="N54" s="936"/>
      <c r="O54" s="771"/>
      <c r="P54" s="769"/>
      <c r="Q54" s="769"/>
      <c r="R54" s="769"/>
      <c r="S54" s="769"/>
      <c r="T54" s="769"/>
      <c r="U54" s="769"/>
      <c r="V54" s="769"/>
      <c r="W54" s="769"/>
      <c r="X54" s="936"/>
      <c r="Y54" s="936"/>
      <c r="Z54" s="770"/>
    </row>
    <row r="55" spans="4:26" ht="16.5" customHeight="1" x14ac:dyDescent="0.35">
      <c r="D55" s="865" t="s">
        <v>1909</v>
      </c>
      <c r="E55" s="866">
        <v>204.7</v>
      </c>
      <c r="F55" s="866">
        <v>230.2</v>
      </c>
      <c r="G55" s="866">
        <v>212</v>
      </c>
      <c r="H55" s="906">
        <v>371.83100000000002</v>
      </c>
      <c r="I55" s="458">
        <v>424.86700000000002</v>
      </c>
      <c r="J55" s="232">
        <v>475.38</v>
      </c>
      <c r="K55" s="232">
        <v>478.517</v>
      </c>
      <c r="L55" s="232">
        <v>488.59100000000001</v>
      </c>
      <c r="M55" s="936"/>
      <c r="N55" s="936"/>
      <c r="O55" s="771"/>
      <c r="P55" s="769"/>
      <c r="Q55" s="769"/>
      <c r="R55" s="769"/>
      <c r="S55" s="769"/>
      <c r="T55" s="769"/>
      <c r="U55" s="769"/>
      <c r="V55" s="769"/>
      <c r="W55" s="769"/>
      <c r="X55" s="936"/>
      <c r="Y55" s="936"/>
      <c r="Z55" s="770"/>
    </row>
    <row r="56" spans="4:26" ht="16.5" customHeight="1" x14ac:dyDescent="0.35"/>
    <row r="57" spans="4:26" x14ac:dyDescent="0.35">
      <c r="D57" s="929" t="s">
        <v>496</v>
      </c>
      <c r="E57" s="736">
        <v>2018</v>
      </c>
      <c r="F57" s="737">
        <v>2019</v>
      </c>
      <c r="G57" s="738">
        <v>2020</v>
      </c>
      <c r="H57" s="737">
        <v>2021</v>
      </c>
      <c r="I57" s="737">
        <v>2022</v>
      </c>
      <c r="J57" s="778">
        <v>2023</v>
      </c>
      <c r="K57" s="778">
        <v>2024</v>
      </c>
      <c r="L57" s="779">
        <v>2025</v>
      </c>
      <c r="O57" s="490" t="s">
        <v>497</v>
      </c>
    </row>
    <row r="58" spans="4:26" ht="14.9" customHeight="1" x14ac:dyDescent="0.35">
      <c r="D58" s="931" t="s">
        <v>492</v>
      </c>
      <c r="E58" s="188">
        <v>1622</v>
      </c>
      <c r="F58" s="188">
        <v>1687</v>
      </c>
      <c r="G58" s="926">
        <f t="shared" ref="G58:L61" si="26">G37</f>
        <v>1702.5749999999998</v>
      </c>
      <c r="H58" s="926">
        <f t="shared" si="26"/>
        <v>2008.4750000000001</v>
      </c>
      <c r="I58" s="926">
        <f t="shared" si="26"/>
        <v>2509.8999999999996</v>
      </c>
      <c r="J58" s="926">
        <f t="shared" si="26"/>
        <v>2407.5881134967863</v>
      </c>
      <c r="K58" s="926">
        <f t="shared" si="26"/>
        <v>2359.7081149404758</v>
      </c>
      <c r="L58" s="926">
        <f t="shared" si="26"/>
        <v>2399.9577512637024</v>
      </c>
    </row>
    <row r="59" spans="4:26" x14ac:dyDescent="0.35">
      <c r="D59" s="931" t="s">
        <v>498</v>
      </c>
      <c r="E59" s="188">
        <v>1332</v>
      </c>
      <c r="F59" s="188">
        <v>1388</v>
      </c>
      <c r="G59" s="926">
        <f t="shared" si="26"/>
        <v>1425.3999999999999</v>
      </c>
      <c r="H59" s="926">
        <f t="shared" si="26"/>
        <v>1495.1000000000001</v>
      </c>
      <c r="I59" s="926">
        <f t="shared" si="26"/>
        <v>1627.425</v>
      </c>
      <c r="J59" s="926">
        <f t="shared" si="26"/>
        <v>1713.8486935180104</v>
      </c>
      <c r="K59" s="926">
        <f t="shared" si="26"/>
        <v>1791.3088166806649</v>
      </c>
      <c r="L59" s="926">
        <f t="shared" si="26"/>
        <v>1867.9626463405427</v>
      </c>
      <c r="N59" s="934"/>
    </row>
    <row r="60" spans="4:26" x14ac:dyDescent="0.35">
      <c r="D60" s="931" t="s">
        <v>105</v>
      </c>
      <c r="E60" s="188">
        <v>150</v>
      </c>
      <c r="F60" s="188">
        <v>175</v>
      </c>
      <c r="G60" s="926">
        <f t="shared" si="26"/>
        <v>161.30000000000001</v>
      </c>
      <c r="H60" s="926">
        <f t="shared" si="26"/>
        <v>166.42500000000001</v>
      </c>
      <c r="I60" s="926">
        <f t="shared" si="26"/>
        <v>200.55</v>
      </c>
      <c r="J60" s="926">
        <f t="shared" si="26"/>
        <v>202.68351063829786</v>
      </c>
      <c r="K60" s="926">
        <f t="shared" si="26"/>
        <v>211.21755319148934</v>
      </c>
      <c r="L60" s="926">
        <f t="shared" si="26"/>
        <v>211.21755319148934</v>
      </c>
      <c r="N60" s="934"/>
    </row>
    <row r="61" spans="4:26" x14ac:dyDescent="0.35">
      <c r="D61" s="930" t="s">
        <v>258</v>
      </c>
      <c r="E61" s="543">
        <v>208</v>
      </c>
      <c r="F61" s="543">
        <v>219</v>
      </c>
      <c r="G61" s="800">
        <f t="shared" si="26"/>
        <v>201.37499999999997</v>
      </c>
      <c r="H61" s="800">
        <f t="shared" si="26"/>
        <v>258.97500000000002</v>
      </c>
      <c r="I61" s="800">
        <f t="shared" si="26"/>
        <v>328.1</v>
      </c>
      <c r="J61" s="800">
        <f t="shared" si="26"/>
        <v>367.10824328554583</v>
      </c>
      <c r="K61" s="800">
        <f t="shared" si="26"/>
        <v>369.53076539246399</v>
      </c>
      <c r="L61" s="800">
        <f t="shared" si="26"/>
        <v>377.3103279379194</v>
      </c>
      <c r="O61" s="1298" t="s">
        <v>901</v>
      </c>
      <c r="P61" s="1298" t="s">
        <v>901</v>
      </c>
      <c r="Q61" s="1298" t="s">
        <v>901</v>
      </c>
      <c r="R61" s="1298" t="s">
        <v>901</v>
      </c>
      <c r="S61" s="1298" t="s">
        <v>901</v>
      </c>
      <c r="T61" s="1298" t="s">
        <v>901</v>
      </c>
      <c r="U61" s="1298" t="s">
        <v>901</v>
      </c>
      <c r="V61" s="1299" t="s">
        <v>901</v>
      </c>
    </row>
    <row r="62" spans="4:26" ht="14.9" customHeight="1" x14ac:dyDescent="0.35">
      <c r="D62" s="231"/>
      <c r="E62" s="188"/>
      <c r="F62" s="188"/>
      <c r="G62" s="188"/>
      <c r="P62" s="1285">
        <v>2022</v>
      </c>
      <c r="Q62" s="1286">
        <v>2022</v>
      </c>
      <c r="R62" s="1286">
        <v>2022</v>
      </c>
      <c r="S62" s="1287">
        <v>2022</v>
      </c>
    </row>
    <row r="63" spans="4:26" ht="17.25" customHeight="1" x14ac:dyDescent="0.35">
      <c r="D63" s="437" t="s">
        <v>500</v>
      </c>
      <c r="E63" s="188"/>
      <c r="F63" s="188"/>
      <c r="G63" s="188"/>
      <c r="P63" s="113" t="s">
        <v>902</v>
      </c>
      <c r="Q63" s="113" t="s">
        <v>903</v>
      </c>
      <c r="R63" s="113" t="s">
        <v>904</v>
      </c>
      <c r="S63" s="113" t="s">
        <v>905</v>
      </c>
      <c r="T63" s="123" t="s">
        <v>919</v>
      </c>
    </row>
    <row r="64" spans="4:26" ht="30" customHeight="1" x14ac:dyDescent="0.35">
      <c r="D64" s="797" t="s">
        <v>501</v>
      </c>
      <c r="E64" s="737">
        <v>2018</v>
      </c>
      <c r="F64" s="737">
        <v>2019</v>
      </c>
      <c r="G64" s="738">
        <v>2020</v>
      </c>
      <c r="H64" s="649">
        <v>2021</v>
      </c>
      <c r="I64" s="650">
        <v>2022</v>
      </c>
      <c r="J64" s="780">
        <v>2023</v>
      </c>
      <c r="K64" s="780">
        <v>2024</v>
      </c>
      <c r="L64" s="781">
        <v>2025</v>
      </c>
      <c r="O64" s="30" t="s">
        <v>499</v>
      </c>
      <c r="P64" s="104">
        <v>2973</v>
      </c>
      <c r="Q64" s="104">
        <v>3062.8</v>
      </c>
      <c r="R64" s="104">
        <v>3085.2</v>
      </c>
      <c r="S64" s="106">
        <v>2106.1999999999998</v>
      </c>
      <c r="T64" s="104">
        <v>3123.2</v>
      </c>
    </row>
    <row r="65" spans="4:20" x14ac:dyDescent="0.35">
      <c r="D65" s="931" t="s">
        <v>492</v>
      </c>
      <c r="E65" s="435">
        <f t="shared" ref="E65:K67" si="27">E58/E50</f>
        <v>0.96346896346896349</v>
      </c>
      <c r="F65" s="435">
        <f t="shared" si="27"/>
        <v>0.98201292275452579</v>
      </c>
      <c r="G65" s="435">
        <f t="shared" si="27"/>
        <v>1.0581572405220632</v>
      </c>
      <c r="H65" s="912">
        <f t="shared" si="27"/>
        <v>0.98243865979709233</v>
      </c>
      <c r="I65" s="913">
        <f t="shared" si="27"/>
        <v>0.9535568899129796</v>
      </c>
      <c r="J65" s="913">
        <f t="shared" si="27"/>
        <v>0.95355688991297949</v>
      </c>
      <c r="K65" s="913">
        <f t="shared" si="27"/>
        <v>0.95355688991297949</v>
      </c>
      <c r="L65" s="914"/>
      <c r="T65" s="193"/>
    </row>
    <row r="66" spans="4:20" x14ac:dyDescent="0.35">
      <c r="D66" s="931" t="s">
        <v>498</v>
      </c>
      <c r="E66" s="435">
        <f t="shared" si="27"/>
        <v>1.1377808148970701</v>
      </c>
      <c r="F66" s="435">
        <f t="shared" si="27"/>
        <v>1.1162940324915553</v>
      </c>
      <c r="G66" s="435">
        <f t="shared" si="27"/>
        <v>1.0880916030534351</v>
      </c>
      <c r="H66" s="888">
        <f t="shared" si="27"/>
        <v>1.1377472437157938</v>
      </c>
      <c r="I66" s="435">
        <f t="shared" si="27"/>
        <v>1.0969979629612152</v>
      </c>
      <c r="J66" s="435">
        <f t="shared" si="27"/>
        <v>1.0969979629612152</v>
      </c>
      <c r="K66" s="435">
        <f t="shared" si="27"/>
        <v>1.0969979629612154</v>
      </c>
      <c r="L66" s="602"/>
    </row>
    <row r="67" spans="4:20" x14ac:dyDescent="0.35">
      <c r="D67" s="931" t="s">
        <v>105</v>
      </c>
      <c r="E67" s="435">
        <f t="shared" si="27"/>
        <v>1.1005135730007336</v>
      </c>
      <c r="F67" s="435">
        <f t="shared" si="27"/>
        <v>1.0257913247362251</v>
      </c>
      <c r="G67" s="435">
        <f t="shared" si="27"/>
        <v>1.0339743589743591</v>
      </c>
      <c r="H67" s="888">
        <f t="shared" si="27"/>
        <v>1.0719185361235097</v>
      </c>
      <c r="I67" s="435">
        <f t="shared" si="27"/>
        <v>1.0667553191489363</v>
      </c>
      <c r="J67" s="435">
        <f t="shared" si="27"/>
        <v>1.0667553191489361</v>
      </c>
      <c r="K67" s="435">
        <f t="shared" si="27"/>
        <v>1.0667553191489361</v>
      </c>
      <c r="L67" s="602"/>
    </row>
    <row r="68" spans="4:20" x14ac:dyDescent="0.35">
      <c r="D68" s="930" t="s">
        <v>258</v>
      </c>
      <c r="E68" s="890">
        <f t="shared" ref="E68:K68" si="28">E61/E55</f>
        <v>1.0161211529066927</v>
      </c>
      <c r="F68" s="890">
        <f t="shared" si="28"/>
        <v>0.95134665508253702</v>
      </c>
      <c r="G68" s="890">
        <f t="shared" si="28"/>
        <v>0.94988207547169801</v>
      </c>
      <c r="H68" s="889">
        <f t="shared" si="28"/>
        <v>0.69648576907250881</v>
      </c>
      <c r="I68" s="890">
        <f t="shared" si="28"/>
        <v>0.77224166621554513</v>
      </c>
      <c r="J68" s="890">
        <f t="shared" si="28"/>
        <v>0.77224166621554513</v>
      </c>
      <c r="K68" s="890">
        <f t="shared" si="28"/>
        <v>0.77224166621554513</v>
      </c>
      <c r="L68" s="398"/>
    </row>
    <row r="70" spans="4:20" x14ac:dyDescent="0.35">
      <c r="D70" s="231"/>
      <c r="E70" s="188"/>
      <c r="F70" s="188"/>
      <c r="G70" s="188"/>
    </row>
    <row r="71" spans="4:20" x14ac:dyDescent="0.35">
      <c r="D71" s="202" t="s">
        <v>502</v>
      </c>
    </row>
    <row r="72" spans="4:20" x14ac:dyDescent="0.35">
      <c r="D72" s="590"/>
      <c r="E72" s="649">
        <v>2018</v>
      </c>
      <c r="F72" s="858">
        <v>2019</v>
      </c>
      <c r="G72" s="858">
        <v>2020</v>
      </c>
      <c r="H72" s="880">
        <v>2021</v>
      </c>
      <c r="I72" s="858">
        <v>2022</v>
      </c>
      <c r="J72" s="870">
        <v>2023</v>
      </c>
      <c r="K72" s="870">
        <v>2024</v>
      </c>
      <c r="L72" s="783">
        <v>2025</v>
      </c>
    </row>
    <row r="73" spans="4:20" x14ac:dyDescent="0.35">
      <c r="D73" s="542" t="s">
        <v>1917</v>
      </c>
      <c r="E73" s="331">
        <v>14016.099999999999</v>
      </c>
      <c r="F73" s="331">
        <v>14604.2</v>
      </c>
      <c r="G73" s="331">
        <v>14711.300000000001</v>
      </c>
      <c r="H73" s="740">
        <v>20725.8</v>
      </c>
      <c r="I73" s="696">
        <v>21482.5</v>
      </c>
      <c r="J73" s="401">
        <v>22726.400000000001</v>
      </c>
      <c r="K73" s="401">
        <v>23961.3</v>
      </c>
      <c r="L73" s="401">
        <v>24922.3</v>
      </c>
    </row>
    <row r="74" spans="4:20" x14ac:dyDescent="0.35">
      <c r="D74" s="765" t="s">
        <v>1918</v>
      </c>
      <c r="E74" s="188">
        <v>8804</v>
      </c>
      <c r="F74" s="188">
        <v>9209</v>
      </c>
      <c r="G74" s="806">
        <v>9300</v>
      </c>
      <c r="H74" s="739">
        <v>10082.5</v>
      </c>
      <c r="I74" s="401">
        <v>10994.5</v>
      </c>
      <c r="J74" s="401">
        <v>11602</v>
      </c>
      <c r="K74" s="401">
        <v>12160.7</v>
      </c>
      <c r="L74" s="401">
        <v>12665.5</v>
      </c>
    </row>
    <row r="75" spans="4:20" x14ac:dyDescent="0.35">
      <c r="D75" s="765" t="s">
        <v>1919</v>
      </c>
      <c r="E75" s="188">
        <v>13844</v>
      </c>
      <c r="F75" s="188">
        <v>14403</v>
      </c>
      <c r="G75" s="806">
        <v>14201</v>
      </c>
      <c r="H75" s="739">
        <v>15279.9</v>
      </c>
      <c r="I75" s="401">
        <v>17042.8</v>
      </c>
      <c r="J75" s="401">
        <v>18146.8</v>
      </c>
      <c r="K75" s="401">
        <v>18813</v>
      </c>
      <c r="L75" s="401">
        <v>19578</v>
      </c>
    </row>
    <row r="76" spans="4:20" x14ac:dyDescent="0.35">
      <c r="D76" s="885" t="s">
        <v>1920</v>
      </c>
      <c r="E76" s="906">
        <v>2211</v>
      </c>
      <c r="F76" s="906">
        <v>2243</v>
      </c>
      <c r="G76" s="906">
        <v>2125</v>
      </c>
      <c r="H76" s="871">
        <v>2678.6</v>
      </c>
      <c r="I76" s="767">
        <v>2926.6</v>
      </c>
      <c r="J76" s="401">
        <v>2739.6</v>
      </c>
      <c r="K76" s="401">
        <v>2592.5</v>
      </c>
      <c r="L76" s="401">
        <v>2835.6</v>
      </c>
    </row>
    <row r="78" spans="4:20" x14ac:dyDescent="0.35">
      <c r="D78" s="202" t="s">
        <v>506</v>
      </c>
    </row>
    <row r="79" spans="4:20" x14ac:dyDescent="0.35">
      <c r="D79" s="929" t="s">
        <v>507</v>
      </c>
      <c r="E79" s="650">
        <v>2018</v>
      </c>
      <c r="F79" s="881">
        <v>2019</v>
      </c>
      <c r="G79" s="881">
        <v>2020</v>
      </c>
      <c r="H79" s="880">
        <v>2021</v>
      </c>
      <c r="I79" s="881">
        <v>2022</v>
      </c>
      <c r="J79" s="774">
        <v>2023</v>
      </c>
      <c r="K79" s="774">
        <v>2024</v>
      </c>
      <c r="L79" s="783">
        <v>2025</v>
      </c>
    </row>
    <row r="80" spans="4:20" x14ac:dyDescent="0.35">
      <c r="D80" s="787" t="s">
        <v>492</v>
      </c>
      <c r="E80" s="915">
        <f t="shared" ref="E80:L82" si="29">E50/E73</f>
        <v>0.12011187134794987</v>
      </c>
      <c r="F80" s="898">
        <f t="shared" si="29"/>
        <v>0.11763054463784391</v>
      </c>
      <c r="G80" s="897">
        <f t="shared" si="29"/>
        <v>0.10937170746297063</v>
      </c>
      <c r="H80" s="898">
        <f t="shared" si="29"/>
        <v>9.8639232261239621E-2</v>
      </c>
      <c r="I80" s="898">
        <f t="shared" si="29"/>
        <v>0.12252507855231001</v>
      </c>
      <c r="J80" s="898">
        <f t="shared" si="29"/>
        <v>0.11109766615038016</v>
      </c>
      <c r="K80" s="898">
        <f t="shared" si="29"/>
        <v>0.10327644994219846</v>
      </c>
      <c r="L80" s="897">
        <f t="shared" si="29"/>
        <v>0.10098779005147999</v>
      </c>
    </row>
    <row r="81" spans="4:33" x14ac:dyDescent="0.35">
      <c r="D81" s="787" t="s">
        <v>494</v>
      </c>
      <c r="E81" s="907">
        <f t="shared" si="29"/>
        <v>0.13297364834166289</v>
      </c>
      <c r="F81" s="754">
        <f t="shared" si="29"/>
        <v>0.13502008904332718</v>
      </c>
      <c r="G81" s="805">
        <f t="shared" si="29"/>
        <v>0.14086021505376345</v>
      </c>
      <c r="H81" s="754">
        <f t="shared" si="29"/>
        <v>0.1303335482271262</v>
      </c>
      <c r="I81" s="754">
        <f t="shared" si="29"/>
        <v>0.1349334667333667</v>
      </c>
      <c r="J81" s="754">
        <f t="shared" si="29"/>
        <v>0.13465850715393898</v>
      </c>
      <c r="K81" s="754">
        <f t="shared" si="29"/>
        <v>0.13427837213318311</v>
      </c>
      <c r="L81" s="805">
        <f t="shared" si="29"/>
        <v>0.13444356717066047</v>
      </c>
    </row>
    <row r="82" spans="4:33" x14ac:dyDescent="0.35">
      <c r="D82" s="765" t="s">
        <v>508</v>
      </c>
      <c r="E82" s="907">
        <f t="shared" si="29"/>
        <v>9.8454203987286912E-3</v>
      </c>
      <c r="F82" s="754">
        <f t="shared" si="29"/>
        <v>1.1844754565021176E-2</v>
      </c>
      <c r="G82" s="805">
        <f t="shared" si="29"/>
        <v>1.0985141891416098E-2</v>
      </c>
      <c r="H82" s="754">
        <f t="shared" si="29"/>
        <v>1.016099581803546E-2</v>
      </c>
      <c r="I82" s="754">
        <f t="shared" si="29"/>
        <v>1.1031051235712443E-2</v>
      </c>
      <c r="J82" s="754">
        <f t="shared" si="29"/>
        <v>1.0470165538827783E-2</v>
      </c>
      <c r="K82" s="754">
        <f t="shared" si="29"/>
        <v>1.0524637218944347E-2</v>
      </c>
      <c r="L82" s="805">
        <f t="shared" si="29"/>
        <v>1.0113392583512106E-2</v>
      </c>
    </row>
    <row r="83" spans="4:33" x14ac:dyDescent="0.35">
      <c r="D83" s="788" t="s">
        <v>106</v>
      </c>
      <c r="E83" s="891">
        <f t="shared" ref="E83:L83" si="30">E55/E76</f>
        <v>9.258254183627318E-2</v>
      </c>
      <c r="F83" s="892">
        <f t="shared" si="30"/>
        <v>0.10263040570664288</v>
      </c>
      <c r="G83" s="893">
        <f t="shared" si="30"/>
        <v>9.9764705882352936E-2</v>
      </c>
      <c r="H83" s="892">
        <f t="shared" si="30"/>
        <v>0.13881542596878968</v>
      </c>
      <c r="I83" s="892">
        <f t="shared" si="30"/>
        <v>0.14517426365065264</v>
      </c>
      <c r="J83" s="892">
        <f t="shared" si="30"/>
        <v>0.17352168199737189</v>
      </c>
      <c r="K83" s="892">
        <f t="shared" si="30"/>
        <v>0.18457743490838957</v>
      </c>
      <c r="L83" s="893">
        <f t="shared" si="30"/>
        <v>0.17230603752292284</v>
      </c>
    </row>
    <row r="85" spans="4:33" x14ac:dyDescent="0.35">
      <c r="D85" s="202" t="s">
        <v>509</v>
      </c>
    </row>
    <row r="86" spans="4:33" x14ac:dyDescent="0.35">
      <c r="D86" s="794" t="s">
        <v>352</v>
      </c>
    </row>
    <row r="87" spans="4:33" x14ac:dyDescent="0.35">
      <c r="D87" s="929" t="s">
        <v>510</v>
      </c>
      <c r="E87" s="737">
        <v>2018</v>
      </c>
      <c r="F87" s="877">
        <v>2019</v>
      </c>
      <c r="G87" s="877">
        <v>2020</v>
      </c>
      <c r="H87" s="879">
        <v>2021</v>
      </c>
      <c r="I87" s="877">
        <v>2022</v>
      </c>
      <c r="J87" s="784">
        <v>2023</v>
      </c>
      <c r="K87" s="784">
        <v>2024</v>
      </c>
      <c r="L87" s="785">
        <v>2025</v>
      </c>
    </row>
    <row r="88" spans="4:33" ht="20.25" customHeight="1" x14ac:dyDescent="0.35">
      <c r="D88" s="932" t="s">
        <v>492</v>
      </c>
      <c r="E88" s="915">
        <f t="shared" ref="E88:G91" si="31">E80*E65</f>
        <v>0.11572406018792676</v>
      </c>
      <c r="F88" s="898">
        <f t="shared" si="31"/>
        <v>0.11551471494501581</v>
      </c>
      <c r="G88" s="898">
        <f t="shared" si="31"/>
        <v>0.11573246416020334</v>
      </c>
      <c r="H88" s="915">
        <f>N107</f>
        <v>0.13083976407289996</v>
      </c>
      <c r="I88" s="898">
        <f>H88</f>
        <v>0.13083976407289996</v>
      </c>
      <c r="J88" s="898">
        <f t="shared" ref="J88:L88" si="32">I88</f>
        <v>0.13083976407289996</v>
      </c>
      <c r="K88" s="898">
        <f t="shared" si="32"/>
        <v>0.13083976407289996</v>
      </c>
      <c r="L88" s="897">
        <f t="shared" si="32"/>
        <v>0.13083976407289996</v>
      </c>
      <c r="M88" s="790"/>
      <c r="N88" s="789"/>
      <c r="O88" s="754"/>
      <c r="P88" s="754"/>
      <c r="Q88" s="754"/>
      <c r="R88" s="754"/>
      <c r="S88" s="754"/>
      <c r="T88" s="754"/>
      <c r="U88" s="754"/>
      <c r="V88" s="754"/>
      <c r="W88" s="754"/>
      <c r="X88" s="754"/>
      <c r="Y88" s="754"/>
    </row>
    <row r="89" spans="4:33" ht="18.75" customHeight="1" x14ac:dyDescent="0.35">
      <c r="D89" s="932" t="s">
        <v>494</v>
      </c>
      <c r="E89" s="907">
        <f t="shared" si="31"/>
        <v>0.15129486597001363</v>
      </c>
      <c r="F89" s="754">
        <f t="shared" si="31"/>
        <v>0.15072211966554458</v>
      </c>
      <c r="G89" s="754">
        <f t="shared" si="31"/>
        <v>0.15326881720430108</v>
      </c>
      <c r="H89" s="907">
        <f>N109</f>
        <v>0.14822588114733906</v>
      </c>
      <c r="I89" s="754">
        <f>H89</f>
        <v>0.14822588114733906</v>
      </c>
      <c r="J89" s="754">
        <f>I89</f>
        <v>0.14822588114733906</v>
      </c>
      <c r="K89" s="754">
        <f t="shared" ref="K89:L89" si="33">J89</f>
        <v>0.14822588114733906</v>
      </c>
      <c r="L89" s="805">
        <f t="shared" si="33"/>
        <v>0.14822588114733906</v>
      </c>
      <c r="M89" s="790"/>
      <c r="N89" s="789"/>
      <c r="O89" s="754"/>
      <c r="P89" s="754"/>
      <c r="Q89" s="754"/>
      <c r="R89" s="754"/>
      <c r="S89" s="754"/>
      <c r="T89" s="754"/>
      <c r="U89" s="754"/>
      <c r="V89" s="754"/>
      <c r="W89" s="754"/>
      <c r="X89" s="754"/>
      <c r="Y89" s="754"/>
    </row>
    <row r="90" spans="4:33" ht="19.399999999999999" customHeight="1" x14ac:dyDescent="0.35">
      <c r="D90" s="931" t="s">
        <v>105</v>
      </c>
      <c r="E90" s="907">
        <f t="shared" si="31"/>
        <v>1.0835018780699219E-2</v>
      </c>
      <c r="F90" s="754">
        <f t="shared" si="31"/>
        <v>1.2150246476428523E-2</v>
      </c>
      <c r="G90" s="754">
        <f t="shared" si="31"/>
        <v>1.1358355045419337E-2</v>
      </c>
      <c r="H90" s="907">
        <f>N110</f>
        <v>1.1211939165902553E-2</v>
      </c>
      <c r="I90" s="754">
        <f>AVERAGE($F67:$G67)*I82</f>
        <v>1.1360690395286862E-2</v>
      </c>
      <c r="J90" s="754">
        <f>AVERAGE($F67:$G67)*J82</f>
        <v>1.0783043839823302E-2</v>
      </c>
      <c r="K90" s="754">
        <f>J90</f>
        <v>1.0783043839823302E-2</v>
      </c>
      <c r="L90" s="805">
        <f>K90</f>
        <v>1.0783043839823302E-2</v>
      </c>
      <c r="M90" s="790"/>
      <c r="N90" s="789"/>
      <c r="O90" s="754"/>
      <c r="P90" s="754"/>
      <c r="Q90" s="754"/>
      <c r="R90" s="754"/>
      <c r="S90" s="754"/>
      <c r="T90" s="754"/>
      <c r="U90" s="754"/>
      <c r="V90" s="754"/>
      <c r="W90" s="754"/>
      <c r="X90" s="754"/>
      <c r="Y90" s="754"/>
    </row>
    <row r="91" spans="4:33" ht="19.399999999999999" customHeight="1" x14ac:dyDescent="0.35">
      <c r="D91" s="933" t="s">
        <v>106</v>
      </c>
      <c r="E91" s="891">
        <f t="shared" si="31"/>
        <v>9.4075079149706017E-2</v>
      </c>
      <c r="F91" s="892">
        <f t="shared" si="31"/>
        <v>9.7637093178778417E-2</v>
      </c>
      <c r="G91" s="892">
        <f t="shared" si="31"/>
        <v>9.4764705882352931E-2</v>
      </c>
      <c r="H91" s="891">
        <f>M111</f>
        <v>0.11594202898550723</v>
      </c>
      <c r="I91" s="892">
        <f>N111</f>
        <v>0.11690415853101242</v>
      </c>
      <c r="J91" s="892">
        <f>I91</f>
        <v>0.11690415853101242</v>
      </c>
      <c r="K91" s="892">
        <f>J91</f>
        <v>0.11690415853101242</v>
      </c>
      <c r="L91" s="893">
        <f>K91</f>
        <v>0.11690415853101242</v>
      </c>
      <c r="M91" s="790"/>
      <c r="N91" s="789"/>
      <c r="O91" s="754"/>
      <c r="P91" s="754"/>
      <c r="Q91" s="754"/>
      <c r="R91" s="754"/>
      <c r="S91" s="754"/>
      <c r="T91" s="754"/>
      <c r="U91" s="754"/>
      <c r="V91" s="754"/>
      <c r="W91" s="754"/>
      <c r="X91" s="754"/>
      <c r="Y91" s="754"/>
    </row>
    <row r="92" spans="4:33" x14ac:dyDescent="0.35">
      <c r="E92" s="660"/>
      <c r="F92" s="660"/>
      <c r="G92" s="660"/>
      <c r="H92" s="660"/>
      <c r="I92" s="660"/>
      <c r="J92" s="660"/>
      <c r="K92" s="660"/>
      <c r="L92" s="660"/>
    </row>
    <row r="93" spans="4:33" x14ac:dyDescent="0.35">
      <c r="D93" s="793" t="s">
        <v>365</v>
      </c>
      <c r="E93" s="754"/>
      <c r="F93" s="754"/>
      <c r="G93" s="754"/>
      <c r="H93" s="754"/>
      <c r="I93" s="754"/>
      <c r="J93" s="754"/>
      <c r="K93" s="754"/>
      <c r="L93" s="754"/>
      <c r="M93" s="754"/>
      <c r="N93" s="754"/>
      <c r="O93" s="754"/>
      <c r="P93" s="754"/>
      <c r="Q93" s="754"/>
      <c r="R93" s="754"/>
      <c r="S93" s="754"/>
      <c r="T93" s="754"/>
      <c r="U93" s="754"/>
      <c r="V93" s="754"/>
      <c r="W93" s="754"/>
      <c r="X93" s="754"/>
      <c r="Y93" s="754"/>
    </row>
    <row r="94" spans="4:33" x14ac:dyDescent="0.35">
      <c r="D94" s="1410" t="s">
        <v>1812</v>
      </c>
      <c r="E94" s="1419"/>
      <c r="F94" s="1310">
        <v>2019</v>
      </c>
      <c r="G94" s="1328"/>
      <c r="H94" s="1329"/>
      <c r="I94" s="1310">
        <v>2020</v>
      </c>
      <c r="J94" s="1328"/>
      <c r="K94" s="1328"/>
      <c r="L94" s="1329"/>
      <c r="M94" s="1310">
        <v>2021</v>
      </c>
      <c r="N94" s="1328"/>
      <c r="O94" s="1328"/>
      <c r="P94" s="1328"/>
      <c r="Q94" s="1310">
        <v>2022</v>
      </c>
      <c r="R94" s="1311"/>
      <c r="S94" s="1311"/>
      <c r="T94" s="1329"/>
      <c r="U94" s="256"/>
      <c r="V94" s="256">
        <v>2023</v>
      </c>
      <c r="W94" s="528"/>
      <c r="X94" s="226"/>
      <c r="Y94" s="1325">
        <v>2024</v>
      </c>
      <c r="Z94" s="1337"/>
      <c r="AA94" s="1337"/>
      <c r="AB94" s="1327"/>
      <c r="AC94" s="1325">
        <v>2025</v>
      </c>
      <c r="AD94" s="1337"/>
      <c r="AE94" s="1337"/>
      <c r="AF94" s="1327"/>
      <c r="AG94" s="475">
        <v>2026</v>
      </c>
    </row>
    <row r="95" spans="4:33" x14ac:dyDescent="0.35">
      <c r="D95" s="1420"/>
      <c r="E95" s="1421"/>
      <c r="F95" s="149" t="s">
        <v>284</v>
      </c>
      <c r="G95" s="140" t="s">
        <v>238</v>
      </c>
      <c r="H95" s="146" t="s">
        <v>282</v>
      </c>
      <c r="I95" s="149" t="s">
        <v>283</v>
      </c>
      <c r="J95" s="140" t="s">
        <v>284</v>
      </c>
      <c r="K95" s="140" t="s">
        <v>238</v>
      </c>
      <c r="L95" s="146" t="s">
        <v>282</v>
      </c>
      <c r="M95" s="149" t="s">
        <v>283</v>
      </c>
      <c r="N95" s="140" t="s">
        <v>284</v>
      </c>
      <c r="O95" s="140" t="s">
        <v>238</v>
      </c>
      <c r="P95" s="140" t="s">
        <v>282</v>
      </c>
      <c r="Q95" s="149" t="s">
        <v>283</v>
      </c>
      <c r="R95" s="140" t="s">
        <v>284</v>
      </c>
      <c r="S95" s="140" t="s">
        <v>238</v>
      </c>
      <c r="T95" s="146" t="s">
        <v>282</v>
      </c>
      <c r="U95" s="140" t="s">
        <v>283</v>
      </c>
      <c r="V95" s="253" t="s">
        <v>284</v>
      </c>
      <c r="W95" s="236" t="s">
        <v>238</v>
      </c>
      <c r="X95" s="237" t="s">
        <v>282</v>
      </c>
      <c r="Y95" s="235" t="s">
        <v>283</v>
      </c>
      <c r="Z95" s="233" t="s">
        <v>284</v>
      </c>
      <c r="AA95" s="236" t="s">
        <v>238</v>
      </c>
      <c r="AB95" s="236" t="s">
        <v>282</v>
      </c>
      <c r="AC95" s="235" t="s">
        <v>283</v>
      </c>
      <c r="AD95" s="233" t="s">
        <v>284</v>
      </c>
      <c r="AE95" s="236" t="s">
        <v>238</v>
      </c>
      <c r="AF95" s="236" t="s">
        <v>282</v>
      </c>
      <c r="AG95" s="235" t="s">
        <v>283</v>
      </c>
    </row>
    <row r="96" spans="4:33" x14ac:dyDescent="0.35">
      <c r="D96" s="798" t="s">
        <v>503</v>
      </c>
      <c r="E96" s="872"/>
      <c r="F96" s="331">
        <f t="shared" ref="F96:AC96" si="34">F97+F98</f>
        <v>0</v>
      </c>
      <c r="G96" s="331">
        <f t="shared" si="34"/>
        <v>0</v>
      </c>
      <c r="H96" s="331">
        <f t="shared" si="34"/>
        <v>0</v>
      </c>
      <c r="I96" s="331">
        <f t="shared" si="34"/>
        <v>15134.800000000001</v>
      </c>
      <c r="J96" s="331">
        <f t="shared" si="34"/>
        <v>14265.5</v>
      </c>
      <c r="K96" s="331">
        <f t="shared" si="34"/>
        <v>14943.5</v>
      </c>
      <c r="L96" s="331">
        <f t="shared" si="34"/>
        <v>15319.300000000001</v>
      </c>
      <c r="M96" s="331">
        <f t="shared" si="34"/>
        <v>15357.6</v>
      </c>
      <c r="N96" s="331">
        <f t="shared" si="34"/>
        <v>15825.2</v>
      </c>
      <c r="O96" s="331">
        <f t="shared" si="34"/>
        <v>16160.699999999999</v>
      </c>
      <c r="P96" s="331">
        <f t="shared" si="34"/>
        <v>16536.3</v>
      </c>
      <c r="Q96" s="331">
        <f t="shared" si="34"/>
        <v>16751.7</v>
      </c>
      <c r="R96" s="331">
        <f t="shared" si="34"/>
        <v>16992.3</v>
      </c>
      <c r="S96" s="331">
        <f t="shared" si="34"/>
        <v>17378.2</v>
      </c>
      <c r="T96" s="819">
        <f t="shared" si="34"/>
        <v>17532.599999999999</v>
      </c>
      <c r="U96" s="331">
        <f t="shared" si="34"/>
        <v>17734.099999999999</v>
      </c>
      <c r="V96" s="331">
        <f t="shared" si="34"/>
        <v>18195.3</v>
      </c>
      <c r="W96" s="876">
        <f>W97+W98</f>
        <v>18461.800000000003</v>
      </c>
      <c r="X96" s="876">
        <f t="shared" si="34"/>
        <v>18720.5</v>
      </c>
      <c r="Y96" s="876">
        <f t="shared" si="34"/>
        <v>18921.3</v>
      </c>
      <c r="Z96" s="876">
        <f t="shared" si="34"/>
        <v>19088.099999999999</v>
      </c>
      <c r="AA96" s="876">
        <f t="shared" si="34"/>
        <v>19257.099999999999</v>
      </c>
      <c r="AB96" s="876">
        <f t="shared" si="34"/>
        <v>19424.099999999999</v>
      </c>
      <c r="AC96" s="876">
        <f t="shared" si="34"/>
        <v>19584.8</v>
      </c>
      <c r="AD96" s="876">
        <f t="shared" ref="AD96:AG96" si="35">AD97+AD98</f>
        <v>19760</v>
      </c>
      <c r="AE96" s="876">
        <f t="shared" si="35"/>
        <v>19953.7</v>
      </c>
      <c r="AF96" s="876">
        <f t="shared" si="35"/>
        <v>20170.400000000001</v>
      </c>
      <c r="AG96" s="876">
        <f t="shared" si="35"/>
        <v>19534.599999999999</v>
      </c>
    </row>
    <row r="97" spans="4:33" x14ac:dyDescent="0.35">
      <c r="D97" s="640" t="s">
        <v>1918</v>
      </c>
      <c r="E97" s="564"/>
      <c r="F97" s="806"/>
      <c r="G97" s="806"/>
      <c r="H97" s="806"/>
      <c r="I97" s="401">
        <v>9624.7000000000007</v>
      </c>
      <c r="J97" s="401">
        <v>8995.7000000000007</v>
      </c>
      <c r="K97" s="401">
        <v>9425.4</v>
      </c>
      <c r="L97" s="401">
        <v>9783.7000000000007</v>
      </c>
      <c r="M97" s="401">
        <v>9851.2000000000007</v>
      </c>
      <c r="N97" s="401">
        <v>10138.5</v>
      </c>
      <c r="O97" s="401">
        <v>10422.299999999999</v>
      </c>
      <c r="P97" s="401">
        <v>10748.4</v>
      </c>
      <c r="Q97" s="401">
        <v>10925.5</v>
      </c>
      <c r="R97" s="401">
        <v>11058</v>
      </c>
      <c r="S97" s="401">
        <v>11361</v>
      </c>
      <c r="T97" s="401">
        <v>11413.9</v>
      </c>
      <c r="U97" s="401">
        <v>11543.8</v>
      </c>
      <c r="V97" s="401">
        <v>11645.6</v>
      </c>
      <c r="W97" s="402">
        <v>11804.7</v>
      </c>
      <c r="X97" s="402">
        <v>11963</v>
      </c>
      <c r="Y97" s="402">
        <v>12100.8</v>
      </c>
      <c r="Z97" s="402">
        <v>12226.5</v>
      </c>
      <c r="AA97" s="402">
        <v>12352.4</v>
      </c>
      <c r="AB97" s="402">
        <v>12479.1</v>
      </c>
      <c r="AC97" s="402">
        <v>12601.4</v>
      </c>
      <c r="AD97" s="402">
        <v>12726.9</v>
      </c>
      <c r="AE97" s="402">
        <v>12854.7</v>
      </c>
      <c r="AF97" s="402">
        <v>12987</v>
      </c>
      <c r="AG97" s="402">
        <v>12653.4</v>
      </c>
    </row>
    <row r="98" spans="4:33" x14ac:dyDescent="0.35">
      <c r="D98" s="240" t="s">
        <v>1921</v>
      </c>
      <c r="E98" s="532"/>
      <c r="F98" s="806"/>
      <c r="G98" s="806"/>
      <c r="H98" s="806"/>
      <c r="I98" s="401">
        <v>5510.1</v>
      </c>
      <c r="J98" s="401">
        <v>5269.8</v>
      </c>
      <c r="K98" s="401">
        <v>5518.1</v>
      </c>
      <c r="L98" s="401">
        <v>5535.6</v>
      </c>
      <c r="M98" s="401">
        <v>5506.4</v>
      </c>
      <c r="N98" s="401">
        <v>5686.7</v>
      </c>
      <c r="O98" s="401">
        <v>5738.4</v>
      </c>
      <c r="P98" s="401">
        <v>5787.9</v>
      </c>
      <c r="Q98" s="401">
        <v>5826.2</v>
      </c>
      <c r="R98" s="401">
        <v>5934.3</v>
      </c>
      <c r="S98" s="401">
        <v>6017.2</v>
      </c>
      <c r="T98" s="401">
        <v>6118.7</v>
      </c>
      <c r="U98" s="401">
        <v>6190.3</v>
      </c>
      <c r="V98" s="401">
        <v>6549.7</v>
      </c>
      <c r="W98" s="402">
        <v>6657.1</v>
      </c>
      <c r="X98" s="402">
        <v>6757.5</v>
      </c>
      <c r="Y98" s="402">
        <v>6820.5</v>
      </c>
      <c r="Z98" s="402">
        <v>6861.6</v>
      </c>
      <c r="AA98" s="402">
        <v>6904.7</v>
      </c>
      <c r="AB98" s="402">
        <v>6945</v>
      </c>
      <c r="AC98" s="402">
        <v>6983.4</v>
      </c>
      <c r="AD98" s="402">
        <v>7033.1</v>
      </c>
      <c r="AE98" s="402">
        <v>7099</v>
      </c>
      <c r="AF98" s="402">
        <v>7183.4</v>
      </c>
      <c r="AG98" s="402">
        <v>6881.2</v>
      </c>
    </row>
    <row r="99" spans="4:33" x14ac:dyDescent="0.35">
      <c r="D99" s="240" t="s">
        <v>1919</v>
      </c>
      <c r="E99" s="532"/>
      <c r="F99" s="806"/>
      <c r="G99" s="806"/>
      <c r="H99" s="806"/>
      <c r="I99" s="401">
        <v>14440.2</v>
      </c>
      <c r="J99" s="401">
        <v>13049.8</v>
      </c>
      <c r="K99" s="401">
        <v>14388.7</v>
      </c>
      <c r="L99" s="401">
        <v>14586</v>
      </c>
      <c r="M99" s="401">
        <v>15131.5</v>
      </c>
      <c r="N99" s="401">
        <v>15813.5</v>
      </c>
      <c r="O99" s="401">
        <v>16147.3</v>
      </c>
      <c r="P99" s="401">
        <v>16518</v>
      </c>
      <c r="Q99" s="401">
        <v>16874.8</v>
      </c>
      <c r="R99" s="401">
        <v>17261.3</v>
      </c>
      <c r="S99" s="401">
        <v>17542.7</v>
      </c>
      <c r="T99" s="401">
        <v>17749.900000000001</v>
      </c>
      <c r="U99" s="401">
        <v>18098.7</v>
      </c>
      <c r="V99" s="401">
        <v>18288.3</v>
      </c>
      <c r="W99" s="402">
        <v>18450.099999999999</v>
      </c>
      <c r="X99" s="402">
        <v>18584.099999999999</v>
      </c>
      <c r="Y99" s="402">
        <v>18732.099999999999</v>
      </c>
      <c r="Z99" s="402">
        <v>18877.7</v>
      </c>
      <c r="AA99" s="402">
        <v>19058.3</v>
      </c>
      <c r="AB99" s="402">
        <v>19265.5</v>
      </c>
      <c r="AC99" s="402">
        <v>19476.900000000001</v>
      </c>
      <c r="AD99" s="402">
        <v>19680.5</v>
      </c>
      <c r="AE99" s="402">
        <v>19889.099999999999</v>
      </c>
      <c r="AF99" s="402">
        <v>20092.7</v>
      </c>
      <c r="AG99" s="402">
        <v>19588.599999999999</v>
      </c>
    </row>
    <row r="100" spans="4:33" x14ac:dyDescent="0.35">
      <c r="D100" s="698" t="s">
        <v>1922</v>
      </c>
      <c r="E100" s="561"/>
      <c r="F100" s="561"/>
      <c r="G100" s="561"/>
      <c r="H100" s="906"/>
      <c r="I100" s="767">
        <v>1736.3</v>
      </c>
      <c r="J100" s="767">
        <v>1597.1</v>
      </c>
      <c r="K100" s="767">
        <v>2041.1</v>
      </c>
      <c r="L100" s="767">
        <v>1947.4</v>
      </c>
      <c r="M100" s="767">
        <v>2152.8000000000002</v>
      </c>
      <c r="N100" s="767">
        <v>2407.1</v>
      </c>
      <c r="O100" s="767">
        <v>2431.8000000000002</v>
      </c>
      <c r="P100" s="767">
        <v>2443.1999999999998</v>
      </c>
      <c r="Q100" s="767">
        <v>2432.6999999999998</v>
      </c>
      <c r="R100" s="401">
        <v>2538.9</v>
      </c>
      <c r="S100" s="401">
        <v>2553.1999999999998</v>
      </c>
      <c r="T100" s="401">
        <v>2471.3000000000002</v>
      </c>
      <c r="U100" s="401">
        <v>2336.6</v>
      </c>
      <c r="V100" s="401">
        <v>2174.1</v>
      </c>
      <c r="W100" s="402">
        <v>2141</v>
      </c>
      <c r="X100" s="402">
        <v>2089.6999999999998</v>
      </c>
      <c r="Y100" s="402">
        <v>2099</v>
      </c>
      <c r="Z100" s="402">
        <v>2115.9</v>
      </c>
      <c r="AA100" s="402">
        <v>2136.9</v>
      </c>
      <c r="AB100" s="402">
        <v>2200.8000000000002</v>
      </c>
      <c r="AC100" s="402">
        <v>2284.6</v>
      </c>
      <c r="AD100" s="402">
        <v>2354.6999999999998</v>
      </c>
      <c r="AE100" s="402">
        <v>2411.6999999999998</v>
      </c>
      <c r="AF100" s="402">
        <v>2456</v>
      </c>
      <c r="AG100" s="768">
        <v>2220.5</v>
      </c>
    </row>
    <row r="101" spans="4:33" ht="18.75" customHeight="1" x14ac:dyDescent="0.35"/>
    <row r="102" spans="4:33" x14ac:dyDescent="0.35">
      <c r="D102" s="799"/>
      <c r="E102" s="564"/>
      <c r="F102" s="564"/>
      <c r="G102" s="564"/>
      <c r="H102" s="806"/>
      <c r="I102" s="806"/>
      <c r="J102" s="806"/>
      <c r="K102" s="806"/>
      <c r="L102" s="806"/>
      <c r="M102" s="806"/>
      <c r="N102" s="806"/>
      <c r="O102" s="806"/>
      <c r="P102" s="806"/>
      <c r="Q102" s="806"/>
      <c r="R102" s="806"/>
      <c r="S102" s="806"/>
      <c r="T102" s="806"/>
      <c r="U102" s="806"/>
      <c r="V102" s="806"/>
      <c r="W102" s="806"/>
      <c r="X102" s="806"/>
      <c r="Y102" s="806"/>
      <c r="Z102" s="806"/>
      <c r="AA102" s="806"/>
      <c r="AB102" s="806"/>
      <c r="AC102" s="806"/>
    </row>
    <row r="103" spans="4:33" x14ac:dyDescent="0.35">
      <c r="D103" s="490"/>
      <c r="AC103" s="35"/>
    </row>
    <row r="104" spans="4:33" x14ac:dyDescent="0.35">
      <c r="D104" s="1410" t="s">
        <v>512</v>
      </c>
      <c r="E104" s="1419"/>
      <c r="F104" s="1310">
        <v>2019</v>
      </c>
      <c r="G104" s="1328"/>
      <c r="H104" s="1329"/>
      <c r="I104" s="1328">
        <v>2020</v>
      </c>
      <c r="J104" s="1328"/>
      <c r="K104" s="1328"/>
      <c r="L104" s="1329"/>
      <c r="M104" s="1310">
        <v>2021</v>
      </c>
      <c r="N104" s="1328"/>
      <c r="O104" s="1328"/>
      <c r="P104" s="1328"/>
      <c r="Q104" s="1310">
        <v>2022</v>
      </c>
      <c r="R104" s="1311"/>
      <c r="S104" s="1311"/>
      <c r="T104" s="1329"/>
      <c r="U104" s="256"/>
      <c r="V104" s="256">
        <v>2023</v>
      </c>
      <c r="W104" s="528"/>
      <c r="X104" s="226"/>
      <c r="Y104" s="1325">
        <v>2024</v>
      </c>
      <c r="Z104" s="1337"/>
      <c r="AA104" s="1337"/>
      <c r="AB104" s="1327"/>
      <c r="AC104" s="1325">
        <v>2025</v>
      </c>
      <c r="AD104" s="1337"/>
      <c r="AE104" s="1337"/>
      <c r="AF104" s="1327"/>
      <c r="AG104" s="475">
        <v>2026</v>
      </c>
    </row>
    <row r="105" spans="4:33" x14ac:dyDescent="0.35">
      <c r="D105" s="1420"/>
      <c r="E105" s="1421"/>
      <c r="F105" s="149" t="s">
        <v>284</v>
      </c>
      <c r="G105" s="140" t="s">
        <v>238</v>
      </c>
      <c r="H105" s="146" t="s">
        <v>282</v>
      </c>
      <c r="I105" s="140" t="s">
        <v>283</v>
      </c>
      <c r="J105" s="140" t="s">
        <v>284</v>
      </c>
      <c r="K105" s="140" t="s">
        <v>238</v>
      </c>
      <c r="L105" s="146" t="s">
        <v>282</v>
      </c>
      <c r="M105" s="149" t="s">
        <v>283</v>
      </c>
      <c r="N105" s="140" t="s">
        <v>284</v>
      </c>
      <c r="O105" s="140" t="s">
        <v>238</v>
      </c>
      <c r="P105" s="140" t="s">
        <v>282</v>
      </c>
      <c r="Q105" s="149" t="s">
        <v>283</v>
      </c>
      <c r="R105" s="140" t="s">
        <v>284</v>
      </c>
      <c r="S105" s="140" t="s">
        <v>238</v>
      </c>
      <c r="T105" s="146" t="s">
        <v>282</v>
      </c>
      <c r="U105" s="149" t="s">
        <v>283</v>
      </c>
      <c r="V105" s="253" t="s">
        <v>284</v>
      </c>
      <c r="W105" s="236" t="s">
        <v>238</v>
      </c>
      <c r="X105" s="237" t="s">
        <v>282</v>
      </c>
      <c r="Y105" s="235" t="s">
        <v>283</v>
      </c>
      <c r="Z105" s="233" t="s">
        <v>284</v>
      </c>
      <c r="AA105" s="236" t="s">
        <v>238</v>
      </c>
      <c r="AB105" s="236" t="s">
        <v>282</v>
      </c>
      <c r="AC105" s="235" t="s">
        <v>283</v>
      </c>
      <c r="AD105" s="233" t="s">
        <v>284</v>
      </c>
      <c r="AE105" s="236" t="s">
        <v>238</v>
      </c>
      <c r="AF105" s="236" t="s">
        <v>282</v>
      </c>
      <c r="AG105" s="235" t="s">
        <v>283</v>
      </c>
    </row>
    <row r="106" spans="4:33" x14ac:dyDescent="0.35">
      <c r="D106" s="1417" t="s">
        <v>513</v>
      </c>
      <c r="E106" s="1418"/>
      <c r="F106" s="219"/>
      <c r="G106" s="273"/>
      <c r="H106" s="273"/>
      <c r="I106" s="273"/>
      <c r="J106" s="273"/>
      <c r="K106" s="273"/>
      <c r="L106" s="273"/>
      <c r="M106" s="273"/>
      <c r="N106" s="273"/>
      <c r="O106" s="273"/>
      <c r="P106" s="273"/>
      <c r="Q106" s="273"/>
      <c r="R106" s="273"/>
      <c r="S106" s="273"/>
      <c r="T106" s="255"/>
      <c r="U106" s="273"/>
      <c r="V106" s="273"/>
      <c r="W106" s="255"/>
      <c r="X106" s="255"/>
      <c r="Y106" s="255"/>
      <c r="Z106" s="255"/>
      <c r="AA106" s="255"/>
      <c r="AB106" s="255"/>
      <c r="AC106" s="273"/>
    </row>
    <row r="107" spans="4:33" x14ac:dyDescent="0.35">
      <c r="D107" s="499" t="s">
        <v>483</v>
      </c>
      <c r="F107" s="907"/>
      <c r="G107" s="754"/>
      <c r="H107" s="754">
        <f t="shared" ref="H107:V107" si="36">H10/H114</f>
        <v>0.11520931070611083</v>
      </c>
      <c r="I107" s="754">
        <f t="shared" si="36"/>
        <v>0.11566144134388082</v>
      </c>
      <c r="J107" s="754">
        <f t="shared" si="36"/>
        <v>0.11281835698020669</v>
      </c>
      <c r="K107" s="754">
        <f t="shared" si="36"/>
        <v>0.11518678305073408</v>
      </c>
      <c r="L107" s="754">
        <f t="shared" si="36"/>
        <v>0.11990448353254346</v>
      </c>
      <c r="M107" s="754">
        <f t="shared" si="36"/>
        <v>0.12789328127541891</v>
      </c>
      <c r="N107" s="754">
        <f t="shared" si="36"/>
        <v>0.13083976407289996</v>
      </c>
      <c r="O107" s="754">
        <f t="shared" si="36"/>
        <v>0.13349080813015168</v>
      </c>
      <c r="P107" s="754">
        <f t="shared" si="36"/>
        <v>0.13507699001667917</v>
      </c>
      <c r="Q107" s="754">
        <f t="shared" si="36"/>
        <v>0.15293907130714859</v>
      </c>
      <c r="R107" s="754">
        <f t="shared" si="36"/>
        <v>0.15280309534169892</v>
      </c>
      <c r="S107" s="752">
        <f t="shared" si="36"/>
        <v>0.15189254768024193</v>
      </c>
      <c r="T107" s="752">
        <f t="shared" si="36"/>
        <v>0.15011626316509369</v>
      </c>
      <c r="U107" s="752">
        <f t="shared" si="36"/>
        <v>0.13438766321476814</v>
      </c>
      <c r="V107" s="752">
        <f t="shared" si="36"/>
        <v>0.13276768575959053</v>
      </c>
      <c r="W107" s="753">
        <f t="shared" ref="W107:AC107" si="37">V107+W108</f>
        <v>0.13276768575959053</v>
      </c>
      <c r="X107" s="753">
        <f t="shared" si="37"/>
        <v>0.13276768575959053</v>
      </c>
      <c r="Y107" s="753">
        <f t="shared" si="37"/>
        <v>0.13276768575959053</v>
      </c>
      <c r="Z107" s="753">
        <f t="shared" si="37"/>
        <v>0.13276768575959053</v>
      </c>
      <c r="AA107" s="753">
        <f t="shared" si="37"/>
        <v>0.13276768575959053</v>
      </c>
      <c r="AB107" s="753">
        <f t="shared" si="37"/>
        <v>0.13276768575959053</v>
      </c>
      <c r="AC107" s="753">
        <f t="shared" si="37"/>
        <v>0.13276768575959053</v>
      </c>
      <c r="AD107" s="753">
        <f t="shared" ref="AD107" si="38">AC107+AD108</f>
        <v>0.13276768575959053</v>
      </c>
      <c r="AE107" s="753">
        <f t="shared" ref="AE107" si="39">AD107+AE108</f>
        <v>0.13276768575959053</v>
      </c>
      <c r="AF107" s="753">
        <f t="shared" ref="AF107" si="40">AE107+AF108</f>
        <v>0.13276768575959053</v>
      </c>
      <c r="AG107" s="753">
        <f t="shared" ref="AG107" si="41">AF107+AG108</f>
        <v>0.13276768575959053</v>
      </c>
    </row>
    <row r="108" spans="4:33" x14ac:dyDescent="0.35">
      <c r="D108" s="499" t="s">
        <v>896</v>
      </c>
      <c r="F108" s="907"/>
      <c r="G108" s="754"/>
      <c r="H108" s="754"/>
      <c r="I108" s="754"/>
      <c r="J108" s="754"/>
      <c r="K108" s="754"/>
      <c r="L108" s="754"/>
      <c r="M108" s="754"/>
      <c r="N108" s="754"/>
      <c r="O108" s="754"/>
      <c r="P108" s="754"/>
      <c r="Q108" s="754"/>
      <c r="R108" s="754"/>
      <c r="S108" s="752"/>
      <c r="T108" s="752"/>
      <c r="U108" s="752"/>
      <c r="V108" s="752"/>
      <c r="W108" s="753"/>
      <c r="X108" s="753"/>
      <c r="Y108" s="753"/>
      <c r="Z108" s="753"/>
      <c r="AA108" s="753"/>
      <c r="AB108" s="753"/>
      <c r="AC108" s="753"/>
      <c r="AD108" s="753"/>
      <c r="AE108" s="753"/>
      <c r="AF108" s="753"/>
      <c r="AG108" s="753"/>
    </row>
    <row r="109" spans="4:33" x14ac:dyDescent="0.35">
      <c r="D109" s="499" t="s">
        <v>484</v>
      </c>
      <c r="F109" s="907"/>
      <c r="G109" s="754"/>
      <c r="H109" s="754">
        <f t="shared" ref="H109:V109" si="42">H12/H119</f>
        <v>0.15062717402761674</v>
      </c>
      <c r="I109" s="754">
        <f t="shared" si="42"/>
        <v>0.15103642270684339</v>
      </c>
      <c r="J109" s="754">
        <f t="shared" si="42"/>
        <v>0.15387605940440088</v>
      </c>
      <c r="K109" s="754">
        <f t="shared" si="42"/>
        <v>0.15183673469387757</v>
      </c>
      <c r="L109" s="754">
        <f t="shared" si="42"/>
        <v>0.1496195679926467</v>
      </c>
      <c r="M109" s="754">
        <f t="shared" si="42"/>
        <v>0.14955735161391731</v>
      </c>
      <c r="N109" s="754">
        <f t="shared" si="42"/>
        <v>0.14822588114733906</v>
      </c>
      <c r="O109" s="754">
        <f t="shared" si="42"/>
        <v>0.14724543781628582</v>
      </c>
      <c r="P109" s="754">
        <f t="shared" si="42"/>
        <v>0.14666765802020501</v>
      </c>
      <c r="Q109" s="754">
        <f t="shared" si="42"/>
        <v>0.1478248151161409</v>
      </c>
      <c r="R109" s="754">
        <f t="shared" si="42"/>
        <v>0.14783370514545832</v>
      </c>
      <c r="S109" s="752">
        <f t="shared" si="42"/>
        <v>0.14749399984175407</v>
      </c>
      <c r="T109" s="752">
        <f t="shared" si="42"/>
        <v>0.14747499496836633</v>
      </c>
      <c r="U109" s="752">
        <f t="shared" si="42"/>
        <v>0.14805075729398229</v>
      </c>
      <c r="V109" s="752">
        <f t="shared" si="42"/>
        <v>0.14771058831563494</v>
      </c>
      <c r="W109" s="753">
        <f t="shared" ref="W109:AC109" si="43">V109</f>
        <v>0.14771058831563494</v>
      </c>
      <c r="X109" s="753">
        <f t="shared" si="43"/>
        <v>0.14771058831563494</v>
      </c>
      <c r="Y109" s="753">
        <f t="shared" si="43"/>
        <v>0.14771058831563494</v>
      </c>
      <c r="Z109" s="753">
        <f t="shared" si="43"/>
        <v>0.14771058831563494</v>
      </c>
      <c r="AA109" s="753">
        <f t="shared" si="43"/>
        <v>0.14771058831563494</v>
      </c>
      <c r="AB109" s="753">
        <f t="shared" si="43"/>
        <v>0.14771058831563494</v>
      </c>
      <c r="AC109" s="753">
        <f t="shared" si="43"/>
        <v>0.14771058831563494</v>
      </c>
      <c r="AD109" s="753">
        <f t="shared" ref="AD109:AD110" si="44">AC109</f>
        <v>0.14771058831563494</v>
      </c>
      <c r="AE109" s="753">
        <f t="shared" ref="AE109:AE110" si="45">AD109</f>
        <v>0.14771058831563494</v>
      </c>
      <c r="AF109" s="753">
        <f t="shared" ref="AF109:AF110" si="46">AE109</f>
        <v>0.14771058831563494</v>
      </c>
      <c r="AG109" s="753">
        <f t="shared" ref="AG109:AG110" si="47">AF109</f>
        <v>0.14771058831563494</v>
      </c>
    </row>
    <row r="110" spans="4:33" x14ac:dyDescent="0.35">
      <c r="D110" s="499" t="s">
        <v>485</v>
      </c>
      <c r="F110" s="907"/>
      <c r="G110" s="754"/>
      <c r="H110" s="754">
        <f t="shared" ref="H110:V110" si="48">H14/H120</f>
        <v>1.2100690881729256E-2</v>
      </c>
      <c r="I110" s="754">
        <f t="shared" si="48"/>
        <v>1.2922258694477915E-2</v>
      </c>
      <c r="J110" s="754">
        <f t="shared" si="48"/>
        <v>1.016107526552131E-2</v>
      </c>
      <c r="K110" s="754">
        <f t="shared" si="48"/>
        <v>1.0362298192331481E-2</v>
      </c>
      <c r="L110" s="754">
        <f t="shared" si="48"/>
        <v>1.0626628273687096E-2</v>
      </c>
      <c r="M110" s="754">
        <f t="shared" si="48"/>
        <v>1.0349271387502891E-2</v>
      </c>
      <c r="N110" s="754">
        <f t="shared" si="48"/>
        <v>1.1211939165902553E-2</v>
      </c>
      <c r="O110" s="754">
        <f t="shared" si="48"/>
        <v>1.0949198937283633E-2</v>
      </c>
      <c r="P110" s="754">
        <f t="shared" si="48"/>
        <v>1.135730718004601E-2</v>
      </c>
      <c r="Q110" s="754">
        <f t="shared" si="48"/>
        <v>1.1994216227747885E-2</v>
      </c>
      <c r="R110" s="754">
        <f t="shared" si="48"/>
        <v>1.2131183630433398E-2</v>
      </c>
      <c r="S110" s="752">
        <f t="shared" si="48"/>
        <v>1.1560364140069659E-2</v>
      </c>
      <c r="T110" s="752">
        <f t="shared" si="48"/>
        <v>1.0839497687310913E-2</v>
      </c>
      <c r="U110" s="752">
        <f t="shared" si="48"/>
        <v>1.0478603883377225E-2</v>
      </c>
      <c r="V110" s="752">
        <f t="shared" si="48"/>
        <v>1.0277789920006995E-2</v>
      </c>
      <c r="W110" s="753">
        <f t="shared" ref="W110:AC110" si="49">V110</f>
        <v>1.0277789920006995E-2</v>
      </c>
      <c r="X110" s="753">
        <f t="shared" si="49"/>
        <v>1.0277789920006995E-2</v>
      </c>
      <c r="Y110" s="753">
        <f t="shared" si="49"/>
        <v>1.0277789920006995E-2</v>
      </c>
      <c r="Z110" s="753">
        <f t="shared" si="49"/>
        <v>1.0277789920006995E-2</v>
      </c>
      <c r="AA110" s="753">
        <f t="shared" si="49"/>
        <v>1.0277789920006995E-2</v>
      </c>
      <c r="AB110" s="753">
        <f t="shared" si="49"/>
        <v>1.0277789920006995E-2</v>
      </c>
      <c r="AC110" s="753">
        <f t="shared" si="49"/>
        <v>1.0277789920006995E-2</v>
      </c>
      <c r="AD110" s="753">
        <f t="shared" si="44"/>
        <v>1.0277789920006995E-2</v>
      </c>
      <c r="AE110" s="753">
        <f t="shared" si="45"/>
        <v>1.0277789920006995E-2</v>
      </c>
      <c r="AF110" s="753">
        <f t="shared" si="46"/>
        <v>1.0277789920006995E-2</v>
      </c>
      <c r="AG110" s="753">
        <f t="shared" si="47"/>
        <v>1.0277789920006995E-2</v>
      </c>
    </row>
    <row r="111" spans="4:33" x14ac:dyDescent="0.35">
      <c r="D111" s="390" t="s">
        <v>486</v>
      </c>
      <c r="F111" s="907"/>
      <c r="G111" s="754"/>
      <c r="H111" s="754">
        <f t="shared" ref="H111:V111" si="50">H16/H121</f>
        <v>0.11697176543592926</v>
      </c>
      <c r="I111" s="754">
        <f t="shared" si="50"/>
        <v>0.10545412659102689</v>
      </c>
      <c r="J111" s="754">
        <f t="shared" si="50"/>
        <v>0.11132677978836643</v>
      </c>
      <c r="K111" s="754">
        <f t="shared" si="50"/>
        <v>0.10700112684336878</v>
      </c>
      <c r="L111" s="754">
        <f t="shared" si="50"/>
        <v>0.11630892472013966</v>
      </c>
      <c r="M111" s="754">
        <f t="shared" si="50"/>
        <v>0.11594202898550723</v>
      </c>
      <c r="N111" s="754">
        <f t="shared" si="50"/>
        <v>0.11690415853101242</v>
      </c>
      <c r="O111" s="754">
        <f t="shared" si="50"/>
        <v>0.11448309893905748</v>
      </c>
      <c r="P111" s="754">
        <f t="shared" si="50"/>
        <v>0.12475442043222006</v>
      </c>
      <c r="Q111" s="754">
        <f t="shared" si="50"/>
        <v>0.12899247749414233</v>
      </c>
      <c r="R111" s="752">
        <f t="shared" si="50"/>
        <v>0.13911536492181653</v>
      </c>
      <c r="S111" s="752">
        <f t="shared" si="50"/>
        <v>0.13340122199592669</v>
      </c>
      <c r="T111" s="752">
        <f t="shared" si="50"/>
        <v>0.13442317808440901</v>
      </c>
      <c r="U111" s="752">
        <f t="shared" si="50"/>
        <v>0.14522487389258618</v>
      </c>
      <c r="V111" s="752">
        <f t="shared" si="50"/>
        <v>0.15133709633325548</v>
      </c>
      <c r="W111" s="753">
        <f t="shared" ref="W111:AC111" si="51">V111+W112</f>
        <v>0.15133709633325548</v>
      </c>
      <c r="X111" s="753">
        <f t="shared" si="51"/>
        <v>0.15133709633325548</v>
      </c>
      <c r="Y111" s="753">
        <f t="shared" si="51"/>
        <v>0.15133709633325548</v>
      </c>
      <c r="Z111" s="753">
        <f t="shared" si="51"/>
        <v>0.15133709633325548</v>
      </c>
      <c r="AA111" s="753">
        <f t="shared" si="51"/>
        <v>0.15133709633325548</v>
      </c>
      <c r="AB111" s="753">
        <f t="shared" si="51"/>
        <v>0.15133709633325548</v>
      </c>
      <c r="AC111" s="753">
        <f t="shared" si="51"/>
        <v>0.15133709633325548</v>
      </c>
      <c r="AD111" s="753">
        <f t="shared" ref="AD111" si="52">AC111+AD112</f>
        <v>0.15133709633325548</v>
      </c>
      <c r="AE111" s="753">
        <f t="shared" ref="AE111" si="53">AD111+AE112</f>
        <v>0.15133709633325548</v>
      </c>
      <c r="AF111" s="753">
        <f t="shared" ref="AF111" si="54">AE111+AF112</f>
        <v>0.15133709633325548</v>
      </c>
      <c r="AG111" s="753">
        <f t="shared" ref="AG111" si="55">AF111+AG112</f>
        <v>0.15133709633325548</v>
      </c>
    </row>
    <row r="112" spans="4:33" x14ac:dyDescent="0.35">
      <c r="D112" s="390" t="s">
        <v>1809</v>
      </c>
      <c r="F112" s="907"/>
      <c r="G112" s="754"/>
      <c r="H112" s="754"/>
      <c r="I112" s="754"/>
      <c r="J112" s="754"/>
      <c r="K112" s="754"/>
      <c r="L112" s="754"/>
      <c r="M112" s="754"/>
      <c r="N112" s="754"/>
      <c r="O112" s="754"/>
      <c r="P112" s="754"/>
      <c r="Q112" s="754"/>
      <c r="R112" s="754"/>
      <c r="S112" s="754"/>
      <c r="T112" s="754"/>
      <c r="U112" s="754">
        <v>-1.2E-2</v>
      </c>
      <c r="V112" s="754"/>
      <c r="W112" s="753"/>
      <c r="X112" s="753"/>
      <c r="Y112" s="753"/>
      <c r="Z112" s="753"/>
      <c r="AA112" s="753"/>
      <c r="AB112" s="753"/>
      <c r="AC112" s="753"/>
      <c r="AD112" s="753"/>
      <c r="AE112" s="753"/>
      <c r="AF112" s="753"/>
      <c r="AG112" s="753"/>
    </row>
    <row r="113" spans="4:33" x14ac:dyDescent="0.35">
      <c r="D113" s="855" t="s">
        <v>514</v>
      </c>
      <c r="F113" s="241"/>
      <c r="G113" s="188"/>
      <c r="H113" s="188"/>
      <c r="I113" s="188"/>
      <c r="J113" s="188"/>
      <c r="K113" s="188"/>
      <c r="L113" s="188"/>
      <c r="M113" s="188"/>
      <c r="N113" s="188"/>
      <c r="O113" s="188"/>
      <c r="P113" s="188"/>
      <c r="Q113" s="188"/>
      <c r="R113" s="188"/>
      <c r="S113" s="188"/>
      <c r="T113" s="188"/>
      <c r="U113" s="188"/>
      <c r="V113" s="188"/>
      <c r="W113" s="188"/>
      <c r="X113" s="188"/>
      <c r="Y113" s="188"/>
      <c r="Z113" s="188"/>
      <c r="AA113" s="188"/>
      <c r="AB113" s="188"/>
      <c r="AC113" s="188"/>
    </row>
    <row r="114" spans="4:33" ht="14.9" customHeight="1" x14ac:dyDescent="0.35">
      <c r="D114" s="640" t="s">
        <v>515</v>
      </c>
      <c r="F114" s="895">
        <f>SUM(F115:F118)</f>
        <v>14677.800000000003</v>
      </c>
      <c r="G114" s="806">
        <f t="shared" ref="G114:O114" si="56">SUM(G115:G118)</f>
        <v>14803.5</v>
      </c>
      <c r="H114" s="806">
        <f t="shared" si="56"/>
        <v>14984.9</v>
      </c>
      <c r="I114" s="806">
        <f t="shared" si="56"/>
        <v>15144.2</v>
      </c>
      <c r="J114" s="806">
        <f t="shared" si="56"/>
        <v>14272.5</v>
      </c>
      <c r="K114" s="806">
        <f t="shared" si="56"/>
        <v>14950.5</v>
      </c>
      <c r="L114" s="806">
        <f t="shared" si="56"/>
        <v>15327.199999999999</v>
      </c>
      <c r="M114" s="806">
        <f t="shared" si="56"/>
        <v>15367.5</v>
      </c>
      <c r="N114" s="806">
        <f t="shared" si="56"/>
        <v>15835.400000000001</v>
      </c>
      <c r="O114" s="806">
        <f t="shared" si="56"/>
        <v>16171.900000000001</v>
      </c>
      <c r="P114" s="806">
        <f t="shared" ref="P114:T114" si="57">SUM(P115:P118)</f>
        <v>16547.599999999999</v>
      </c>
      <c r="Q114" s="806">
        <f t="shared" si="57"/>
        <v>16765.5</v>
      </c>
      <c r="R114" s="806">
        <f t="shared" si="57"/>
        <v>17006.199999999997</v>
      </c>
      <c r="S114" s="286">
        <f t="shared" si="57"/>
        <v>17391.900000000001</v>
      </c>
      <c r="T114" s="286">
        <f t="shared" si="57"/>
        <v>17546.400000000001</v>
      </c>
      <c r="U114" s="286">
        <f t="shared" ref="U114:V114" si="58">SUM(U115:U118)</f>
        <v>17768</v>
      </c>
      <c r="V114" s="286">
        <f t="shared" si="58"/>
        <v>17973.5</v>
      </c>
      <c r="W114" s="280"/>
      <c r="X114" s="280"/>
      <c r="Y114" s="280"/>
      <c r="Z114" s="280"/>
      <c r="AA114" s="280"/>
      <c r="AB114" s="280"/>
      <c r="AC114" s="280"/>
      <c r="AD114" s="280"/>
      <c r="AE114" s="280"/>
      <c r="AF114" s="280"/>
      <c r="AG114" s="280"/>
    </row>
    <row r="115" spans="4:33" x14ac:dyDescent="0.35">
      <c r="D115" s="791" t="s">
        <v>789</v>
      </c>
      <c r="E115" s="202" t="s">
        <v>785</v>
      </c>
      <c r="F115" s="895">
        <f>'Haver Pivoted'!GQ81</f>
        <v>9284.7000000000007</v>
      </c>
      <c r="G115" s="806">
        <f>'Haver Pivoted'!GR81</f>
        <v>9340.5</v>
      </c>
      <c r="H115" s="806">
        <f>'Haver Pivoted'!GS81</f>
        <v>9487</v>
      </c>
      <c r="I115" s="806">
        <f>'Haver Pivoted'!GT81</f>
        <v>9634.1</v>
      </c>
      <c r="J115" s="806">
        <f>'Haver Pivoted'!GU81</f>
        <v>9002.7000000000007</v>
      </c>
      <c r="K115" s="806">
        <f>'Haver Pivoted'!GV81</f>
        <v>9432.5</v>
      </c>
      <c r="L115" s="806">
        <f>'Haver Pivoted'!GW81</f>
        <v>9791.5</v>
      </c>
      <c r="M115" s="806">
        <f>'Haver Pivoted'!GX81</f>
        <v>9861.1</v>
      </c>
      <c r="N115" s="806">
        <f>'Haver Pivoted'!GY81</f>
        <v>10148.700000000001</v>
      </c>
      <c r="O115" s="806">
        <f>'Haver Pivoted'!GZ81</f>
        <v>10433.6</v>
      </c>
      <c r="P115" s="806">
        <f>'Haver Pivoted'!HA81</f>
        <v>10759.7</v>
      </c>
      <c r="Q115" s="806">
        <f>'Haver Pivoted'!HB81</f>
        <v>10939.3</v>
      </c>
      <c r="R115" s="806">
        <f>'Haver Pivoted'!HC81</f>
        <v>11071.9</v>
      </c>
      <c r="S115" s="286">
        <f>'Haver Pivoted'!HD81</f>
        <v>11374.7</v>
      </c>
      <c r="T115" s="286">
        <f>'Haver Pivoted'!HE81</f>
        <v>11427.7</v>
      </c>
      <c r="U115" s="286">
        <f>'Haver Pivoted'!HF81</f>
        <v>11560.9</v>
      </c>
      <c r="V115" s="286">
        <f>'Haver Pivoted'!HG81</f>
        <v>11714.8</v>
      </c>
      <c r="W115" s="280"/>
      <c r="X115" s="280"/>
      <c r="Y115" s="280"/>
      <c r="Z115" s="280"/>
      <c r="AA115" s="280"/>
      <c r="AB115" s="280"/>
      <c r="AC115" s="280"/>
      <c r="AD115" s="280"/>
      <c r="AE115" s="280"/>
      <c r="AF115" s="280"/>
      <c r="AG115" s="280"/>
    </row>
    <row r="116" spans="4:33" x14ac:dyDescent="0.35">
      <c r="D116" s="791" t="s">
        <v>516</v>
      </c>
      <c r="E116" s="202" t="s">
        <v>786</v>
      </c>
      <c r="F116" s="895">
        <f>'Haver Pivoted'!GQ82</f>
        <v>1575.2</v>
      </c>
      <c r="G116" s="806">
        <f>'Haver Pivoted'!GR82</f>
        <v>1615.3</v>
      </c>
      <c r="H116" s="806">
        <f>'Haver Pivoted'!GS82</f>
        <v>1631.9</v>
      </c>
      <c r="I116" s="806">
        <f>'Haver Pivoted'!GT82</f>
        <v>1643.2</v>
      </c>
      <c r="J116" s="806">
        <f>'Haver Pivoted'!GU82</f>
        <v>1475.6</v>
      </c>
      <c r="K116" s="806">
        <f>'Haver Pivoted'!GV82</f>
        <v>1751.6</v>
      </c>
      <c r="L116" s="806">
        <f>'Haver Pivoted'!GW82</f>
        <v>1702</v>
      </c>
      <c r="M116" s="806">
        <f>'Haver Pivoted'!GX82</f>
        <v>1655</v>
      </c>
      <c r="N116" s="806">
        <f>'Haver Pivoted'!GY82</f>
        <v>1776.9</v>
      </c>
      <c r="O116" s="806">
        <f>'Haver Pivoted'!GZ82</f>
        <v>1792.7</v>
      </c>
      <c r="P116" s="806">
        <f>'Haver Pivoted'!HA82</f>
        <v>1789.8</v>
      </c>
      <c r="Q116" s="806">
        <f>'Haver Pivoted'!HB82</f>
        <v>1811.4</v>
      </c>
      <c r="R116" s="806">
        <f>'Haver Pivoted'!HC82</f>
        <v>1835.4</v>
      </c>
      <c r="S116" s="286">
        <f>'Haver Pivoted'!HD82</f>
        <v>1863.5</v>
      </c>
      <c r="T116" s="286">
        <f>'Haver Pivoted'!HE82</f>
        <v>1882.9</v>
      </c>
      <c r="U116" s="286">
        <f>'Haver Pivoted'!HF82</f>
        <v>1909.5</v>
      </c>
      <c r="V116" s="286">
        <f>'Haver Pivoted'!HG82</f>
        <v>1908.7</v>
      </c>
      <c r="W116" s="280"/>
      <c r="X116" s="280"/>
      <c r="Y116" s="280"/>
      <c r="Z116" s="280"/>
      <c r="AA116" s="280"/>
      <c r="AB116" s="280"/>
      <c r="AC116" s="280"/>
      <c r="AD116" s="280"/>
      <c r="AE116" s="280"/>
      <c r="AF116" s="280"/>
      <c r="AG116" s="280"/>
    </row>
    <row r="117" spans="4:33" x14ac:dyDescent="0.35">
      <c r="D117" s="791" t="s">
        <v>517</v>
      </c>
      <c r="E117" s="202" t="s">
        <v>792</v>
      </c>
      <c r="F117" s="895">
        <f>'Haver Pivoted'!GQ83</f>
        <v>696.1</v>
      </c>
      <c r="G117" s="806">
        <f>'Haver Pivoted'!GR83</f>
        <v>699.1</v>
      </c>
      <c r="H117" s="806">
        <f>'Haver Pivoted'!GS83</f>
        <v>708</v>
      </c>
      <c r="I117" s="806">
        <f>'Haver Pivoted'!GT83</f>
        <v>722.6</v>
      </c>
      <c r="J117" s="806">
        <f>'Haver Pivoted'!GU83</f>
        <v>717.9</v>
      </c>
      <c r="K117" s="806">
        <f>'Haver Pivoted'!GV83</f>
        <v>722.6</v>
      </c>
      <c r="L117" s="806">
        <f>'Haver Pivoted'!GW83</f>
        <v>716.3</v>
      </c>
      <c r="M117" s="806">
        <f>'Haver Pivoted'!GX83</f>
        <v>719.4</v>
      </c>
      <c r="N117" s="806">
        <f>'Haver Pivoted'!GY83</f>
        <v>713.5</v>
      </c>
      <c r="O117" s="806">
        <f>'Haver Pivoted'!GZ83</f>
        <v>722.7</v>
      </c>
      <c r="P117" s="806">
        <f>'Haver Pivoted'!HA83</f>
        <v>739.6</v>
      </c>
      <c r="Q117" s="806">
        <f>'Haver Pivoted'!HB83</f>
        <v>744.9</v>
      </c>
      <c r="R117" s="806">
        <f>'Haver Pivoted'!HC83</f>
        <v>775.9</v>
      </c>
      <c r="S117" s="286">
        <f>'Haver Pivoted'!HD83</f>
        <v>794.9</v>
      </c>
      <c r="T117" s="286">
        <f>'Haver Pivoted'!HE83</f>
        <v>811.8</v>
      </c>
      <c r="U117" s="286">
        <f>'Haver Pivoted'!HF83</f>
        <v>845</v>
      </c>
      <c r="V117" s="286">
        <f>'Haver Pivoted'!HG83</f>
        <v>863.7</v>
      </c>
      <c r="W117" s="280"/>
      <c r="X117" s="280"/>
      <c r="Y117" s="280"/>
      <c r="Z117" s="280"/>
      <c r="AA117" s="280"/>
      <c r="AB117" s="280"/>
      <c r="AC117" s="280"/>
      <c r="AD117" s="280"/>
      <c r="AE117" s="280"/>
      <c r="AF117" s="280"/>
      <c r="AG117" s="280"/>
    </row>
    <row r="118" spans="4:33" x14ac:dyDescent="0.35">
      <c r="D118" s="791" t="s">
        <v>518</v>
      </c>
      <c r="E118" s="202" t="s">
        <v>788</v>
      </c>
      <c r="F118" s="895">
        <f>'Haver Pivoted'!GQ84</f>
        <v>3121.8</v>
      </c>
      <c r="G118" s="806">
        <f>'Haver Pivoted'!GR84</f>
        <v>3148.6</v>
      </c>
      <c r="H118" s="806">
        <f>'Haver Pivoted'!GS84</f>
        <v>3158</v>
      </c>
      <c r="I118" s="806">
        <f>'Haver Pivoted'!GT84</f>
        <v>3144.3</v>
      </c>
      <c r="J118" s="806">
        <f>'Haver Pivoted'!GU84</f>
        <v>3076.3</v>
      </c>
      <c r="K118" s="806">
        <f>'Haver Pivoted'!GV84</f>
        <v>3043.8</v>
      </c>
      <c r="L118" s="806">
        <f>'Haver Pivoted'!GW84</f>
        <v>3117.4</v>
      </c>
      <c r="M118" s="806">
        <f>'Haver Pivoted'!GX84</f>
        <v>3132</v>
      </c>
      <c r="N118" s="806">
        <f>'Haver Pivoted'!GY84</f>
        <v>3196.3</v>
      </c>
      <c r="O118" s="806">
        <f>'Haver Pivoted'!GZ84</f>
        <v>3222.9</v>
      </c>
      <c r="P118" s="806">
        <f>'Haver Pivoted'!HA84</f>
        <v>3258.5</v>
      </c>
      <c r="Q118" s="806">
        <f>'Haver Pivoted'!HB84</f>
        <v>3269.9</v>
      </c>
      <c r="R118" s="806">
        <f>'Haver Pivoted'!HC84</f>
        <v>3323</v>
      </c>
      <c r="S118" s="286">
        <f>'Haver Pivoted'!HD84</f>
        <v>3358.8</v>
      </c>
      <c r="T118" s="286">
        <f>'Haver Pivoted'!HE84</f>
        <v>3424</v>
      </c>
      <c r="U118" s="286">
        <f>'Haver Pivoted'!HF84</f>
        <v>3452.6</v>
      </c>
      <c r="V118" s="286">
        <f>'Haver Pivoted'!HG84</f>
        <v>3486.3</v>
      </c>
      <c r="W118" s="280"/>
      <c r="X118" s="280"/>
      <c r="Y118" s="280"/>
      <c r="Z118" s="280"/>
      <c r="AA118" s="280"/>
      <c r="AB118" s="280"/>
      <c r="AC118" s="280"/>
      <c r="AD118" s="280"/>
      <c r="AE118" s="280"/>
      <c r="AF118" s="280"/>
      <c r="AG118" s="280"/>
    </row>
    <row r="119" spans="4:33" x14ac:dyDescent="0.35">
      <c r="D119" s="640" t="s">
        <v>504</v>
      </c>
      <c r="F119" s="895">
        <f>F115</f>
        <v>9284.7000000000007</v>
      </c>
      <c r="G119" s="806">
        <f t="shared" ref="G119:O119" si="59">G115</f>
        <v>9340.5</v>
      </c>
      <c r="H119" s="806">
        <f t="shared" si="59"/>
        <v>9487</v>
      </c>
      <c r="I119" s="806">
        <f t="shared" si="59"/>
        <v>9634.1</v>
      </c>
      <c r="J119" s="806">
        <f t="shared" si="59"/>
        <v>9002.7000000000007</v>
      </c>
      <c r="K119" s="806">
        <f t="shared" si="59"/>
        <v>9432.5</v>
      </c>
      <c r="L119" s="806">
        <f t="shared" si="59"/>
        <v>9791.5</v>
      </c>
      <c r="M119" s="806">
        <f t="shared" si="59"/>
        <v>9861.1</v>
      </c>
      <c r="N119" s="806">
        <f t="shared" si="59"/>
        <v>10148.700000000001</v>
      </c>
      <c r="O119" s="806">
        <f t="shared" si="59"/>
        <v>10433.6</v>
      </c>
      <c r="P119" s="806">
        <f t="shared" ref="P119:T119" si="60">P115</f>
        <v>10759.7</v>
      </c>
      <c r="Q119" s="806">
        <f t="shared" si="60"/>
        <v>10939.3</v>
      </c>
      <c r="R119" s="806">
        <f t="shared" si="60"/>
        <v>11071.9</v>
      </c>
      <c r="S119" s="286">
        <f t="shared" si="60"/>
        <v>11374.7</v>
      </c>
      <c r="T119" s="286">
        <f t="shared" si="60"/>
        <v>11427.7</v>
      </c>
      <c r="U119" s="286">
        <f t="shared" ref="U119:V119" si="61">U115</f>
        <v>11560.9</v>
      </c>
      <c r="V119" s="286">
        <f t="shared" si="61"/>
        <v>11714.8</v>
      </c>
      <c r="W119" s="280"/>
      <c r="X119" s="280"/>
      <c r="Y119" s="280"/>
      <c r="Z119" s="280"/>
      <c r="AA119" s="280"/>
      <c r="AB119" s="280"/>
      <c r="AC119" s="280"/>
      <c r="AD119" s="280"/>
      <c r="AE119" s="280"/>
      <c r="AF119" s="280"/>
      <c r="AG119" s="280"/>
    </row>
    <row r="120" spans="4:33" x14ac:dyDescent="0.35">
      <c r="D120" s="640" t="s">
        <v>505</v>
      </c>
      <c r="E120" s="202" t="s">
        <v>522</v>
      </c>
      <c r="F120" s="895">
        <f>'Haver Pivoted'!GQ5</f>
        <v>14323.7</v>
      </c>
      <c r="G120" s="806">
        <f>'Haver Pivoted'!GR5</f>
        <v>14482.2</v>
      </c>
      <c r="H120" s="806">
        <f>'Haver Pivoted'!GS5</f>
        <v>14619</v>
      </c>
      <c r="I120" s="806">
        <f>'Haver Pivoted'!GT5</f>
        <v>14440.2</v>
      </c>
      <c r="J120" s="806">
        <f>'Haver Pivoted'!GU5</f>
        <v>13049.8</v>
      </c>
      <c r="K120" s="806">
        <f>'Haver Pivoted'!GV5</f>
        <v>14388.7</v>
      </c>
      <c r="L120" s="806">
        <f>'Haver Pivoted'!GW5</f>
        <v>14586</v>
      </c>
      <c r="M120" s="806">
        <f>'Haver Pivoted'!GX5</f>
        <v>15131.5</v>
      </c>
      <c r="N120" s="806">
        <f>'Haver Pivoted'!GY5</f>
        <v>15813.5</v>
      </c>
      <c r="O120" s="806">
        <f>'Haver Pivoted'!GZ5</f>
        <v>16147.3</v>
      </c>
      <c r="P120" s="806">
        <f>'Haver Pivoted'!HA5</f>
        <v>16518</v>
      </c>
      <c r="Q120" s="806">
        <f>'Haver Pivoted'!HB5</f>
        <v>16874.8</v>
      </c>
      <c r="R120" s="806">
        <f>'Haver Pivoted'!HC5</f>
        <v>17261.3</v>
      </c>
      <c r="S120" s="286">
        <f>'Haver Pivoted'!HD5</f>
        <v>17542.7</v>
      </c>
      <c r="T120" s="286">
        <f>'Haver Pivoted'!HE5</f>
        <v>17749.900000000001</v>
      </c>
      <c r="U120" s="286">
        <f>'Haver Pivoted'!HF5</f>
        <v>18113.099999999999</v>
      </c>
      <c r="V120" s="286">
        <f>'Haver Pivoted'!HG5</f>
        <v>18301.599999999999</v>
      </c>
      <c r="W120" s="280"/>
      <c r="X120" s="280"/>
      <c r="Y120" s="280"/>
      <c r="Z120" s="280"/>
      <c r="AA120" s="280"/>
      <c r="AB120" s="280"/>
      <c r="AC120" s="280"/>
      <c r="AD120" s="280"/>
      <c r="AE120" s="280"/>
      <c r="AF120" s="280"/>
      <c r="AG120" s="280"/>
    </row>
    <row r="121" spans="4:33" x14ac:dyDescent="0.35">
      <c r="D121" s="640" t="s">
        <v>519</v>
      </c>
      <c r="E121" s="202" t="s">
        <v>787</v>
      </c>
      <c r="F121" s="895">
        <f>'Haver Pivoted'!GQ85</f>
        <v>1872</v>
      </c>
      <c r="G121" s="806">
        <f>'Haver Pivoted'!GR85</f>
        <v>1882</v>
      </c>
      <c r="H121" s="806">
        <f>'Haver Pivoted'!GS85</f>
        <v>1933.8</v>
      </c>
      <c r="I121" s="806">
        <f>'Haver Pivoted'!GT85</f>
        <v>1736.3</v>
      </c>
      <c r="J121" s="806">
        <f>'Haver Pivoted'!GU85</f>
        <v>1597.1</v>
      </c>
      <c r="K121" s="806">
        <f>'Haver Pivoted'!GV85</f>
        <v>2041.1</v>
      </c>
      <c r="L121" s="806">
        <f>'Haver Pivoted'!GW85</f>
        <v>1947.4</v>
      </c>
      <c r="M121" s="806">
        <f>'Haver Pivoted'!GX85</f>
        <v>2152.8000000000002</v>
      </c>
      <c r="N121" s="806">
        <f>'Haver Pivoted'!GY85</f>
        <v>2407.1</v>
      </c>
      <c r="O121" s="806">
        <f>'Haver Pivoted'!GZ85</f>
        <v>2431.8000000000002</v>
      </c>
      <c r="P121" s="806">
        <f>'Haver Pivoted'!HA85</f>
        <v>2443.1999999999998</v>
      </c>
      <c r="Q121" s="806">
        <f>'Haver Pivoted'!HB85</f>
        <v>2432.6999999999998</v>
      </c>
      <c r="R121" s="286">
        <f>'Haver Pivoted'!HC85</f>
        <v>2538.9</v>
      </c>
      <c r="S121" s="286">
        <f>'Haver Pivoted'!HD85</f>
        <v>2553.1999999999998</v>
      </c>
      <c r="T121" s="286">
        <f>'Haver Pivoted'!HE85</f>
        <v>2471.3000000000002</v>
      </c>
      <c r="U121" s="286">
        <f>'Haver Pivoted'!HF85</f>
        <v>2359.1</v>
      </c>
      <c r="V121" s="286">
        <f>'Haver Pivoted'!HG85</f>
        <v>2328.3000000000002</v>
      </c>
      <c r="W121" s="280"/>
      <c r="X121" s="280"/>
      <c r="Y121" s="280"/>
      <c r="Z121" s="280"/>
      <c r="AA121" s="280"/>
      <c r="AB121" s="280"/>
      <c r="AC121" s="280"/>
      <c r="AD121" s="280"/>
      <c r="AE121" s="280"/>
      <c r="AF121" s="280"/>
      <c r="AG121" s="280"/>
    </row>
    <row r="122" spans="4:33" x14ac:dyDescent="0.35">
      <c r="D122" s="855" t="s">
        <v>520</v>
      </c>
      <c r="F122" s="241"/>
      <c r="G122" s="188"/>
      <c r="H122" s="188"/>
      <c r="I122" s="188"/>
      <c r="J122" s="188"/>
      <c r="K122" s="188"/>
      <c r="L122" s="188"/>
      <c r="M122" s="188"/>
      <c r="N122" s="188"/>
      <c r="O122" s="188"/>
      <c r="P122" s="188"/>
      <c r="Q122" s="188"/>
      <c r="R122" s="188"/>
      <c r="S122" s="188"/>
      <c r="T122" s="188"/>
      <c r="U122" s="188"/>
      <c r="V122" s="188"/>
      <c r="W122" s="188"/>
      <c r="X122" s="188"/>
      <c r="Y122" s="188"/>
      <c r="Z122" s="188"/>
      <c r="AA122" s="188"/>
      <c r="AB122" s="188"/>
      <c r="AC122" s="188"/>
      <c r="AD122" s="188"/>
      <c r="AE122" s="188"/>
      <c r="AF122" s="188"/>
      <c r="AG122" s="188"/>
    </row>
    <row r="123" spans="4:33" x14ac:dyDescent="0.35">
      <c r="D123" s="765" t="s">
        <v>487</v>
      </c>
      <c r="F123" s="907">
        <f t="shared" ref="F123:T123" si="62">F22/F114</f>
        <v>3.6040823556663798E-2</v>
      </c>
      <c r="G123" s="754">
        <f t="shared" si="62"/>
        <v>3.3451548620258724E-2</v>
      </c>
      <c r="H123" s="754">
        <f t="shared" si="62"/>
        <v>3.2672890709981382E-2</v>
      </c>
      <c r="I123" s="754">
        <f t="shared" si="62"/>
        <v>3.2850860395398897E-2</v>
      </c>
      <c r="J123" s="754">
        <f t="shared" si="62"/>
        <v>3.419162725521107E-2</v>
      </c>
      <c r="K123" s="754">
        <f t="shared" si="62"/>
        <v>3.4473763419283633E-2</v>
      </c>
      <c r="L123" s="754">
        <f t="shared" si="62"/>
        <v>3.4115820241139933E-2</v>
      </c>
      <c r="M123" s="754">
        <f t="shared" si="62"/>
        <v>3.5373352855051249E-2</v>
      </c>
      <c r="N123" s="754">
        <f t="shared" si="62"/>
        <v>3.5780592848933403E-2</v>
      </c>
      <c r="O123" s="754">
        <f t="shared" si="62"/>
        <v>3.3044973070573025E-2</v>
      </c>
      <c r="P123" s="754">
        <f t="shared" si="62"/>
        <v>3.449442819502526E-2</v>
      </c>
      <c r="Q123" s="754">
        <f t="shared" si="62"/>
        <v>3.4672392711222445E-2</v>
      </c>
      <c r="R123" s="754">
        <f t="shared" si="62"/>
        <v>3.4681469111265309E-2</v>
      </c>
      <c r="S123" s="752">
        <f t="shared" si="62"/>
        <v>3.4199828655868528E-2</v>
      </c>
      <c r="T123" s="752">
        <f t="shared" si="62"/>
        <v>3.3180595449778874E-2</v>
      </c>
      <c r="U123" s="904">
        <f>U22/U114</f>
        <v>2.9176046825754164E-2</v>
      </c>
      <c r="V123" s="904">
        <f>V22/V114</f>
        <v>2.6016079227751971E-2</v>
      </c>
      <c r="W123" s="753">
        <f>V123</f>
        <v>2.6016079227751971E-2</v>
      </c>
      <c r="X123" s="753">
        <f>W123</f>
        <v>2.6016079227751971E-2</v>
      </c>
      <c r="Y123" s="753">
        <f t="shared" ref="W123:AC125" si="63">X123</f>
        <v>2.6016079227751971E-2</v>
      </c>
      <c r="Z123" s="753">
        <f t="shared" si="63"/>
        <v>2.6016079227751971E-2</v>
      </c>
      <c r="AA123" s="753">
        <f t="shared" si="63"/>
        <v>2.6016079227751971E-2</v>
      </c>
      <c r="AB123" s="753">
        <f t="shared" si="63"/>
        <v>2.6016079227751971E-2</v>
      </c>
      <c r="AC123" s="753">
        <f t="shared" si="63"/>
        <v>2.6016079227751971E-2</v>
      </c>
      <c r="AD123" s="753">
        <f t="shared" ref="AD123:AD126" si="64">AC123</f>
        <v>2.6016079227751971E-2</v>
      </c>
      <c r="AE123" s="753">
        <f t="shared" ref="AE123:AE126" si="65">AD123</f>
        <v>2.6016079227751971E-2</v>
      </c>
      <c r="AF123" s="753">
        <f t="shared" ref="AF123:AF126" si="66">AE123</f>
        <v>2.6016079227751971E-2</v>
      </c>
      <c r="AG123" s="753">
        <f t="shared" ref="AG123:AG126" si="67">AF123</f>
        <v>2.6016079227751971E-2</v>
      </c>
    </row>
    <row r="124" spans="4:33" x14ac:dyDescent="0.35">
      <c r="D124" s="765" t="s">
        <v>484</v>
      </c>
      <c r="F124" s="907">
        <f t="shared" ref="F124:T124" si="68">F23/F119</f>
        <v>2.2402447036522452E-3</v>
      </c>
      <c r="G124" s="754">
        <f t="shared" si="68"/>
        <v>2.2161554520635941E-3</v>
      </c>
      <c r="H124" s="754">
        <f t="shared" si="68"/>
        <v>2.1819331717086539E-3</v>
      </c>
      <c r="I124" s="754">
        <f t="shared" si="68"/>
        <v>2.1486179300609291E-3</v>
      </c>
      <c r="J124" s="754">
        <f t="shared" si="68"/>
        <v>2.1993401979406176E-3</v>
      </c>
      <c r="K124" s="754">
        <f t="shared" si="68"/>
        <v>2.1733368672144184E-3</v>
      </c>
      <c r="L124" s="754">
        <f t="shared" si="68"/>
        <v>2.1753561762753409E-3</v>
      </c>
      <c r="M124" s="754">
        <f t="shared" si="68"/>
        <v>2.2309884292827371E-3</v>
      </c>
      <c r="N124" s="754">
        <f t="shared" si="68"/>
        <v>2.2367396809443571E-3</v>
      </c>
      <c r="O124" s="754">
        <f t="shared" si="68"/>
        <v>2.2235853396718294E-3</v>
      </c>
      <c r="P124" s="754">
        <f t="shared" si="68"/>
        <v>2.1747818247720659E-3</v>
      </c>
      <c r="Q124" s="754">
        <f t="shared" si="68"/>
        <v>2.1390765405464702E-3</v>
      </c>
      <c r="R124" s="754">
        <f t="shared" si="68"/>
        <v>2.1315221416378402E-3</v>
      </c>
      <c r="S124" s="752">
        <f t="shared" si="68"/>
        <v>2.1011543161577884E-3</v>
      </c>
      <c r="T124" s="752">
        <f t="shared" si="68"/>
        <v>2.1439134734023467E-3</v>
      </c>
      <c r="U124" s="904">
        <f>U23/U119</f>
        <v>2.1970607824650331E-3</v>
      </c>
      <c r="V124" s="904">
        <f>V23/V119</f>
        <v>2.1852699149793428E-3</v>
      </c>
      <c r="W124" s="753">
        <f t="shared" si="63"/>
        <v>2.1852699149793428E-3</v>
      </c>
      <c r="X124" s="753">
        <f>W124</f>
        <v>2.1852699149793428E-3</v>
      </c>
      <c r="Y124" s="753">
        <f t="shared" si="63"/>
        <v>2.1852699149793428E-3</v>
      </c>
      <c r="Z124" s="753">
        <f t="shared" si="63"/>
        <v>2.1852699149793428E-3</v>
      </c>
      <c r="AA124" s="753">
        <f t="shared" si="63"/>
        <v>2.1852699149793428E-3</v>
      </c>
      <c r="AB124" s="753">
        <f t="shared" si="63"/>
        <v>2.1852699149793428E-3</v>
      </c>
      <c r="AC124" s="753">
        <f t="shared" si="63"/>
        <v>2.1852699149793428E-3</v>
      </c>
      <c r="AD124" s="753">
        <f t="shared" si="64"/>
        <v>2.1852699149793428E-3</v>
      </c>
      <c r="AE124" s="753">
        <f t="shared" si="65"/>
        <v>2.1852699149793428E-3</v>
      </c>
      <c r="AF124" s="753">
        <f t="shared" si="66"/>
        <v>2.1852699149793428E-3</v>
      </c>
      <c r="AG124" s="753">
        <f t="shared" si="67"/>
        <v>2.1852699149793428E-3</v>
      </c>
    </row>
    <row r="125" spans="4:33" x14ac:dyDescent="0.35">
      <c r="D125" s="765" t="s">
        <v>485</v>
      </c>
      <c r="F125" s="907">
        <f t="shared" ref="F125:T125" si="69">F24/F120</f>
        <v>9.3886356178920244E-2</v>
      </c>
      <c r="G125" s="754">
        <f t="shared" si="69"/>
        <v>9.4826752841419115E-2</v>
      </c>
      <c r="H125" s="754">
        <f t="shared" si="69"/>
        <v>9.3898351460428214E-2</v>
      </c>
      <c r="I125" s="754">
        <f t="shared" si="69"/>
        <v>9.5518067616792005E-2</v>
      </c>
      <c r="J125" s="754">
        <f t="shared" si="69"/>
        <v>9.9143281889377613E-2</v>
      </c>
      <c r="K125" s="754">
        <f t="shared" si="69"/>
        <v>9.7117877223098684E-2</v>
      </c>
      <c r="L125" s="754">
        <f t="shared" si="69"/>
        <v>9.6764020293432063E-2</v>
      </c>
      <c r="M125" s="754">
        <f t="shared" si="69"/>
        <v>9.4306578990846907E-2</v>
      </c>
      <c r="N125" s="754">
        <f t="shared" si="69"/>
        <v>9.4817719037531223E-2</v>
      </c>
      <c r="O125" s="754">
        <f t="shared" si="69"/>
        <v>9.309296291020791E-2</v>
      </c>
      <c r="P125" s="754">
        <f t="shared" si="69"/>
        <v>9.236590386245308E-2</v>
      </c>
      <c r="Q125" s="754">
        <f t="shared" si="69"/>
        <v>9.1716642567615622E-2</v>
      </c>
      <c r="R125" s="754">
        <f t="shared" si="69"/>
        <v>9.072897174604462E-2</v>
      </c>
      <c r="S125" s="752">
        <f t="shared" si="69"/>
        <v>9.0197062025799898E-2</v>
      </c>
      <c r="T125" s="752">
        <f t="shared" si="69"/>
        <v>8.9386419078417337E-2</v>
      </c>
      <c r="U125" s="904">
        <f>U24/U120</f>
        <v>8.8532608995699244E-2</v>
      </c>
      <c r="V125" s="904">
        <f>V24/V120</f>
        <v>8.7801066573414355E-2</v>
      </c>
      <c r="W125" s="753">
        <f t="shared" si="63"/>
        <v>8.7801066573414355E-2</v>
      </c>
      <c r="X125" s="753">
        <f>W125</f>
        <v>8.7801066573414355E-2</v>
      </c>
      <c r="Y125" s="753">
        <f t="shared" si="63"/>
        <v>8.7801066573414355E-2</v>
      </c>
      <c r="Z125" s="753">
        <f t="shared" si="63"/>
        <v>8.7801066573414355E-2</v>
      </c>
      <c r="AA125" s="753">
        <f t="shared" si="63"/>
        <v>8.7801066573414355E-2</v>
      </c>
      <c r="AB125" s="753">
        <f t="shared" si="63"/>
        <v>8.7801066573414355E-2</v>
      </c>
      <c r="AC125" s="753">
        <f t="shared" si="63"/>
        <v>8.7801066573414355E-2</v>
      </c>
      <c r="AD125" s="753">
        <f t="shared" si="64"/>
        <v>8.7801066573414355E-2</v>
      </c>
      <c r="AE125" s="753">
        <f t="shared" si="65"/>
        <v>8.7801066573414355E-2</v>
      </c>
      <c r="AF125" s="753">
        <f t="shared" si="66"/>
        <v>8.7801066573414355E-2</v>
      </c>
      <c r="AG125" s="753">
        <f t="shared" si="67"/>
        <v>8.7801066573414355E-2</v>
      </c>
    </row>
    <row r="126" spans="4:33" x14ac:dyDescent="0.35">
      <c r="D126" s="885" t="s">
        <v>521</v>
      </c>
      <c r="E126" s="322"/>
      <c r="F126" s="891">
        <f t="shared" ref="F126:T126" si="70">F25/F121</f>
        <v>3.9797008547008544E-2</v>
      </c>
      <c r="G126" s="892">
        <f t="shared" si="70"/>
        <v>3.9001062699256114E-2</v>
      </c>
      <c r="H126" s="892">
        <f t="shared" si="70"/>
        <v>3.728410383700486E-2</v>
      </c>
      <c r="I126" s="892">
        <f t="shared" si="70"/>
        <v>3.8990957783793127E-2</v>
      </c>
      <c r="J126" s="892">
        <f t="shared" si="70"/>
        <v>4.0698766514307184E-2</v>
      </c>
      <c r="K126" s="892">
        <f t="shared" si="70"/>
        <v>3.9635490666797321E-2</v>
      </c>
      <c r="L126" s="892">
        <f t="shared" si="70"/>
        <v>4.3545239806922049E-2</v>
      </c>
      <c r="M126" s="892">
        <f t="shared" si="70"/>
        <v>4.0876997398736528E-2</v>
      </c>
      <c r="N126" s="892">
        <f t="shared" si="70"/>
        <v>3.7514021021145774E-2</v>
      </c>
      <c r="O126" s="892">
        <f t="shared" si="70"/>
        <v>3.8818981824163171E-2</v>
      </c>
      <c r="P126" s="892">
        <f t="shared" si="70"/>
        <v>4.52275703994761E-2</v>
      </c>
      <c r="Q126" s="892">
        <f t="shared" si="70"/>
        <v>6.8195831791836234E-2</v>
      </c>
      <c r="R126" s="905">
        <f t="shared" si="70"/>
        <v>4.3247075505140016E-2</v>
      </c>
      <c r="S126" s="905">
        <f t="shared" si="70"/>
        <v>3.9440701864327125E-2</v>
      </c>
      <c r="T126" s="820">
        <f t="shared" si="70"/>
        <v>4.7383967952089989E-2</v>
      </c>
      <c r="U126" s="755">
        <f>U25/U121</f>
        <v>5.5020982578101826E-2</v>
      </c>
      <c r="V126" s="756">
        <f t="shared" ref="V126:AC126" si="71">U126</f>
        <v>5.5020982578101826E-2</v>
      </c>
      <c r="W126" s="902">
        <f t="shared" si="71"/>
        <v>5.5020982578101826E-2</v>
      </c>
      <c r="X126" s="902">
        <f>W126</f>
        <v>5.5020982578101826E-2</v>
      </c>
      <c r="Y126" s="902">
        <f t="shared" si="71"/>
        <v>5.5020982578101826E-2</v>
      </c>
      <c r="Z126" s="902">
        <f t="shared" si="71"/>
        <v>5.5020982578101826E-2</v>
      </c>
      <c r="AA126" s="902">
        <f t="shared" si="71"/>
        <v>5.5020982578101826E-2</v>
      </c>
      <c r="AB126" s="902">
        <f t="shared" si="71"/>
        <v>5.5020982578101826E-2</v>
      </c>
      <c r="AC126" s="753">
        <f t="shared" si="71"/>
        <v>5.5020982578101826E-2</v>
      </c>
      <c r="AD126" s="753">
        <f t="shared" si="64"/>
        <v>5.5020982578101826E-2</v>
      </c>
      <c r="AE126" s="753">
        <f t="shared" si="65"/>
        <v>5.5020982578101826E-2</v>
      </c>
      <c r="AF126" s="753">
        <f t="shared" si="66"/>
        <v>5.5020982578101826E-2</v>
      </c>
      <c r="AG126" s="753">
        <f t="shared" si="67"/>
        <v>5.5020982578101826E-2</v>
      </c>
    </row>
    <row r="130" spans="4:29" x14ac:dyDescent="0.35">
      <c r="D130" s="1427" t="s">
        <v>1711</v>
      </c>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27"/>
      <c r="AB130" s="1427"/>
      <c r="AC130" s="1427"/>
    </row>
    <row r="131" spans="4:29" x14ac:dyDescent="0.35">
      <c r="D131" s="856" t="s">
        <v>1704</v>
      </c>
      <c r="E131" s="87"/>
      <c r="F131" s="255"/>
      <c r="G131" s="255"/>
      <c r="H131" s="255"/>
      <c r="I131" s="255"/>
      <c r="J131" s="255"/>
      <c r="K131" s="255"/>
      <c r="L131" s="255"/>
      <c r="M131" s="255"/>
      <c r="N131" s="255"/>
      <c r="O131" s="255"/>
      <c r="P131" s="255"/>
      <c r="Q131" s="255"/>
      <c r="R131" s="255"/>
      <c r="S131" s="766"/>
      <c r="T131" s="255"/>
      <c r="U131" s="259"/>
      <c r="V131" s="259"/>
      <c r="W131" s="259"/>
      <c r="X131" s="259"/>
      <c r="Y131" s="259"/>
      <c r="Z131" s="259"/>
      <c r="AA131" s="259"/>
      <c r="AB131" s="259"/>
      <c r="AC131" s="185"/>
    </row>
    <row r="132" spans="4:29" x14ac:dyDescent="0.35">
      <c r="D132" s="821" t="s">
        <v>515</v>
      </c>
      <c r="E132" s="822"/>
      <c r="F132" s="823"/>
      <c r="G132" s="823">
        <f>(G114/F114)^4-1</f>
        <v>3.4698380469732282E-2</v>
      </c>
      <c r="H132" s="823">
        <f t="shared" ref="H132:S132" si="72">(H114/G114)^4-1</f>
        <v>4.9923760445010679E-2</v>
      </c>
      <c r="I132" s="823">
        <f t="shared" si="72"/>
        <v>4.3205695538489852E-2</v>
      </c>
      <c r="J132" s="823">
        <f t="shared" si="72"/>
        <v>-0.21111288829196628</v>
      </c>
      <c r="K132" s="823">
        <f t="shared" si="72"/>
        <v>0.2039893976975653</v>
      </c>
      <c r="L132" s="823">
        <f t="shared" si="72"/>
        <v>0.10465949131480801</v>
      </c>
      <c r="M132" s="823">
        <f t="shared" si="72"/>
        <v>1.0558802843273263E-2</v>
      </c>
      <c r="N132" s="823">
        <f t="shared" si="72"/>
        <v>0.12746550927768152</v>
      </c>
      <c r="O132" s="823">
        <f t="shared" si="72"/>
        <v>8.7747356366950635E-2</v>
      </c>
      <c r="P132" s="823">
        <f t="shared" si="72"/>
        <v>9.6215323061816349E-2</v>
      </c>
      <c r="Q132" s="823">
        <f t="shared" si="72"/>
        <v>5.3721843023527782E-2</v>
      </c>
      <c r="R132" s="823">
        <f t="shared" si="72"/>
        <v>5.8676051825151676E-2</v>
      </c>
      <c r="S132" s="823">
        <f t="shared" si="72"/>
        <v>9.3853068788779082E-2</v>
      </c>
      <c r="T132" s="824"/>
      <c r="U132" s="280"/>
      <c r="V132" s="280"/>
      <c r="W132" s="280"/>
      <c r="X132" s="280"/>
      <c r="Y132" s="280"/>
      <c r="Z132" s="280"/>
      <c r="AA132" s="280"/>
      <c r="AB132" s="280"/>
      <c r="AC132" s="399"/>
    </row>
    <row r="133" spans="4:29" x14ac:dyDescent="0.35">
      <c r="D133" s="825" t="s">
        <v>789</v>
      </c>
      <c r="E133" s="826"/>
      <c r="F133" s="823"/>
      <c r="G133" s="823">
        <f t="shared" ref="G133:S133" si="73">(G115/F115)^4-1</f>
        <v>2.4257130985616993E-2</v>
      </c>
      <c r="H133" s="823">
        <f t="shared" si="73"/>
        <v>6.4229034399477136E-2</v>
      </c>
      <c r="I133" s="823">
        <f t="shared" si="73"/>
        <v>6.3479192755366398E-2</v>
      </c>
      <c r="J133" s="823">
        <f t="shared" si="73"/>
        <v>-0.23748829732952048</v>
      </c>
      <c r="K133" s="823">
        <f t="shared" si="73"/>
        <v>0.20508073180198716</v>
      </c>
      <c r="L133" s="823">
        <f t="shared" si="73"/>
        <v>0.1611535586248285</v>
      </c>
      <c r="M133" s="823">
        <f t="shared" si="73"/>
        <v>2.873742311872407E-2</v>
      </c>
      <c r="N133" s="823">
        <f t="shared" si="73"/>
        <v>0.12186398788851394</v>
      </c>
      <c r="O133" s="823">
        <f t="shared" si="73"/>
        <v>0.11710776964011727</v>
      </c>
      <c r="P133" s="823">
        <f t="shared" si="73"/>
        <v>0.13100342179485458</v>
      </c>
      <c r="Q133" s="823">
        <f t="shared" si="73"/>
        <v>6.8458061444058416E-2</v>
      </c>
      <c r="R133" s="823">
        <f t="shared" si="73"/>
        <v>4.9374455409313622E-2</v>
      </c>
      <c r="S133" s="823">
        <f t="shared" si="73"/>
        <v>0.11396407828544985</v>
      </c>
      <c r="T133" s="824"/>
      <c r="U133" s="280"/>
      <c r="V133" s="280"/>
      <c r="W133" s="280"/>
      <c r="X133" s="280"/>
      <c r="Y133" s="280"/>
      <c r="Z133" s="280"/>
      <c r="AA133" s="280"/>
      <c r="AB133" s="280"/>
      <c r="AC133" s="399"/>
    </row>
    <row r="134" spans="4:29" x14ac:dyDescent="0.35">
      <c r="D134" s="825" t="s">
        <v>516</v>
      </c>
      <c r="E134" s="826"/>
      <c r="F134" s="823"/>
      <c r="G134" s="823">
        <f t="shared" ref="G134:S134" si="74">(G116/F116)^4-1</f>
        <v>0.10578312944398705</v>
      </c>
      <c r="H134" s="823">
        <f t="shared" si="74"/>
        <v>4.1744934553236801E-2</v>
      </c>
      <c r="I134" s="823">
        <f t="shared" si="74"/>
        <v>2.7986793488743444E-2</v>
      </c>
      <c r="J134" s="823">
        <f t="shared" si="74"/>
        <v>-0.34970130690663714</v>
      </c>
      <c r="K134" s="823">
        <f t="shared" si="74"/>
        <v>0.98547836855144699</v>
      </c>
      <c r="L134" s="823">
        <f t="shared" si="74"/>
        <v>-0.1085469464882084</v>
      </c>
      <c r="M134" s="823">
        <f t="shared" si="74"/>
        <v>-0.10596654721724863</v>
      </c>
      <c r="N134" s="823">
        <f t="shared" si="74"/>
        <v>0.32880103280025574</v>
      </c>
      <c r="O134" s="823">
        <f t="shared" si="74"/>
        <v>3.6044774195732154E-2</v>
      </c>
      <c r="P134" s="823">
        <f t="shared" si="74"/>
        <v>-6.4550024300153996E-3</v>
      </c>
      <c r="Q134" s="823">
        <f t="shared" si="74"/>
        <v>4.9154478043828886E-2</v>
      </c>
      <c r="R134" s="823">
        <f t="shared" si="74"/>
        <v>5.4060298595324685E-2</v>
      </c>
      <c r="S134" s="823">
        <f t="shared" si="74"/>
        <v>6.2660845264692622E-2</v>
      </c>
      <c r="T134" s="824"/>
      <c r="U134" s="280"/>
      <c r="V134" s="280"/>
      <c r="W134" s="280"/>
      <c r="X134" s="280"/>
      <c r="Y134" s="280"/>
      <c r="Z134" s="280"/>
      <c r="AA134" s="280"/>
      <c r="AB134" s="280"/>
      <c r="AC134" s="399"/>
    </row>
    <row r="135" spans="4:29" x14ac:dyDescent="0.35">
      <c r="D135" s="825" t="s">
        <v>517</v>
      </c>
      <c r="E135" s="826"/>
      <c r="F135" s="823"/>
      <c r="G135" s="823">
        <f t="shared" ref="G135:S135" si="75">(G117/F117)^4-1</f>
        <v>1.7350665401546284E-2</v>
      </c>
      <c r="H135" s="823">
        <f t="shared" si="75"/>
        <v>5.1903311323329371E-2</v>
      </c>
      <c r="I135" s="823">
        <f t="shared" si="75"/>
        <v>8.5072603128263369E-2</v>
      </c>
      <c r="J135" s="823">
        <f t="shared" si="75"/>
        <v>-2.5764424405961162E-2</v>
      </c>
      <c r="K135" s="823">
        <f t="shared" si="75"/>
        <v>2.6445784830072538E-2</v>
      </c>
      <c r="L135" s="823">
        <f t="shared" si="75"/>
        <v>-3.4420635784840226E-2</v>
      </c>
      <c r="M135" s="823">
        <f t="shared" si="75"/>
        <v>1.7423885940878847E-2</v>
      </c>
      <c r="N135" s="823">
        <f t="shared" si="75"/>
        <v>-3.2403751505907019E-2</v>
      </c>
      <c r="O135" s="823">
        <f t="shared" si="75"/>
        <v>5.2582897021147934E-2</v>
      </c>
      <c r="P135" s="823">
        <f t="shared" si="75"/>
        <v>9.6870587526498575E-2</v>
      </c>
      <c r="Q135" s="823">
        <f t="shared" si="75"/>
        <v>2.8973729785401803E-2</v>
      </c>
      <c r="R135" s="823">
        <f t="shared" si="75"/>
        <v>0.17714811192574409</v>
      </c>
      <c r="S135" s="823">
        <f t="shared" si="75"/>
        <v>0.101607744588458</v>
      </c>
      <c r="T135" s="824"/>
      <c r="U135" s="280"/>
      <c r="V135" s="280"/>
      <c r="W135" s="280"/>
      <c r="X135" s="280"/>
      <c r="Y135" s="280"/>
      <c r="Z135" s="280"/>
      <c r="AA135" s="280"/>
      <c r="AB135" s="280"/>
      <c r="AC135" s="399"/>
    </row>
    <row r="136" spans="4:29" x14ac:dyDescent="0.35">
      <c r="D136" s="825" t="s">
        <v>518</v>
      </c>
      <c r="E136" s="826"/>
      <c r="F136" s="823"/>
      <c r="G136" s="823">
        <f t="shared" ref="G136:S136" si="76">(G118/F118)^4-1</f>
        <v>3.4783891285258939E-2</v>
      </c>
      <c r="H136" s="823">
        <f t="shared" si="76"/>
        <v>1.1995399534317164E-2</v>
      </c>
      <c r="I136" s="823">
        <f t="shared" si="76"/>
        <v>-1.72401618421828E-2</v>
      </c>
      <c r="J136" s="823">
        <f t="shared" si="76"/>
        <v>-8.3739764588403598E-2</v>
      </c>
      <c r="K136" s="823">
        <f t="shared" si="76"/>
        <v>-4.1593591819862108E-2</v>
      </c>
      <c r="L136" s="823">
        <f t="shared" si="76"/>
        <v>0.10028621896444267</v>
      </c>
      <c r="M136" s="823">
        <f t="shared" si="76"/>
        <v>1.8865576255239436E-2</v>
      </c>
      <c r="N136" s="823">
        <f t="shared" si="76"/>
        <v>8.4683729354623427E-2</v>
      </c>
      <c r="O136" s="823">
        <f t="shared" si="76"/>
        <v>3.3706346430805167E-2</v>
      </c>
      <c r="P136" s="823">
        <f t="shared" si="76"/>
        <v>4.492129388861188E-2</v>
      </c>
      <c r="Q136" s="823">
        <f t="shared" si="76"/>
        <v>1.4067779320086293E-2</v>
      </c>
      <c r="R136" s="823">
        <f t="shared" si="76"/>
        <v>6.6555550049419487E-2</v>
      </c>
      <c r="S136" s="823">
        <f t="shared" si="76"/>
        <v>4.3795001871779204E-2</v>
      </c>
      <c r="T136" s="824"/>
      <c r="U136" s="280"/>
      <c r="V136" s="280"/>
      <c r="W136" s="280"/>
      <c r="X136" s="280"/>
      <c r="Y136" s="280"/>
      <c r="Z136" s="280"/>
      <c r="AA136" s="280"/>
      <c r="AB136" s="280"/>
      <c r="AC136" s="399"/>
    </row>
    <row r="137" spans="4:29" x14ac:dyDescent="0.35">
      <c r="D137" s="821" t="s">
        <v>504</v>
      </c>
      <c r="E137" s="822"/>
      <c r="F137" s="823"/>
      <c r="G137" s="823">
        <f t="shared" ref="G137:S137" si="77">(G119/F119)^4-1</f>
        <v>2.4257130985616993E-2</v>
      </c>
      <c r="H137" s="823">
        <f t="shared" si="77"/>
        <v>6.4229034399477136E-2</v>
      </c>
      <c r="I137" s="823">
        <f t="shared" si="77"/>
        <v>6.3479192755366398E-2</v>
      </c>
      <c r="J137" s="823">
        <f t="shared" si="77"/>
        <v>-0.23748829732952048</v>
      </c>
      <c r="K137" s="823">
        <f t="shared" si="77"/>
        <v>0.20508073180198716</v>
      </c>
      <c r="L137" s="823">
        <f t="shared" si="77"/>
        <v>0.1611535586248285</v>
      </c>
      <c r="M137" s="823">
        <f t="shared" si="77"/>
        <v>2.873742311872407E-2</v>
      </c>
      <c r="N137" s="823">
        <f t="shared" si="77"/>
        <v>0.12186398788851394</v>
      </c>
      <c r="O137" s="823">
        <f t="shared" si="77"/>
        <v>0.11710776964011727</v>
      </c>
      <c r="P137" s="823">
        <f t="shared" si="77"/>
        <v>0.13100342179485458</v>
      </c>
      <c r="Q137" s="823">
        <f t="shared" si="77"/>
        <v>6.8458061444058416E-2</v>
      </c>
      <c r="R137" s="823">
        <f t="shared" si="77"/>
        <v>4.9374455409313622E-2</v>
      </c>
      <c r="S137" s="823">
        <f t="shared" si="77"/>
        <v>0.11396407828544985</v>
      </c>
      <c r="T137" s="824"/>
      <c r="U137" s="280"/>
      <c r="V137" s="280"/>
      <c r="W137" s="280"/>
      <c r="X137" s="280"/>
      <c r="Y137" s="280"/>
      <c r="Z137" s="280"/>
      <c r="AA137" s="280"/>
      <c r="AB137" s="280"/>
      <c r="AC137" s="399"/>
    </row>
    <row r="138" spans="4:29" x14ac:dyDescent="0.35">
      <c r="D138" s="821" t="s">
        <v>505</v>
      </c>
      <c r="E138" s="826"/>
      <c r="F138" s="823"/>
      <c r="G138" s="823">
        <f t="shared" ref="G138:S138" si="78">(G120/F120)^4-1</f>
        <v>4.5002423223402754E-2</v>
      </c>
      <c r="H138" s="823">
        <f t="shared" si="78"/>
        <v>3.8323064342955293E-2</v>
      </c>
      <c r="I138" s="823">
        <f t="shared" si="78"/>
        <v>-4.8032396760868568E-2</v>
      </c>
      <c r="J138" s="823">
        <f t="shared" si="78"/>
        <v>-0.33300498256979416</v>
      </c>
      <c r="K138" s="823">
        <f t="shared" si="78"/>
        <v>0.47798765988551417</v>
      </c>
      <c r="L138" s="823">
        <f t="shared" si="78"/>
        <v>5.5987082820652123E-2</v>
      </c>
      <c r="M138" s="823">
        <f t="shared" si="78"/>
        <v>0.15819874984710092</v>
      </c>
      <c r="N138" s="823">
        <f t="shared" si="78"/>
        <v>0.1928451879925992</v>
      </c>
      <c r="O138" s="823">
        <f t="shared" si="78"/>
        <v>8.7145430326741824E-2</v>
      </c>
      <c r="P138" s="823">
        <f t="shared" si="78"/>
        <v>9.5040522503139657E-2</v>
      </c>
      <c r="Q138" s="823">
        <f t="shared" si="78"/>
        <v>8.9242780231497676E-2</v>
      </c>
      <c r="R138" s="823">
        <f t="shared" si="78"/>
        <v>9.481178927373124E-2</v>
      </c>
      <c r="S138" s="823">
        <f t="shared" si="78"/>
        <v>6.6821460633025076E-2</v>
      </c>
      <c r="T138" s="824"/>
      <c r="U138" s="280"/>
      <c r="V138" s="280"/>
      <c r="W138" s="280"/>
      <c r="X138" s="280"/>
      <c r="Y138" s="280"/>
      <c r="Z138" s="280"/>
      <c r="AA138" s="280"/>
      <c r="AB138" s="280"/>
      <c r="AC138" s="399"/>
    </row>
    <row r="139" spans="4:29" x14ac:dyDescent="0.35">
      <c r="D139" s="827" t="s">
        <v>519</v>
      </c>
      <c r="E139" s="828"/>
      <c r="F139" s="829"/>
      <c r="G139" s="829">
        <f t="shared" ref="G139:S139" si="79">(G121/F121)^4-1</f>
        <v>2.1539346032199758E-2</v>
      </c>
      <c r="H139" s="829">
        <f t="shared" si="79"/>
        <v>0.11472501548972591</v>
      </c>
      <c r="I139" s="829">
        <f t="shared" si="79"/>
        <v>-0.35009057164746982</v>
      </c>
      <c r="J139" s="829">
        <f t="shared" si="79"/>
        <v>-0.28413788741165624</v>
      </c>
      <c r="K139" s="829">
        <f t="shared" si="79"/>
        <v>1.667649037274042</v>
      </c>
      <c r="L139" s="829">
        <f t="shared" si="79"/>
        <v>-0.17136450639292922</v>
      </c>
      <c r="M139" s="829">
        <f t="shared" si="79"/>
        <v>0.49346165457827729</v>
      </c>
      <c r="N139" s="829">
        <f t="shared" si="79"/>
        <v>0.56301012914725668</v>
      </c>
      <c r="O139" s="829">
        <f t="shared" si="79"/>
        <v>4.1681341019436546E-2</v>
      </c>
      <c r="P139" s="829">
        <f t="shared" si="79"/>
        <v>1.8883812263239985E-2</v>
      </c>
      <c r="Q139" s="829">
        <f t="shared" si="79"/>
        <v>-1.7080068525602621E-2</v>
      </c>
      <c r="R139" s="829">
        <f t="shared" si="79"/>
        <v>0.18639186970056576</v>
      </c>
      <c r="S139" s="829">
        <f t="shared" si="79"/>
        <v>2.2720498509915421E-2</v>
      </c>
      <c r="T139" s="830"/>
      <c r="U139" s="236"/>
      <c r="V139" s="236"/>
      <c r="W139" s="236"/>
      <c r="X139" s="236"/>
      <c r="Y139" s="236"/>
      <c r="Z139" s="236"/>
      <c r="AA139" s="236"/>
      <c r="AB139" s="236"/>
      <c r="AC139" s="237"/>
    </row>
    <row r="142" spans="4:29" x14ac:dyDescent="0.35">
      <c r="D142" s="1427" t="s">
        <v>1712</v>
      </c>
      <c r="E142" s="1427"/>
      <c r="F142" s="1427"/>
      <c r="G142" s="1427"/>
      <c r="H142" s="1427"/>
      <c r="I142" s="1427"/>
      <c r="J142" s="1427"/>
      <c r="K142" s="1427"/>
      <c r="L142" s="1427"/>
      <c r="M142" s="1427"/>
      <c r="N142" s="1427"/>
      <c r="O142" s="1427"/>
      <c r="P142" s="1427"/>
      <c r="Q142" s="1428"/>
      <c r="R142" s="1428"/>
      <c r="S142" s="1428"/>
      <c r="T142" s="1428"/>
      <c r="U142" s="1427"/>
      <c r="V142" s="1427"/>
      <c r="W142" s="1427"/>
      <c r="X142" s="1427"/>
      <c r="Y142" s="1427"/>
      <c r="Z142" s="1427"/>
      <c r="AA142" s="1427"/>
      <c r="AB142" s="1427"/>
      <c r="AC142" s="1427"/>
    </row>
    <row r="143" spans="4:29" x14ac:dyDescent="0.35">
      <c r="D143" s="1410" t="s">
        <v>900</v>
      </c>
      <c r="E143" s="1419"/>
      <c r="F143" s="1310">
        <v>2019</v>
      </c>
      <c r="G143" s="1328"/>
      <c r="H143" s="1329"/>
      <c r="I143" s="1310">
        <v>2020</v>
      </c>
      <c r="J143" s="1328"/>
      <c r="K143" s="1328"/>
      <c r="L143" s="1329"/>
      <c r="M143" s="1310">
        <v>2021</v>
      </c>
      <c r="N143" s="1328"/>
      <c r="O143" s="1328"/>
      <c r="P143" s="1328"/>
      <c r="Q143" s="1310">
        <v>2022</v>
      </c>
      <c r="R143" s="1311"/>
      <c r="S143" s="1311"/>
      <c r="T143" s="1329"/>
      <c r="U143" s="261"/>
      <c r="V143" s="535">
        <v>2023</v>
      </c>
      <c r="W143" s="528"/>
      <c r="X143" s="226"/>
      <c r="Y143" s="1325">
        <v>2024</v>
      </c>
      <c r="Z143" s="1337"/>
      <c r="AA143" s="1337"/>
      <c r="AB143" s="1327"/>
      <c r="AC143" s="213">
        <v>2025</v>
      </c>
    </row>
    <row r="144" spans="4:29" x14ac:dyDescent="0.35">
      <c r="D144" s="1422"/>
      <c r="E144" s="1423"/>
      <c r="F144" s="149" t="s">
        <v>284</v>
      </c>
      <c r="G144" s="140" t="s">
        <v>238</v>
      </c>
      <c r="H144" s="146" t="s">
        <v>282</v>
      </c>
      <c r="I144" s="149" t="s">
        <v>283</v>
      </c>
      <c r="J144" s="140" t="s">
        <v>284</v>
      </c>
      <c r="K144" s="140" t="s">
        <v>238</v>
      </c>
      <c r="L144" s="146" t="s">
        <v>282</v>
      </c>
      <c r="M144" s="149" t="s">
        <v>283</v>
      </c>
      <c r="N144" s="140" t="s">
        <v>284</v>
      </c>
      <c r="O144" s="140" t="s">
        <v>238</v>
      </c>
      <c r="P144" s="140" t="s">
        <v>282</v>
      </c>
      <c r="Q144" s="149" t="s">
        <v>283</v>
      </c>
      <c r="R144" s="140" t="s">
        <v>284</v>
      </c>
      <c r="S144" s="140" t="s">
        <v>238</v>
      </c>
      <c r="T144" s="146" t="s">
        <v>282</v>
      </c>
      <c r="U144" s="146" t="s">
        <v>283</v>
      </c>
      <c r="V144" s="253" t="s">
        <v>284</v>
      </c>
      <c r="W144" s="236" t="s">
        <v>238</v>
      </c>
      <c r="X144" s="237" t="s">
        <v>282</v>
      </c>
      <c r="Y144" s="235" t="s">
        <v>283</v>
      </c>
      <c r="Z144" s="233" t="s">
        <v>284</v>
      </c>
      <c r="AA144" s="236" t="s">
        <v>238</v>
      </c>
      <c r="AB144" s="236" t="s">
        <v>282</v>
      </c>
      <c r="AC144" s="854" t="s">
        <v>283</v>
      </c>
    </row>
    <row r="145" spans="3:30" x14ac:dyDescent="0.35">
      <c r="D145" s="831" t="s">
        <v>503</v>
      </c>
      <c r="E145" s="832"/>
      <c r="F145" s="833">
        <f>F147+F149</f>
        <v>14660.3</v>
      </c>
      <c r="G145" s="834">
        <f t="shared" ref="G145:P145" si="80">G147+G149</f>
        <v>14748</v>
      </c>
      <c r="H145" s="834">
        <f t="shared" si="80"/>
        <v>14896.1</v>
      </c>
      <c r="I145" s="834">
        <f t="shared" si="80"/>
        <v>5492.6</v>
      </c>
      <c r="J145" s="834">
        <f t="shared" si="80"/>
        <v>14127</v>
      </c>
      <c r="K145" s="834">
        <f t="shared" si="80"/>
        <v>14803.099999999999</v>
      </c>
      <c r="L145" s="834">
        <f t="shared" si="80"/>
        <v>15014.2</v>
      </c>
      <c r="M145" s="834">
        <f t="shared" si="80"/>
        <v>15152.900000000001</v>
      </c>
      <c r="N145" s="834">
        <f t="shared" si="80"/>
        <v>15654.4</v>
      </c>
      <c r="O145" s="834">
        <f t="shared" si="80"/>
        <v>15799.3</v>
      </c>
      <c r="P145" s="834">
        <f t="shared" si="80"/>
        <v>15983.8</v>
      </c>
      <c r="Q145" s="834">
        <f>Q147+Q149</f>
        <v>16571.400000000001</v>
      </c>
      <c r="R145" s="834">
        <f t="shared" ref="R145:S145" si="81">R147+R149</f>
        <v>16848</v>
      </c>
      <c r="S145" s="834">
        <f t="shared" si="81"/>
        <v>17094.3</v>
      </c>
      <c r="T145" s="835">
        <f>S145*(1+T157)^(1/4)</f>
        <v>17246.177635198121</v>
      </c>
      <c r="U145" s="757">
        <f t="shared" ref="U145:AC145" si="82">T145*(1+U157)^(1/4)</f>
        <v>17444.385818439194</v>
      </c>
      <c r="V145" s="757">
        <f t="shared" si="82"/>
        <v>17898.051397152754</v>
      </c>
      <c r="W145" s="792">
        <f t="shared" si="82"/>
        <v>18160.197704019985</v>
      </c>
      <c r="X145" s="792">
        <f t="shared" si="82"/>
        <v>18414.671436052067</v>
      </c>
      <c r="Y145" s="792">
        <f t="shared" si="82"/>
        <v>18612.191054884857</v>
      </c>
      <c r="Z145" s="792">
        <f t="shared" si="82"/>
        <v>18776.266116743969</v>
      </c>
      <c r="AA145" s="792">
        <f t="shared" si="82"/>
        <v>18942.505238171965</v>
      </c>
      <c r="AB145" s="792">
        <f t="shared" si="82"/>
        <v>19106.777032719157</v>
      </c>
      <c r="AC145" s="875">
        <f t="shared" si="82"/>
        <v>19264.851747591816</v>
      </c>
    </row>
    <row r="146" spans="3:30" x14ac:dyDescent="0.35">
      <c r="D146" s="821"/>
      <c r="E146" s="836"/>
      <c r="F146" s="837"/>
      <c r="G146" s="838"/>
      <c r="H146" s="838"/>
      <c r="I146" s="838"/>
      <c r="J146" s="838"/>
      <c r="K146" s="838"/>
      <c r="L146" s="838"/>
      <c r="M146" s="838"/>
      <c r="N146" s="838"/>
      <c r="O146" s="838"/>
      <c r="P146" s="838"/>
      <c r="Q146" s="838"/>
      <c r="R146" s="838"/>
      <c r="S146" s="838"/>
      <c r="T146" s="839"/>
      <c r="U146" s="758"/>
      <c r="V146" s="758"/>
      <c r="W146" s="874"/>
      <c r="X146" s="874"/>
      <c r="Y146" s="874"/>
      <c r="Z146" s="874"/>
      <c r="AA146" s="874"/>
      <c r="AB146" s="874"/>
      <c r="AC146" s="894"/>
    </row>
    <row r="147" spans="3:30" x14ac:dyDescent="0.35">
      <c r="D147" s="840" t="s">
        <v>504</v>
      </c>
      <c r="E147" s="841"/>
      <c r="F147" s="837">
        <v>9274.9</v>
      </c>
      <c r="G147" s="838">
        <v>9311.2999999999993</v>
      </c>
      <c r="H147" s="838">
        <v>9422.5</v>
      </c>
      <c r="I147" s="838">
        <v>0</v>
      </c>
      <c r="J147" s="838">
        <v>8908.7999999999993</v>
      </c>
      <c r="K147" s="838">
        <v>9343.2999999999993</v>
      </c>
      <c r="L147" s="838">
        <v>9546</v>
      </c>
      <c r="M147" s="838">
        <v>9702.2000000000007</v>
      </c>
      <c r="N147" s="838">
        <v>9950.4</v>
      </c>
      <c r="O147" s="838">
        <v>10175.1</v>
      </c>
      <c r="P147" s="838">
        <v>10336.6</v>
      </c>
      <c r="Q147" s="838">
        <v>10995.9</v>
      </c>
      <c r="R147" s="838">
        <v>11172.6</v>
      </c>
      <c r="S147" s="838">
        <v>11320.4</v>
      </c>
      <c r="T147" s="839">
        <f>S147*(1+T159)^(1/4)</f>
        <v>11373.110955021564</v>
      </c>
      <c r="U147" s="758">
        <f t="shared" ref="U147:AC147" si="83">T147*(1+U159)^(1/4)</f>
        <v>11502.546740603819</v>
      </c>
      <c r="V147" s="758">
        <f t="shared" si="83"/>
        <v>11603.98294516328</v>
      </c>
      <c r="W147" s="874">
        <f t="shared" si="83"/>
        <v>11762.514380776343</v>
      </c>
      <c r="X147" s="874">
        <f t="shared" si="83"/>
        <v>11920.248675292671</v>
      </c>
      <c r="Y147" s="874">
        <f t="shared" si="83"/>
        <v>12057.556229205178</v>
      </c>
      <c r="Z147" s="874">
        <f t="shared" si="83"/>
        <v>12182.807024029578</v>
      </c>
      <c r="AA147" s="874">
        <f t="shared" si="83"/>
        <v>12308.257104128161</v>
      </c>
      <c r="AB147" s="874">
        <f t="shared" si="83"/>
        <v>12434.504325323478</v>
      </c>
      <c r="AC147" s="894">
        <f t="shared" si="83"/>
        <v>12556.367270486755</v>
      </c>
    </row>
    <row r="148" spans="3:30" x14ac:dyDescent="0.35">
      <c r="D148" s="840"/>
      <c r="E148" s="841"/>
      <c r="F148" s="837"/>
      <c r="G148" s="838"/>
      <c r="H148" s="838"/>
      <c r="I148" s="838"/>
      <c r="J148" s="838"/>
      <c r="K148" s="838"/>
      <c r="L148" s="838"/>
      <c r="M148" s="838"/>
      <c r="N148" s="838"/>
      <c r="O148" s="838"/>
      <c r="P148" s="838"/>
      <c r="Q148" s="838"/>
      <c r="R148" s="838"/>
      <c r="S148" s="838"/>
      <c r="T148" s="839"/>
      <c r="U148" s="758"/>
      <c r="V148" s="758"/>
      <c r="W148" s="874"/>
      <c r="X148" s="874"/>
      <c r="Y148" s="874"/>
      <c r="Z148" s="874"/>
      <c r="AA148" s="874"/>
      <c r="AB148" s="874"/>
      <c r="AC148" s="894"/>
    </row>
    <row r="149" spans="3:30" x14ac:dyDescent="0.35">
      <c r="D149" s="840" t="s">
        <v>899</v>
      </c>
      <c r="E149" s="841"/>
      <c r="F149" s="837">
        <v>5385.4</v>
      </c>
      <c r="G149" s="838">
        <v>5436.7</v>
      </c>
      <c r="H149" s="838">
        <v>5473.6</v>
      </c>
      <c r="I149" s="838">
        <v>5492.6</v>
      </c>
      <c r="J149" s="838">
        <v>5218.2</v>
      </c>
      <c r="K149" s="838">
        <v>5459.8</v>
      </c>
      <c r="L149" s="838">
        <v>5468.2</v>
      </c>
      <c r="M149" s="838">
        <v>5450.7</v>
      </c>
      <c r="N149" s="838">
        <v>5704</v>
      </c>
      <c r="O149" s="838">
        <v>5624.2</v>
      </c>
      <c r="P149" s="838">
        <v>5647.2</v>
      </c>
      <c r="Q149" s="838">
        <v>5575.5</v>
      </c>
      <c r="R149" s="838">
        <v>5675.4</v>
      </c>
      <c r="S149" s="838">
        <v>5773.9</v>
      </c>
      <c r="T149" s="839">
        <f t="shared" ref="T149:AC149" si="84">S149*(1+T161)^(1/4)</f>
        <v>5871.2959399720803</v>
      </c>
      <c r="U149" s="758">
        <f t="shared" si="84"/>
        <v>5940.0008592036174</v>
      </c>
      <c r="V149" s="758">
        <f t="shared" si="84"/>
        <v>6284.8688476367752</v>
      </c>
      <c r="W149" s="874">
        <f t="shared" si="84"/>
        <v>6387.9262264840791</v>
      </c>
      <c r="X149" s="874">
        <f t="shared" si="84"/>
        <v>6484.266643953998</v>
      </c>
      <c r="Y149" s="874">
        <f t="shared" si="84"/>
        <v>6544.7192963504622</v>
      </c>
      <c r="Z149" s="874">
        <f t="shared" si="84"/>
        <v>6584.1574552948223</v>
      </c>
      <c r="AA149" s="874">
        <f t="shared" si="84"/>
        <v>6625.5147460612907</v>
      </c>
      <c r="AB149" s="874">
        <f t="shared" si="84"/>
        <v>6664.1852522768058</v>
      </c>
      <c r="AC149" s="894">
        <f t="shared" si="84"/>
        <v>6701.0325832613171</v>
      </c>
    </row>
    <row r="150" spans="3:30" x14ac:dyDescent="0.35">
      <c r="D150" s="840"/>
      <c r="E150" s="841"/>
      <c r="F150" s="837"/>
      <c r="G150" s="838"/>
      <c r="H150" s="838"/>
      <c r="I150" s="838"/>
      <c r="J150" s="838"/>
      <c r="K150" s="838"/>
      <c r="L150" s="838"/>
      <c r="M150" s="838"/>
      <c r="N150" s="838"/>
      <c r="O150" s="838"/>
      <c r="P150" s="838"/>
      <c r="Q150" s="838"/>
      <c r="R150" s="838"/>
      <c r="S150" s="838"/>
      <c r="T150" s="839"/>
      <c r="U150" s="758"/>
      <c r="V150" s="758"/>
      <c r="W150" s="874"/>
      <c r="X150" s="874"/>
      <c r="Y150" s="874"/>
      <c r="Z150" s="874"/>
      <c r="AA150" s="874"/>
      <c r="AB150" s="874"/>
      <c r="AC150" s="894"/>
    </row>
    <row r="151" spans="3:30" x14ac:dyDescent="0.35">
      <c r="D151" s="842" t="s">
        <v>505</v>
      </c>
      <c r="E151" s="841"/>
      <c r="F151" s="843"/>
      <c r="G151" s="841"/>
      <c r="H151" s="838"/>
      <c r="I151" s="838"/>
      <c r="J151" s="838"/>
      <c r="K151" s="838"/>
      <c r="L151" s="838"/>
      <c r="M151" s="838">
        <v>15041</v>
      </c>
      <c r="N151" s="838">
        <v>15551</v>
      </c>
      <c r="O151" s="838">
        <v>15824</v>
      </c>
      <c r="P151" s="838">
        <v>16056</v>
      </c>
      <c r="Q151" s="838">
        <v>16690.7</v>
      </c>
      <c r="R151" s="838">
        <v>16993</v>
      </c>
      <c r="S151" s="838">
        <v>17251.3</v>
      </c>
      <c r="T151" s="839">
        <f t="shared" ref="T151:AC151" si="85">S151*(1+T163)^(1/4)</f>
        <v>17455.058221938471</v>
      </c>
      <c r="U151" s="758">
        <f t="shared" si="85"/>
        <v>17798.064340722922</v>
      </c>
      <c r="V151" s="758">
        <f t="shared" si="85"/>
        <v>17984.514914465846</v>
      </c>
      <c r="W151" s="874">
        <f t="shared" si="85"/>
        <v>18143.627271172623</v>
      </c>
      <c r="X151" s="874">
        <f t="shared" si="85"/>
        <v>18275.401410843253</v>
      </c>
      <c r="Y151" s="874">
        <f t="shared" si="85"/>
        <v>18420.942997942162</v>
      </c>
      <c r="Z151" s="874">
        <f t="shared" si="85"/>
        <v>18564.124451196225</v>
      </c>
      <c r="AA151" s="874">
        <f t="shared" si="85"/>
        <v>18741.72452302097</v>
      </c>
      <c r="AB151" s="874">
        <f t="shared" si="85"/>
        <v>18945.482744959441</v>
      </c>
      <c r="AC151" s="894">
        <f t="shared" si="85"/>
        <v>19153.371201126396</v>
      </c>
    </row>
    <row r="152" spans="3:30" x14ac:dyDescent="0.35">
      <c r="D152" s="842"/>
      <c r="E152" s="841"/>
      <c r="F152" s="843"/>
      <c r="G152" s="841"/>
      <c r="H152" s="838"/>
      <c r="I152" s="838"/>
      <c r="J152" s="838"/>
      <c r="K152" s="838"/>
      <c r="L152" s="838"/>
      <c r="M152" s="838"/>
      <c r="N152" s="838"/>
      <c r="O152" s="838"/>
      <c r="P152" s="838"/>
      <c r="Q152" s="838"/>
      <c r="R152" s="838"/>
      <c r="S152" s="838"/>
      <c r="T152" s="839"/>
      <c r="U152" s="758"/>
      <c r="V152" s="758"/>
      <c r="W152" s="874"/>
      <c r="X152" s="874"/>
      <c r="Y152" s="874"/>
      <c r="Z152" s="874"/>
      <c r="AA152" s="874"/>
      <c r="AB152" s="874"/>
      <c r="AC152" s="894"/>
    </row>
    <row r="153" spans="3:30" x14ac:dyDescent="0.35">
      <c r="C153" s="35"/>
      <c r="D153" s="844" t="s">
        <v>511</v>
      </c>
      <c r="E153" s="845"/>
      <c r="F153" s="846"/>
      <c r="G153" s="845"/>
      <c r="H153" s="847"/>
      <c r="I153" s="847"/>
      <c r="J153" s="847"/>
      <c r="K153" s="847"/>
      <c r="L153" s="847"/>
      <c r="M153" s="847">
        <v>1874</v>
      </c>
      <c r="N153" s="847">
        <v>2307</v>
      </c>
      <c r="O153" s="847">
        <v>2443</v>
      </c>
      <c r="P153" s="847">
        <v>2460</v>
      </c>
      <c r="Q153" s="847">
        <v>2329.5</v>
      </c>
      <c r="R153" s="847">
        <v>2420.1999999999998</v>
      </c>
      <c r="S153" s="847">
        <v>2468.6999999999998</v>
      </c>
      <c r="T153" s="848">
        <f t="shared" ref="T153:AC153" si="86">S153*(1+T165)^(1/4)</f>
        <v>2389.5105397148677</v>
      </c>
      <c r="U153" s="759">
        <f t="shared" si="86"/>
        <v>2259.2685336048876</v>
      </c>
      <c r="V153" s="759">
        <f t="shared" si="86"/>
        <v>2102.1465885947041</v>
      </c>
      <c r="W153" s="908">
        <f t="shared" si="86"/>
        <v>2070.1420570264759</v>
      </c>
      <c r="X153" s="908">
        <f t="shared" si="86"/>
        <v>2020.5398676171071</v>
      </c>
      <c r="Y153" s="908">
        <f t="shared" si="86"/>
        <v>2029.5320773930746</v>
      </c>
      <c r="Z153" s="908">
        <f t="shared" si="86"/>
        <v>2045.8727596741337</v>
      </c>
      <c r="AA153" s="908">
        <f t="shared" si="86"/>
        <v>2066.1777494908347</v>
      </c>
      <c r="AB153" s="908">
        <f t="shared" si="86"/>
        <v>2127.9629327902235</v>
      </c>
      <c r="AC153" s="909">
        <f t="shared" si="86"/>
        <v>2208.9895112016284</v>
      </c>
      <c r="AD153" s="35"/>
    </row>
    <row r="154" spans="3:30" ht="14.9" customHeight="1" x14ac:dyDescent="0.35">
      <c r="C154" s="35"/>
      <c r="D154" s="188"/>
      <c r="E154" s="532"/>
      <c r="F154" s="532"/>
      <c r="G154" s="532"/>
      <c r="H154" s="806"/>
      <c r="I154" s="806"/>
      <c r="J154" s="806"/>
      <c r="K154" s="806"/>
      <c r="L154" s="806"/>
      <c r="M154" s="806"/>
      <c r="N154" s="806"/>
      <c r="O154" s="806"/>
      <c r="P154" s="806"/>
      <c r="Q154" s="806"/>
      <c r="R154" s="806"/>
      <c r="S154" s="806"/>
      <c r="T154" s="806"/>
      <c r="U154" s="806"/>
      <c r="V154" s="806"/>
      <c r="W154" s="806"/>
      <c r="X154" s="806"/>
      <c r="Y154" s="806"/>
      <c r="Z154" s="806"/>
      <c r="AA154" s="806"/>
      <c r="AB154" s="806"/>
      <c r="AC154" s="806"/>
      <c r="AD154" s="35"/>
    </row>
    <row r="155" spans="3:30" x14ac:dyDescent="0.35">
      <c r="C155" s="35"/>
      <c r="D155" s="1410" t="s">
        <v>900</v>
      </c>
      <c r="E155" s="1419"/>
      <c r="F155" s="1310">
        <v>2019</v>
      </c>
      <c r="G155" s="1328"/>
      <c r="H155" s="1329"/>
      <c r="I155" s="1310">
        <v>2020</v>
      </c>
      <c r="J155" s="1328"/>
      <c r="K155" s="1328"/>
      <c r="L155" s="1329"/>
      <c r="M155" s="1310">
        <v>2021</v>
      </c>
      <c r="N155" s="1328"/>
      <c r="O155" s="1328"/>
      <c r="P155" s="1311"/>
      <c r="Q155" s="1310">
        <v>2022</v>
      </c>
      <c r="R155" s="1311"/>
      <c r="S155" s="1311"/>
      <c r="T155" s="1329"/>
      <c r="U155" s="261"/>
      <c r="V155" s="535">
        <v>2023</v>
      </c>
      <c r="W155" s="528"/>
      <c r="X155" s="226"/>
      <c r="Y155" s="1325">
        <v>2024</v>
      </c>
      <c r="Z155" s="1337"/>
      <c r="AA155" s="1337"/>
      <c r="AB155" s="1327"/>
      <c r="AC155" s="213">
        <v>2025</v>
      </c>
      <c r="AD155" s="35"/>
    </row>
    <row r="156" spans="3:30" x14ac:dyDescent="0.35">
      <c r="C156" s="35"/>
      <c r="D156" s="1422"/>
      <c r="E156" s="1423"/>
      <c r="F156" s="149" t="s">
        <v>284</v>
      </c>
      <c r="G156" s="140" t="s">
        <v>238</v>
      </c>
      <c r="H156" s="146" t="s">
        <v>282</v>
      </c>
      <c r="I156" s="149" t="s">
        <v>283</v>
      </c>
      <c r="J156" s="140" t="s">
        <v>284</v>
      </c>
      <c r="K156" s="140" t="s">
        <v>238</v>
      </c>
      <c r="L156" s="146" t="s">
        <v>282</v>
      </c>
      <c r="M156" s="149" t="s">
        <v>283</v>
      </c>
      <c r="N156" s="140" t="s">
        <v>284</v>
      </c>
      <c r="O156" s="140" t="s">
        <v>238</v>
      </c>
      <c r="P156" s="140" t="s">
        <v>282</v>
      </c>
      <c r="Q156" s="149" t="s">
        <v>283</v>
      </c>
      <c r="R156" s="140" t="s">
        <v>284</v>
      </c>
      <c r="S156" s="140" t="s">
        <v>238</v>
      </c>
      <c r="T156" s="146" t="s">
        <v>282</v>
      </c>
      <c r="U156" s="146" t="s">
        <v>283</v>
      </c>
      <c r="V156" s="253" t="s">
        <v>284</v>
      </c>
      <c r="W156" s="236" t="s">
        <v>238</v>
      </c>
      <c r="X156" s="237" t="s">
        <v>282</v>
      </c>
      <c r="Y156" s="235" t="s">
        <v>283</v>
      </c>
      <c r="Z156" s="233" t="s">
        <v>284</v>
      </c>
      <c r="AA156" s="236" t="s">
        <v>238</v>
      </c>
      <c r="AB156" s="236" t="s">
        <v>282</v>
      </c>
      <c r="AC156" s="854" t="s">
        <v>283</v>
      </c>
      <c r="AD156" s="35"/>
    </row>
    <row r="157" spans="3:30" ht="27.65" customHeight="1" x14ac:dyDescent="0.35">
      <c r="C157" s="35"/>
      <c r="D157" s="831" t="s">
        <v>503</v>
      </c>
      <c r="E157" s="832"/>
      <c r="F157" s="849"/>
      <c r="G157" s="850" t="e">
        <f t="shared" ref="G157:AC157" si="87">(G96/F96)^4-1</f>
        <v>#DIV/0!</v>
      </c>
      <c r="H157" s="850" t="e">
        <f t="shared" si="87"/>
        <v>#DIV/0!</v>
      </c>
      <c r="I157" s="850" t="e">
        <f t="shared" si="87"/>
        <v>#DIV/0!</v>
      </c>
      <c r="J157" s="850">
        <f t="shared" si="87"/>
        <v>-0.21070155504838917</v>
      </c>
      <c r="K157" s="850">
        <f t="shared" si="87"/>
        <v>0.20409656990320446</v>
      </c>
      <c r="L157" s="850">
        <f t="shared" si="87"/>
        <v>0.10445079655049061</v>
      </c>
      <c r="M157" s="850">
        <f t="shared" si="87"/>
        <v>1.0038022914703681E-2</v>
      </c>
      <c r="N157" s="850">
        <f t="shared" si="87"/>
        <v>0.12746591651095995</v>
      </c>
      <c r="O157" s="850">
        <f t="shared" si="87"/>
        <v>8.7536504987418162E-2</v>
      </c>
      <c r="P157" s="850">
        <f t="shared" si="87"/>
        <v>9.6257802203331799E-2</v>
      </c>
      <c r="Q157" s="850">
        <f t="shared" si="87"/>
        <v>5.3130466022335732E-2</v>
      </c>
      <c r="R157" s="850">
        <f t="shared" si="87"/>
        <v>5.8700506146537323E-2</v>
      </c>
      <c r="S157" s="850">
        <f t="shared" si="87"/>
        <v>9.398280632424294E-2</v>
      </c>
      <c r="T157" s="851">
        <f t="shared" si="87"/>
        <v>3.6015216844350384E-2</v>
      </c>
      <c r="U157" s="760">
        <f t="shared" si="87"/>
        <v>4.6770111369924594E-2</v>
      </c>
      <c r="V157" s="760">
        <f t="shared" si="87"/>
        <v>0.10815438646887898</v>
      </c>
      <c r="W157" s="899">
        <f t="shared" si="87"/>
        <v>5.9886316608233736E-2</v>
      </c>
      <c r="X157" s="899">
        <f t="shared" si="87"/>
        <v>5.7240054728939782E-2</v>
      </c>
      <c r="Y157" s="899">
        <f t="shared" si="87"/>
        <v>4.3600095836367592E-2</v>
      </c>
      <c r="Z157" s="899">
        <f t="shared" si="87"/>
        <v>3.5730868295082985E-2</v>
      </c>
      <c r="AA157" s="899">
        <f t="shared" si="87"/>
        <v>3.5887843350856929E-2</v>
      </c>
      <c r="AB157" s="899">
        <f t="shared" si="87"/>
        <v>3.5142353560449591E-2</v>
      </c>
      <c r="AC157" s="900">
        <f t="shared" si="87"/>
        <v>3.3505857894001512E-2</v>
      </c>
      <c r="AD157" s="35"/>
    </row>
    <row r="158" spans="3:30" ht="27.65" customHeight="1" x14ac:dyDescent="0.35">
      <c r="C158" s="35"/>
      <c r="D158" s="821"/>
      <c r="E158" s="836"/>
      <c r="F158" s="802"/>
      <c r="G158" s="823"/>
      <c r="H158" s="823"/>
      <c r="I158" s="823"/>
      <c r="J158" s="823"/>
      <c r="K158" s="823"/>
      <c r="L158" s="823"/>
      <c r="M158" s="823"/>
      <c r="N158" s="823"/>
      <c r="O158" s="823"/>
      <c r="P158" s="823"/>
      <c r="Q158" s="823"/>
      <c r="R158" s="823"/>
      <c r="S158" s="823"/>
      <c r="T158" s="852"/>
      <c r="U158" s="761"/>
      <c r="V158" s="761"/>
      <c r="W158" s="753"/>
      <c r="X158" s="753"/>
      <c r="Y158" s="753"/>
      <c r="Z158" s="753"/>
      <c r="AA158" s="753"/>
      <c r="AB158" s="753"/>
      <c r="AC158" s="901"/>
      <c r="AD158" s="35"/>
    </row>
    <row r="159" spans="3:30" ht="27.65" customHeight="1" x14ac:dyDescent="0.35">
      <c r="C159" s="35"/>
      <c r="D159" s="840" t="s">
        <v>504</v>
      </c>
      <c r="E159" s="841"/>
      <c r="F159" s="802"/>
      <c r="G159" s="823" t="e">
        <f t="shared" ref="G159:AC159" si="88">(G97/F97)^4-1</f>
        <v>#DIV/0!</v>
      </c>
      <c r="H159" s="823" t="e">
        <f t="shared" si="88"/>
        <v>#DIV/0!</v>
      </c>
      <c r="I159" s="823" t="e">
        <f t="shared" si="88"/>
        <v>#DIV/0!</v>
      </c>
      <c r="J159" s="823">
        <f t="shared" si="88"/>
        <v>-0.23688314079507089</v>
      </c>
      <c r="K159" s="823">
        <f t="shared" si="88"/>
        <v>0.20520050761606656</v>
      </c>
      <c r="L159" s="823">
        <f t="shared" si="88"/>
        <v>0.16094955415161705</v>
      </c>
      <c r="M159" s="823">
        <f t="shared" si="88"/>
        <v>2.7883833548878467E-2</v>
      </c>
      <c r="N159" s="823">
        <f t="shared" si="88"/>
        <v>0.12185900162885499</v>
      </c>
      <c r="O159" s="823">
        <f t="shared" si="88"/>
        <v>0.11675899119493027</v>
      </c>
      <c r="P159" s="823">
        <f t="shared" si="88"/>
        <v>0.13115208751063179</v>
      </c>
      <c r="Q159" s="823">
        <f t="shared" si="88"/>
        <v>6.7554374316260324E-2</v>
      </c>
      <c r="R159" s="823">
        <f t="shared" si="88"/>
        <v>4.9399992962044781E-2</v>
      </c>
      <c r="S159" s="823">
        <f t="shared" si="88"/>
        <v>0.11419164362440171</v>
      </c>
      <c r="T159" s="852">
        <f t="shared" si="88"/>
        <v>1.8755610983373527E-2</v>
      </c>
      <c r="U159" s="761">
        <f t="shared" si="88"/>
        <v>4.6306497741153141E-2</v>
      </c>
      <c r="V159" s="761">
        <f t="shared" si="88"/>
        <v>3.5743700464633932E-2</v>
      </c>
      <c r="W159" s="753">
        <f t="shared" si="88"/>
        <v>5.5777353897908499E-2</v>
      </c>
      <c r="X159" s="753">
        <f t="shared" si="88"/>
        <v>5.4728284731995203E-2</v>
      </c>
      <c r="Y159" s="753">
        <f t="shared" si="88"/>
        <v>4.68776336185317E-2</v>
      </c>
      <c r="Z159" s="753">
        <f t="shared" si="88"/>
        <v>4.2202898268900668E-2</v>
      </c>
      <c r="AA159" s="753">
        <f t="shared" si="88"/>
        <v>4.1829805803689446E-2</v>
      </c>
      <c r="AB159" s="753">
        <f t="shared" si="88"/>
        <v>4.1664042288244163E-2</v>
      </c>
      <c r="AC159" s="901">
        <f t="shared" si="88"/>
        <v>3.9781604844907115E-2</v>
      </c>
      <c r="AD159" s="35"/>
    </row>
    <row r="160" spans="3:30" ht="27.65" customHeight="1" x14ac:dyDescent="0.35">
      <c r="C160" s="35"/>
      <c r="D160" s="840"/>
      <c r="E160" s="841"/>
      <c r="F160" s="802"/>
      <c r="G160" s="823"/>
      <c r="H160" s="823"/>
      <c r="I160" s="823"/>
      <c r="J160" s="823"/>
      <c r="K160" s="823"/>
      <c r="L160" s="823"/>
      <c r="M160" s="823"/>
      <c r="N160" s="823"/>
      <c r="O160" s="823"/>
      <c r="P160" s="823"/>
      <c r="Q160" s="823"/>
      <c r="R160" s="823"/>
      <c r="S160" s="823"/>
      <c r="T160" s="852"/>
      <c r="U160" s="761"/>
      <c r="V160" s="761"/>
      <c r="W160" s="753"/>
      <c r="X160" s="753"/>
      <c r="Y160" s="753"/>
      <c r="Z160" s="753"/>
      <c r="AA160" s="753"/>
      <c r="AB160" s="753"/>
      <c r="AC160" s="901"/>
      <c r="AD160" s="35"/>
    </row>
    <row r="161" spans="3:30" x14ac:dyDescent="0.35">
      <c r="C161" s="35"/>
      <c r="D161" s="840" t="s">
        <v>899</v>
      </c>
      <c r="E161" s="841"/>
      <c r="F161" s="802"/>
      <c r="G161" s="823" t="e">
        <f t="shared" ref="G161:AC161" si="89">(G98/F98)^4-1</f>
        <v>#DIV/0!</v>
      </c>
      <c r="H161" s="823" t="e">
        <f t="shared" si="89"/>
        <v>#DIV/0!</v>
      </c>
      <c r="I161" s="823" t="e">
        <f t="shared" si="89"/>
        <v>#DIV/0!</v>
      </c>
      <c r="J161" s="823">
        <f t="shared" si="89"/>
        <v>-0.16336002849894693</v>
      </c>
      <c r="K161" s="823">
        <f t="shared" si="89"/>
        <v>0.20221386896849047</v>
      </c>
      <c r="L161" s="823">
        <f t="shared" si="89"/>
        <v>1.2745999464862878E-2</v>
      </c>
      <c r="M161" s="823">
        <f t="shared" si="89"/>
        <v>-2.0933426342402583E-2</v>
      </c>
      <c r="N161" s="823">
        <f t="shared" si="89"/>
        <v>0.13754934573019617</v>
      </c>
      <c r="O161" s="823">
        <f t="shared" si="89"/>
        <v>3.6864487370476651E-2</v>
      </c>
      <c r="P161" s="823">
        <f t="shared" si="89"/>
        <v>3.4953421847994104E-2</v>
      </c>
      <c r="Q161" s="823">
        <f t="shared" si="89"/>
        <v>2.6732902126662683E-2</v>
      </c>
      <c r="R161" s="823">
        <f t="shared" si="89"/>
        <v>7.630767003118466E-2</v>
      </c>
      <c r="S161" s="823">
        <f t="shared" si="89"/>
        <v>5.7060383532544501E-2</v>
      </c>
      <c r="T161" s="852">
        <f t="shared" si="89"/>
        <v>6.919976262663563E-2</v>
      </c>
      <c r="U161" s="761">
        <f t="shared" si="89"/>
        <v>4.7635353812047754E-2</v>
      </c>
      <c r="V161" s="761">
        <f t="shared" si="89"/>
        <v>0.25325326844262142</v>
      </c>
      <c r="W161" s="753">
        <f t="shared" si="89"/>
        <v>6.7221805983130212E-2</v>
      </c>
      <c r="X161" s="753">
        <f t="shared" si="89"/>
        <v>6.1705077578776413E-2</v>
      </c>
      <c r="Y161" s="753">
        <f t="shared" si="89"/>
        <v>3.7816653895769159E-2</v>
      </c>
      <c r="Z161" s="753">
        <f t="shared" si="89"/>
        <v>2.4322553809932312E-2</v>
      </c>
      <c r="AA161" s="753">
        <f t="shared" si="89"/>
        <v>2.5363059005292676E-2</v>
      </c>
      <c r="AB161" s="753">
        <f t="shared" si="89"/>
        <v>2.3551608368691967E-2</v>
      </c>
      <c r="AC161" s="901">
        <f t="shared" si="89"/>
        <v>2.2300737251676583E-2</v>
      </c>
      <c r="AD161" s="35"/>
    </row>
    <row r="162" spans="3:30" x14ac:dyDescent="0.35">
      <c r="C162" s="35"/>
      <c r="D162" s="840"/>
      <c r="E162" s="841"/>
      <c r="F162" s="802"/>
      <c r="G162" s="823"/>
      <c r="H162" s="823"/>
      <c r="I162" s="823"/>
      <c r="J162" s="823"/>
      <c r="K162" s="823"/>
      <c r="L162" s="823"/>
      <c r="M162" s="823"/>
      <c r="N162" s="823"/>
      <c r="O162" s="823"/>
      <c r="P162" s="823"/>
      <c r="Q162" s="823"/>
      <c r="R162" s="823"/>
      <c r="S162" s="823"/>
      <c r="T162" s="852"/>
      <c r="U162" s="761"/>
      <c r="V162" s="761"/>
      <c r="W162" s="753"/>
      <c r="X162" s="753"/>
      <c r="Y162" s="753"/>
      <c r="Z162" s="753"/>
      <c r="AA162" s="753"/>
      <c r="AB162" s="753"/>
      <c r="AC162" s="901"/>
      <c r="AD162" s="35"/>
    </row>
    <row r="163" spans="3:30" x14ac:dyDescent="0.35">
      <c r="C163" s="35"/>
      <c r="D163" s="842" t="s">
        <v>505</v>
      </c>
      <c r="E163" s="841"/>
      <c r="F163" s="802"/>
      <c r="G163" s="823"/>
      <c r="H163" s="823"/>
      <c r="I163" s="823"/>
      <c r="J163" s="823"/>
      <c r="K163" s="823"/>
      <c r="L163" s="823"/>
      <c r="M163" s="823"/>
      <c r="N163" s="823">
        <f t="shared" ref="N163:AC163" si="90">(N99/M99)^4-1</f>
        <v>0.1928451879925992</v>
      </c>
      <c r="O163" s="823">
        <f t="shared" si="90"/>
        <v>8.7145430326741824E-2</v>
      </c>
      <c r="P163" s="823">
        <f t="shared" si="90"/>
        <v>9.5040522503139657E-2</v>
      </c>
      <c r="Q163" s="823">
        <f t="shared" si="90"/>
        <v>8.9242780231497676E-2</v>
      </c>
      <c r="R163" s="823">
        <f t="shared" si="90"/>
        <v>9.481178927373124E-2</v>
      </c>
      <c r="S163" s="823">
        <f t="shared" si="90"/>
        <v>6.6821460633025076E-2</v>
      </c>
      <c r="T163" s="852">
        <f t="shared" si="90"/>
        <v>4.8088357104759449E-2</v>
      </c>
      <c r="U163" s="761">
        <f t="shared" si="90"/>
        <v>8.0950689022084577E-2</v>
      </c>
      <c r="V163" s="761">
        <f t="shared" si="90"/>
        <v>4.2566638549292213E-2</v>
      </c>
      <c r="W163" s="753">
        <f t="shared" si="90"/>
        <v>3.58611581585071E-2</v>
      </c>
      <c r="X163" s="753">
        <f t="shared" si="90"/>
        <v>2.9369360741057893E-2</v>
      </c>
      <c r="Y163" s="753">
        <f t="shared" si="90"/>
        <v>3.2237744758009335E-2</v>
      </c>
      <c r="Z163" s="753">
        <f t="shared" si="90"/>
        <v>3.1455391126937293E-2</v>
      </c>
      <c r="AA163" s="753">
        <f t="shared" si="90"/>
        <v>3.8820031410361722E-2</v>
      </c>
      <c r="AB163" s="753">
        <f t="shared" si="90"/>
        <v>4.4201958177369161E-2</v>
      </c>
      <c r="AC163" s="901">
        <f t="shared" si="90"/>
        <v>4.4619668645542676E-2</v>
      </c>
      <c r="AD163" s="35"/>
    </row>
    <row r="164" spans="3:30" x14ac:dyDescent="0.35">
      <c r="C164" s="35"/>
      <c r="D164" s="842"/>
      <c r="E164" s="841"/>
      <c r="F164" s="802"/>
      <c r="G164" s="823"/>
      <c r="H164" s="823"/>
      <c r="I164" s="823"/>
      <c r="J164" s="823"/>
      <c r="K164" s="823"/>
      <c r="L164" s="823"/>
      <c r="M164" s="823"/>
      <c r="N164" s="823"/>
      <c r="O164" s="823"/>
      <c r="P164" s="823"/>
      <c r="Q164" s="823"/>
      <c r="R164" s="823"/>
      <c r="S164" s="823"/>
      <c r="T164" s="852"/>
      <c r="U164" s="761"/>
      <c r="V164" s="761"/>
      <c r="W164" s="753"/>
      <c r="X164" s="753"/>
      <c r="Y164" s="753"/>
      <c r="Z164" s="753"/>
      <c r="AA164" s="753"/>
      <c r="AB164" s="753"/>
      <c r="AC164" s="901"/>
      <c r="AD164" s="35"/>
    </row>
    <row r="165" spans="3:30" x14ac:dyDescent="0.35">
      <c r="D165" s="844" t="s">
        <v>511</v>
      </c>
      <c r="E165" s="845"/>
      <c r="F165" s="803"/>
      <c r="G165" s="829"/>
      <c r="H165" s="829"/>
      <c r="I165" s="829"/>
      <c r="J165" s="829"/>
      <c r="K165" s="829"/>
      <c r="L165" s="829"/>
      <c r="M165" s="829"/>
      <c r="N165" s="829">
        <f t="shared" ref="N165:AC165" si="91">(N100/M100)^4-1</f>
        <v>0.56301012914725668</v>
      </c>
      <c r="O165" s="829">
        <f t="shared" si="91"/>
        <v>4.1681341019436546E-2</v>
      </c>
      <c r="P165" s="829">
        <f t="shared" si="91"/>
        <v>1.8883812263239985E-2</v>
      </c>
      <c r="Q165" s="829">
        <f t="shared" si="91"/>
        <v>-1.7080068525602621E-2</v>
      </c>
      <c r="R165" s="829">
        <f t="shared" si="91"/>
        <v>0.18639186970056576</v>
      </c>
      <c r="S165" s="829">
        <f t="shared" si="91"/>
        <v>2.2720498509915421E-2</v>
      </c>
      <c r="T165" s="853">
        <f t="shared" si="91"/>
        <v>-0.12226678397343893</v>
      </c>
      <c r="U165" s="762">
        <f t="shared" si="91"/>
        <v>-0.20083655061109373</v>
      </c>
      <c r="V165" s="762">
        <f t="shared" si="91"/>
        <v>-0.25048457555050185</v>
      </c>
      <c r="W165" s="902">
        <f t="shared" si="91"/>
        <v>-5.9522077539718499E-2</v>
      </c>
      <c r="X165" s="902">
        <f t="shared" si="91"/>
        <v>-9.2453049791576647E-2</v>
      </c>
      <c r="Y165" s="902">
        <f t="shared" si="91"/>
        <v>1.7920787625758772E-2</v>
      </c>
      <c r="Z165" s="902">
        <f t="shared" si="91"/>
        <v>3.2596859644131282E-2</v>
      </c>
      <c r="AA165" s="902">
        <f t="shared" si="91"/>
        <v>4.0294355332935572E-2</v>
      </c>
      <c r="AB165" s="902">
        <f t="shared" si="91"/>
        <v>0.12508546294334977</v>
      </c>
      <c r="AC165" s="903">
        <f t="shared" si="91"/>
        <v>0.16123035601060676</v>
      </c>
    </row>
    <row r="166" spans="3:30" x14ac:dyDescent="0.35">
      <c r="D166" s="188"/>
      <c r="E166" s="532"/>
      <c r="G166" s="532"/>
      <c r="H166" s="806"/>
      <c r="I166" s="806"/>
      <c r="J166" s="806"/>
      <c r="K166" s="806"/>
      <c r="L166" s="806"/>
      <c r="M166" s="806"/>
      <c r="N166" s="806"/>
      <c r="O166" s="806"/>
      <c r="P166" s="806"/>
      <c r="Q166" s="806"/>
      <c r="R166" s="806"/>
      <c r="S166" s="806"/>
      <c r="T166" s="806"/>
      <c r="U166" s="806"/>
      <c r="V166" s="806"/>
      <c r="W166" s="806"/>
      <c r="X166" s="806"/>
      <c r="Y166" s="806"/>
      <c r="Z166" s="806"/>
      <c r="AA166" s="806"/>
      <c r="AB166" s="806"/>
      <c r="AC166" s="806"/>
    </row>
    <row r="167" spans="3:30" ht="14.9" customHeight="1" x14ac:dyDescent="0.35"/>
    <row r="168" spans="3:30" ht="14.9" customHeight="1" x14ac:dyDescent="0.35"/>
    <row r="169" spans="3:30" ht="14.9" customHeight="1" x14ac:dyDescent="0.35"/>
  </sheetData>
  <mergeCells count="43">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 ref="F5:V5"/>
    <mergeCell ref="AC6:AF6"/>
    <mergeCell ref="W5:AG5"/>
    <mergeCell ref="AC94:AF94"/>
    <mergeCell ref="AC104:AF104"/>
    <mergeCell ref="Y104:AB104"/>
    <mergeCell ref="O61:V61"/>
    <mergeCell ref="P62:S62"/>
    <mergeCell ref="Q6:T6"/>
    <mergeCell ref="Q94:T94"/>
    <mergeCell ref="M94:P94"/>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14" t="s">
        <v>1713</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row>
    <row r="2" spans="2:32" x14ac:dyDescent="0.35">
      <c r="B2" s="1353" t="s">
        <v>1714</v>
      </c>
      <c r="C2" s="1353"/>
      <c r="D2" s="1353"/>
      <c r="E2" s="1353"/>
      <c r="F2" s="1353"/>
      <c r="G2" s="1353"/>
      <c r="H2" s="1353"/>
      <c r="I2" s="1353"/>
      <c r="J2" s="1353"/>
      <c r="K2" s="1353"/>
      <c r="L2" s="1353"/>
      <c r="M2" s="1353"/>
      <c r="N2" s="1353"/>
      <c r="O2" s="1353"/>
      <c r="P2" s="1353"/>
      <c r="Q2" s="1353"/>
      <c r="R2" s="1353"/>
      <c r="S2" s="1353"/>
      <c r="T2" s="1353"/>
      <c r="U2" s="1353"/>
      <c r="V2" s="1353"/>
      <c r="W2" s="1353"/>
      <c r="X2" s="1353"/>
      <c r="Y2" s="1353"/>
      <c r="Z2" s="1353"/>
      <c r="AA2" s="1353"/>
      <c r="AB2" s="1353"/>
      <c r="AC2" s="1353"/>
    </row>
    <row r="3" spans="2:32" x14ac:dyDescent="0.35">
      <c r="B3" s="1353"/>
      <c r="C3" s="1353"/>
      <c r="D3" s="1353"/>
      <c r="E3" s="1353"/>
      <c r="F3" s="1353"/>
      <c r="G3" s="1353"/>
      <c r="H3" s="1353"/>
      <c r="I3" s="1353"/>
      <c r="J3" s="1353"/>
      <c r="K3" s="1353"/>
      <c r="L3" s="1353"/>
      <c r="M3" s="1353"/>
      <c r="N3" s="1353"/>
      <c r="O3" s="1353"/>
      <c r="P3" s="1353"/>
      <c r="Q3" s="1353"/>
      <c r="R3" s="1353"/>
      <c r="S3" s="1353"/>
      <c r="T3" s="1353"/>
      <c r="U3" s="1353"/>
      <c r="V3" s="1353"/>
      <c r="W3" s="1353"/>
      <c r="X3" s="1353"/>
      <c r="Y3" s="1353"/>
      <c r="Z3" s="1353"/>
      <c r="AA3" s="1353"/>
      <c r="AB3" s="1353"/>
      <c r="AC3" s="1353"/>
    </row>
    <row r="4" spans="2:32" x14ac:dyDescent="0.35">
      <c r="B4" s="1353"/>
      <c r="C4" s="1353"/>
      <c r="D4" s="1353"/>
      <c r="E4" s="1353"/>
      <c r="F4" s="1353"/>
      <c r="G4" s="1353"/>
      <c r="H4" s="1353"/>
      <c r="I4" s="1353"/>
      <c r="J4" s="1353"/>
      <c r="K4" s="1353"/>
      <c r="L4" s="1353"/>
      <c r="M4" s="1353"/>
      <c r="N4" s="1353"/>
      <c r="O4" s="1353"/>
      <c r="P4" s="1353"/>
      <c r="Q4" s="1353"/>
      <c r="R4" s="1353"/>
      <c r="S4" s="1353"/>
      <c r="T4" s="1353"/>
      <c r="U4" s="1353"/>
      <c r="V4" s="1353"/>
      <c r="W4" s="1353"/>
      <c r="X4" s="1353"/>
      <c r="Y4" s="1353"/>
      <c r="Z4" s="1353"/>
      <c r="AA4" s="1353"/>
      <c r="AB4" s="1353"/>
      <c r="AC4" s="1353"/>
    </row>
    <row r="5" spans="2:32" x14ac:dyDescent="0.35">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row>
    <row r="6" spans="2:32" x14ac:dyDescent="0.35">
      <c r="B6" s="35"/>
      <c r="C6" s="940"/>
      <c r="D6" s="938"/>
      <c r="E6" s="938"/>
      <c r="F6" s="938"/>
      <c r="G6" s="938"/>
      <c r="H6" s="938"/>
      <c r="I6" s="938"/>
      <c r="J6" s="938"/>
      <c r="K6" s="938"/>
      <c r="L6" s="938"/>
      <c r="M6" s="938"/>
      <c r="N6" s="938"/>
      <c r="O6" s="938"/>
      <c r="P6" s="938"/>
      <c r="Q6" s="938"/>
      <c r="R6" s="938"/>
      <c r="S6" s="938"/>
      <c r="T6" s="938"/>
      <c r="U6" s="938"/>
      <c r="V6" s="938"/>
      <c r="W6" s="938"/>
      <c r="X6" s="938"/>
      <c r="Y6" s="938"/>
      <c r="Z6" s="938"/>
      <c r="AA6" s="938"/>
      <c r="AB6" s="938"/>
      <c r="AC6" s="938"/>
      <c r="AD6" s="938"/>
      <c r="AE6" s="938"/>
      <c r="AF6" s="938"/>
    </row>
    <row r="7" spans="2:32" ht="14.5" customHeight="1" x14ac:dyDescent="0.35">
      <c r="B7" s="1432" t="s">
        <v>1739</v>
      </c>
      <c r="C7" s="1432"/>
      <c r="D7" s="1432"/>
      <c r="E7" s="1432"/>
      <c r="F7" s="1432"/>
      <c r="G7" s="209"/>
      <c r="H7" s="209"/>
      <c r="I7" s="209"/>
      <c r="J7" s="209"/>
      <c r="K7" s="209"/>
      <c r="L7" s="209"/>
      <c r="M7" s="209"/>
      <c r="N7" s="209"/>
      <c r="O7" s="209"/>
      <c r="P7" s="209"/>
      <c r="Q7" s="209"/>
      <c r="R7" s="209"/>
      <c r="S7" s="209"/>
      <c r="T7" s="651"/>
      <c r="U7" s="651"/>
      <c r="V7" s="209"/>
      <c r="W7" s="209"/>
      <c r="X7" s="209"/>
      <c r="Y7" s="209"/>
      <c r="Z7" s="209"/>
      <c r="AA7" s="209"/>
      <c r="AB7" s="209"/>
      <c r="AC7" s="209"/>
    </row>
    <row r="8" spans="2:32" x14ac:dyDescent="0.35">
      <c r="B8" s="1319" t="s">
        <v>1728</v>
      </c>
      <c r="C8" s="1320"/>
      <c r="D8" s="1323" t="s">
        <v>280</v>
      </c>
      <c r="E8" s="1335"/>
      <c r="F8" s="1335"/>
      <c r="G8" s="1335"/>
      <c r="H8" s="1335"/>
      <c r="I8" s="1335"/>
      <c r="J8" s="1335"/>
      <c r="K8" s="1335"/>
      <c r="L8" s="1335"/>
      <c r="M8" s="1335"/>
      <c r="N8" s="1335"/>
      <c r="O8" s="1335"/>
      <c r="P8" s="1335"/>
      <c r="Q8" s="1335"/>
      <c r="R8" s="1335"/>
      <c r="S8" s="1335"/>
      <c r="T8" s="1335"/>
      <c r="U8" s="1335"/>
      <c r="V8" s="1335"/>
      <c r="W8" s="1333" t="s">
        <v>1799</v>
      </c>
      <c r="X8" s="1333"/>
      <c r="Y8" s="1333"/>
      <c r="Z8" s="1333"/>
      <c r="AA8" s="1333"/>
      <c r="AB8" s="1333"/>
      <c r="AC8" s="1333"/>
      <c r="AD8" s="1333"/>
      <c r="AE8" s="1333"/>
      <c r="AF8" s="1351"/>
    </row>
    <row r="9" spans="2:32" x14ac:dyDescent="0.35">
      <c r="B9" s="1321"/>
      <c r="C9" s="1322"/>
      <c r="D9" s="149">
        <v>2018</v>
      </c>
      <c r="E9" s="1316">
        <v>2019</v>
      </c>
      <c r="F9" s="1317"/>
      <c r="G9" s="1317"/>
      <c r="H9" s="1318"/>
      <c r="I9" s="1316">
        <v>2020</v>
      </c>
      <c r="J9" s="1317"/>
      <c r="K9" s="1317"/>
      <c r="L9" s="1317"/>
      <c r="M9" s="1316">
        <v>2021</v>
      </c>
      <c r="N9" s="1317"/>
      <c r="O9" s="1317"/>
      <c r="P9" s="1317"/>
      <c r="Q9" s="1344">
        <v>2022</v>
      </c>
      <c r="R9" s="1406"/>
      <c r="S9" s="535"/>
      <c r="T9" s="261"/>
      <c r="U9" s="201"/>
      <c r="V9" s="535">
        <v>2023</v>
      </c>
      <c r="W9" s="258"/>
      <c r="X9" s="258"/>
      <c r="Y9" s="1325">
        <v>2024</v>
      </c>
      <c r="Z9" s="1326"/>
      <c r="AA9" s="1326"/>
      <c r="AB9" s="1327"/>
      <c r="AC9" s="1325">
        <v>2025</v>
      </c>
      <c r="AD9" s="1326"/>
      <c r="AE9" s="1326"/>
      <c r="AF9" s="1327"/>
    </row>
    <row r="10" spans="2:32" x14ac:dyDescent="0.35">
      <c r="B10" s="1323"/>
      <c r="C10" s="1324"/>
      <c r="D10" s="149" t="s">
        <v>282</v>
      </c>
      <c r="E10" s="149" t="s">
        <v>283</v>
      </c>
      <c r="F10" s="140" t="s">
        <v>284</v>
      </c>
      <c r="G10" s="140" t="s">
        <v>238</v>
      </c>
      <c r="H10" s="146" t="s">
        <v>282</v>
      </c>
      <c r="I10" s="140" t="s">
        <v>283</v>
      </c>
      <c r="J10" s="140" t="s">
        <v>284</v>
      </c>
      <c r="K10" s="140" t="s">
        <v>238</v>
      </c>
      <c r="L10" s="140" t="s">
        <v>282</v>
      </c>
      <c r="M10" s="149" t="s">
        <v>283</v>
      </c>
      <c r="N10" s="140" t="s">
        <v>284</v>
      </c>
      <c r="O10" s="140" t="s">
        <v>238</v>
      </c>
      <c r="P10" s="140" t="s">
        <v>282</v>
      </c>
      <c r="Q10" s="149" t="s">
        <v>283</v>
      </c>
      <c r="R10" s="140" t="s">
        <v>284</v>
      </c>
      <c r="S10" s="140" t="s">
        <v>238</v>
      </c>
      <c r="T10" s="146" t="s">
        <v>282</v>
      </c>
      <c r="U10" s="149" t="s">
        <v>283</v>
      </c>
      <c r="V10" s="140" t="s">
        <v>284</v>
      </c>
      <c r="W10" s="280" t="s">
        <v>238</v>
      </c>
      <c r="X10" s="280" t="s">
        <v>282</v>
      </c>
      <c r="Y10" s="400" t="s">
        <v>283</v>
      </c>
      <c r="Z10" s="289" t="s">
        <v>284</v>
      </c>
      <c r="AA10" s="280" t="s">
        <v>238</v>
      </c>
      <c r="AB10" s="399" t="s">
        <v>282</v>
      </c>
      <c r="AC10" s="854" t="s">
        <v>283</v>
      </c>
      <c r="AD10" s="280" t="s">
        <v>284</v>
      </c>
      <c r="AE10" s="280" t="s">
        <v>238</v>
      </c>
      <c r="AF10" s="399" t="s">
        <v>282</v>
      </c>
    </row>
    <row r="11" spans="2:32" x14ac:dyDescent="0.35">
      <c r="B11" s="1433" t="s">
        <v>1738</v>
      </c>
      <c r="C11" s="1434"/>
      <c r="D11" s="1434"/>
      <c r="E11" s="1434"/>
      <c r="F11" s="1434"/>
      <c r="G11" s="1434"/>
      <c r="H11" s="1434"/>
      <c r="I11" s="1434"/>
      <c r="J11" s="1434"/>
      <c r="K11" s="1434"/>
      <c r="L11" s="1434"/>
      <c r="M11" s="1434"/>
      <c r="N11" s="1434"/>
      <c r="O11" s="1434"/>
      <c r="P11" s="1434"/>
      <c r="Q11" s="1434"/>
      <c r="R11" s="1434"/>
      <c r="S11" s="1434"/>
      <c r="T11" s="1434"/>
      <c r="U11" s="1434"/>
      <c r="V11" s="1434"/>
      <c r="W11" s="1434"/>
      <c r="X11" s="1434"/>
      <c r="Y11" s="1434"/>
      <c r="Z11" s="1434"/>
      <c r="AA11" s="1434"/>
      <c r="AB11" s="1434"/>
      <c r="AC11" s="1434"/>
      <c r="AD11" s="1434"/>
      <c r="AE11" s="1434"/>
      <c r="AF11" s="1435"/>
    </row>
    <row r="12" spans="2:32" x14ac:dyDescent="0.35">
      <c r="B12" s="951" t="s">
        <v>1717</v>
      </c>
      <c r="C12" s="952"/>
      <c r="D12" s="945">
        <f t="shared" ref="D12:S12" si="0">D45</f>
        <v>1.5156509117148609E-2</v>
      </c>
      <c r="E12" s="945">
        <f t="shared" si="0"/>
        <v>8.3593342288621475E-3</v>
      </c>
      <c r="F12" s="945">
        <f t="shared" si="0"/>
        <v>2.4734353401225873E-2</v>
      </c>
      <c r="G12" s="945">
        <f t="shared" si="0"/>
        <v>1.0490970472330163E-2</v>
      </c>
      <c r="H12" s="945">
        <f t="shared" si="0"/>
        <v>1.4569048707785859E-2</v>
      </c>
      <c r="I12" s="945">
        <f t="shared" si="0"/>
        <v>1.4662498774455912E-2</v>
      </c>
      <c r="J12" s="945">
        <f t="shared" si="0"/>
        <v>-1.794085945788193E-2</v>
      </c>
      <c r="K12" s="945">
        <f t="shared" si="0"/>
        <v>3.3775526155126689E-2</v>
      </c>
      <c r="L12" s="945">
        <f t="shared" si="0"/>
        <v>1.6442937470855457E-2</v>
      </c>
      <c r="M12" s="945">
        <f t="shared" si="0"/>
        <v>4.5025943450949013E-2</v>
      </c>
      <c r="N12" s="945">
        <f t="shared" si="0"/>
        <v>6.444180274366329E-2</v>
      </c>
      <c r="O12" s="945">
        <f t="shared" si="0"/>
        <v>5.5998846943190017E-2</v>
      </c>
      <c r="P12" s="945">
        <f t="shared" si="0"/>
        <v>6.1859650545573519E-2</v>
      </c>
      <c r="Q12" s="945">
        <f t="shared" si="0"/>
        <v>7.4784916271317448E-2</v>
      </c>
      <c r="R12" s="945">
        <f t="shared" si="0"/>
        <v>7.2922192171477107E-2</v>
      </c>
      <c r="S12" s="945">
        <f t="shared" si="0"/>
        <v>4.3177876601944165E-2</v>
      </c>
      <c r="T12" s="971">
        <f>T45</f>
        <v>3.7424183382891885E-2</v>
      </c>
      <c r="U12" s="945">
        <f>U45+U13</f>
        <v>4.1098370643803284E-2</v>
      </c>
      <c r="V12" s="945">
        <f t="shared" ref="V12:AF12" si="1">V45+V13</f>
        <v>2.5185688988090593E-2</v>
      </c>
      <c r="W12" s="945">
        <f t="shared" si="1"/>
        <v>3.0035379555409136E-2</v>
      </c>
      <c r="X12" s="945">
        <f t="shared" si="1"/>
        <v>3.0656416393558983E-2</v>
      </c>
      <c r="Y12" s="945">
        <f t="shared" si="1"/>
        <v>2.8091398638267373E-2</v>
      </c>
      <c r="Z12" s="945">
        <f t="shared" si="1"/>
        <v>2.4757720383034698E-2</v>
      </c>
      <c r="AA12" s="945">
        <f t="shared" si="1"/>
        <v>2.5292162721610056E-2</v>
      </c>
      <c r="AB12" s="945">
        <f t="shared" si="1"/>
        <v>2.4263189998973589E-2</v>
      </c>
      <c r="AC12" s="945">
        <f t="shared" si="1"/>
        <v>2.3060157044477725E-2</v>
      </c>
      <c r="AD12" s="945">
        <f t="shared" si="1"/>
        <v>2.2597540056138454E-2</v>
      </c>
      <c r="AE12" s="945">
        <f t="shared" si="1"/>
        <v>2.2203025255892905E-2</v>
      </c>
      <c r="AF12" s="943">
        <f t="shared" si="1"/>
        <v>2.2106187865342131E-2</v>
      </c>
    </row>
    <row r="13" spans="2:32" x14ac:dyDescent="0.35">
      <c r="B13" s="958" t="s">
        <v>1794</v>
      </c>
      <c r="C13" s="953"/>
      <c r="D13" s="954"/>
      <c r="E13" s="955"/>
      <c r="F13" s="955"/>
      <c r="G13" s="955"/>
      <c r="H13" s="955"/>
      <c r="I13" s="955"/>
      <c r="J13" s="955"/>
      <c r="K13" s="955"/>
      <c r="L13" s="955"/>
      <c r="M13" s="955"/>
      <c r="N13" s="955"/>
      <c r="O13" s="955"/>
      <c r="P13" s="955"/>
      <c r="Q13" s="955"/>
      <c r="R13" s="955"/>
      <c r="S13" s="955"/>
      <c r="T13" s="955"/>
      <c r="U13" s="955"/>
      <c r="V13" s="955"/>
      <c r="W13" s="955"/>
      <c r="X13" s="955"/>
      <c r="Y13" s="955"/>
      <c r="Z13" s="955"/>
      <c r="AA13" s="955"/>
      <c r="AB13" s="955"/>
      <c r="AC13" s="955"/>
      <c r="AD13" s="955"/>
      <c r="AE13" s="955"/>
      <c r="AF13" s="956"/>
    </row>
    <row r="14" spans="2:32" x14ac:dyDescent="0.35">
      <c r="B14" s="946" t="s">
        <v>1718</v>
      </c>
      <c r="C14" s="952"/>
      <c r="D14" s="938">
        <f t="shared" ref="D14:S14" si="2">D46</f>
        <v>2.9652502701153827E-2</v>
      </c>
      <c r="E14" s="938">
        <f t="shared" si="2"/>
        <v>4.3357912415273203E-2</v>
      </c>
      <c r="F14" s="938">
        <f t="shared" si="2"/>
        <v>-2.634393397263235E-2</v>
      </c>
      <c r="G14" s="938">
        <f t="shared" si="2"/>
        <v>1.0018821110834297E-2</v>
      </c>
      <c r="H14" s="938">
        <f t="shared" si="2"/>
        <v>1.6245763277308534E-2</v>
      </c>
      <c r="I14" s="938">
        <f t="shared" si="2"/>
        <v>1.3591255249431944E-2</v>
      </c>
      <c r="J14" s="938">
        <f t="shared" si="2"/>
        <v>3.3104511883148557E-3</v>
      </c>
      <c r="K14" s="938">
        <f t="shared" si="2"/>
        <v>2.5959727144998501E-2</v>
      </c>
      <c r="L14" s="938">
        <f t="shared" si="2"/>
        <v>2.4447407360365325E-2</v>
      </c>
      <c r="M14" s="938">
        <f t="shared" si="2"/>
        <v>4.0827649049088865E-2</v>
      </c>
      <c r="N14" s="938">
        <f t="shared" si="2"/>
        <v>4.1247362410053112E-2</v>
      </c>
      <c r="O14" s="938">
        <f t="shared" si="2"/>
        <v>4.4017858095279694E-2</v>
      </c>
      <c r="P14" s="938">
        <f t="shared" si="2"/>
        <v>4.3432299825096221E-2</v>
      </c>
      <c r="Q14" s="938">
        <f t="shared" si="2"/>
        <v>5.6798579453040565E-2</v>
      </c>
      <c r="R14" s="938">
        <f t="shared" si="2"/>
        <v>5.9959109255099508E-2</v>
      </c>
      <c r="S14" s="938">
        <f t="shared" si="2"/>
        <v>4.8205722331254197E-2</v>
      </c>
      <c r="T14" s="938">
        <f>T46</f>
        <v>3.1513836354732261E-2</v>
      </c>
      <c r="U14" s="938">
        <f>U46+U15</f>
        <v>3.1865052838830898E-2</v>
      </c>
      <c r="V14" s="938">
        <f t="shared" ref="V14:AF14" si="3">V46+V15</f>
        <v>2.3566974437019272E-2</v>
      </c>
      <c r="W14" s="938">
        <f t="shared" si="3"/>
        <v>3.3783282602523279E-2</v>
      </c>
      <c r="X14" s="938">
        <f t="shared" si="3"/>
        <v>2.8963096514068587E-2</v>
      </c>
      <c r="Y14" s="938">
        <f t="shared" si="3"/>
        <v>2.9177415019928876E-2</v>
      </c>
      <c r="Z14" s="938">
        <f t="shared" si="3"/>
        <v>2.6899993160794278E-2</v>
      </c>
      <c r="AA14" s="938">
        <f t="shared" si="3"/>
        <v>2.7881138243015302E-2</v>
      </c>
      <c r="AB14" s="938">
        <f t="shared" si="3"/>
        <v>2.6848543864137264E-2</v>
      </c>
      <c r="AC14" s="938">
        <f t="shared" si="3"/>
        <v>2.5377349311315189E-2</v>
      </c>
      <c r="AD14" s="938">
        <f t="shared" si="3"/>
        <v>2.471868460464699E-2</v>
      </c>
      <c r="AE14" s="938">
        <f t="shared" si="3"/>
        <v>2.4677734219933578E-2</v>
      </c>
      <c r="AF14" s="973">
        <f t="shared" si="3"/>
        <v>2.4460901868401885E-2</v>
      </c>
    </row>
    <row r="15" spans="2:32" x14ac:dyDescent="0.35">
      <c r="B15" s="155" t="s">
        <v>1795</v>
      </c>
      <c r="C15" s="953"/>
      <c r="D15" s="954"/>
      <c r="E15" s="955"/>
      <c r="F15" s="955"/>
      <c r="G15" s="955"/>
      <c r="H15" s="955"/>
      <c r="I15" s="955"/>
      <c r="J15" s="955"/>
      <c r="K15" s="955"/>
      <c r="L15" s="955"/>
      <c r="M15" s="955"/>
      <c r="N15" s="955"/>
      <c r="O15" s="955"/>
      <c r="P15" s="955"/>
      <c r="Q15" s="955"/>
      <c r="R15" s="955"/>
      <c r="S15" s="955"/>
      <c r="T15" s="955"/>
      <c r="U15" s="955"/>
      <c r="V15" s="955"/>
      <c r="W15" s="955"/>
      <c r="X15" s="955"/>
      <c r="Y15" s="955"/>
      <c r="Z15" s="955"/>
      <c r="AA15" s="955"/>
      <c r="AB15" s="955"/>
      <c r="AC15" s="955"/>
      <c r="AD15" s="955"/>
      <c r="AE15" s="955"/>
      <c r="AF15" s="956"/>
    </row>
    <row r="16" spans="2:32" x14ac:dyDescent="0.35">
      <c r="B16" s="946" t="s">
        <v>1719</v>
      </c>
      <c r="C16" s="952"/>
      <c r="D16" s="938">
        <f t="shared" ref="D16:T16" si="4">D47</f>
        <v>2.0739486303195998E-2</v>
      </c>
      <c r="E16" s="938">
        <f t="shared" si="4"/>
        <v>-1.0909955372547464E-2</v>
      </c>
      <c r="F16" s="938">
        <f t="shared" si="4"/>
        <v>2.9915559028399707E-2</v>
      </c>
      <c r="G16" s="938">
        <f t="shared" si="4"/>
        <v>1.0527559706478895E-2</v>
      </c>
      <c r="H16" s="938">
        <f t="shared" si="4"/>
        <v>1.4919704890896002E-2</v>
      </c>
      <c r="I16" s="938">
        <f t="shared" si="4"/>
        <v>4.3158369252632278E-2</v>
      </c>
      <c r="J16" s="938">
        <f t="shared" si="4"/>
        <v>-2.2930962354547058E-3</v>
      </c>
      <c r="K16" s="938">
        <f t="shared" si="4"/>
        <v>3.587837095953339E-2</v>
      </c>
      <c r="L16" s="938">
        <f t="shared" si="4"/>
        <v>4.5534894387470937E-2</v>
      </c>
      <c r="M16" s="938">
        <f t="shared" si="4"/>
        <v>8.7714323909891423E-2</v>
      </c>
      <c r="N16" s="938">
        <f t="shared" si="4"/>
        <v>8.4888593948209357E-2</v>
      </c>
      <c r="O16" s="938">
        <f t="shared" si="4"/>
        <v>6.9703587118332688E-2</v>
      </c>
      <c r="P16" s="938">
        <f t="shared" si="4"/>
        <v>9.0463399615994478E-2</v>
      </c>
      <c r="Q16" s="938">
        <f t="shared" si="4"/>
        <v>0.10558682780244433</v>
      </c>
      <c r="R16" s="938">
        <f t="shared" si="4"/>
        <v>0.14979890704557142</v>
      </c>
      <c r="S16" s="938">
        <f t="shared" si="4"/>
        <v>2.9055945911607095E-2</v>
      </c>
      <c r="T16" s="938">
        <f t="shared" si="4"/>
        <v>3.8778201417324798E-2</v>
      </c>
      <c r="U16" s="939">
        <f>U47+U17</f>
        <v>7.0860931530585258E-3</v>
      </c>
      <c r="V16" s="938">
        <f t="shared" ref="V16:AF16" si="5">V47+V17</f>
        <v>-1.6388365013716322E-2</v>
      </c>
      <c r="W16" s="938">
        <f t="shared" si="5"/>
        <v>2.5632416597382024E-2</v>
      </c>
      <c r="X16" s="938">
        <f t="shared" si="5"/>
        <v>3.0650594768110162E-2</v>
      </c>
      <c r="Y16" s="938">
        <f t="shared" si="5"/>
        <v>3.3343974071288418E-2</v>
      </c>
      <c r="Z16" s="938">
        <f t="shared" si="5"/>
        <v>3.0704031449066083E-2</v>
      </c>
      <c r="AA16" s="938">
        <f t="shared" si="5"/>
        <v>2.9455855111519602E-2</v>
      </c>
      <c r="AB16" s="938">
        <f t="shared" si="5"/>
        <v>2.8801828876449553E-2</v>
      </c>
      <c r="AC16" s="938">
        <f t="shared" si="5"/>
        <v>2.9396483903845194E-2</v>
      </c>
      <c r="AD16" s="938">
        <f t="shared" si="5"/>
        <v>2.8870369964724807E-2</v>
      </c>
      <c r="AE16" s="938">
        <f t="shared" si="5"/>
        <v>2.8486629635257943E-2</v>
      </c>
      <c r="AF16" s="973">
        <f t="shared" si="5"/>
        <v>2.8185592071407362E-2</v>
      </c>
    </row>
    <row r="17" spans="2:33" x14ac:dyDescent="0.35">
      <c r="B17" s="155" t="s">
        <v>1796</v>
      </c>
      <c r="C17" s="953"/>
      <c r="D17" s="954"/>
      <c r="E17" s="955"/>
      <c r="F17" s="955"/>
      <c r="G17" s="955"/>
      <c r="H17" s="955"/>
      <c r="I17" s="955"/>
      <c r="J17" s="955"/>
      <c r="K17" s="955"/>
      <c r="L17" s="955"/>
      <c r="M17" s="955"/>
      <c r="N17" s="955"/>
      <c r="O17" s="955"/>
      <c r="P17" s="955"/>
      <c r="Q17" s="955"/>
      <c r="R17" s="955"/>
      <c r="S17" s="955"/>
      <c r="T17" s="955"/>
      <c r="U17" s="955"/>
      <c r="V17" s="955"/>
      <c r="W17" s="955"/>
      <c r="X17" s="955"/>
      <c r="Y17" s="955"/>
      <c r="Z17" s="955"/>
      <c r="AA17" s="955"/>
      <c r="AB17" s="955"/>
      <c r="AC17" s="955"/>
      <c r="AD17" s="955"/>
      <c r="AE17" s="955"/>
      <c r="AF17" s="956"/>
    </row>
    <row r="18" spans="2:33" x14ac:dyDescent="0.35">
      <c r="B18" s="946" t="s">
        <v>1720</v>
      </c>
      <c r="C18" s="952"/>
      <c r="D18" s="938">
        <f t="shared" ref="D18:T18" si="6">D48</f>
        <v>1.6036274889288604E-2</v>
      </c>
      <c r="E18" s="938">
        <f t="shared" si="6"/>
        <v>-1.6750426853228473E-2</v>
      </c>
      <c r="F18" s="938">
        <f t="shared" si="6"/>
        <v>2.5813818283004775E-2</v>
      </c>
      <c r="G18" s="938">
        <f t="shared" si="6"/>
        <v>8.6124156242581851E-3</v>
      </c>
      <c r="H18" s="938">
        <f t="shared" si="6"/>
        <v>1.6996215944869331E-2</v>
      </c>
      <c r="I18" s="938">
        <f t="shared" si="6"/>
        <v>5.0660572456327158E-2</v>
      </c>
      <c r="J18" s="938">
        <f t="shared" si="6"/>
        <v>-1.0613393340251909E-3</v>
      </c>
      <c r="K18" s="938">
        <f t="shared" si="6"/>
        <v>3.4596703938156059E-2</v>
      </c>
      <c r="L18" s="938">
        <f t="shared" si="6"/>
        <v>5.1547958936444926E-2</v>
      </c>
      <c r="M18" s="938">
        <f t="shared" si="6"/>
        <v>9.2834286401326738E-2</v>
      </c>
      <c r="N18" s="938">
        <f t="shared" si="6"/>
        <v>8.057551462066237E-2</v>
      </c>
      <c r="O18" s="938">
        <f t="shared" si="6"/>
        <v>6.4680375979367932E-2</v>
      </c>
      <c r="P18" s="938">
        <f t="shared" si="6"/>
        <v>8.4136934840179034E-2</v>
      </c>
      <c r="Q18" s="938">
        <f t="shared" si="6"/>
        <v>0.10120576467409093</v>
      </c>
      <c r="R18" s="938">
        <f t="shared" si="6"/>
        <v>0.15221841372862355</v>
      </c>
      <c r="S18" s="938">
        <f t="shared" si="6"/>
        <v>1.6422651906601304E-2</v>
      </c>
      <c r="T18" s="938">
        <f t="shared" si="6"/>
        <v>3.6078451145617141E-2</v>
      </c>
      <c r="U18" s="939">
        <f>U48+U19</f>
        <v>-1.1833848566173977E-3</v>
      </c>
      <c r="V18" s="938">
        <f t="shared" ref="V18:AF18" si="7">V48+V19</f>
        <v>-2.1175324698722187E-2</v>
      </c>
      <c r="W18" s="938">
        <f t="shared" si="7"/>
        <v>2.5632416597382024E-2</v>
      </c>
      <c r="X18" s="938">
        <f t="shared" si="7"/>
        <v>3.0650594768110162E-2</v>
      </c>
      <c r="Y18" s="938">
        <f t="shared" si="7"/>
        <v>3.3343974071288418E-2</v>
      </c>
      <c r="Z18" s="938">
        <f t="shared" si="7"/>
        <v>3.0704031449066083E-2</v>
      </c>
      <c r="AA18" s="938">
        <f t="shared" si="7"/>
        <v>2.9455855111519602E-2</v>
      </c>
      <c r="AB18" s="938">
        <f t="shared" si="7"/>
        <v>2.8801828876449553E-2</v>
      </c>
      <c r="AC18" s="938">
        <f t="shared" si="7"/>
        <v>2.9396483903845194E-2</v>
      </c>
      <c r="AD18" s="938">
        <f t="shared" si="7"/>
        <v>2.8870369964724807E-2</v>
      </c>
      <c r="AE18" s="938">
        <f t="shared" si="7"/>
        <v>2.8486629635257943E-2</v>
      </c>
      <c r="AF18" s="973">
        <f t="shared" si="7"/>
        <v>2.8185592071407362E-2</v>
      </c>
    </row>
    <row r="19" spans="2:33" x14ac:dyDescent="0.35">
      <c r="B19" s="155" t="s">
        <v>1797</v>
      </c>
      <c r="C19" s="953"/>
      <c r="D19" s="954"/>
      <c r="E19" s="955"/>
      <c r="F19" s="955"/>
      <c r="G19" s="955"/>
      <c r="H19" s="955"/>
      <c r="I19" s="955"/>
      <c r="J19" s="955"/>
      <c r="K19" s="955"/>
      <c r="L19" s="955"/>
      <c r="M19" s="955"/>
      <c r="N19" s="955"/>
      <c r="O19" s="955"/>
      <c r="P19" s="955"/>
      <c r="Q19" s="955"/>
      <c r="R19" s="955"/>
      <c r="S19" s="955"/>
      <c r="T19" s="955"/>
      <c r="U19" s="955"/>
      <c r="V19" s="955"/>
      <c r="W19" s="955"/>
      <c r="X19" s="955"/>
      <c r="Y19" s="955"/>
      <c r="Z19" s="955"/>
      <c r="AA19" s="955"/>
      <c r="AB19" s="955"/>
      <c r="AC19" s="955"/>
      <c r="AD19" s="955"/>
      <c r="AE19" s="955"/>
      <c r="AF19" s="956"/>
      <c r="AG19" s="957"/>
    </row>
    <row r="20" spans="2:33" x14ac:dyDescent="0.35">
      <c r="B20" s="946" t="s">
        <v>1721</v>
      </c>
      <c r="C20" s="952"/>
      <c r="D20" s="938">
        <f t="shared" ref="D20:T20" si="8">D49</f>
        <v>4.1912016313215839E-2</v>
      </c>
      <c r="E20" s="938">
        <f t="shared" si="8"/>
        <v>1.5721372171975556E-2</v>
      </c>
      <c r="F20" s="938">
        <f t="shared" si="8"/>
        <v>4.8037769815769016E-2</v>
      </c>
      <c r="G20" s="938">
        <f t="shared" si="8"/>
        <v>1.9083730667159404E-2</v>
      </c>
      <c r="H20" s="938">
        <f t="shared" si="8"/>
        <v>5.8979339636944239E-3</v>
      </c>
      <c r="I20" s="938">
        <f t="shared" si="8"/>
        <v>1.0418465412080913E-2</v>
      </c>
      <c r="J20" s="938">
        <f t="shared" si="8"/>
        <v>-7.6555980249765065E-3</v>
      </c>
      <c r="K20" s="938">
        <f t="shared" si="8"/>
        <v>4.135501545294451E-2</v>
      </c>
      <c r="L20" s="938">
        <f t="shared" si="8"/>
        <v>1.8415186976738607E-2</v>
      </c>
      <c r="M20" s="938">
        <f t="shared" si="8"/>
        <v>6.4160755006020143E-2</v>
      </c>
      <c r="N20" s="938">
        <f t="shared" si="8"/>
        <v>0.10458990215743946</v>
      </c>
      <c r="O20" s="938">
        <f t="shared" si="8"/>
        <v>9.3631239224950313E-2</v>
      </c>
      <c r="P20" s="938">
        <f t="shared" si="8"/>
        <v>0.12124821634027616</v>
      </c>
      <c r="Q20" s="938">
        <f t="shared" si="8"/>
        <v>0.12687792670398412</v>
      </c>
      <c r="R20" s="938">
        <f t="shared" si="8"/>
        <v>0.13796693794697101</v>
      </c>
      <c r="S20" s="938">
        <f t="shared" si="8"/>
        <v>9.3268944702830758E-2</v>
      </c>
      <c r="T20" s="938">
        <f t="shared" si="8"/>
        <v>5.1634147747456671E-2</v>
      </c>
      <c r="U20" s="938">
        <f>U49+U21</f>
        <v>4.647411897178233E-2</v>
      </c>
      <c r="V20" s="938">
        <f t="shared" ref="V20:AF20" si="9">V49+V21</f>
        <v>5.4981543281513723E-3</v>
      </c>
      <c r="W20" s="938">
        <f t="shared" si="9"/>
        <v>2.5632416597382024E-2</v>
      </c>
      <c r="X20" s="938">
        <f t="shared" si="9"/>
        <v>3.0650594768110162E-2</v>
      </c>
      <c r="Y20" s="938">
        <f t="shared" si="9"/>
        <v>3.3343974071288418E-2</v>
      </c>
      <c r="Z20" s="938">
        <f t="shared" si="9"/>
        <v>3.0704031449066083E-2</v>
      </c>
      <c r="AA20" s="938">
        <f t="shared" si="9"/>
        <v>2.9455855111519602E-2</v>
      </c>
      <c r="AB20" s="938">
        <f t="shared" si="9"/>
        <v>2.8801828876449553E-2</v>
      </c>
      <c r="AC20" s="938">
        <f t="shared" si="9"/>
        <v>2.9396483903845194E-2</v>
      </c>
      <c r="AD20" s="938">
        <f t="shared" si="9"/>
        <v>2.8870369964724807E-2</v>
      </c>
      <c r="AE20" s="938">
        <f t="shared" si="9"/>
        <v>2.8486629635257943E-2</v>
      </c>
      <c r="AF20" s="973">
        <f t="shared" si="9"/>
        <v>2.8185592071407362E-2</v>
      </c>
    </row>
    <row r="21" spans="2:33" x14ac:dyDescent="0.35">
      <c r="B21" s="155" t="s">
        <v>1798</v>
      </c>
      <c r="C21" s="953"/>
      <c r="D21" s="975"/>
      <c r="E21" s="975"/>
      <c r="F21" s="975"/>
      <c r="G21" s="975"/>
      <c r="H21" s="975"/>
      <c r="I21" s="975"/>
      <c r="J21" s="975"/>
      <c r="K21" s="975"/>
      <c r="L21" s="975"/>
      <c r="M21" s="975"/>
      <c r="N21" s="975"/>
      <c r="O21" s="975"/>
      <c r="P21" s="975"/>
      <c r="Q21" s="975"/>
      <c r="R21" s="975"/>
      <c r="S21" s="975"/>
      <c r="T21" s="975"/>
      <c r="U21" s="975"/>
      <c r="V21" s="975"/>
      <c r="W21" s="975"/>
      <c r="X21" s="975"/>
      <c r="Y21" s="975"/>
      <c r="Z21" s="975"/>
      <c r="AA21" s="975"/>
      <c r="AB21" s="975"/>
      <c r="AC21" s="975"/>
      <c r="AD21" s="975"/>
      <c r="AE21" s="975"/>
      <c r="AF21" s="976"/>
    </row>
    <row r="22" spans="2:33" x14ac:dyDescent="0.35">
      <c r="B22" s="1436" t="s">
        <v>1742</v>
      </c>
      <c r="C22" s="1437"/>
      <c r="D22" s="1437"/>
      <c r="E22" s="1437"/>
      <c r="F22" s="1437"/>
      <c r="G22" s="1437"/>
      <c r="H22" s="1437"/>
      <c r="I22" s="1437"/>
      <c r="J22" s="1437"/>
      <c r="K22" s="1437"/>
      <c r="L22" s="1437"/>
      <c r="M22" s="1437"/>
      <c r="N22" s="1437"/>
      <c r="O22" s="1437"/>
      <c r="P22" s="1437"/>
      <c r="Q22" s="1437"/>
      <c r="R22" s="1437"/>
      <c r="S22" s="1437"/>
      <c r="T22" s="1437"/>
      <c r="U22" s="1437"/>
      <c r="V22" s="1437"/>
      <c r="W22" s="1437"/>
      <c r="X22" s="1437"/>
      <c r="Y22" s="1437"/>
      <c r="Z22" s="1437"/>
      <c r="AA22" s="1437"/>
      <c r="AB22" s="1437"/>
      <c r="AC22" s="1437"/>
      <c r="AD22" s="1437"/>
      <c r="AE22" s="1437"/>
      <c r="AF22" s="1438"/>
    </row>
    <row r="23" spans="2:33" x14ac:dyDescent="0.35">
      <c r="B23" s="994" t="s">
        <v>1717</v>
      </c>
      <c r="C23" s="947"/>
      <c r="D23" s="992">
        <f t="shared" ref="D23:AF23" si="10">(D12+1)^0.25-1</f>
        <v>3.7677794973836054E-3</v>
      </c>
      <c r="E23" s="992">
        <f t="shared" si="10"/>
        <v>2.0833142133425131E-3</v>
      </c>
      <c r="F23" s="992">
        <f t="shared" si="10"/>
        <v>6.127046928233737E-3</v>
      </c>
      <c r="G23" s="992">
        <f t="shared" si="10"/>
        <v>2.6124871423760521E-3</v>
      </c>
      <c r="H23" s="992">
        <f t="shared" si="10"/>
        <v>3.6225305055199719E-3</v>
      </c>
      <c r="I23" s="992">
        <f t="shared" si="10"/>
        <v>3.6456401581284048E-3</v>
      </c>
      <c r="J23" s="992">
        <f t="shared" si="10"/>
        <v>-4.5157103455735204E-3</v>
      </c>
      <c r="K23" s="992">
        <f t="shared" si="10"/>
        <v>8.3389922585903609E-3</v>
      </c>
      <c r="L23" s="992">
        <f t="shared" si="10"/>
        <v>4.0856275703535783E-3</v>
      </c>
      <c r="M23" s="992">
        <f t="shared" si="10"/>
        <v>1.1071265683547882E-2</v>
      </c>
      <c r="N23" s="992">
        <f t="shared" si="10"/>
        <v>1.5735147135566452E-2</v>
      </c>
      <c r="O23" s="992">
        <f t="shared" si="10"/>
        <v>1.3714972395896918E-2</v>
      </c>
      <c r="P23" s="992">
        <f t="shared" si="10"/>
        <v>1.5118586412170565E-2</v>
      </c>
      <c r="Q23" s="992">
        <f t="shared" si="10"/>
        <v>1.8193665219635502E-2</v>
      </c>
      <c r="R23" s="992">
        <f t="shared" si="10"/>
        <v>1.7752216949378008E-2</v>
      </c>
      <c r="S23" s="993">
        <f t="shared" si="10"/>
        <v>1.0623963938950931E-2</v>
      </c>
      <c r="T23" s="992">
        <f t="shared" si="10"/>
        <v>9.2275371687136065E-3</v>
      </c>
      <c r="U23" s="992">
        <f t="shared" si="10"/>
        <v>1.0119934028278044E-2</v>
      </c>
      <c r="V23" s="992">
        <f t="shared" si="10"/>
        <v>6.2378136740486312E-3</v>
      </c>
      <c r="W23" s="992">
        <f t="shared" si="10"/>
        <v>7.4257226294367484E-3</v>
      </c>
      <c r="X23" s="992">
        <f t="shared" si="10"/>
        <v>7.5775395208279583E-3</v>
      </c>
      <c r="Y23" s="992">
        <f t="shared" si="10"/>
        <v>6.9500583978272523E-3</v>
      </c>
      <c r="Z23" s="992">
        <f t="shared" si="10"/>
        <v>6.132782549199689E-3</v>
      </c>
      <c r="AA23" s="992">
        <f t="shared" si="10"/>
        <v>6.263939117848949E-3</v>
      </c>
      <c r="AB23" s="992">
        <f t="shared" si="10"/>
        <v>6.011374998392105E-3</v>
      </c>
      <c r="AC23" s="992">
        <f t="shared" si="10"/>
        <v>5.7158459107606863E-3</v>
      </c>
      <c r="AD23" s="992">
        <f t="shared" si="10"/>
        <v>5.6021331079985082E-3</v>
      </c>
      <c r="AE23" s="992">
        <f t="shared" si="10"/>
        <v>5.5051295661012745E-3</v>
      </c>
      <c r="AF23" s="993">
        <f t="shared" si="10"/>
        <v>5.4813148370724818E-3</v>
      </c>
    </row>
    <row r="24" spans="2:33" x14ac:dyDescent="0.35">
      <c r="B24" s="802" t="s">
        <v>1718</v>
      </c>
      <c r="C24" s="947"/>
      <c r="D24" s="992">
        <f t="shared" ref="D24:AF24" si="11">(D14+1)^0.25-1</f>
        <v>7.3320914354932931E-3</v>
      </c>
      <c r="E24" s="992">
        <f t="shared" si="11"/>
        <v>1.0667565499398624E-2</v>
      </c>
      <c r="F24" s="992">
        <f t="shared" si="11"/>
        <v>-6.652064573700045E-3</v>
      </c>
      <c r="G24" s="992">
        <f t="shared" si="11"/>
        <v>2.495349575790673E-3</v>
      </c>
      <c r="H24" s="992">
        <f t="shared" si="11"/>
        <v>4.0369297610427513E-3</v>
      </c>
      <c r="I24" s="992">
        <f t="shared" si="11"/>
        <v>3.3806321331337763E-3</v>
      </c>
      <c r="J24" s="992">
        <f t="shared" si="11"/>
        <v>8.2658736219798357E-4</v>
      </c>
      <c r="K24" s="992">
        <f t="shared" si="11"/>
        <v>6.4276929430036045E-3</v>
      </c>
      <c r="L24" s="992">
        <f t="shared" si="11"/>
        <v>6.0566056248829714E-3</v>
      </c>
      <c r="M24" s="992">
        <f t="shared" si="11"/>
        <v>1.0054261091605454E-2</v>
      </c>
      <c r="N24" s="992">
        <f t="shared" si="11"/>
        <v>1.0156071698179447E-2</v>
      </c>
      <c r="O24" s="992">
        <f t="shared" si="11"/>
        <v>1.0827344693645324E-2</v>
      </c>
      <c r="P24" s="992">
        <f t="shared" si="11"/>
        <v>1.0685579196217487E-2</v>
      </c>
      <c r="Q24" s="992">
        <f t="shared" si="11"/>
        <v>1.3906845400109002E-2</v>
      </c>
      <c r="R24" s="992">
        <f t="shared" si="11"/>
        <v>1.4664060468276618E-2</v>
      </c>
      <c r="S24" s="993">
        <f t="shared" si="11"/>
        <v>1.1839505254193972E-2</v>
      </c>
      <c r="T24" s="992">
        <f t="shared" si="11"/>
        <v>7.7870292442578926E-3</v>
      </c>
      <c r="U24" s="992">
        <f t="shared" si="11"/>
        <v>7.87280275021085E-3</v>
      </c>
      <c r="V24" s="992">
        <f t="shared" si="11"/>
        <v>5.8403790615171314E-3</v>
      </c>
      <c r="W24" s="992">
        <f t="shared" si="11"/>
        <v>8.3408836523570784E-3</v>
      </c>
      <c r="X24" s="992">
        <f t="shared" si="11"/>
        <v>7.163433706472544E-3</v>
      </c>
      <c r="Y24" s="992">
        <f t="shared" si="11"/>
        <v>7.215874096539121E-3</v>
      </c>
      <c r="Z24" s="992">
        <f t="shared" si="11"/>
        <v>6.6582050868881915E-3</v>
      </c>
      <c r="AA24" s="992">
        <f t="shared" si="11"/>
        <v>6.898570281810068E-3</v>
      </c>
      <c r="AB24" s="992">
        <f t="shared" si="11"/>
        <v>6.6455960621367716E-3</v>
      </c>
      <c r="AC24" s="992">
        <f t="shared" si="11"/>
        <v>6.2848398732100463E-3</v>
      </c>
      <c r="AD24" s="992">
        <f t="shared" si="11"/>
        <v>6.1232008362259727E-3</v>
      </c>
      <c r="AE24" s="992">
        <f t="shared" si="11"/>
        <v>6.1131488702046433E-3</v>
      </c>
      <c r="AF24" s="993">
        <f t="shared" si="11"/>
        <v>6.0599186724319409E-3</v>
      </c>
    </row>
    <row r="25" spans="2:33" x14ac:dyDescent="0.35">
      <c r="B25" s="802" t="s">
        <v>1719</v>
      </c>
      <c r="C25" s="947"/>
      <c r="D25" s="992">
        <f t="shared" ref="D25:AF25" si="12">(D16+1)^0.25-1</f>
        <v>5.1450282316933826E-3</v>
      </c>
      <c r="E25" s="992">
        <f t="shared" si="12"/>
        <v>-2.7387191894091556E-3</v>
      </c>
      <c r="F25" s="992">
        <f t="shared" si="12"/>
        <v>7.3964237457664339E-3</v>
      </c>
      <c r="G25" s="992">
        <f t="shared" si="12"/>
        <v>2.6215630089621023E-3</v>
      </c>
      <c r="H25" s="992">
        <f t="shared" si="12"/>
        <v>3.7092374780660631E-3</v>
      </c>
      <c r="I25" s="992">
        <f t="shared" si="12"/>
        <v>1.0619239257432245E-2</v>
      </c>
      <c r="J25" s="992">
        <f t="shared" si="12"/>
        <v>-5.737676840339434E-4</v>
      </c>
      <c r="K25" s="992">
        <f t="shared" si="12"/>
        <v>8.8513774045670957E-3</v>
      </c>
      <c r="L25" s="992">
        <f t="shared" si="12"/>
        <v>1.1194346769946906E-2</v>
      </c>
      <c r="M25" s="992">
        <f t="shared" si="12"/>
        <v>2.1242104555839303E-2</v>
      </c>
      <c r="N25" s="992">
        <f t="shared" si="12"/>
        <v>2.0578196323559839E-2</v>
      </c>
      <c r="O25" s="992">
        <f t="shared" si="12"/>
        <v>1.6988080943209027E-2</v>
      </c>
      <c r="P25" s="992">
        <f t="shared" si="12"/>
        <v>2.1886762550021865E-2</v>
      </c>
      <c r="Q25" s="992">
        <f t="shared" si="12"/>
        <v>2.5411571298960212E-2</v>
      </c>
      <c r="R25" s="992">
        <f t="shared" si="12"/>
        <v>3.5512803061239939E-2</v>
      </c>
      <c r="S25" s="993">
        <f t="shared" si="12"/>
        <v>7.1861535090920192E-3</v>
      </c>
      <c r="T25" s="992">
        <f t="shared" si="12"/>
        <v>9.5566802500108849E-3</v>
      </c>
      <c r="U25" s="992">
        <f t="shared" si="12"/>
        <v>1.7668352102966356E-3</v>
      </c>
      <c r="V25" s="992">
        <f t="shared" si="12"/>
        <v>-4.1225139448516357E-3</v>
      </c>
      <c r="W25" s="992">
        <f t="shared" si="12"/>
        <v>6.3474135208028137E-3</v>
      </c>
      <c r="X25" s="992">
        <f t="shared" si="12"/>
        <v>7.5761167015020447E-3</v>
      </c>
      <c r="Y25" s="992">
        <f t="shared" si="12"/>
        <v>8.2337423954825795E-3</v>
      </c>
      <c r="Z25" s="992">
        <f t="shared" si="12"/>
        <v>7.58917652918778E-3</v>
      </c>
      <c r="AA25" s="992">
        <f t="shared" si="12"/>
        <v>7.2839918058120734E-3</v>
      </c>
      <c r="AB25" s="992">
        <f t="shared" si="12"/>
        <v>7.123968633533817E-3</v>
      </c>
      <c r="AC25" s="992">
        <f t="shared" si="12"/>
        <v>7.2694683660272652E-3</v>
      </c>
      <c r="AD25" s="992">
        <f t="shared" si="12"/>
        <v>7.1407424296099364E-3</v>
      </c>
      <c r="AE25" s="992">
        <f t="shared" si="12"/>
        <v>7.0468203480871239E-3</v>
      </c>
      <c r="AF25" s="993">
        <f t="shared" si="12"/>
        <v>6.9731217228798936E-3</v>
      </c>
    </row>
    <row r="26" spans="2:33" x14ac:dyDescent="0.35">
      <c r="B26" s="802" t="s">
        <v>1720</v>
      </c>
      <c r="C26" s="947"/>
      <c r="D26" s="992">
        <f t="shared" ref="D26:AF26" si="13">(D18+1)^0.25-1</f>
        <v>3.9851828444024129E-3</v>
      </c>
      <c r="E26" s="992">
        <f t="shared" si="13"/>
        <v>-4.2141708050640325E-3</v>
      </c>
      <c r="F26" s="992">
        <f t="shared" si="13"/>
        <v>6.3919082655803372E-3</v>
      </c>
      <c r="G26" s="992">
        <f t="shared" si="13"/>
        <v>2.1461848510757608E-3</v>
      </c>
      <c r="H26" s="992">
        <f t="shared" si="13"/>
        <v>4.2222376989240473E-3</v>
      </c>
      <c r="I26" s="992">
        <f t="shared" si="13"/>
        <v>1.2431406205300366E-2</v>
      </c>
      <c r="J26" s="992">
        <f t="shared" si="13"/>
        <v>-2.6544050279575515E-4</v>
      </c>
      <c r="K26" s="992">
        <f t="shared" si="13"/>
        <v>8.5391757168795657E-3</v>
      </c>
      <c r="L26" s="992">
        <f t="shared" si="13"/>
        <v>1.2645113075675285E-2</v>
      </c>
      <c r="M26" s="992">
        <f t="shared" si="13"/>
        <v>2.2441757099008752E-2</v>
      </c>
      <c r="N26" s="992">
        <f t="shared" si="13"/>
        <v>1.9562328778359062E-2</v>
      </c>
      <c r="O26" s="992">
        <f t="shared" si="13"/>
        <v>1.5792056507083485E-2</v>
      </c>
      <c r="P26" s="992">
        <f t="shared" si="13"/>
        <v>2.0401374875263389E-2</v>
      </c>
      <c r="Q26" s="992">
        <f t="shared" si="13"/>
        <v>2.4394219276322904E-2</v>
      </c>
      <c r="R26" s="992">
        <f t="shared" si="13"/>
        <v>3.6057127703905678E-2</v>
      </c>
      <c r="S26" s="993">
        <f t="shared" si="13"/>
        <v>4.0806177967589452E-3</v>
      </c>
      <c r="T26" s="992">
        <f t="shared" si="13"/>
        <v>8.9000888552244195E-3</v>
      </c>
      <c r="U26" s="992">
        <f t="shared" si="13"/>
        <v>-2.959775923305763E-4</v>
      </c>
      <c r="V26" s="992">
        <f t="shared" si="13"/>
        <v>-5.3363950809847127E-3</v>
      </c>
      <c r="W26" s="992">
        <f t="shared" si="13"/>
        <v>6.3474135208028137E-3</v>
      </c>
      <c r="X26" s="992">
        <f t="shared" si="13"/>
        <v>7.5761167015020447E-3</v>
      </c>
      <c r="Y26" s="992">
        <f t="shared" si="13"/>
        <v>8.2337423954825795E-3</v>
      </c>
      <c r="Z26" s="992">
        <f t="shared" si="13"/>
        <v>7.58917652918778E-3</v>
      </c>
      <c r="AA26" s="992">
        <f t="shared" si="13"/>
        <v>7.2839918058120734E-3</v>
      </c>
      <c r="AB26" s="992">
        <f t="shared" si="13"/>
        <v>7.123968633533817E-3</v>
      </c>
      <c r="AC26" s="992">
        <f t="shared" si="13"/>
        <v>7.2694683660272652E-3</v>
      </c>
      <c r="AD26" s="992">
        <f t="shared" si="13"/>
        <v>7.1407424296099364E-3</v>
      </c>
      <c r="AE26" s="992">
        <f t="shared" si="13"/>
        <v>7.0468203480871239E-3</v>
      </c>
      <c r="AF26" s="993">
        <f t="shared" si="13"/>
        <v>6.9731217228798936E-3</v>
      </c>
    </row>
    <row r="27" spans="2:33" x14ac:dyDescent="0.35">
      <c r="B27" s="803" t="s">
        <v>1721</v>
      </c>
      <c r="C27" s="948"/>
      <c r="D27" s="949">
        <f t="shared" ref="D27:AF27" si="14">(D20+1)^0.25-1</f>
        <v>1.0317235016500392E-2</v>
      </c>
      <c r="E27" s="949">
        <f t="shared" si="14"/>
        <v>3.9073818785286818E-3</v>
      </c>
      <c r="F27" s="949">
        <f t="shared" si="14"/>
        <v>1.1798971416576265E-2</v>
      </c>
      <c r="G27" s="949">
        <f t="shared" si="14"/>
        <v>4.7371651351562072E-3</v>
      </c>
      <c r="H27" s="949">
        <f t="shared" si="14"/>
        <v>1.4712335131508159E-3</v>
      </c>
      <c r="I27" s="949">
        <f t="shared" si="14"/>
        <v>2.5945017182129604E-3</v>
      </c>
      <c r="J27" s="949">
        <f t="shared" si="14"/>
        <v>-1.9194186903395138E-3</v>
      </c>
      <c r="K27" s="949">
        <f t="shared" si="14"/>
        <v>1.0182180325898571E-2</v>
      </c>
      <c r="L27" s="949">
        <f t="shared" si="14"/>
        <v>4.5723415828120562E-3</v>
      </c>
      <c r="M27" s="949">
        <f t="shared" si="14"/>
        <v>1.5668093602477118E-2</v>
      </c>
      <c r="N27" s="949">
        <f t="shared" si="14"/>
        <v>2.5180335515684549E-2</v>
      </c>
      <c r="O27" s="949">
        <f t="shared" si="14"/>
        <v>2.2628110857430661E-2</v>
      </c>
      <c r="P27" s="949">
        <f t="shared" si="14"/>
        <v>2.9023851519918598E-2</v>
      </c>
      <c r="Q27" s="949">
        <f t="shared" si="14"/>
        <v>3.0313091147743609E-2</v>
      </c>
      <c r="R27" s="949">
        <f t="shared" si="14"/>
        <v>3.2838482925038104E-2</v>
      </c>
      <c r="S27" s="950">
        <f t="shared" si="14"/>
        <v>2.2543407123629677E-2</v>
      </c>
      <c r="T27" s="949">
        <f t="shared" si="14"/>
        <v>1.2665862484921631E-2</v>
      </c>
      <c r="U27" s="949">
        <f t="shared" si="14"/>
        <v>1.1421364257436117E-2</v>
      </c>
      <c r="V27" s="949">
        <f t="shared" si="14"/>
        <v>1.3717136028266186E-3</v>
      </c>
      <c r="W27" s="949">
        <f t="shared" si="14"/>
        <v>6.3474135208028137E-3</v>
      </c>
      <c r="X27" s="949">
        <f t="shared" si="14"/>
        <v>7.5761167015020447E-3</v>
      </c>
      <c r="Y27" s="949">
        <f t="shared" si="14"/>
        <v>8.2337423954825795E-3</v>
      </c>
      <c r="Z27" s="949">
        <f t="shared" si="14"/>
        <v>7.58917652918778E-3</v>
      </c>
      <c r="AA27" s="949">
        <f t="shared" si="14"/>
        <v>7.2839918058120734E-3</v>
      </c>
      <c r="AB27" s="949">
        <f t="shared" si="14"/>
        <v>7.123968633533817E-3</v>
      </c>
      <c r="AC27" s="949">
        <f t="shared" si="14"/>
        <v>7.2694683660272652E-3</v>
      </c>
      <c r="AD27" s="949">
        <f t="shared" si="14"/>
        <v>7.1407424296099364E-3</v>
      </c>
      <c r="AE27" s="949">
        <f t="shared" si="14"/>
        <v>7.0468203480871239E-3</v>
      </c>
      <c r="AF27" s="950">
        <f t="shared" si="14"/>
        <v>6.9731217228798936E-3</v>
      </c>
    </row>
    <row r="28" spans="2:33" x14ac:dyDescent="0.35">
      <c r="B28" s="35"/>
      <c r="C28" s="940"/>
      <c r="D28" s="938"/>
      <c r="E28" s="938"/>
      <c r="F28" s="938"/>
      <c r="G28" s="938"/>
      <c r="H28" s="938"/>
      <c r="I28" s="938"/>
      <c r="J28" s="938"/>
      <c r="K28" s="938"/>
      <c r="L28" s="938"/>
      <c r="M28" s="938"/>
      <c r="N28" s="938"/>
      <c r="O28" s="938"/>
      <c r="P28" s="938"/>
      <c r="Q28" s="938"/>
      <c r="R28" s="938"/>
      <c r="S28" s="938"/>
      <c r="T28" s="938"/>
      <c r="U28" s="938"/>
      <c r="V28" s="938"/>
      <c r="W28" s="938"/>
      <c r="X28" s="938"/>
      <c r="Y28" s="938"/>
      <c r="Z28" s="938"/>
      <c r="AA28" s="938"/>
      <c r="AB28" s="938"/>
      <c r="AC28" s="938"/>
      <c r="AD28" s="938"/>
      <c r="AE28" s="938"/>
      <c r="AF28" s="938"/>
    </row>
    <row r="29" spans="2:33" x14ac:dyDescent="0.35">
      <c r="B29" s="35"/>
      <c r="C29" s="940"/>
      <c r="D29" s="938"/>
      <c r="E29" s="938"/>
      <c r="F29" s="938"/>
      <c r="G29" s="938"/>
      <c r="H29" s="938"/>
      <c r="I29" s="938"/>
      <c r="J29" s="938"/>
      <c r="K29" s="938"/>
      <c r="L29" s="938"/>
      <c r="M29" s="938"/>
      <c r="N29" s="938"/>
      <c r="O29" s="938"/>
      <c r="P29" s="938"/>
      <c r="Q29" s="151"/>
      <c r="R29" s="938"/>
      <c r="S29" s="938"/>
      <c r="T29" s="938"/>
      <c r="U29" s="938"/>
      <c r="V29" s="938"/>
      <c r="W29" s="938"/>
      <c r="X29" s="938"/>
      <c r="Y29" s="938"/>
      <c r="Z29" s="938"/>
      <c r="AA29" s="938"/>
      <c r="AB29" s="938"/>
      <c r="AC29" s="938"/>
      <c r="AD29" s="938"/>
      <c r="AE29" s="938"/>
      <c r="AF29" s="938"/>
    </row>
    <row r="30" spans="2:33" x14ac:dyDescent="0.35">
      <c r="B30" s="35"/>
      <c r="C30" s="940"/>
      <c r="D30" s="938"/>
      <c r="E30" s="938"/>
      <c r="F30" s="938"/>
      <c r="G30" s="938"/>
      <c r="H30" s="938"/>
      <c r="I30" s="938"/>
      <c r="J30" s="938"/>
      <c r="K30" s="938"/>
      <c r="L30" s="938"/>
      <c r="M30" s="938"/>
      <c r="N30" s="938"/>
      <c r="O30" s="938"/>
      <c r="P30" s="938"/>
      <c r="Q30" s="151"/>
      <c r="R30" s="938"/>
      <c r="S30" s="938"/>
      <c r="T30" s="938"/>
      <c r="U30" s="938"/>
      <c r="V30" s="938"/>
      <c r="W30" s="938"/>
      <c r="X30" s="938"/>
      <c r="Y30" s="938"/>
      <c r="Z30" s="938"/>
      <c r="AA30" s="938"/>
      <c r="AB30" s="938"/>
      <c r="AC30" s="938"/>
      <c r="AD30" s="938"/>
      <c r="AE30" s="938"/>
      <c r="AF30" s="938"/>
    </row>
    <row r="31" spans="2:33" x14ac:dyDescent="0.35">
      <c r="B31" s="35"/>
      <c r="C31" s="940"/>
      <c r="D31" s="938"/>
      <c r="E31" s="938"/>
      <c r="F31" s="938"/>
      <c r="G31" s="938"/>
      <c r="H31" s="938"/>
      <c r="I31" s="938"/>
      <c r="J31" s="938"/>
      <c r="K31" s="938"/>
      <c r="L31" s="938"/>
      <c r="M31" s="938"/>
      <c r="N31" s="938"/>
      <c r="O31" s="938"/>
      <c r="P31" s="938"/>
      <c r="Q31" s="35"/>
      <c r="R31" s="938"/>
      <c r="S31" s="938"/>
      <c r="T31" s="938"/>
      <c r="U31" s="938"/>
      <c r="V31" s="938"/>
      <c r="W31" s="938"/>
      <c r="X31" s="938"/>
      <c r="Y31" s="938"/>
      <c r="Z31" s="938"/>
      <c r="AA31" s="938"/>
      <c r="AB31" s="938"/>
      <c r="AC31" s="938"/>
      <c r="AD31" s="938"/>
      <c r="AE31" s="938"/>
      <c r="AF31" s="938"/>
    </row>
    <row r="32" spans="2:33" x14ac:dyDescent="0.35">
      <c r="B32" s="35"/>
      <c r="C32" s="940"/>
      <c r="D32" s="938"/>
      <c r="E32" s="938"/>
      <c r="F32" s="938"/>
      <c r="G32" s="938"/>
      <c r="H32" s="938"/>
      <c r="I32" s="938"/>
      <c r="J32" s="938"/>
      <c r="K32" s="938"/>
      <c r="L32" s="938"/>
      <c r="M32" s="938"/>
      <c r="N32" s="938"/>
      <c r="O32" s="938"/>
      <c r="P32" s="938"/>
      <c r="Q32" s="35"/>
      <c r="R32" s="938"/>
      <c r="S32" s="938"/>
      <c r="T32" s="938"/>
      <c r="U32" s="938"/>
      <c r="V32" s="938"/>
      <c r="W32" s="938"/>
      <c r="X32" s="938"/>
      <c r="Y32" s="938"/>
      <c r="Z32" s="938"/>
      <c r="AA32" s="938"/>
      <c r="AB32" s="938"/>
      <c r="AC32" s="938"/>
      <c r="AD32" s="938"/>
      <c r="AE32" s="938"/>
      <c r="AF32" s="938"/>
    </row>
    <row r="33" spans="2:33" x14ac:dyDescent="0.35">
      <c r="B33" s="35"/>
      <c r="C33" s="940"/>
      <c r="D33" s="938"/>
      <c r="E33" s="938"/>
      <c r="F33" s="938"/>
      <c r="G33" s="938"/>
      <c r="H33" s="938"/>
      <c r="I33" s="938"/>
      <c r="J33" s="938"/>
      <c r="K33" s="938"/>
      <c r="L33" s="938"/>
      <c r="M33" s="938"/>
      <c r="N33" s="938"/>
      <c r="O33" s="938"/>
      <c r="P33" s="938"/>
      <c r="Q33" s="35"/>
      <c r="R33" s="938"/>
      <c r="S33" s="938"/>
      <c r="T33" s="938"/>
      <c r="U33" s="938"/>
      <c r="V33" s="938"/>
      <c r="W33" s="938"/>
      <c r="X33" s="938"/>
      <c r="Y33" s="938"/>
      <c r="Z33" s="938"/>
      <c r="AA33" s="938"/>
      <c r="AB33" s="938"/>
      <c r="AC33" s="938"/>
      <c r="AD33" s="938"/>
      <c r="AE33" s="938"/>
      <c r="AF33" s="938"/>
    </row>
    <row r="34" spans="2:33" x14ac:dyDescent="0.35">
      <c r="B34" s="35"/>
      <c r="C34" s="940"/>
      <c r="D34" s="938"/>
      <c r="E34" s="938"/>
      <c r="F34" s="938"/>
      <c r="G34" s="938"/>
      <c r="H34" s="938"/>
      <c r="I34" s="938"/>
      <c r="J34" s="938"/>
      <c r="K34" s="938"/>
      <c r="L34" s="938"/>
      <c r="M34" s="938"/>
      <c r="N34" s="938"/>
      <c r="O34" s="938"/>
      <c r="P34" s="938"/>
      <c r="Q34" s="35"/>
      <c r="R34" s="938"/>
      <c r="S34" s="938"/>
      <c r="T34" s="938"/>
      <c r="U34" s="938"/>
      <c r="V34" s="938"/>
      <c r="W34" s="938"/>
      <c r="X34" s="938"/>
      <c r="Y34" s="938"/>
      <c r="Z34" s="938"/>
      <c r="AA34" s="938"/>
      <c r="AB34" s="938"/>
      <c r="AC34" s="938"/>
      <c r="AD34" s="938"/>
      <c r="AE34" s="938"/>
      <c r="AF34" s="938"/>
    </row>
    <row r="35" spans="2:33" x14ac:dyDescent="0.35">
      <c r="B35" s="35"/>
      <c r="C35" s="940"/>
      <c r="D35" s="938"/>
      <c r="E35" s="938"/>
      <c r="F35" s="938"/>
      <c r="G35" s="938"/>
      <c r="H35" s="938"/>
      <c r="I35" s="938"/>
      <c r="J35" s="938"/>
      <c r="K35" s="938"/>
      <c r="L35" s="938"/>
      <c r="M35" s="938"/>
      <c r="N35" s="938"/>
      <c r="O35" s="938"/>
      <c r="P35" s="938"/>
      <c r="Q35" s="35"/>
      <c r="R35" s="938"/>
      <c r="S35" s="938"/>
      <c r="T35" s="938"/>
      <c r="U35" s="938"/>
      <c r="V35" s="938"/>
      <c r="W35" s="938"/>
      <c r="X35" s="938"/>
      <c r="Y35" s="938"/>
      <c r="Z35" s="938"/>
      <c r="AA35" s="938"/>
      <c r="AB35" s="938"/>
      <c r="AC35" s="938"/>
      <c r="AD35" s="938"/>
      <c r="AE35" s="938"/>
      <c r="AF35" s="938"/>
    </row>
    <row r="36" spans="2:33" x14ac:dyDescent="0.35">
      <c r="B36" s="35"/>
      <c r="C36" s="940"/>
      <c r="D36" s="938"/>
      <c r="E36" s="938"/>
      <c r="F36" s="938"/>
      <c r="G36" s="938"/>
      <c r="H36" s="938"/>
      <c r="I36" s="938"/>
      <c r="J36" s="938"/>
      <c r="K36" s="938"/>
      <c r="L36" s="938"/>
      <c r="M36" s="938"/>
      <c r="N36" s="938"/>
      <c r="O36" s="938"/>
      <c r="P36" s="938"/>
      <c r="Q36" s="35"/>
      <c r="R36" s="938"/>
      <c r="S36" s="938"/>
      <c r="T36" s="938"/>
      <c r="U36" s="938"/>
      <c r="V36" s="938"/>
      <c r="W36" s="938"/>
      <c r="X36" s="938"/>
      <c r="Y36" s="938"/>
      <c r="Z36" s="938"/>
      <c r="AA36" s="938"/>
      <c r="AB36" s="938"/>
      <c r="AC36" s="938"/>
      <c r="AD36" s="938"/>
      <c r="AE36" s="938"/>
      <c r="AF36" s="938"/>
    </row>
    <row r="37" spans="2:33" x14ac:dyDescent="0.35">
      <c r="B37" s="35"/>
      <c r="C37" s="940"/>
      <c r="D37" s="938"/>
      <c r="E37" s="938"/>
      <c r="F37" s="938"/>
      <c r="G37" s="938"/>
      <c r="H37" s="938"/>
      <c r="I37" s="938"/>
      <c r="J37" s="938"/>
      <c r="K37" s="938"/>
      <c r="L37" s="938"/>
      <c r="M37" s="938"/>
      <c r="N37" s="938"/>
      <c r="O37" s="938"/>
      <c r="P37" s="938"/>
      <c r="Q37" s="35"/>
      <c r="R37" s="938"/>
      <c r="S37" s="938"/>
      <c r="T37" s="938"/>
      <c r="U37" s="938"/>
      <c r="V37" s="938"/>
      <c r="W37" s="938"/>
      <c r="X37" s="938"/>
      <c r="Y37" s="938"/>
      <c r="Z37" s="938"/>
      <c r="AA37" s="938"/>
      <c r="AB37" s="938"/>
      <c r="AC37" s="938"/>
      <c r="AD37" s="938"/>
      <c r="AE37" s="938"/>
      <c r="AF37" s="938"/>
    </row>
    <row r="38" spans="2:33" x14ac:dyDescent="0.35">
      <c r="B38" s="35"/>
      <c r="C38" s="940"/>
      <c r="D38" s="938"/>
      <c r="E38" s="938"/>
      <c r="F38" s="938"/>
      <c r="G38" s="938"/>
      <c r="H38" s="938"/>
      <c r="I38" s="938"/>
      <c r="J38" s="938"/>
      <c r="K38" s="938"/>
      <c r="L38" s="938"/>
      <c r="M38" s="938"/>
      <c r="N38" s="938"/>
      <c r="O38" s="938"/>
      <c r="P38" s="938"/>
      <c r="Q38" s="35"/>
      <c r="R38" s="938"/>
      <c r="S38" s="938"/>
      <c r="T38" s="938"/>
      <c r="U38" s="938"/>
      <c r="V38" s="938"/>
      <c r="W38" s="938"/>
      <c r="X38" s="938"/>
      <c r="Y38" s="938"/>
      <c r="Z38" s="938"/>
      <c r="AA38" s="938"/>
      <c r="AB38" s="938"/>
      <c r="AC38" s="938"/>
      <c r="AD38" s="938"/>
      <c r="AE38" s="938"/>
      <c r="AF38" s="938"/>
    </row>
    <row r="39" spans="2:33" x14ac:dyDescent="0.35">
      <c r="B39" s="35"/>
      <c r="C39" s="940"/>
      <c r="D39" s="938"/>
      <c r="E39" s="938"/>
      <c r="F39" s="938"/>
      <c r="G39" s="938"/>
      <c r="H39" s="938"/>
      <c r="I39" s="938"/>
      <c r="J39" s="938"/>
      <c r="K39" s="938"/>
      <c r="L39" s="938"/>
      <c r="M39" s="938"/>
      <c r="N39" s="938"/>
      <c r="O39" s="938"/>
      <c r="P39" s="938"/>
      <c r="Q39" s="938"/>
      <c r="R39" s="938"/>
      <c r="S39" s="938"/>
      <c r="T39" s="938"/>
      <c r="U39" s="938"/>
      <c r="V39" s="938"/>
      <c r="W39" s="938"/>
      <c r="X39" s="938"/>
      <c r="Y39" s="938"/>
      <c r="Z39" s="938"/>
      <c r="AA39" s="938"/>
      <c r="AB39" s="938"/>
      <c r="AC39" s="938"/>
      <c r="AD39" s="938"/>
      <c r="AE39" s="938"/>
      <c r="AF39" s="938"/>
    </row>
    <row r="40" spans="2:33" x14ac:dyDescent="0.35">
      <c r="B40" s="35"/>
      <c r="C40" s="940"/>
      <c r="D40" s="938"/>
      <c r="E40" s="938"/>
      <c r="F40" s="938"/>
      <c r="G40" s="938"/>
      <c r="H40" s="938"/>
      <c r="I40" s="938"/>
      <c r="J40" s="938"/>
      <c r="K40" s="938"/>
      <c r="L40" s="938"/>
      <c r="M40" s="938"/>
      <c r="N40" s="938"/>
      <c r="O40" s="938"/>
      <c r="P40" s="938"/>
      <c r="Q40" s="938"/>
      <c r="R40" s="938"/>
      <c r="S40" s="938"/>
      <c r="T40" s="938"/>
      <c r="U40" s="938"/>
      <c r="V40" s="938"/>
      <c r="W40" s="938"/>
      <c r="X40" s="938"/>
      <c r="Y40" s="938"/>
      <c r="Z40" s="938"/>
      <c r="AA40" s="938"/>
      <c r="AB40" s="938"/>
      <c r="AC40" s="938"/>
      <c r="AD40" s="938"/>
      <c r="AE40" s="938"/>
      <c r="AF40" s="938"/>
    </row>
    <row r="41" spans="2:33" x14ac:dyDescent="0.35">
      <c r="B41" s="942" t="s">
        <v>1889</v>
      </c>
      <c r="C41" s="942"/>
      <c r="D41" s="209"/>
      <c r="E41" s="209"/>
      <c r="F41" s="209"/>
      <c r="G41" s="209"/>
      <c r="H41" s="209"/>
      <c r="I41" s="209"/>
      <c r="J41" s="209"/>
      <c r="K41" s="209"/>
      <c r="L41" s="209"/>
      <c r="M41" s="209"/>
      <c r="N41" s="209"/>
      <c r="O41" s="209"/>
      <c r="P41" s="209"/>
      <c r="Q41" s="209"/>
      <c r="R41" s="209"/>
      <c r="S41" s="209"/>
      <c r="T41" s="209"/>
      <c r="U41" s="209"/>
      <c r="V41" s="209"/>
      <c r="W41" s="209"/>
      <c r="X41" s="209"/>
      <c r="Y41" s="209"/>
      <c r="Z41" s="209"/>
      <c r="AA41" s="209"/>
      <c r="AB41" s="209"/>
      <c r="AC41" s="209"/>
    </row>
    <row r="42" spans="2:33" x14ac:dyDescent="0.35">
      <c r="B42" s="1319" t="s">
        <v>1716</v>
      </c>
      <c r="C42" s="1320"/>
      <c r="D42" s="1382" t="s">
        <v>1740</v>
      </c>
      <c r="E42" s="1383"/>
      <c r="F42" s="1383"/>
      <c r="G42" s="1383"/>
      <c r="H42" s="1383"/>
      <c r="I42" s="1383"/>
      <c r="J42" s="1383"/>
      <c r="K42" s="1383"/>
      <c r="L42" s="1383"/>
      <c r="M42" s="1383"/>
      <c r="N42" s="1383"/>
      <c r="O42" s="1383"/>
      <c r="P42" s="1383"/>
      <c r="Q42" s="1383"/>
      <c r="R42" s="1383"/>
      <c r="S42" s="1383"/>
      <c r="T42" s="1383"/>
      <c r="U42" s="1383"/>
      <c r="V42" s="1383"/>
      <c r="W42" s="1364" t="s">
        <v>1791</v>
      </c>
      <c r="X42" s="1364"/>
      <c r="Y42" s="1364"/>
      <c r="Z42" s="1364"/>
      <c r="AA42" s="1364"/>
      <c r="AB42" s="1364"/>
      <c r="AC42" s="1364"/>
      <c r="AD42" s="1364"/>
      <c r="AE42" s="1364"/>
      <c r="AF42" s="1364"/>
      <c r="AG42" s="1364"/>
    </row>
    <row r="43" spans="2:33" x14ac:dyDescent="0.35">
      <c r="B43" s="1321"/>
      <c r="C43" s="1322"/>
      <c r="D43" s="149">
        <v>2018</v>
      </c>
      <c r="E43" s="1316">
        <v>2019</v>
      </c>
      <c r="F43" s="1317"/>
      <c r="G43" s="1317"/>
      <c r="H43" s="1318"/>
      <c r="I43" s="1316">
        <v>2020</v>
      </c>
      <c r="J43" s="1317"/>
      <c r="K43" s="1317"/>
      <c r="L43" s="1317"/>
      <c r="M43" s="1316">
        <v>2021</v>
      </c>
      <c r="N43" s="1317"/>
      <c r="O43" s="1317"/>
      <c r="P43" s="1317"/>
      <c r="Q43" s="1310">
        <v>2022</v>
      </c>
      <c r="R43" s="1311"/>
      <c r="S43" s="1311"/>
      <c r="T43" s="1329"/>
      <c r="U43" s="201"/>
      <c r="V43" s="535">
        <v>2023</v>
      </c>
      <c r="W43" s="258"/>
      <c r="X43" s="258"/>
      <c r="Y43" s="1325">
        <v>2024</v>
      </c>
      <c r="Z43" s="1326"/>
      <c r="AA43" s="1326"/>
      <c r="AB43" s="1327"/>
      <c r="AC43" s="1325">
        <v>2025</v>
      </c>
      <c r="AD43" s="1326"/>
      <c r="AE43" s="1326"/>
      <c r="AF43" s="1326"/>
      <c r="AG43" s="213">
        <v>2026</v>
      </c>
    </row>
    <row r="44" spans="2:33" x14ac:dyDescent="0.35">
      <c r="B44" s="1323"/>
      <c r="C44" s="1324"/>
      <c r="D44" s="149" t="s">
        <v>282</v>
      </c>
      <c r="E44" s="149" t="s">
        <v>283</v>
      </c>
      <c r="F44" s="140" t="s">
        <v>284</v>
      </c>
      <c r="G44" s="140" t="s">
        <v>238</v>
      </c>
      <c r="H44" s="146" t="s">
        <v>282</v>
      </c>
      <c r="I44" s="140" t="s">
        <v>283</v>
      </c>
      <c r="J44" s="140" t="s">
        <v>284</v>
      </c>
      <c r="K44" s="140" t="s">
        <v>238</v>
      </c>
      <c r="L44" s="140" t="s">
        <v>282</v>
      </c>
      <c r="M44" s="149" t="s">
        <v>283</v>
      </c>
      <c r="N44" s="140" t="s">
        <v>284</v>
      </c>
      <c r="O44" s="140" t="s">
        <v>238</v>
      </c>
      <c r="P44" s="140" t="s">
        <v>282</v>
      </c>
      <c r="Q44" s="149" t="s">
        <v>283</v>
      </c>
      <c r="R44" s="140" t="s">
        <v>284</v>
      </c>
      <c r="S44" s="140" t="s">
        <v>238</v>
      </c>
      <c r="T44" s="146" t="s">
        <v>282</v>
      </c>
      <c r="U44" s="149" t="s">
        <v>283</v>
      </c>
      <c r="V44" s="140" t="s">
        <v>284</v>
      </c>
      <c r="W44" s="280" t="s">
        <v>238</v>
      </c>
      <c r="X44" s="280" t="s">
        <v>282</v>
      </c>
      <c r="Y44" s="400" t="s">
        <v>283</v>
      </c>
      <c r="Z44" s="289" t="s">
        <v>284</v>
      </c>
      <c r="AA44" s="280" t="s">
        <v>238</v>
      </c>
      <c r="AB44" s="399" t="s">
        <v>282</v>
      </c>
      <c r="AC44" s="235" t="s">
        <v>283</v>
      </c>
      <c r="AD44" s="280" t="s">
        <v>284</v>
      </c>
      <c r="AE44" s="280" t="s">
        <v>238</v>
      </c>
      <c r="AF44" s="280" t="s">
        <v>282</v>
      </c>
      <c r="AG44" s="238" t="s">
        <v>283</v>
      </c>
    </row>
    <row r="45" spans="2:33" x14ac:dyDescent="0.35">
      <c r="B45" s="951" t="s">
        <v>1717</v>
      </c>
      <c r="C45" s="968" t="s">
        <v>1705</v>
      </c>
      <c r="D45" s="962">
        <f>('Haver Pivoted'!GO76+1)^4-1</f>
        <v>1.5156509117148609E-2</v>
      </c>
      <c r="E45" s="945">
        <f>('Haver Pivoted'!GP76+1)^4-1</f>
        <v>8.3593342288621475E-3</v>
      </c>
      <c r="F45" s="945">
        <f>('Haver Pivoted'!GQ76+1)^4-1</f>
        <v>2.4734353401225873E-2</v>
      </c>
      <c r="G45" s="945">
        <f>('Haver Pivoted'!GR76+1)^4-1</f>
        <v>1.0490970472330163E-2</v>
      </c>
      <c r="H45" s="945">
        <f>('Haver Pivoted'!GS76+1)^4-1</f>
        <v>1.4569048707785859E-2</v>
      </c>
      <c r="I45" s="945">
        <f>('Haver Pivoted'!GT76+1)^4-1</f>
        <v>1.4662498774455912E-2</v>
      </c>
      <c r="J45" s="945">
        <f>('Haver Pivoted'!GU76+1)^4-1</f>
        <v>-1.794085945788193E-2</v>
      </c>
      <c r="K45" s="945">
        <f>('Haver Pivoted'!GV76+1)^4-1</f>
        <v>3.3775526155126689E-2</v>
      </c>
      <c r="L45" s="945">
        <f>('Haver Pivoted'!GW76+1)^4-1</f>
        <v>1.6442937470855457E-2</v>
      </c>
      <c r="M45" s="945">
        <f>('Haver Pivoted'!GX76+1)^4-1</f>
        <v>4.5025943450949013E-2</v>
      </c>
      <c r="N45" s="945">
        <f>('Haver Pivoted'!GY76+1)^4-1</f>
        <v>6.444180274366329E-2</v>
      </c>
      <c r="O45" s="945">
        <f>('Haver Pivoted'!GZ76+1)^4-1</f>
        <v>5.5998846943190017E-2</v>
      </c>
      <c r="P45" s="945">
        <f>('Haver Pivoted'!HA76+1)^4-1</f>
        <v>6.1859650545573519E-2</v>
      </c>
      <c r="Q45" s="945">
        <f>('Haver Pivoted'!HB76+1)^4-1</f>
        <v>7.4784916271317448E-2</v>
      </c>
      <c r="R45" s="945">
        <f>('Haver Pivoted'!HC76+1)^4-1</f>
        <v>7.2922192171477107E-2</v>
      </c>
      <c r="S45" s="963">
        <f>('Haver Pivoted'!HD76+1)^4-1</f>
        <v>4.3177876601944165E-2</v>
      </c>
      <c r="T45" s="944">
        <f>('Haver Pivoted'!HE76+1)^4-1</f>
        <v>3.7424183382891885E-2</v>
      </c>
      <c r="U45" s="963">
        <f>('Haver Pivoted'!HF76+1)^4-1</f>
        <v>4.1098370643803284E-2</v>
      </c>
      <c r="V45" s="963">
        <f>('Haver Pivoted'!HG76+1)^4-1</f>
        <v>2.5185688988090593E-2</v>
      </c>
      <c r="W45" s="971">
        <f t="shared" ref="W45:AF45" si="15">(W61/V61)^4-1</f>
        <v>3.0035379555409136E-2</v>
      </c>
      <c r="X45" s="971">
        <f t="shared" si="15"/>
        <v>3.0656416393558983E-2</v>
      </c>
      <c r="Y45" s="971">
        <f t="shared" si="15"/>
        <v>2.8091398638267373E-2</v>
      </c>
      <c r="Z45" s="971">
        <f t="shared" si="15"/>
        <v>2.4757720383034698E-2</v>
      </c>
      <c r="AA45" s="971">
        <f t="shared" si="15"/>
        <v>2.5292162721610056E-2</v>
      </c>
      <c r="AB45" s="971">
        <f t="shared" si="15"/>
        <v>2.4263189998973589E-2</v>
      </c>
      <c r="AC45" s="945">
        <f t="shared" si="15"/>
        <v>2.3060157044477725E-2</v>
      </c>
      <c r="AD45" s="945">
        <f t="shared" si="15"/>
        <v>2.2597540056138454E-2</v>
      </c>
      <c r="AE45" s="945">
        <f t="shared" si="15"/>
        <v>2.2203025255892905E-2</v>
      </c>
      <c r="AF45" s="945">
        <f t="shared" si="15"/>
        <v>2.2106187865342131E-2</v>
      </c>
    </row>
    <row r="46" spans="2:33" x14ac:dyDescent="0.35">
      <c r="B46" s="47" t="s">
        <v>1718</v>
      </c>
      <c r="C46" s="940" t="s">
        <v>1706</v>
      </c>
      <c r="D46" s="972">
        <f>('Haver Pivoted'!GO77+1)^4-1</f>
        <v>2.9652502701153827E-2</v>
      </c>
      <c r="E46" s="938">
        <f>('Haver Pivoted'!GP77+1)^4-1</f>
        <v>4.3357912415273203E-2</v>
      </c>
      <c r="F46" s="938">
        <f>('Haver Pivoted'!GQ77+1)^4-1</f>
        <v>-2.634393397263235E-2</v>
      </c>
      <c r="G46" s="938">
        <f>('Haver Pivoted'!GR77+1)^4-1</f>
        <v>1.0018821110834297E-2</v>
      </c>
      <c r="H46" s="938">
        <f>('Haver Pivoted'!GS77+1)^4-1</f>
        <v>1.6245763277308534E-2</v>
      </c>
      <c r="I46" s="938">
        <f>('Haver Pivoted'!GT77+1)^4-1</f>
        <v>1.3591255249431944E-2</v>
      </c>
      <c r="J46" s="938">
        <f>('Haver Pivoted'!GU77+1)^4-1</f>
        <v>3.3104511883148557E-3</v>
      </c>
      <c r="K46" s="938">
        <f>('Haver Pivoted'!GV77+1)^4-1</f>
        <v>2.5959727144998501E-2</v>
      </c>
      <c r="L46" s="938">
        <f>('Haver Pivoted'!GW77+1)^4-1</f>
        <v>2.4447407360365325E-2</v>
      </c>
      <c r="M46" s="938">
        <f>('Haver Pivoted'!GX77+1)^4-1</f>
        <v>4.0827649049088865E-2</v>
      </c>
      <c r="N46" s="938">
        <f>('Haver Pivoted'!GY77+1)^4-1</f>
        <v>4.1247362410053112E-2</v>
      </c>
      <c r="O46" s="938">
        <f>('Haver Pivoted'!GZ77+1)^4-1</f>
        <v>4.4017858095279694E-2</v>
      </c>
      <c r="P46" s="938">
        <f>('Haver Pivoted'!HA77+1)^4-1</f>
        <v>4.3432299825096221E-2</v>
      </c>
      <c r="Q46" s="938">
        <f>('Haver Pivoted'!HB77+1)^4-1</f>
        <v>5.6798579453040565E-2</v>
      </c>
      <c r="R46" s="938">
        <f>('Haver Pivoted'!HC77+1)^4-1</f>
        <v>5.9959109255099508E-2</v>
      </c>
      <c r="S46" s="941">
        <f>('Haver Pivoted'!HD77+1)^4-1</f>
        <v>4.8205722331254197E-2</v>
      </c>
      <c r="T46" s="941">
        <f>('Haver Pivoted'!HE77+1)^4-1</f>
        <v>3.1513836354732261E-2</v>
      </c>
      <c r="U46" s="941">
        <f>('Haver Pivoted'!HF77+1)^4-1</f>
        <v>3.1865052838830898E-2</v>
      </c>
      <c r="V46" s="941">
        <f>('Haver Pivoted'!HG77+1)^4-1</f>
        <v>2.3566974437019272E-2</v>
      </c>
      <c r="W46" s="938">
        <f t="shared" ref="W46:AF46" si="16">(W62/V62)^4-1</f>
        <v>3.3783282602523279E-2</v>
      </c>
      <c r="X46" s="938">
        <f t="shared" si="16"/>
        <v>2.8963096514068587E-2</v>
      </c>
      <c r="Y46" s="938">
        <f t="shared" si="16"/>
        <v>2.9177415019928876E-2</v>
      </c>
      <c r="Z46" s="938">
        <f t="shared" si="16"/>
        <v>2.6899993160794278E-2</v>
      </c>
      <c r="AA46" s="938">
        <f t="shared" si="16"/>
        <v>2.7881138243015302E-2</v>
      </c>
      <c r="AB46" s="938">
        <f t="shared" si="16"/>
        <v>2.6848543864137264E-2</v>
      </c>
      <c r="AC46" s="938">
        <f t="shared" si="16"/>
        <v>2.5377349311315189E-2</v>
      </c>
      <c r="AD46" s="938">
        <f t="shared" si="16"/>
        <v>2.471868460464699E-2</v>
      </c>
      <c r="AE46" s="938">
        <f t="shared" si="16"/>
        <v>2.4677734219933578E-2</v>
      </c>
      <c r="AF46" s="938">
        <f t="shared" si="16"/>
        <v>2.4460901868401885E-2</v>
      </c>
    </row>
    <row r="47" spans="2:33" x14ac:dyDescent="0.35">
      <c r="B47" s="47" t="s">
        <v>1719</v>
      </c>
      <c r="C47" s="940" t="s">
        <v>1707</v>
      </c>
      <c r="D47" s="972">
        <f>('Haver Pivoted'!GO78+1)^4-1</f>
        <v>2.0739486303195998E-2</v>
      </c>
      <c r="E47" s="938">
        <f>('Haver Pivoted'!GP78+1)^4-1</f>
        <v>-1.0909955372547464E-2</v>
      </c>
      <c r="F47" s="938">
        <f>('Haver Pivoted'!GQ78+1)^4-1</f>
        <v>2.9915559028399707E-2</v>
      </c>
      <c r="G47" s="938">
        <f>('Haver Pivoted'!GR78+1)^4-1</f>
        <v>1.0527559706478895E-2</v>
      </c>
      <c r="H47" s="938">
        <f>('Haver Pivoted'!GS78+1)^4-1</f>
        <v>1.4919704890896002E-2</v>
      </c>
      <c r="I47" s="938">
        <f>('Haver Pivoted'!GT78+1)^4-1</f>
        <v>4.3158369252632278E-2</v>
      </c>
      <c r="J47" s="938">
        <f>('Haver Pivoted'!GU78+1)^4-1</f>
        <v>-2.2930962354547058E-3</v>
      </c>
      <c r="K47" s="938">
        <f>('Haver Pivoted'!GV78+1)^4-1</f>
        <v>3.587837095953339E-2</v>
      </c>
      <c r="L47" s="938">
        <f>('Haver Pivoted'!GW78+1)^4-1</f>
        <v>4.5534894387470937E-2</v>
      </c>
      <c r="M47" s="938">
        <f>('Haver Pivoted'!GX78+1)^4-1</f>
        <v>8.7714323909891423E-2</v>
      </c>
      <c r="N47" s="938">
        <f>('Haver Pivoted'!GY78+1)^4-1</f>
        <v>8.4888593948209357E-2</v>
      </c>
      <c r="O47" s="938">
        <f>('Haver Pivoted'!GZ78+1)^4-1</f>
        <v>6.9703587118332688E-2</v>
      </c>
      <c r="P47" s="938">
        <f>('Haver Pivoted'!HA78+1)^4-1</f>
        <v>9.0463399615994478E-2</v>
      </c>
      <c r="Q47" s="938">
        <f>('Haver Pivoted'!HB78+1)^4-1</f>
        <v>0.10558682780244433</v>
      </c>
      <c r="R47" s="938">
        <f>('Haver Pivoted'!HC78+1)^4-1</f>
        <v>0.14979890704557142</v>
      </c>
      <c r="S47" s="941">
        <f>('Haver Pivoted'!HD78+1)^4-1</f>
        <v>2.9055945911607095E-2</v>
      </c>
      <c r="T47" s="941">
        <f>('Haver Pivoted'!HE78+1)^4-1</f>
        <v>3.8778201417324798E-2</v>
      </c>
      <c r="U47" s="941">
        <f>('Haver Pivoted'!HF78+1)^4-1</f>
        <v>7.0860931530585258E-3</v>
      </c>
      <c r="V47" s="941">
        <f>('Haver Pivoted'!HG78+1)^4-1</f>
        <v>-1.6388365013716322E-2</v>
      </c>
      <c r="W47" s="938">
        <f t="shared" ref="W47:AF47" si="17">(W63/V63)^4-1</f>
        <v>2.5632416597382024E-2</v>
      </c>
      <c r="X47" s="938">
        <f t="shared" si="17"/>
        <v>3.0650594768110162E-2</v>
      </c>
      <c r="Y47" s="938">
        <f t="shared" si="17"/>
        <v>3.3343974071288418E-2</v>
      </c>
      <c r="Z47" s="938">
        <f t="shared" si="17"/>
        <v>3.0704031449066083E-2</v>
      </c>
      <c r="AA47" s="938">
        <f t="shared" si="17"/>
        <v>2.9455855111519602E-2</v>
      </c>
      <c r="AB47" s="938">
        <f t="shared" si="17"/>
        <v>2.8801828876449553E-2</v>
      </c>
      <c r="AC47" s="938">
        <f t="shared" si="17"/>
        <v>2.9396483903845194E-2</v>
      </c>
      <c r="AD47" s="938">
        <f t="shared" si="17"/>
        <v>2.8870369964724807E-2</v>
      </c>
      <c r="AE47" s="938">
        <f t="shared" si="17"/>
        <v>2.8486629635257943E-2</v>
      </c>
      <c r="AF47" s="938">
        <f t="shared" si="17"/>
        <v>2.8185592071407362E-2</v>
      </c>
    </row>
    <row r="48" spans="2:33" x14ac:dyDescent="0.35">
      <c r="B48" s="47" t="s">
        <v>1720</v>
      </c>
      <c r="C48" s="940" t="s">
        <v>1708</v>
      </c>
      <c r="D48" s="972">
        <f>('Haver Pivoted'!GO79+1)^4-1</f>
        <v>1.6036274889288604E-2</v>
      </c>
      <c r="E48" s="938">
        <f>('Haver Pivoted'!GP79+1)^4-1</f>
        <v>-1.6750426853228473E-2</v>
      </c>
      <c r="F48" s="938">
        <f>('Haver Pivoted'!GQ79+1)^4-1</f>
        <v>2.5813818283004775E-2</v>
      </c>
      <c r="G48" s="938">
        <f>('Haver Pivoted'!GR79+1)^4-1</f>
        <v>8.6124156242581851E-3</v>
      </c>
      <c r="H48" s="938">
        <f>('Haver Pivoted'!GS79+1)^4-1</f>
        <v>1.6996215944869331E-2</v>
      </c>
      <c r="I48" s="938">
        <f>('Haver Pivoted'!GT79+1)^4-1</f>
        <v>5.0660572456327158E-2</v>
      </c>
      <c r="J48" s="938">
        <f>('Haver Pivoted'!GU79+1)^4-1</f>
        <v>-1.0613393340251909E-3</v>
      </c>
      <c r="K48" s="938">
        <f>('Haver Pivoted'!GV79+1)^4-1</f>
        <v>3.4596703938156059E-2</v>
      </c>
      <c r="L48" s="938">
        <f>('Haver Pivoted'!GW79+1)^4-1</f>
        <v>5.1547958936444926E-2</v>
      </c>
      <c r="M48" s="938">
        <f>('Haver Pivoted'!GX79+1)^4-1</f>
        <v>9.2834286401326738E-2</v>
      </c>
      <c r="N48" s="938">
        <f>('Haver Pivoted'!GY79+1)^4-1</f>
        <v>8.057551462066237E-2</v>
      </c>
      <c r="O48" s="938">
        <f>('Haver Pivoted'!GZ79+1)^4-1</f>
        <v>6.4680375979367932E-2</v>
      </c>
      <c r="P48" s="938">
        <f>('Haver Pivoted'!HA79+1)^4-1</f>
        <v>8.4136934840179034E-2</v>
      </c>
      <c r="Q48" s="938">
        <f>('Haver Pivoted'!HB79+1)^4-1</f>
        <v>0.10120576467409093</v>
      </c>
      <c r="R48" s="938">
        <f>('Haver Pivoted'!HC79+1)^4-1</f>
        <v>0.15221841372862355</v>
      </c>
      <c r="S48" s="941">
        <f>('Haver Pivoted'!HD79+1)^4-1</f>
        <v>1.6422651906601304E-2</v>
      </c>
      <c r="T48" s="941">
        <f>('Haver Pivoted'!HE79+1)^4-1</f>
        <v>3.6078451145617141E-2</v>
      </c>
      <c r="U48" s="941">
        <f>('Haver Pivoted'!HF79+1)^4-1</f>
        <v>-1.1833848566173977E-3</v>
      </c>
      <c r="V48" s="941">
        <f>('Haver Pivoted'!HG79+1)^4-1</f>
        <v>-2.1175324698722187E-2</v>
      </c>
      <c r="W48" s="938">
        <f t="shared" ref="W48:AF49" si="18">W47</f>
        <v>2.5632416597382024E-2</v>
      </c>
      <c r="X48" s="938">
        <f t="shared" si="18"/>
        <v>3.0650594768110162E-2</v>
      </c>
      <c r="Y48" s="938">
        <f t="shared" si="18"/>
        <v>3.3343974071288418E-2</v>
      </c>
      <c r="Z48" s="938">
        <f t="shared" si="18"/>
        <v>3.0704031449066083E-2</v>
      </c>
      <c r="AA48" s="938">
        <f t="shared" si="18"/>
        <v>2.9455855111519602E-2</v>
      </c>
      <c r="AB48" s="938">
        <f t="shared" si="18"/>
        <v>2.8801828876449553E-2</v>
      </c>
      <c r="AC48" s="938">
        <f t="shared" si="18"/>
        <v>2.9396483903845194E-2</v>
      </c>
      <c r="AD48" s="938">
        <f t="shared" si="18"/>
        <v>2.8870369964724807E-2</v>
      </c>
      <c r="AE48" s="938">
        <f t="shared" si="18"/>
        <v>2.8486629635257943E-2</v>
      </c>
      <c r="AF48" s="938">
        <f t="shared" si="18"/>
        <v>2.8185592071407362E-2</v>
      </c>
    </row>
    <row r="49" spans="2:48" x14ac:dyDescent="0.35">
      <c r="B49" s="155" t="s">
        <v>1721</v>
      </c>
      <c r="C49" s="969" t="s">
        <v>1709</v>
      </c>
      <c r="D49" s="974">
        <f>('Haver Pivoted'!GO80+1)^4-1</f>
        <v>4.1912016313215839E-2</v>
      </c>
      <c r="E49" s="975">
        <f>('Haver Pivoted'!GP80+1)^4-1</f>
        <v>1.5721372171975556E-2</v>
      </c>
      <c r="F49" s="975">
        <f>('Haver Pivoted'!GQ80+1)^4-1</f>
        <v>4.8037769815769016E-2</v>
      </c>
      <c r="G49" s="975">
        <f>('Haver Pivoted'!GR80+1)^4-1</f>
        <v>1.9083730667159404E-2</v>
      </c>
      <c r="H49" s="975">
        <f>('Haver Pivoted'!GS80+1)^4-1</f>
        <v>5.8979339636944239E-3</v>
      </c>
      <c r="I49" s="975">
        <f>('Haver Pivoted'!GT80+1)^4-1</f>
        <v>1.0418465412080913E-2</v>
      </c>
      <c r="J49" s="975">
        <f>('Haver Pivoted'!GU80+1)^4-1</f>
        <v>-7.6555980249765065E-3</v>
      </c>
      <c r="K49" s="975">
        <f>('Haver Pivoted'!GV80+1)^4-1</f>
        <v>4.135501545294451E-2</v>
      </c>
      <c r="L49" s="975">
        <f>('Haver Pivoted'!GW80+1)^4-1</f>
        <v>1.8415186976738607E-2</v>
      </c>
      <c r="M49" s="975">
        <f>('Haver Pivoted'!GX80+1)^4-1</f>
        <v>6.4160755006020143E-2</v>
      </c>
      <c r="N49" s="975">
        <f>('Haver Pivoted'!GY80+1)^4-1</f>
        <v>0.10458990215743946</v>
      </c>
      <c r="O49" s="975">
        <f>('Haver Pivoted'!GZ80+1)^4-1</f>
        <v>9.3631239224950313E-2</v>
      </c>
      <c r="P49" s="975">
        <f>('Haver Pivoted'!HA80+1)^4-1</f>
        <v>0.12124821634027616</v>
      </c>
      <c r="Q49" s="975">
        <f>('Haver Pivoted'!HB80+1)^4-1</f>
        <v>0.12687792670398412</v>
      </c>
      <c r="R49" s="975">
        <f>('Haver Pivoted'!HC80+1)^4-1</f>
        <v>0.13796693794697101</v>
      </c>
      <c r="S49" s="961">
        <f>('Haver Pivoted'!HD80+1)^4-1</f>
        <v>9.3268944702830758E-2</v>
      </c>
      <c r="T49" s="961">
        <f>('Haver Pivoted'!HE80+1)^4-1</f>
        <v>5.1634147747456671E-2</v>
      </c>
      <c r="U49" s="961">
        <f>('Haver Pivoted'!HF80+1)^4-1</f>
        <v>4.647411897178233E-2</v>
      </c>
      <c r="V49" s="961">
        <f>('Haver Pivoted'!HG80+1)^4-1</f>
        <v>5.4981543281513723E-3</v>
      </c>
      <c r="W49" s="975">
        <f t="shared" si="18"/>
        <v>2.5632416597382024E-2</v>
      </c>
      <c r="X49" s="975">
        <f t="shared" si="18"/>
        <v>3.0650594768110162E-2</v>
      </c>
      <c r="Y49" s="975">
        <f t="shared" si="18"/>
        <v>3.3343974071288418E-2</v>
      </c>
      <c r="Z49" s="975">
        <f t="shared" si="18"/>
        <v>3.0704031449066083E-2</v>
      </c>
      <c r="AA49" s="975">
        <f t="shared" si="18"/>
        <v>2.9455855111519602E-2</v>
      </c>
      <c r="AB49" s="975">
        <f t="shared" si="18"/>
        <v>2.8801828876449553E-2</v>
      </c>
      <c r="AC49" s="975">
        <f t="shared" si="18"/>
        <v>2.9396483903845194E-2</v>
      </c>
      <c r="AD49" s="975">
        <f t="shared" si="18"/>
        <v>2.8870369964724807E-2</v>
      </c>
      <c r="AE49" s="975">
        <f t="shared" si="18"/>
        <v>2.8486629635257943E-2</v>
      </c>
      <c r="AF49" s="975">
        <f t="shared" si="18"/>
        <v>2.8185592071407362E-2</v>
      </c>
    </row>
    <row r="50" spans="2:48" x14ac:dyDescent="0.35">
      <c r="B50" s="35"/>
      <c r="C50" s="940"/>
      <c r="D50" s="938"/>
      <c r="E50" s="938"/>
      <c r="F50" s="938"/>
      <c r="G50" s="938"/>
      <c r="H50" s="938"/>
      <c r="I50" s="938"/>
      <c r="J50" s="938"/>
      <c r="K50" s="938"/>
      <c r="L50" s="938"/>
      <c r="M50" s="938"/>
      <c r="N50" s="938"/>
      <c r="O50" s="938"/>
      <c r="P50" s="938"/>
      <c r="Q50" s="938"/>
      <c r="R50" s="938"/>
      <c r="S50" s="938"/>
      <c r="T50" s="938"/>
      <c r="U50" s="938"/>
      <c r="V50" s="938"/>
      <c r="W50" s="938"/>
      <c r="X50" s="938"/>
      <c r="Y50" s="938"/>
      <c r="Z50" s="938"/>
      <c r="AA50" s="938"/>
      <c r="AB50" s="938"/>
      <c r="AC50" s="938"/>
      <c r="AD50" s="938"/>
      <c r="AE50" s="938"/>
      <c r="AF50" s="938"/>
    </row>
    <row r="51" spans="2:48" ht="14.5" customHeight="1" x14ac:dyDescent="0.35">
      <c r="B51" s="1412" t="s">
        <v>1741</v>
      </c>
      <c r="C51" s="1412"/>
      <c r="D51" s="1412"/>
      <c r="E51" s="1412"/>
      <c r="F51" s="209"/>
      <c r="G51" s="209"/>
      <c r="H51" s="209"/>
      <c r="I51" s="209"/>
      <c r="J51" s="209"/>
      <c r="K51" s="209"/>
      <c r="L51" s="209"/>
      <c r="M51" s="209"/>
      <c r="N51" s="209"/>
      <c r="O51" s="209"/>
      <c r="P51" s="209"/>
      <c r="Q51" s="209"/>
      <c r="R51" s="209"/>
      <c r="S51" s="209"/>
      <c r="T51" s="209"/>
      <c r="U51" s="209"/>
      <c r="V51" s="209"/>
      <c r="W51" s="209"/>
      <c r="X51" s="209"/>
      <c r="Y51" s="209"/>
      <c r="Z51" s="209"/>
      <c r="AA51" s="209"/>
      <c r="AB51" s="209"/>
      <c r="AC51" s="209"/>
    </row>
    <row r="52" spans="2:48" ht="30" customHeight="1" x14ac:dyDescent="0.35">
      <c r="B52" s="987" t="s">
        <v>1923</v>
      </c>
      <c r="C52" s="959"/>
      <c r="D52" s="142">
        <v>2018</v>
      </c>
      <c r="E52" s="1310">
        <v>2019</v>
      </c>
      <c r="F52" s="1311"/>
      <c r="G52" s="1311"/>
      <c r="H52" s="1329"/>
      <c r="I52" s="1310">
        <v>2020</v>
      </c>
      <c r="J52" s="1311"/>
      <c r="K52" s="1311"/>
      <c r="L52" s="1311"/>
      <c r="M52" s="1310">
        <v>2021</v>
      </c>
      <c r="N52" s="1311"/>
      <c r="O52" s="1311"/>
      <c r="P52" s="1311"/>
      <c r="Q52" s="1344">
        <v>2022</v>
      </c>
      <c r="R52" s="1345"/>
      <c r="S52" s="256"/>
      <c r="T52" s="261"/>
      <c r="U52" s="201"/>
      <c r="V52" s="535">
        <v>2023</v>
      </c>
      <c r="W52" s="258"/>
      <c r="X52" s="258"/>
      <c r="Y52" s="1325">
        <v>2024</v>
      </c>
      <c r="Z52" s="1326"/>
      <c r="AA52" s="1326"/>
      <c r="AB52" s="1327"/>
      <c r="AC52" s="1325">
        <v>2025</v>
      </c>
      <c r="AD52" s="1326"/>
      <c r="AE52" s="1326"/>
      <c r="AF52" s="1327"/>
      <c r="AG52" s="213">
        <v>2026</v>
      </c>
    </row>
    <row r="53" spans="2:48" x14ac:dyDescent="0.35">
      <c r="B53" s="977"/>
      <c r="C53" s="202"/>
      <c r="D53" s="149" t="s">
        <v>282</v>
      </c>
      <c r="E53" s="149" t="s">
        <v>283</v>
      </c>
      <c r="F53" s="140" t="s">
        <v>284</v>
      </c>
      <c r="G53" s="140" t="s">
        <v>238</v>
      </c>
      <c r="H53" s="146" t="s">
        <v>282</v>
      </c>
      <c r="I53" s="140" t="s">
        <v>283</v>
      </c>
      <c r="J53" s="140" t="s">
        <v>284</v>
      </c>
      <c r="K53" s="140" t="s">
        <v>238</v>
      </c>
      <c r="L53" s="140" t="s">
        <v>282</v>
      </c>
      <c r="M53" s="149" t="s">
        <v>283</v>
      </c>
      <c r="N53" s="140" t="s">
        <v>284</v>
      </c>
      <c r="O53" s="140" t="s">
        <v>238</v>
      </c>
      <c r="P53" s="140" t="s">
        <v>282</v>
      </c>
      <c r="Q53" s="149" t="s">
        <v>283</v>
      </c>
      <c r="R53" s="140" t="s">
        <v>284</v>
      </c>
      <c r="S53" s="140" t="s">
        <v>238</v>
      </c>
      <c r="T53" s="146" t="s">
        <v>282</v>
      </c>
      <c r="U53" s="149" t="s">
        <v>283</v>
      </c>
      <c r="V53" s="140" t="s">
        <v>284</v>
      </c>
      <c r="W53" s="280" t="s">
        <v>238</v>
      </c>
      <c r="X53" s="280" t="s">
        <v>282</v>
      </c>
      <c r="Y53" s="400" t="s">
        <v>283</v>
      </c>
      <c r="Z53" s="289" t="s">
        <v>284</v>
      </c>
      <c r="AA53" s="280" t="s">
        <v>238</v>
      </c>
      <c r="AB53" s="399" t="s">
        <v>282</v>
      </c>
      <c r="AC53" s="400" t="s">
        <v>283</v>
      </c>
      <c r="AD53" s="280" t="s">
        <v>284</v>
      </c>
      <c r="AE53" s="280" t="s">
        <v>238</v>
      </c>
      <c r="AF53" s="399" t="s">
        <v>282</v>
      </c>
      <c r="AG53" s="238" t="s">
        <v>283</v>
      </c>
    </row>
    <row r="54" spans="2:48" ht="28.5" customHeight="1" x14ac:dyDescent="0.35">
      <c r="B54" s="448" t="s">
        <v>1924</v>
      </c>
      <c r="C54" s="35" t="s">
        <v>1723</v>
      </c>
      <c r="D54" s="188"/>
      <c r="E54" s="188"/>
      <c r="F54" s="188"/>
      <c r="G54" s="188"/>
      <c r="H54" s="188"/>
      <c r="I54" s="188"/>
      <c r="J54" s="188"/>
      <c r="K54" s="188"/>
      <c r="L54" s="188"/>
      <c r="M54" s="188"/>
      <c r="N54" s="188"/>
      <c r="O54" s="188"/>
      <c r="P54" s="188"/>
      <c r="Q54" s="188"/>
      <c r="R54" s="188"/>
      <c r="S54" s="401">
        <v>17542.7</v>
      </c>
      <c r="T54" s="401">
        <v>17749.900000000001</v>
      </c>
      <c r="U54" s="401">
        <v>18098.7</v>
      </c>
      <c r="V54" s="401">
        <v>18288.3</v>
      </c>
      <c r="W54" s="401">
        <v>18450.099999999999</v>
      </c>
      <c r="X54" s="401">
        <v>18584.099999999999</v>
      </c>
      <c r="Y54" s="401">
        <v>18732.099999999999</v>
      </c>
      <c r="Z54" s="401">
        <v>18877.7</v>
      </c>
      <c r="AA54" s="401">
        <v>19058.3</v>
      </c>
      <c r="AB54" s="401">
        <v>19265.5</v>
      </c>
      <c r="AC54" s="401">
        <v>19476.900000000001</v>
      </c>
      <c r="AD54" s="401">
        <v>19680.5</v>
      </c>
      <c r="AE54" s="401">
        <v>19889.099999999999</v>
      </c>
      <c r="AF54" s="401">
        <v>20092.7</v>
      </c>
    </row>
    <row r="55" spans="2:48" ht="26.25" customHeight="1" x14ac:dyDescent="0.35">
      <c r="B55" s="978" t="s">
        <v>1806</v>
      </c>
      <c r="C55" s="35" t="s">
        <v>1724</v>
      </c>
      <c r="D55" s="47"/>
      <c r="E55" s="35"/>
      <c r="F55" s="35"/>
      <c r="G55" s="35"/>
      <c r="H55" s="35"/>
      <c r="I55" s="35"/>
      <c r="J55" s="35"/>
      <c r="K55" s="35"/>
      <c r="L55" s="35"/>
      <c r="M55" s="35"/>
      <c r="N55" s="35"/>
      <c r="O55" s="35"/>
      <c r="P55" s="35"/>
      <c r="Q55" s="35"/>
      <c r="R55" s="35"/>
      <c r="S55" s="401">
        <v>1657.1</v>
      </c>
      <c r="T55" s="401">
        <v>1693.8</v>
      </c>
      <c r="U55" s="401">
        <v>1739.9</v>
      </c>
      <c r="V55" s="401">
        <v>1748.3</v>
      </c>
      <c r="W55" s="401">
        <v>1760.1</v>
      </c>
      <c r="X55" s="401">
        <v>1773.6</v>
      </c>
      <c r="Y55" s="401">
        <v>1785.5</v>
      </c>
      <c r="Z55" s="401">
        <v>1803.2</v>
      </c>
      <c r="AA55" s="401">
        <v>1817.2</v>
      </c>
      <c r="AB55" s="401">
        <v>1829.8</v>
      </c>
      <c r="AC55" s="401">
        <v>1841.3</v>
      </c>
      <c r="AD55" s="401">
        <v>1853.9</v>
      </c>
      <c r="AE55" s="401">
        <v>1867.1</v>
      </c>
      <c r="AF55" s="401">
        <v>1881.5</v>
      </c>
      <c r="AG55" s="981"/>
      <c r="AH55" s="981"/>
      <c r="AI55" s="981"/>
      <c r="AJ55" s="981"/>
      <c r="AK55" s="981"/>
      <c r="AL55" s="981"/>
      <c r="AM55" s="981"/>
      <c r="AN55" s="981"/>
      <c r="AO55" s="981"/>
    </row>
    <row r="56" spans="2:48" ht="26.25" customHeight="1" x14ac:dyDescent="0.35">
      <c r="B56" s="978" t="s">
        <v>1807</v>
      </c>
      <c r="C56" s="35" t="s">
        <v>1724</v>
      </c>
      <c r="D56" s="47"/>
      <c r="E56" s="35"/>
      <c r="F56" s="35"/>
      <c r="G56" s="35"/>
      <c r="H56" s="35"/>
      <c r="I56" s="35"/>
      <c r="J56" s="35"/>
      <c r="K56" s="35"/>
      <c r="L56" s="35"/>
      <c r="M56" s="35"/>
      <c r="N56" s="35"/>
      <c r="O56" s="35"/>
      <c r="P56" s="35"/>
      <c r="Q56" s="35"/>
      <c r="R56" s="35"/>
      <c r="S56" s="401">
        <v>2836</v>
      </c>
      <c r="T56" s="401">
        <v>2881.6</v>
      </c>
      <c r="U56" s="401">
        <v>2914.9</v>
      </c>
      <c r="V56" s="401">
        <v>2937.5</v>
      </c>
      <c r="W56" s="401">
        <v>2965.6</v>
      </c>
      <c r="X56" s="401">
        <v>2999.3</v>
      </c>
      <c r="Y56" s="401">
        <v>3033.6</v>
      </c>
      <c r="Z56" s="401">
        <v>3065</v>
      </c>
      <c r="AA56" s="401">
        <v>3094.6</v>
      </c>
      <c r="AB56" s="401">
        <v>3122.8</v>
      </c>
      <c r="AC56" s="401">
        <v>3151.7</v>
      </c>
      <c r="AD56" s="401">
        <v>3180.3</v>
      </c>
      <c r="AE56" s="401">
        <v>3208.1</v>
      </c>
      <c r="AF56" s="401">
        <v>3236.5</v>
      </c>
      <c r="AG56" s="982"/>
      <c r="AH56" s="982"/>
      <c r="AI56" s="982"/>
      <c r="AJ56" s="982"/>
      <c r="AK56" s="982"/>
      <c r="AL56" s="982"/>
      <c r="AM56" s="982"/>
      <c r="AN56" s="982"/>
      <c r="AO56" s="982"/>
    </row>
    <row r="57" spans="2:48" ht="26.25" customHeight="1" x14ac:dyDescent="0.35">
      <c r="B57" s="978" t="s">
        <v>1925</v>
      </c>
      <c r="C57" s="35" t="s">
        <v>1725</v>
      </c>
      <c r="D57" s="47"/>
      <c r="E57" s="35"/>
      <c r="F57" s="35"/>
      <c r="G57" s="35"/>
      <c r="H57" s="35"/>
      <c r="I57" s="35"/>
      <c r="J57" s="35"/>
      <c r="K57" s="35"/>
      <c r="L57" s="35"/>
      <c r="M57" s="35"/>
      <c r="N57" s="35"/>
      <c r="O57" s="35"/>
      <c r="P57" s="35"/>
      <c r="Q57" s="35"/>
      <c r="R57" s="35"/>
      <c r="S57" s="401">
        <v>14178.6</v>
      </c>
      <c r="T57" s="401">
        <v>14214.9</v>
      </c>
      <c r="U57" s="401">
        <v>14346.6</v>
      </c>
      <c r="V57" s="401">
        <v>14387.1</v>
      </c>
      <c r="W57" s="401">
        <v>14407.4</v>
      </c>
      <c r="X57" s="401">
        <v>14402.9</v>
      </c>
      <c r="Y57" s="401">
        <v>14417.4</v>
      </c>
      <c r="Z57" s="401">
        <v>14440.9</v>
      </c>
      <c r="AA57" s="401">
        <v>14488.3</v>
      </c>
      <c r="AB57" s="401">
        <v>14558.3</v>
      </c>
      <c r="AC57" s="401">
        <v>14634.4</v>
      </c>
      <c r="AD57" s="401">
        <v>14705</v>
      </c>
      <c r="AE57" s="401">
        <v>14779.5</v>
      </c>
      <c r="AF57" s="401">
        <v>14849.4</v>
      </c>
      <c r="AG57" s="982"/>
      <c r="AH57" s="982"/>
      <c r="AI57" s="982"/>
      <c r="AJ57" s="982"/>
      <c r="AK57" s="982"/>
      <c r="AL57" s="982"/>
      <c r="AM57" s="982"/>
      <c r="AN57" s="982"/>
      <c r="AO57" s="982"/>
    </row>
    <row r="58" spans="2:48" ht="26.25" customHeight="1" x14ac:dyDescent="0.35">
      <c r="B58" s="978" t="s">
        <v>1806</v>
      </c>
      <c r="C58" s="35" t="s">
        <v>1726</v>
      </c>
      <c r="D58" s="47"/>
      <c r="E58" s="35"/>
      <c r="F58" s="35"/>
      <c r="G58" s="35"/>
      <c r="H58" s="35"/>
      <c r="I58" s="35"/>
      <c r="J58" s="35"/>
      <c r="K58" s="35"/>
      <c r="L58" s="35"/>
      <c r="M58" s="35"/>
      <c r="N58" s="35"/>
      <c r="O58" s="35"/>
      <c r="P58" s="35"/>
      <c r="Q58" s="35"/>
      <c r="R58" s="35"/>
      <c r="S58" s="401">
        <v>1353.7</v>
      </c>
      <c r="T58" s="401">
        <v>1373</v>
      </c>
      <c r="U58" s="401">
        <v>1398.2</v>
      </c>
      <c r="V58" s="401">
        <v>1393.9</v>
      </c>
      <c r="W58" s="401">
        <v>1391.7</v>
      </c>
      <c r="X58" s="401">
        <v>1392.4</v>
      </c>
      <c r="Y58" s="401">
        <v>1391.7</v>
      </c>
      <c r="Z58" s="401">
        <v>1396.2</v>
      </c>
      <c r="AA58" s="401">
        <v>1397.4</v>
      </c>
      <c r="AB58" s="401">
        <v>1397.8</v>
      </c>
      <c r="AC58" s="401">
        <v>1397.8</v>
      </c>
      <c r="AD58" s="401">
        <v>1398.8</v>
      </c>
      <c r="AE58" s="401">
        <v>1400.2</v>
      </c>
      <c r="AF58" s="401">
        <v>1402.5</v>
      </c>
      <c r="AG58" s="982"/>
      <c r="AH58" s="982"/>
      <c r="AI58" s="982"/>
      <c r="AJ58" s="982"/>
      <c r="AK58" s="982"/>
      <c r="AL58" s="982"/>
      <c r="AM58" s="982"/>
      <c r="AN58" s="982"/>
      <c r="AO58" s="982"/>
    </row>
    <row r="59" spans="2:48" ht="26.15" customHeight="1" x14ac:dyDescent="0.35">
      <c r="B59" s="978" t="s">
        <v>1808</v>
      </c>
      <c r="C59" s="36" t="s">
        <v>1727</v>
      </c>
      <c r="D59" s="47"/>
      <c r="E59" s="35"/>
      <c r="F59" s="35"/>
      <c r="G59" s="35"/>
      <c r="H59" s="35"/>
      <c r="I59" s="35"/>
      <c r="J59" s="35"/>
      <c r="K59" s="35"/>
      <c r="L59" s="35"/>
      <c r="M59" s="35"/>
      <c r="N59" s="35"/>
      <c r="O59" s="35"/>
      <c r="P59" s="35"/>
      <c r="Q59" s="35"/>
      <c r="R59" s="35"/>
      <c r="S59" s="401">
        <v>2056.5</v>
      </c>
      <c r="T59" s="401">
        <v>2069.8000000000002</v>
      </c>
      <c r="U59" s="401">
        <v>2089.1999999999998</v>
      </c>
      <c r="V59" s="401">
        <v>2094.9</v>
      </c>
      <c r="W59" s="401">
        <v>2101.6</v>
      </c>
      <c r="X59" s="401">
        <v>2109.5</v>
      </c>
      <c r="Y59" s="401">
        <v>2116.1999999999998</v>
      </c>
      <c r="Z59" s="401">
        <v>2122</v>
      </c>
      <c r="AA59" s="401">
        <v>2127</v>
      </c>
      <c r="AB59" s="401">
        <v>2131.1999999999998</v>
      </c>
      <c r="AC59" s="401">
        <v>2135.4</v>
      </c>
      <c r="AD59" s="401">
        <v>2139.5</v>
      </c>
      <c r="AE59" s="401">
        <v>2143.1</v>
      </c>
      <c r="AF59" s="401">
        <v>2147.1</v>
      </c>
      <c r="AG59" s="982"/>
      <c r="AH59" s="982"/>
      <c r="AI59" s="982"/>
      <c r="AJ59" s="982"/>
      <c r="AK59" s="982"/>
      <c r="AL59" s="982"/>
      <c r="AM59" s="982"/>
      <c r="AN59" s="982"/>
      <c r="AO59" s="982"/>
    </row>
    <row r="60" spans="2:48" x14ac:dyDescent="0.35">
      <c r="B60" s="988"/>
      <c r="C60" s="989"/>
      <c r="D60" s="964"/>
      <c r="E60" s="964"/>
      <c r="F60" s="964"/>
      <c r="G60" s="964"/>
      <c r="H60" s="964"/>
      <c r="I60" s="964"/>
      <c r="J60" s="964"/>
      <c r="K60" s="964"/>
      <c r="L60" s="964"/>
      <c r="M60" s="964"/>
      <c r="N60" s="964"/>
      <c r="O60" s="964"/>
      <c r="P60" s="964"/>
      <c r="Q60" s="964"/>
      <c r="R60" s="964"/>
      <c r="S60" s="964"/>
      <c r="T60" s="965" t="s">
        <v>1713</v>
      </c>
      <c r="U60" s="990"/>
      <c r="V60" s="990"/>
      <c r="W60" s="990"/>
      <c r="X60" s="990"/>
      <c r="Y60" s="990"/>
      <c r="Z60" s="990"/>
      <c r="AA60" s="990"/>
      <c r="AB60" s="990"/>
      <c r="AC60" s="990"/>
      <c r="AD60" s="990"/>
      <c r="AE60" s="990"/>
      <c r="AF60" s="991"/>
      <c r="AG60" s="202"/>
      <c r="AH60" s="202"/>
      <c r="AI60" s="202"/>
      <c r="AJ60" s="202"/>
      <c r="AK60" s="202"/>
      <c r="AL60" s="202"/>
      <c r="AM60" s="202"/>
      <c r="AN60" s="202"/>
      <c r="AO60" s="202"/>
      <c r="AP60" s="35"/>
      <c r="AQ60" s="35"/>
      <c r="AR60" s="35"/>
      <c r="AS60" s="35"/>
      <c r="AT60" s="35"/>
      <c r="AU60" s="35"/>
      <c r="AV60" s="35"/>
    </row>
    <row r="61" spans="2:48" x14ac:dyDescent="0.35">
      <c r="B61" s="951" t="s">
        <v>1717</v>
      </c>
      <c r="C61" s="87"/>
      <c r="D61" s="960"/>
      <c r="E61" s="960"/>
      <c r="F61" s="960"/>
      <c r="G61" s="960"/>
      <c r="H61" s="960"/>
      <c r="I61" s="960"/>
      <c r="J61" s="960"/>
      <c r="K61" s="960"/>
      <c r="L61" s="960"/>
      <c r="M61" s="960"/>
      <c r="N61" s="960"/>
      <c r="O61" s="960"/>
      <c r="P61" s="960"/>
      <c r="Q61" s="960"/>
      <c r="R61" s="960"/>
      <c r="S61" s="984">
        <f t="shared" ref="S61:AF61" si="19">S54/S57</f>
        <v>1.2372660206226285</v>
      </c>
      <c r="T61" s="984">
        <f t="shared" si="19"/>
        <v>1.248682720244251</v>
      </c>
      <c r="U61" s="984">
        <f t="shared" si="19"/>
        <v>1.2615323491280164</v>
      </c>
      <c r="V61" s="984">
        <f t="shared" si="19"/>
        <v>1.2711595804574931</v>
      </c>
      <c r="W61" s="984">
        <f t="shared" si="19"/>
        <v>1.2805988589197217</v>
      </c>
      <c r="X61" s="984">
        <f t="shared" si="19"/>
        <v>1.2903026473835131</v>
      </c>
      <c r="Y61" s="984">
        <f t="shared" si="19"/>
        <v>1.2992703261336995</v>
      </c>
      <c r="Z61" s="984">
        <f t="shared" si="19"/>
        <v>1.3072384685165053</v>
      </c>
      <c r="AA61" s="984">
        <f t="shared" si="19"/>
        <v>1.3154269306958029</v>
      </c>
      <c r="AB61" s="984">
        <f t="shared" si="19"/>
        <v>1.3233344552591992</v>
      </c>
      <c r="AC61" s="984">
        <f t="shared" si="19"/>
        <v>1.3308984310938612</v>
      </c>
      <c r="AD61" s="984">
        <f t="shared" si="19"/>
        <v>1.3383543012580754</v>
      </c>
      <c r="AE61" s="984">
        <f t="shared" si="19"/>
        <v>1.3457221150918501</v>
      </c>
      <c r="AF61" s="966">
        <f t="shared" si="19"/>
        <v>1.3530984416878797</v>
      </c>
      <c r="AG61" s="981"/>
      <c r="AH61" s="981"/>
      <c r="AI61" s="981"/>
      <c r="AJ61" s="981"/>
      <c r="AK61" s="981"/>
      <c r="AL61" s="981"/>
      <c r="AM61" s="981"/>
      <c r="AN61" s="981"/>
      <c r="AO61" s="981"/>
    </row>
    <row r="62" spans="2:48" x14ac:dyDescent="0.35">
      <c r="B62" s="47" t="s">
        <v>1718</v>
      </c>
      <c r="C62" s="154"/>
      <c r="D62" s="35"/>
      <c r="E62" s="35"/>
      <c r="F62" s="35"/>
      <c r="G62" s="35"/>
      <c r="H62" s="35"/>
      <c r="I62" s="35"/>
      <c r="J62" s="35"/>
      <c r="K62" s="35"/>
      <c r="L62" s="35"/>
      <c r="M62" s="35"/>
      <c r="N62" s="35"/>
      <c r="O62" s="35"/>
      <c r="P62" s="35"/>
      <c r="Q62" s="35"/>
      <c r="R62" s="35"/>
      <c r="S62" s="980">
        <f t="shared" ref="S62:AF62" si="20">S55/S58</f>
        <v>1.2241264681982713</v>
      </c>
      <c r="T62" s="980">
        <f t="shared" si="20"/>
        <v>1.2336489439184268</v>
      </c>
      <c r="U62" s="980">
        <f t="shared" si="20"/>
        <v>1.2443856386783008</v>
      </c>
      <c r="V62" s="980">
        <f t="shared" si="20"/>
        <v>1.2542506636057105</v>
      </c>
      <c r="W62" s="980">
        <f t="shared" si="20"/>
        <v>1.2647122224617373</v>
      </c>
      <c r="X62" s="980">
        <f t="shared" si="20"/>
        <v>1.2737719046251075</v>
      </c>
      <c r="Y62" s="980">
        <f t="shared" si="20"/>
        <v>1.2829632823165911</v>
      </c>
      <c r="Z62" s="980">
        <f t="shared" si="20"/>
        <v>1.2915055149692021</v>
      </c>
      <c r="AA62" s="980">
        <f t="shared" si="20"/>
        <v>1.3004150565335624</v>
      </c>
      <c r="AB62" s="980">
        <f t="shared" si="20"/>
        <v>1.3090570897124052</v>
      </c>
      <c r="AC62" s="980">
        <f t="shared" si="20"/>
        <v>1.3172843039061382</v>
      </c>
      <c r="AD62" s="980">
        <f t="shared" si="20"/>
        <v>1.3253503002573637</v>
      </c>
      <c r="AE62" s="980">
        <f t="shared" si="20"/>
        <v>1.3334523639480074</v>
      </c>
      <c r="AF62" s="985">
        <f t="shared" si="20"/>
        <v>1.3415329768270945</v>
      </c>
      <c r="AG62" s="982"/>
      <c r="AH62" s="982"/>
      <c r="AI62" s="982"/>
      <c r="AJ62" s="982"/>
      <c r="AK62" s="982"/>
      <c r="AL62" s="982"/>
      <c r="AM62" s="982"/>
      <c r="AN62" s="982"/>
      <c r="AO62" s="982"/>
    </row>
    <row r="63" spans="2:48" x14ac:dyDescent="0.35">
      <c r="B63" s="155" t="s">
        <v>1719</v>
      </c>
      <c r="C63" s="156"/>
      <c r="D63" s="36"/>
      <c r="E63" s="36"/>
      <c r="F63" s="36"/>
      <c r="G63" s="36"/>
      <c r="H63" s="36"/>
      <c r="I63" s="36"/>
      <c r="J63" s="36"/>
      <c r="K63" s="36"/>
      <c r="L63" s="36"/>
      <c r="M63" s="36"/>
      <c r="N63" s="36"/>
      <c r="O63" s="36"/>
      <c r="P63" s="36"/>
      <c r="Q63" s="36"/>
      <c r="R63" s="36"/>
      <c r="S63" s="983">
        <f t="shared" ref="S63:AF63" si="21">S56/S59</f>
        <v>1.3790420617554098</v>
      </c>
      <c r="T63" s="983">
        <f t="shared" si="21"/>
        <v>1.3922118079041452</v>
      </c>
      <c r="U63" s="983">
        <f t="shared" si="21"/>
        <v>1.3952230518858895</v>
      </c>
      <c r="V63" s="983">
        <f t="shared" si="21"/>
        <v>1.4022149028593249</v>
      </c>
      <c r="W63" s="983">
        <f t="shared" si="21"/>
        <v>1.4111153406928054</v>
      </c>
      <c r="X63" s="983">
        <f t="shared" si="21"/>
        <v>1.4218061151931738</v>
      </c>
      <c r="Y63" s="983">
        <f t="shared" si="21"/>
        <v>1.4335129004819962</v>
      </c>
      <c r="Z63" s="983">
        <f t="shared" si="21"/>
        <v>1.444392082940622</v>
      </c>
      <c r="AA63" s="983">
        <f t="shared" si="21"/>
        <v>1.4549130230371414</v>
      </c>
      <c r="AB63" s="983">
        <f t="shared" si="21"/>
        <v>1.4652777777777779</v>
      </c>
      <c r="AC63" s="983">
        <f t="shared" si="21"/>
        <v>1.4759295682307763</v>
      </c>
      <c r="AD63" s="983">
        <f t="shared" si="21"/>
        <v>1.4864688011217575</v>
      </c>
      <c r="AE63" s="983">
        <f t="shared" si="21"/>
        <v>1.4969436797162989</v>
      </c>
      <c r="AF63" s="986">
        <f t="shared" si="21"/>
        <v>1.5073820502072564</v>
      </c>
      <c r="AG63" s="982"/>
      <c r="AH63" s="982"/>
      <c r="AI63" s="982"/>
      <c r="AJ63" s="982"/>
      <c r="AK63" s="982"/>
      <c r="AL63" s="982"/>
      <c r="AM63" s="982"/>
      <c r="AN63" s="982"/>
      <c r="AO63" s="982"/>
    </row>
    <row r="64" spans="2:48" x14ac:dyDescent="0.35">
      <c r="B64" s="979"/>
      <c r="C64" s="979"/>
      <c r="D64" s="202"/>
      <c r="E64" s="202"/>
      <c r="F64" s="202"/>
      <c r="G64" s="202"/>
      <c r="H64" s="202"/>
      <c r="I64" s="202"/>
      <c r="J64" s="202"/>
      <c r="K64" s="202"/>
      <c r="L64" s="202"/>
      <c r="M64" s="202"/>
      <c r="N64" s="202"/>
      <c r="O64" s="202"/>
      <c r="P64" s="202"/>
      <c r="Q64" s="202"/>
      <c r="R64" s="202"/>
      <c r="S64" s="202"/>
      <c r="T64" s="202"/>
      <c r="U64" s="202"/>
      <c r="V64" s="202"/>
      <c r="W64" s="202"/>
      <c r="X64" s="202"/>
      <c r="Y64" s="202"/>
      <c r="Z64" s="35"/>
      <c r="AA64" s="35"/>
      <c r="AB64" s="35"/>
      <c r="AC64" s="35"/>
      <c r="AD64" s="35"/>
      <c r="AE64" s="35"/>
      <c r="AF64" s="35"/>
    </row>
    <row r="65" spans="2:32" x14ac:dyDescent="0.35">
      <c r="B65" s="979"/>
      <c r="C65" s="979"/>
      <c r="D65" s="202"/>
      <c r="E65" s="202"/>
      <c r="F65" s="202"/>
      <c r="G65" s="202"/>
      <c r="H65" s="202"/>
      <c r="I65" s="202"/>
      <c r="J65" s="202"/>
      <c r="K65" s="202"/>
      <c r="L65" s="202"/>
      <c r="M65" s="202"/>
      <c r="N65" s="202"/>
      <c r="O65" s="202"/>
      <c r="P65" s="202"/>
      <c r="Q65" s="202"/>
      <c r="R65" s="202"/>
      <c r="S65" s="202"/>
      <c r="T65" s="884"/>
      <c r="U65" s="884"/>
      <c r="V65" s="884"/>
      <c r="W65" s="884"/>
      <c r="X65" s="884"/>
      <c r="Y65" s="884"/>
      <c r="Z65" s="884"/>
      <c r="AA65" s="884"/>
      <c r="AB65" s="884"/>
      <c r="AC65" s="884"/>
      <c r="AD65" s="884"/>
      <c r="AE65" s="884"/>
      <c r="AF65" s="884"/>
    </row>
    <row r="67" spans="2:32" x14ac:dyDescent="0.35">
      <c r="C67" s="30"/>
      <c r="D67" s="967"/>
      <c r="E67" s="967"/>
      <c r="F67" s="967"/>
      <c r="G67" s="967"/>
    </row>
    <row r="71" spans="2:32" x14ac:dyDescent="0.35">
      <c r="C71" s="14"/>
      <c r="D71" s="70"/>
      <c r="E71" s="70"/>
      <c r="F71" s="70"/>
      <c r="G71" s="70"/>
      <c r="H71" s="70"/>
      <c r="I71" s="70"/>
      <c r="J71" s="70"/>
      <c r="K71" s="70"/>
      <c r="L71" s="70"/>
      <c r="M71" s="70"/>
    </row>
    <row r="72" spans="2:32" x14ac:dyDescent="0.35">
      <c r="C72" s="30"/>
      <c r="D72" s="970"/>
      <c r="E72" s="970"/>
      <c r="F72" s="970"/>
      <c r="G72" s="970"/>
      <c r="H72" s="970"/>
      <c r="I72" s="970"/>
      <c r="J72" s="970"/>
      <c r="K72" s="970"/>
      <c r="L72" s="970"/>
      <c r="M72" s="970"/>
    </row>
    <row r="73" spans="2:32" x14ac:dyDescent="0.35">
      <c r="C73" s="967"/>
      <c r="D73" s="970"/>
      <c r="E73" s="970"/>
      <c r="F73" s="970"/>
      <c r="G73" s="970"/>
      <c r="H73" s="970"/>
      <c r="I73" s="970"/>
      <c r="J73" s="970"/>
      <c r="K73" s="970"/>
      <c r="L73" s="970"/>
      <c r="M73" s="970"/>
    </row>
    <row r="74" spans="2:32" x14ac:dyDescent="0.35">
      <c r="C74" s="967"/>
      <c r="D74" s="970"/>
      <c r="E74" s="970"/>
      <c r="F74" s="970"/>
      <c r="G74" s="970"/>
      <c r="H74" s="970"/>
      <c r="I74" s="970"/>
      <c r="J74" s="970"/>
      <c r="K74" s="970"/>
      <c r="L74" s="970"/>
      <c r="M74" s="970"/>
    </row>
    <row r="75" spans="2:32" x14ac:dyDescent="0.35">
      <c r="C75" s="967"/>
      <c r="D75" s="970"/>
      <c r="E75" s="970"/>
      <c r="F75" s="970"/>
      <c r="G75" s="970"/>
      <c r="H75" s="970"/>
      <c r="I75" s="970"/>
      <c r="J75" s="970"/>
      <c r="K75" s="970"/>
      <c r="L75" s="970"/>
      <c r="M75" s="970"/>
    </row>
    <row r="76" spans="2:32" x14ac:dyDescent="0.35">
      <c r="C76" s="967"/>
      <c r="D76" s="970"/>
      <c r="E76" s="970"/>
      <c r="F76" s="970"/>
      <c r="G76" s="970"/>
      <c r="H76" s="970"/>
      <c r="I76" s="970"/>
      <c r="J76" s="970"/>
      <c r="K76" s="970"/>
      <c r="L76" s="970"/>
      <c r="M76" s="970"/>
    </row>
  </sheetData>
  <mergeCells count="30">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14" t="s">
        <v>316</v>
      </c>
      <c r="I1" s="1314"/>
      <c r="J1" s="1314"/>
      <c r="K1" s="1314"/>
      <c r="L1" s="1314"/>
      <c r="M1" s="1314"/>
      <c r="N1" s="1314"/>
      <c r="O1" s="1314"/>
      <c r="P1" s="1314"/>
      <c r="Q1" s="1314"/>
      <c r="R1" s="1314"/>
      <c r="S1" s="1314"/>
    </row>
    <row r="2" spans="8:22" x14ac:dyDescent="0.35">
      <c r="H2" s="1353" t="s">
        <v>317</v>
      </c>
      <c r="I2" s="1353"/>
      <c r="J2" s="1353"/>
      <c r="K2" s="1353"/>
      <c r="L2" s="1353"/>
      <c r="M2" s="1353"/>
      <c r="N2" s="1353"/>
      <c r="O2" s="1353"/>
      <c r="P2" s="1353"/>
      <c r="Q2" s="1353"/>
      <c r="R2" s="1353"/>
      <c r="S2" s="1353"/>
    </row>
    <row r="3" spans="8:22" x14ac:dyDescent="0.35">
      <c r="H3" s="1353"/>
      <c r="I3" s="1353"/>
      <c r="J3" s="1353"/>
      <c r="K3" s="1353"/>
      <c r="L3" s="1353"/>
      <c r="M3" s="1353"/>
      <c r="N3" s="1353"/>
      <c r="O3" s="1353"/>
      <c r="P3" s="1353"/>
      <c r="Q3" s="1353"/>
      <c r="R3" s="1353"/>
      <c r="S3" s="1353"/>
    </row>
    <row r="4" spans="8:22" x14ac:dyDescent="0.35">
      <c r="H4" s="1353"/>
      <c r="I4" s="1353"/>
      <c r="J4" s="1353"/>
      <c r="K4" s="1353"/>
      <c r="L4" s="1353"/>
      <c r="M4" s="1353"/>
      <c r="N4" s="1353"/>
      <c r="O4" s="1353"/>
      <c r="P4" s="1353"/>
      <c r="Q4" s="1353"/>
      <c r="R4" s="1353"/>
      <c r="S4" s="1353"/>
    </row>
    <row r="5" spans="8:22" ht="54.75" customHeight="1" x14ac:dyDescent="0.35">
      <c r="H5" s="1353"/>
      <c r="I5" s="1353"/>
      <c r="J5" s="1353"/>
      <c r="K5" s="1353"/>
      <c r="L5" s="1353"/>
      <c r="M5" s="1353"/>
      <c r="N5" s="1353"/>
      <c r="O5" s="1353"/>
      <c r="P5" s="1353"/>
      <c r="Q5" s="1353"/>
      <c r="R5" s="1353"/>
      <c r="S5" s="1353"/>
    </row>
    <row r="6" spans="8:22" x14ac:dyDescent="0.35">
      <c r="H6" s="437"/>
      <c r="I6" s="437"/>
      <c r="J6" s="437"/>
      <c r="K6" s="437"/>
      <c r="L6" s="437"/>
      <c r="M6" s="437"/>
      <c r="N6" s="437"/>
      <c r="O6" s="437"/>
      <c r="P6" s="437"/>
      <c r="Q6" s="437"/>
      <c r="R6" s="437"/>
      <c r="S6" s="437"/>
    </row>
    <row r="7" spans="8:22" x14ac:dyDescent="0.35">
      <c r="H7" s="998" t="s">
        <v>318</v>
      </c>
    </row>
    <row r="8" spans="8:22" ht="16.399999999999999" customHeight="1" x14ac:dyDescent="0.35"/>
    <row r="9" spans="8:22" ht="15.75" customHeight="1" x14ac:dyDescent="0.35">
      <c r="L9" s="1310">
        <v>2020</v>
      </c>
      <c r="M9" s="1328"/>
      <c r="N9" s="1328"/>
      <c r="O9" s="535">
        <v>2021</v>
      </c>
      <c r="P9" s="535"/>
      <c r="Q9" s="535"/>
      <c r="R9" s="297"/>
    </row>
    <row r="10" spans="8:22" ht="41.9" customHeight="1" x14ac:dyDescent="0.35">
      <c r="H10" s="1009" t="s">
        <v>319</v>
      </c>
      <c r="I10" s="1009" t="s">
        <v>320</v>
      </c>
      <c r="J10" s="1010" t="s">
        <v>321</v>
      </c>
      <c r="K10" s="215"/>
      <c r="L10" s="1005" t="s">
        <v>284</v>
      </c>
      <c r="M10" s="1006" t="s">
        <v>238</v>
      </c>
      <c r="N10" s="1006" t="s">
        <v>282</v>
      </c>
      <c r="O10" s="1006" t="s">
        <v>283</v>
      </c>
      <c r="P10" s="1006" t="s">
        <v>284</v>
      </c>
      <c r="Q10" s="1006" t="s">
        <v>238</v>
      </c>
      <c r="R10" s="1007" t="s">
        <v>282</v>
      </c>
      <c r="S10" s="437" t="s">
        <v>322</v>
      </c>
      <c r="T10" s="215"/>
      <c r="U10" s="215"/>
      <c r="V10" s="215"/>
    </row>
    <row r="11" spans="8:22" x14ac:dyDescent="0.35">
      <c r="H11" s="1011">
        <v>43934</v>
      </c>
      <c r="I11" s="188">
        <v>248</v>
      </c>
      <c r="J11" s="550">
        <f>I11</f>
        <v>248</v>
      </c>
      <c r="K11" s="188"/>
      <c r="L11" s="888">
        <f>S11/26*J11</f>
        <v>95.384615384615387</v>
      </c>
      <c r="M11" s="435">
        <f>13/26*J11</f>
        <v>124</v>
      </c>
      <c r="N11" s="435">
        <f>J11-SUM(L11:M11)</f>
        <v>28.615384615384613</v>
      </c>
      <c r="O11" s="435"/>
      <c r="P11" s="435"/>
      <c r="Q11" s="435"/>
      <c r="R11" s="1003"/>
      <c r="S11" s="188">
        <v>10</v>
      </c>
      <c r="T11" s="188"/>
      <c r="U11" s="1000"/>
      <c r="V11" s="188"/>
    </row>
    <row r="12" spans="8:22" x14ac:dyDescent="0.35">
      <c r="H12" s="1001">
        <v>43937</v>
      </c>
      <c r="I12" s="188">
        <v>342</v>
      </c>
      <c r="J12" s="550">
        <f>I12-I11</f>
        <v>94</v>
      </c>
      <c r="K12" s="188"/>
      <c r="L12" s="888">
        <f t="shared" ref="L12:L20" si="0">S12/26*J12</f>
        <v>36.153846153846153</v>
      </c>
      <c r="M12" s="435">
        <f t="shared" ref="M12:M20" si="1">13/26*J12</f>
        <v>47</v>
      </c>
      <c r="N12" s="435">
        <f t="shared" ref="N12:N21" si="2">J12-SUM(L12:M12)</f>
        <v>10.84615384615384</v>
      </c>
      <c r="O12" s="435"/>
      <c r="P12" s="435"/>
      <c r="Q12" s="435"/>
      <c r="R12" s="1003"/>
      <c r="S12" s="188">
        <v>10</v>
      </c>
      <c r="T12" s="188"/>
      <c r="U12" s="188"/>
      <c r="V12" s="188"/>
    </row>
    <row r="13" spans="8:22" x14ac:dyDescent="0.35">
      <c r="H13" s="1001">
        <v>43952</v>
      </c>
      <c r="I13" s="188">
        <v>518</v>
      </c>
      <c r="J13" s="550">
        <f>I13-I12</f>
        <v>176</v>
      </c>
      <c r="K13" s="188"/>
      <c r="L13" s="888">
        <f t="shared" si="0"/>
        <v>54.15384615384616</v>
      </c>
      <c r="M13" s="435">
        <f t="shared" si="1"/>
        <v>88</v>
      </c>
      <c r="N13" s="435">
        <f t="shared" si="2"/>
        <v>33.84615384615384</v>
      </c>
      <c r="O13" s="435"/>
      <c r="P13" s="435"/>
      <c r="Q13" s="435"/>
      <c r="R13" s="1003"/>
      <c r="S13" s="188">
        <v>8</v>
      </c>
      <c r="T13" s="188"/>
      <c r="U13" s="188"/>
      <c r="V13" s="188"/>
    </row>
    <row r="14" spans="8:22" x14ac:dyDescent="0.35">
      <c r="H14" s="1001">
        <v>43959</v>
      </c>
      <c r="I14" s="188">
        <v>531</v>
      </c>
      <c r="J14" s="550">
        <f t="shared" ref="J14:J45" si="3">I14-I13</f>
        <v>13</v>
      </c>
      <c r="K14" s="188"/>
      <c r="L14" s="888">
        <f t="shared" si="0"/>
        <v>3.5</v>
      </c>
      <c r="M14" s="435">
        <f t="shared" si="1"/>
        <v>6.5</v>
      </c>
      <c r="N14" s="435">
        <f t="shared" si="2"/>
        <v>3</v>
      </c>
      <c r="O14" s="435"/>
      <c r="P14" s="435"/>
      <c r="Q14" s="435"/>
      <c r="R14" s="1003"/>
      <c r="S14" s="188">
        <f t="shared" ref="S14:S20" si="4">S13-1</f>
        <v>7</v>
      </c>
      <c r="T14" s="188"/>
      <c r="U14" s="188"/>
      <c r="V14" s="188"/>
    </row>
    <row r="15" spans="8:22" x14ac:dyDescent="0.35">
      <c r="H15" s="1001">
        <v>43967</v>
      </c>
      <c r="I15" s="188">
        <v>513</v>
      </c>
      <c r="J15" s="550">
        <f t="shared" si="3"/>
        <v>-18</v>
      </c>
      <c r="K15" s="188"/>
      <c r="L15" s="888">
        <f t="shared" ref="L15:L17" si="5">S15/26*J15</f>
        <v>-4.1538461538461542</v>
      </c>
      <c r="M15" s="435">
        <f t="shared" ref="M15:M17" si="6">13/26*J15</f>
        <v>-9</v>
      </c>
      <c r="N15" s="435">
        <f t="shared" ref="N15:N17" si="7">J15-SUM(L15:M15)</f>
        <v>-4.8461538461538467</v>
      </c>
      <c r="O15" s="435"/>
      <c r="P15" s="435"/>
      <c r="Q15" s="435"/>
      <c r="R15" s="1003"/>
      <c r="S15" s="188">
        <f t="shared" si="4"/>
        <v>6</v>
      </c>
      <c r="T15" s="188"/>
      <c r="U15" s="188"/>
      <c r="V15" s="188"/>
    </row>
    <row r="16" spans="8:22" x14ac:dyDescent="0.35">
      <c r="H16" s="1001">
        <v>43974</v>
      </c>
      <c r="I16" s="188">
        <v>511</v>
      </c>
      <c r="J16" s="550">
        <f t="shared" si="3"/>
        <v>-2</v>
      </c>
      <c r="K16" s="188"/>
      <c r="L16" s="888">
        <f t="shared" si="5"/>
        <v>-0.38461538461538464</v>
      </c>
      <c r="M16" s="435">
        <f t="shared" si="6"/>
        <v>-1</v>
      </c>
      <c r="N16" s="435">
        <f t="shared" si="7"/>
        <v>-0.61538461538461542</v>
      </c>
      <c r="O16" s="435"/>
      <c r="P16" s="435"/>
      <c r="Q16" s="435"/>
      <c r="R16" s="1003"/>
      <c r="S16" s="188">
        <f t="shared" si="4"/>
        <v>5</v>
      </c>
      <c r="T16" s="188"/>
      <c r="U16" s="188"/>
      <c r="V16" s="188"/>
    </row>
    <row r="17" spans="8:22" x14ac:dyDescent="0.35">
      <c r="H17" s="1001">
        <v>43981</v>
      </c>
      <c r="I17" s="188">
        <v>510</v>
      </c>
      <c r="J17" s="550">
        <f t="shared" si="3"/>
        <v>-1</v>
      </c>
      <c r="K17" s="188"/>
      <c r="L17" s="888">
        <f t="shared" si="5"/>
        <v>-0.15384615384615385</v>
      </c>
      <c r="M17" s="435">
        <f t="shared" si="6"/>
        <v>-0.5</v>
      </c>
      <c r="N17" s="435">
        <f t="shared" si="7"/>
        <v>-0.34615384615384615</v>
      </c>
      <c r="O17" s="435"/>
      <c r="P17" s="435"/>
      <c r="Q17" s="435"/>
      <c r="R17" s="1003"/>
      <c r="S17" s="188">
        <f t="shared" si="4"/>
        <v>4</v>
      </c>
      <c r="T17" s="188"/>
      <c r="U17" s="188"/>
      <c r="V17" s="188"/>
    </row>
    <row r="18" spans="8:22" x14ac:dyDescent="0.35">
      <c r="H18" s="1001">
        <v>43988</v>
      </c>
      <c r="I18" s="188">
        <v>511</v>
      </c>
      <c r="J18" s="550">
        <f t="shared" si="3"/>
        <v>1</v>
      </c>
      <c r="K18" s="188"/>
      <c r="L18" s="888">
        <f t="shared" si="0"/>
        <v>0.11538461538461539</v>
      </c>
      <c r="M18" s="435">
        <f t="shared" si="1"/>
        <v>0.5</v>
      </c>
      <c r="N18" s="435">
        <f t="shared" si="2"/>
        <v>0.38461538461538458</v>
      </c>
      <c r="O18" s="435"/>
      <c r="P18" s="435"/>
      <c r="Q18" s="435"/>
      <c r="R18" s="1003"/>
      <c r="S18" s="188">
        <f t="shared" si="4"/>
        <v>3</v>
      </c>
      <c r="T18" s="188"/>
      <c r="U18" s="188"/>
      <c r="V18" s="188"/>
    </row>
    <row r="19" spans="8:22" x14ac:dyDescent="0.35">
      <c r="H19" s="1001">
        <v>43994</v>
      </c>
      <c r="I19" s="188">
        <v>512</v>
      </c>
      <c r="J19" s="550">
        <f t="shared" si="3"/>
        <v>1</v>
      </c>
      <c r="K19" s="188"/>
      <c r="L19" s="888">
        <f t="shared" si="0"/>
        <v>7.6923076923076927E-2</v>
      </c>
      <c r="M19" s="435">
        <f t="shared" si="1"/>
        <v>0.5</v>
      </c>
      <c r="N19" s="435">
        <f t="shared" si="2"/>
        <v>0.42307692307692313</v>
      </c>
      <c r="O19" s="435"/>
      <c r="P19" s="435"/>
      <c r="Q19" s="435"/>
      <c r="R19" s="1003"/>
      <c r="S19" s="188">
        <f t="shared" si="4"/>
        <v>2</v>
      </c>
      <c r="T19" s="188"/>
      <c r="U19" s="188"/>
      <c r="V19" s="188"/>
    </row>
    <row r="20" spans="8:22" x14ac:dyDescent="0.35">
      <c r="H20" s="1001">
        <v>44002</v>
      </c>
      <c r="I20" s="188">
        <v>515</v>
      </c>
      <c r="J20" s="550">
        <f t="shared" si="3"/>
        <v>3</v>
      </c>
      <c r="K20" s="188"/>
      <c r="L20" s="888">
        <f t="shared" si="0"/>
        <v>0.11538461538461539</v>
      </c>
      <c r="M20" s="435">
        <f t="shared" si="1"/>
        <v>1.5</v>
      </c>
      <c r="N20" s="435">
        <f t="shared" si="2"/>
        <v>1.3846153846153846</v>
      </c>
      <c r="O20" s="435"/>
      <c r="P20" s="435"/>
      <c r="Q20" s="435"/>
      <c r="R20" s="1003"/>
      <c r="S20" s="188">
        <f t="shared" si="4"/>
        <v>1</v>
      </c>
      <c r="T20" s="188"/>
      <c r="U20" s="188"/>
      <c r="V20" s="188"/>
    </row>
    <row r="21" spans="8:22" x14ac:dyDescent="0.35">
      <c r="H21" s="1001">
        <v>44009</v>
      </c>
      <c r="I21" s="188">
        <v>519</v>
      </c>
      <c r="J21" s="550">
        <f t="shared" si="3"/>
        <v>4</v>
      </c>
      <c r="K21" s="188"/>
      <c r="L21" s="888"/>
      <c r="M21" s="435">
        <f>S21/26*J21</f>
        <v>2</v>
      </c>
      <c r="N21" s="435">
        <f t="shared" si="2"/>
        <v>2</v>
      </c>
      <c r="O21" s="435"/>
      <c r="P21" s="435"/>
      <c r="Q21" s="435"/>
      <c r="R21" s="1003"/>
      <c r="S21" s="188">
        <v>13</v>
      </c>
      <c r="T21" s="188"/>
      <c r="U21" s="188"/>
      <c r="V21" s="188"/>
    </row>
    <row r="22" spans="8:22" x14ac:dyDescent="0.35">
      <c r="H22" s="1001">
        <v>44012</v>
      </c>
      <c r="I22" s="188">
        <v>521</v>
      </c>
      <c r="J22" s="550">
        <f t="shared" si="3"/>
        <v>2</v>
      </c>
      <c r="K22" s="188"/>
      <c r="L22" s="888"/>
      <c r="M22" s="435">
        <f t="shared" ref="M22:M26" si="8">S22/26*J22</f>
        <v>1</v>
      </c>
      <c r="N22" s="435">
        <f>J22-SUM(L22:M22)</f>
        <v>1</v>
      </c>
      <c r="O22" s="435"/>
      <c r="P22" s="435"/>
      <c r="Q22" s="435"/>
      <c r="R22" s="1003"/>
      <c r="S22" s="188">
        <v>13</v>
      </c>
      <c r="T22" s="188"/>
      <c r="U22" s="188"/>
      <c r="V22" s="188"/>
    </row>
    <row r="23" spans="8:22" x14ac:dyDescent="0.35">
      <c r="H23" s="1001">
        <v>44029</v>
      </c>
      <c r="I23" s="188">
        <v>518</v>
      </c>
      <c r="J23" s="550">
        <f t="shared" si="3"/>
        <v>-3</v>
      </c>
      <c r="K23" s="188"/>
      <c r="L23" s="888"/>
      <c r="M23" s="435">
        <f t="shared" ref="M23" si="9">S23/26*J23</f>
        <v>-1.153846153846154</v>
      </c>
      <c r="N23" s="435">
        <f t="shared" ref="N23" si="10">13/26*J23</f>
        <v>-1.5</v>
      </c>
      <c r="O23" s="435">
        <f t="shared" ref="O23" si="11">J23-N23-M23</f>
        <v>-0.34615384615384603</v>
      </c>
      <c r="P23" s="435"/>
      <c r="Q23" s="435"/>
      <c r="R23" s="1003"/>
      <c r="S23" s="188">
        <f>S22-3</f>
        <v>10</v>
      </c>
      <c r="T23" s="188"/>
      <c r="U23" s="188"/>
      <c r="V23" s="188"/>
    </row>
    <row r="24" spans="8:22" x14ac:dyDescent="0.35">
      <c r="H24" s="1001">
        <v>44036</v>
      </c>
      <c r="I24" s="188">
        <v>520</v>
      </c>
      <c r="J24" s="550">
        <f t="shared" si="3"/>
        <v>2</v>
      </c>
      <c r="K24" s="188"/>
      <c r="L24" s="888"/>
      <c r="M24" s="435">
        <f t="shared" si="8"/>
        <v>0.69230769230769229</v>
      </c>
      <c r="N24" s="435">
        <f t="shared" ref="N24:N26" si="12">13/26*J24</f>
        <v>1</v>
      </c>
      <c r="O24" s="435">
        <f t="shared" ref="O24:O26" si="13">J24-N24-M24</f>
        <v>0.30769230769230771</v>
      </c>
      <c r="P24" s="435"/>
      <c r="Q24" s="435"/>
      <c r="R24" s="1003"/>
      <c r="S24" s="188">
        <f>S23-1</f>
        <v>9</v>
      </c>
      <c r="T24" s="188"/>
      <c r="U24" s="188"/>
      <c r="V24" s="188"/>
    </row>
    <row r="25" spans="8:22" x14ac:dyDescent="0.35">
      <c r="H25" s="1001">
        <v>44043</v>
      </c>
      <c r="I25" s="188">
        <v>521</v>
      </c>
      <c r="J25" s="550">
        <f t="shared" si="3"/>
        <v>1</v>
      </c>
      <c r="K25" s="188"/>
      <c r="L25" s="888"/>
      <c r="M25" s="435">
        <f t="shared" si="8"/>
        <v>0.30769230769230771</v>
      </c>
      <c r="N25" s="435">
        <f t="shared" si="12"/>
        <v>0.5</v>
      </c>
      <c r="O25" s="435">
        <f t="shared" si="13"/>
        <v>0.19230769230769229</v>
      </c>
      <c r="P25" s="435"/>
      <c r="Q25" s="435"/>
      <c r="R25" s="1003"/>
      <c r="S25" s="188">
        <f>S24-1</f>
        <v>8</v>
      </c>
      <c r="T25" s="188"/>
      <c r="U25" s="188"/>
      <c r="V25" s="188"/>
    </row>
    <row r="26" spans="8:22" x14ac:dyDescent="0.35">
      <c r="H26" s="1001">
        <v>44051</v>
      </c>
      <c r="I26" s="188">
        <v>525</v>
      </c>
      <c r="J26" s="550">
        <f t="shared" si="3"/>
        <v>4</v>
      </c>
      <c r="K26" s="188"/>
      <c r="L26" s="888"/>
      <c r="M26" s="435">
        <f t="shared" si="8"/>
        <v>1.0769230769230769</v>
      </c>
      <c r="N26" s="435">
        <f t="shared" si="12"/>
        <v>2</v>
      </c>
      <c r="O26" s="435">
        <f t="shared" si="13"/>
        <v>0.92307692307692313</v>
      </c>
      <c r="P26" s="435"/>
      <c r="Q26" s="435"/>
      <c r="R26" s="1003"/>
      <c r="S26" s="188">
        <f>S25-1</f>
        <v>7</v>
      </c>
      <c r="T26" s="188"/>
      <c r="U26" s="188"/>
      <c r="V26" s="188"/>
    </row>
    <row r="27" spans="8:22" x14ac:dyDescent="0.35">
      <c r="H27" s="1001">
        <v>44220</v>
      </c>
      <c r="I27" s="188">
        <v>558</v>
      </c>
      <c r="J27" s="550">
        <f t="shared" si="3"/>
        <v>33</v>
      </c>
      <c r="K27" s="188"/>
      <c r="L27" s="888"/>
      <c r="M27" s="435"/>
      <c r="N27" s="435"/>
      <c r="O27" s="435">
        <f>S27/26*J27</f>
        <v>12.692307692307693</v>
      </c>
      <c r="P27" s="435">
        <f>J27/2</f>
        <v>16.5</v>
      </c>
      <c r="Q27" s="435">
        <f>J27-P27-O27</f>
        <v>3.8076923076923066</v>
      </c>
      <c r="R27" s="1003"/>
      <c r="S27" s="188">
        <v>10</v>
      </c>
      <c r="T27" s="188">
        <v>10</v>
      </c>
      <c r="U27" s="188"/>
      <c r="V27" s="188"/>
    </row>
    <row r="28" spans="8:22" x14ac:dyDescent="0.35">
      <c r="H28" s="1001">
        <v>44227</v>
      </c>
      <c r="I28" s="188">
        <v>596</v>
      </c>
      <c r="J28" s="550">
        <f t="shared" si="3"/>
        <v>38</v>
      </c>
      <c r="K28" s="188"/>
      <c r="L28" s="888"/>
      <c r="M28" s="435"/>
      <c r="N28" s="435"/>
      <c r="O28" s="435">
        <f t="shared" ref="O28:O36" si="14">S28/26*J28</f>
        <v>13.153846153846153</v>
      </c>
      <c r="P28" s="435">
        <f t="shared" ref="P28:P36" si="15">J28/2</f>
        <v>19</v>
      </c>
      <c r="Q28" s="435">
        <f t="shared" ref="Q28:Q36" si="16">J28-P28-O28</f>
        <v>5.8461538461538467</v>
      </c>
      <c r="R28" s="1003"/>
      <c r="S28" s="188">
        <f>S27-1</f>
        <v>9</v>
      </c>
      <c r="T28" s="188">
        <f>T27-1</f>
        <v>9</v>
      </c>
      <c r="U28" s="188"/>
      <c r="V28" s="188"/>
    </row>
    <row r="29" spans="8:22" x14ac:dyDescent="0.35">
      <c r="H29" s="1001">
        <v>44234</v>
      </c>
      <c r="I29" s="188">
        <v>623</v>
      </c>
      <c r="J29" s="550">
        <f t="shared" si="3"/>
        <v>27</v>
      </c>
      <c r="K29" s="188"/>
      <c r="L29" s="888"/>
      <c r="M29" s="435"/>
      <c r="N29" s="435"/>
      <c r="O29" s="435">
        <f t="shared" si="14"/>
        <v>8.3076923076923084</v>
      </c>
      <c r="P29" s="435">
        <f t="shared" si="15"/>
        <v>13.5</v>
      </c>
      <c r="Q29" s="435">
        <f t="shared" si="16"/>
        <v>5.1923076923076916</v>
      </c>
      <c r="R29" s="1003"/>
      <c r="S29" s="188">
        <f t="shared" ref="S29:S36" si="17">S28-1</f>
        <v>8</v>
      </c>
      <c r="T29" s="188">
        <f t="shared" ref="T29:T36" si="18">T28-1</f>
        <v>8</v>
      </c>
      <c r="U29" s="188"/>
      <c r="V29" s="188"/>
    </row>
    <row r="30" spans="8:22" x14ac:dyDescent="0.35">
      <c r="H30" s="1001">
        <v>44242</v>
      </c>
      <c r="I30" s="188">
        <v>648</v>
      </c>
      <c r="J30" s="550">
        <f t="shared" si="3"/>
        <v>25</v>
      </c>
      <c r="K30" s="188"/>
      <c r="L30" s="888"/>
      <c r="M30" s="435"/>
      <c r="N30" s="435"/>
      <c r="O30" s="435">
        <f t="shared" si="14"/>
        <v>6.7307692307692308</v>
      </c>
      <c r="P30" s="435">
        <f t="shared" si="15"/>
        <v>12.5</v>
      </c>
      <c r="Q30" s="435">
        <f t="shared" si="16"/>
        <v>5.7692307692307692</v>
      </c>
      <c r="R30" s="1003"/>
      <c r="S30" s="188">
        <f t="shared" si="17"/>
        <v>7</v>
      </c>
      <c r="T30" s="188">
        <f t="shared" si="18"/>
        <v>7</v>
      </c>
      <c r="U30" s="188"/>
      <c r="V30" s="188"/>
    </row>
    <row r="31" spans="8:22" x14ac:dyDescent="0.35">
      <c r="H31" s="1001">
        <v>44248</v>
      </c>
      <c r="I31" s="188">
        <v>663</v>
      </c>
      <c r="J31" s="550">
        <f t="shared" si="3"/>
        <v>15</v>
      </c>
      <c r="K31" s="188"/>
      <c r="L31" s="888"/>
      <c r="M31" s="435"/>
      <c r="N31" s="435"/>
      <c r="O31" s="435">
        <f t="shared" si="14"/>
        <v>3.4615384615384617</v>
      </c>
      <c r="P31" s="435">
        <f t="shared" si="15"/>
        <v>7.5</v>
      </c>
      <c r="Q31" s="435">
        <f t="shared" si="16"/>
        <v>4.0384615384615383</v>
      </c>
      <c r="R31" s="1003"/>
      <c r="S31" s="188">
        <f t="shared" si="17"/>
        <v>6</v>
      </c>
      <c r="T31" s="188">
        <f t="shared" si="18"/>
        <v>6</v>
      </c>
      <c r="U31" s="188"/>
      <c r="V31" s="188"/>
    </row>
    <row r="32" spans="8:22" x14ac:dyDescent="0.35">
      <c r="H32" s="1001">
        <v>44255</v>
      </c>
      <c r="I32" s="188">
        <v>679</v>
      </c>
      <c r="J32" s="550">
        <f t="shared" si="3"/>
        <v>16</v>
      </c>
      <c r="K32" s="188"/>
      <c r="L32" s="888"/>
      <c r="M32" s="435"/>
      <c r="N32" s="435"/>
      <c r="O32" s="435">
        <f t="shared" si="14"/>
        <v>3.0769230769230771</v>
      </c>
      <c r="P32" s="435">
        <f t="shared" si="15"/>
        <v>8</v>
      </c>
      <c r="Q32" s="435">
        <f t="shared" si="16"/>
        <v>4.9230769230769234</v>
      </c>
      <c r="R32" s="1003"/>
      <c r="S32" s="188">
        <f t="shared" si="17"/>
        <v>5</v>
      </c>
      <c r="T32" s="188">
        <f t="shared" si="18"/>
        <v>5</v>
      </c>
      <c r="U32" s="188"/>
      <c r="V32" s="188"/>
    </row>
    <row r="33" spans="8:22" x14ac:dyDescent="0.35">
      <c r="H33" s="1001">
        <v>44262</v>
      </c>
      <c r="I33" s="188">
        <v>687</v>
      </c>
      <c r="J33" s="550">
        <f t="shared" si="3"/>
        <v>8</v>
      </c>
      <c r="K33" s="188"/>
      <c r="L33" s="888"/>
      <c r="M33" s="435"/>
      <c r="N33" s="435"/>
      <c r="O33" s="435">
        <f t="shared" si="14"/>
        <v>1.2307692307692308</v>
      </c>
      <c r="P33" s="435">
        <f t="shared" si="15"/>
        <v>4</v>
      </c>
      <c r="Q33" s="435">
        <f t="shared" si="16"/>
        <v>2.7692307692307692</v>
      </c>
      <c r="R33" s="1003"/>
      <c r="S33" s="188">
        <f t="shared" si="17"/>
        <v>4</v>
      </c>
      <c r="T33" s="188">
        <f t="shared" si="18"/>
        <v>4</v>
      </c>
      <c r="U33" s="188"/>
      <c r="V33" s="188"/>
    </row>
    <row r="34" spans="8:22" x14ac:dyDescent="0.35">
      <c r="H34" s="1001">
        <v>44269</v>
      </c>
      <c r="I34" s="188">
        <v>704</v>
      </c>
      <c r="J34" s="550">
        <f t="shared" si="3"/>
        <v>17</v>
      </c>
      <c r="K34" s="188"/>
      <c r="L34" s="888"/>
      <c r="M34" s="435"/>
      <c r="N34" s="435"/>
      <c r="O34" s="435">
        <f t="shared" si="14"/>
        <v>1.9615384615384617</v>
      </c>
      <c r="P34" s="435">
        <f t="shared" si="15"/>
        <v>8.5</v>
      </c>
      <c r="Q34" s="435">
        <f t="shared" si="16"/>
        <v>6.5384615384615383</v>
      </c>
      <c r="R34" s="1003"/>
      <c r="S34" s="188">
        <f t="shared" si="17"/>
        <v>3</v>
      </c>
      <c r="T34" s="188">
        <f t="shared" si="18"/>
        <v>3</v>
      </c>
      <c r="U34" s="188"/>
      <c r="V34" s="188"/>
    </row>
    <row r="35" spans="8:22" x14ac:dyDescent="0.35">
      <c r="H35" s="1001">
        <v>44276</v>
      </c>
      <c r="I35" s="188">
        <v>718</v>
      </c>
      <c r="J35" s="550">
        <f t="shared" si="3"/>
        <v>14</v>
      </c>
      <c r="K35" s="188"/>
      <c r="L35" s="888"/>
      <c r="M35" s="435"/>
      <c r="N35" s="435"/>
      <c r="O35" s="435">
        <f t="shared" si="14"/>
        <v>1.0769230769230771</v>
      </c>
      <c r="P35" s="435">
        <f t="shared" si="15"/>
        <v>7</v>
      </c>
      <c r="Q35" s="435">
        <f t="shared" si="16"/>
        <v>5.9230769230769234</v>
      </c>
      <c r="R35" s="1003"/>
      <c r="S35" s="188">
        <f t="shared" si="17"/>
        <v>2</v>
      </c>
      <c r="T35" s="188">
        <f t="shared" si="18"/>
        <v>2</v>
      </c>
      <c r="U35" s="188"/>
      <c r="V35" s="188"/>
    </row>
    <row r="36" spans="8:22" x14ac:dyDescent="0.35">
      <c r="H36" s="1001">
        <v>44283</v>
      </c>
      <c r="I36" s="188">
        <v>734</v>
      </c>
      <c r="J36" s="550">
        <f t="shared" si="3"/>
        <v>16</v>
      </c>
      <c r="K36" s="188"/>
      <c r="L36" s="888"/>
      <c r="M36" s="435"/>
      <c r="N36" s="435"/>
      <c r="O36" s="435">
        <f t="shared" si="14"/>
        <v>0.61538461538461542</v>
      </c>
      <c r="P36" s="435">
        <f t="shared" si="15"/>
        <v>8</v>
      </c>
      <c r="Q36" s="435">
        <f t="shared" si="16"/>
        <v>7.384615384615385</v>
      </c>
      <c r="R36" s="1003"/>
      <c r="S36" s="188">
        <f t="shared" si="17"/>
        <v>1</v>
      </c>
      <c r="T36" s="188">
        <f t="shared" si="18"/>
        <v>1</v>
      </c>
      <c r="U36" s="188"/>
      <c r="V36" s="188"/>
    </row>
    <row r="37" spans="8:22" x14ac:dyDescent="0.35">
      <c r="H37" s="1001">
        <v>44290</v>
      </c>
      <c r="I37" s="188">
        <v>746</v>
      </c>
      <c r="J37" s="550">
        <f t="shared" si="3"/>
        <v>12</v>
      </c>
      <c r="K37" s="188"/>
      <c r="L37" s="888"/>
      <c r="M37" s="435"/>
      <c r="N37" s="435"/>
      <c r="O37" s="435"/>
      <c r="P37" s="435">
        <f>T37/26*J37</f>
        <v>6</v>
      </c>
      <c r="Q37" s="435">
        <f>J37/2</f>
        <v>6</v>
      </c>
      <c r="R37" s="1003">
        <f>J37-Q37-P37</f>
        <v>0</v>
      </c>
      <c r="S37" s="188">
        <v>13</v>
      </c>
      <c r="T37" s="188">
        <v>13</v>
      </c>
      <c r="U37" s="188"/>
      <c r="V37" s="188"/>
    </row>
    <row r="38" spans="8:22" x14ac:dyDescent="0.35">
      <c r="H38" s="1001">
        <v>44297</v>
      </c>
      <c r="I38" s="188">
        <v>755</v>
      </c>
      <c r="J38" s="550">
        <f t="shared" si="3"/>
        <v>9</v>
      </c>
      <c r="K38" s="188"/>
      <c r="L38" s="888"/>
      <c r="M38" s="435"/>
      <c r="N38" s="435"/>
      <c r="O38" s="435"/>
      <c r="P38" s="435">
        <f t="shared" ref="P38:P45" si="19">T38/26*J38</f>
        <v>4.1538461538461542</v>
      </c>
      <c r="Q38" s="435">
        <f t="shared" ref="Q38:Q45" si="20">J38/2</f>
        <v>4.5</v>
      </c>
      <c r="R38" s="1003">
        <f t="shared" ref="R38:R45" si="21">J38-Q38-P38</f>
        <v>0.34615384615384581</v>
      </c>
      <c r="S38" s="188">
        <f>S37-1</f>
        <v>12</v>
      </c>
      <c r="T38" s="188">
        <f>T37-1</f>
        <v>12</v>
      </c>
      <c r="U38" s="188"/>
      <c r="V38" s="188"/>
    </row>
    <row r="39" spans="8:22" x14ac:dyDescent="0.35">
      <c r="H39" s="1001">
        <v>44304</v>
      </c>
      <c r="I39" s="188">
        <v>762</v>
      </c>
      <c r="J39" s="550">
        <f t="shared" si="3"/>
        <v>7</v>
      </c>
      <c r="K39" s="188"/>
      <c r="L39" s="888"/>
      <c r="M39" s="435"/>
      <c r="N39" s="435"/>
      <c r="O39" s="435"/>
      <c r="P39" s="435">
        <f t="shared" si="19"/>
        <v>2.9615384615384617</v>
      </c>
      <c r="Q39" s="435">
        <f t="shared" si="20"/>
        <v>3.5</v>
      </c>
      <c r="R39" s="1003">
        <f t="shared" si="21"/>
        <v>0.53846153846153832</v>
      </c>
      <c r="S39" s="188">
        <f t="shared" ref="S39:S45" si="22">S38-1</f>
        <v>11</v>
      </c>
      <c r="T39" s="188">
        <f t="shared" ref="T39:T45" si="23">T38-1</f>
        <v>11</v>
      </c>
      <c r="U39" s="188"/>
      <c r="V39" s="188"/>
    </row>
    <row r="40" spans="8:22" x14ac:dyDescent="0.35">
      <c r="H40" s="1001">
        <v>44311</v>
      </c>
      <c r="I40" s="188">
        <v>771</v>
      </c>
      <c r="J40" s="550">
        <f t="shared" si="3"/>
        <v>9</v>
      </c>
      <c r="K40" s="188"/>
      <c r="L40" s="888"/>
      <c r="M40" s="435"/>
      <c r="N40" s="435"/>
      <c r="O40" s="435"/>
      <c r="P40" s="435">
        <f t="shared" si="19"/>
        <v>3.4615384615384617</v>
      </c>
      <c r="Q40" s="435">
        <f t="shared" si="20"/>
        <v>4.5</v>
      </c>
      <c r="R40" s="1003">
        <f t="shared" si="21"/>
        <v>1.0384615384615383</v>
      </c>
      <c r="S40" s="188">
        <f t="shared" si="22"/>
        <v>10</v>
      </c>
      <c r="T40" s="188">
        <f t="shared" si="23"/>
        <v>10</v>
      </c>
      <c r="U40" s="188"/>
      <c r="V40" s="188"/>
    </row>
    <row r="41" spans="8:22" x14ac:dyDescent="0.35">
      <c r="H41" s="1001">
        <v>44318</v>
      </c>
      <c r="I41" s="188">
        <v>780</v>
      </c>
      <c r="J41" s="550">
        <f t="shared" si="3"/>
        <v>9</v>
      </c>
      <c r="K41" s="188"/>
      <c r="L41" s="888"/>
      <c r="M41" s="435"/>
      <c r="N41" s="435"/>
      <c r="O41" s="435"/>
      <c r="P41" s="435">
        <f t="shared" si="19"/>
        <v>3.1153846153846154</v>
      </c>
      <c r="Q41" s="435">
        <f t="shared" si="20"/>
        <v>4.5</v>
      </c>
      <c r="R41" s="1003">
        <f t="shared" si="21"/>
        <v>1.3846153846153846</v>
      </c>
      <c r="S41" s="188">
        <f t="shared" si="22"/>
        <v>9</v>
      </c>
      <c r="T41" s="188">
        <f t="shared" si="23"/>
        <v>9</v>
      </c>
      <c r="U41" s="188"/>
      <c r="V41" s="188"/>
    </row>
    <row r="42" spans="8:22" x14ac:dyDescent="0.35">
      <c r="H42" s="1001">
        <v>44325</v>
      </c>
      <c r="I42" s="188">
        <v>782</v>
      </c>
      <c r="J42" s="550">
        <f t="shared" si="3"/>
        <v>2</v>
      </c>
      <c r="K42" s="188"/>
      <c r="L42" s="888"/>
      <c r="M42" s="435"/>
      <c r="N42" s="435"/>
      <c r="O42" s="435"/>
      <c r="P42" s="435">
        <f t="shared" si="19"/>
        <v>0.61538461538461542</v>
      </c>
      <c r="Q42" s="435">
        <f t="shared" si="20"/>
        <v>1</v>
      </c>
      <c r="R42" s="1003">
        <f t="shared" si="21"/>
        <v>0.38461538461538458</v>
      </c>
      <c r="S42" s="188">
        <f t="shared" si="22"/>
        <v>8</v>
      </c>
      <c r="T42" s="188">
        <f t="shared" si="23"/>
        <v>8</v>
      </c>
      <c r="U42" s="188"/>
      <c r="V42" s="188"/>
    </row>
    <row r="43" spans="8:22" x14ac:dyDescent="0.35">
      <c r="H43" s="1001">
        <v>44332</v>
      </c>
      <c r="I43" s="188">
        <v>788</v>
      </c>
      <c r="J43" s="550">
        <f t="shared" si="3"/>
        <v>6</v>
      </c>
      <c r="K43" s="188"/>
      <c r="L43" s="888"/>
      <c r="M43" s="435"/>
      <c r="N43" s="435"/>
      <c r="O43" s="435"/>
      <c r="P43" s="435">
        <f t="shared" si="19"/>
        <v>1.6153846153846154</v>
      </c>
      <c r="Q43" s="435">
        <f t="shared" si="20"/>
        <v>3</v>
      </c>
      <c r="R43" s="1003">
        <f t="shared" si="21"/>
        <v>1.3846153846153846</v>
      </c>
      <c r="S43" s="188">
        <f t="shared" si="22"/>
        <v>7</v>
      </c>
      <c r="T43" s="188">
        <f t="shared" si="23"/>
        <v>7</v>
      </c>
      <c r="U43" s="188"/>
      <c r="V43" s="188"/>
    </row>
    <row r="44" spans="8:22" x14ac:dyDescent="0.35">
      <c r="H44" s="1001">
        <v>44339</v>
      </c>
      <c r="I44" s="188">
        <v>796</v>
      </c>
      <c r="J44" s="550">
        <f t="shared" si="3"/>
        <v>8</v>
      </c>
      <c r="K44" s="188"/>
      <c r="L44" s="888"/>
      <c r="M44" s="435"/>
      <c r="N44" s="435"/>
      <c r="O44" s="435"/>
      <c r="P44" s="435">
        <f t="shared" si="19"/>
        <v>1.8461538461538463</v>
      </c>
      <c r="Q44" s="435">
        <f t="shared" si="20"/>
        <v>4</v>
      </c>
      <c r="R44" s="1003">
        <f t="shared" si="21"/>
        <v>2.1538461538461537</v>
      </c>
      <c r="S44" s="188">
        <f t="shared" si="22"/>
        <v>6</v>
      </c>
      <c r="T44" s="188">
        <f t="shared" si="23"/>
        <v>6</v>
      </c>
      <c r="U44" s="188"/>
      <c r="V44" s="188"/>
    </row>
    <row r="45" spans="8:22" x14ac:dyDescent="0.35">
      <c r="H45" s="1002">
        <v>44347</v>
      </c>
      <c r="I45" s="543">
        <v>800</v>
      </c>
      <c r="J45" s="551">
        <f t="shared" si="3"/>
        <v>4</v>
      </c>
      <c r="K45" s="188"/>
      <c r="L45" s="888"/>
      <c r="M45" s="435"/>
      <c r="N45" s="435"/>
      <c r="O45" s="435"/>
      <c r="P45" s="435">
        <f t="shared" si="19"/>
        <v>0.76923076923076927</v>
      </c>
      <c r="Q45" s="435">
        <f t="shared" si="20"/>
        <v>2</v>
      </c>
      <c r="R45" s="1003">
        <f t="shared" si="21"/>
        <v>1.2307692307692308</v>
      </c>
      <c r="S45" s="188">
        <f t="shared" si="22"/>
        <v>5</v>
      </c>
      <c r="T45" s="188">
        <f t="shared" si="23"/>
        <v>5</v>
      </c>
      <c r="U45" s="188"/>
      <c r="V45" s="188"/>
    </row>
    <row r="46" spans="8:22" x14ac:dyDescent="0.35">
      <c r="H46" s="188"/>
      <c r="I46" s="188"/>
      <c r="J46" s="188"/>
      <c r="K46" s="188"/>
      <c r="L46" s="888">
        <f>SUM(L11:L45)</f>
        <v>184.80769230769229</v>
      </c>
      <c r="M46" s="435">
        <f t="shared" ref="M46:R46" si="24">SUM(M11:M45)</f>
        <v>261.42307692307696</v>
      </c>
      <c r="N46" s="435">
        <f t="shared" si="24"/>
        <v>77.692307692307693</v>
      </c>
      <c r="O46" s="435">
        <f t="shared" si="24"/>
        <v>53.384615384615394</v>
      </c>
      <c r="P46" s="435">
        <f t="shared" si="24"/>
        <v>129.03846153846155</v>
      </c>
      <c r="Q46" s="435">
        <f t="shared" si="24"/>
        <v>85.192307692307693</v>
      </c>
      <c r="R46" s="1003">
        <f t="shared" si="24"/>
        <v>8.4615384615384599</v>
      </c>
      <c r="S46" s="188"/>
      <c r="T46" s="188"/>
      <c r="U46" s="188"/>
      <c r="V46" s="188"/>
    </row>
    <row r="47" spans="8:22" x14ac:dyDescent="0.35">
      <c r="H47" s="188"/>
      <c r="I47" s="188"/>
      <c r="J47" s="188"/>
      <c r="K47" s="188"/>
      <c r="L47" s="889">
        <f>L46*4</f>
        <v>739.23076923076917</v>
      </c>
      <c r="M47" s="890">
        <f t="shared" ref="M47:R47" si="25">M46*4</f>
        <v>1045.6923076923078</v>
      </c>
      <c r="N47" s="890">
        <f t="shared" si="25"/>
        <v>310.76923076923077</v>
      </c>
      <c r="O47" s="890">
        <f t="shared" si="25"/>
        <v>213.53846153846158</v>
      </c>
      <c r="P47" s="890">
        <f t="shared" si="25"/>
        <v>516.15384615384619</v>
      </c>
      <c r="Q47" s="890">
        <f t="shared" si="25"/>
        <v>340.76923076923077</v>
      </c>
      <c r="R47" s="1004">
        <f t="shared" si="25"/>
        <v>33.84615384615384</v>
      </c>
      <c r="S47" s="188" t="s">
        <v>323</v>
      </c>
      <c r="T47" s="188"/>
      <c r="U47" s="188"/>
      <c r="V47" s="188"/>
    </row>
    <row r="48" spans="8:22" x14ac:dyDescent="0.35">
      <c r="J48" s="202" t="s">
        <v>324</v>
      </c>
      <c r="L48" s="202">
        <v>634</v>
      </c>
      <c r="M48" s="699">
        <f>K55</f>
        <v>900.7</v>
      </c>
      <c r="N48" s="699">
        <f t="shared" ref="N48:P48" si="26">L55</f>
        <v>270.7</v>
      </c>
      <c r="O48" s="699">
        <f t="shared" si="26"/>
        <v>208.7</v>
      </c>
      <c r="P48" s="699">
        <f t="shared" si="26"/>
        <v>469.7</v>
      </c>
      <c r="Q48" s="699">
        <v>279</v>
      </c>
      <c r="R48" s="699"/>
    </row>
    <row r="50" spans="8:29" x14ac:dyDescent="0.35">
      <c r="H50" s="1413" t="s">
        <v>325</v>
      </c>
      <c r="I50" s="1414"/>
      <c r="J50" s="1382" t="s">
        <v>280</v>
      </c>
      <c r="K50" s="1383"/>
      <c r="L50" s="1383"/>
      <c r="M50" s="1377"/>
      <c r="N50" s="1377"/>
      <c r="O50" s="1377"/>
      <c r="P50" s="1320"/>
      <c r="Q50" s="490"/>
      <c r="R50" s="490"/>
      <c r="S50" s="490"/>
      <c r="T50" s="490"/>
      <c r="U50" s="490"/>
      <c r="V50" s="490"/>
      <c r="W50" s="490"/>
      <c r="X50" s="490"/>
      <c r="Y50" s="490"/>
    </row>
    <row r="51" spans="8:29" x14ac:dyDescent="0.35">
      <c r="H51" s="1415"/>
      <c r="I51" s="1416"/>
      <c r="J51" s="1310">
        <v>2020</v>
      </c>
      <c r="K51" s="1328"/>
      <c r="L51" s="1328"/>
      <c r="M51" s="1310">
        <v>2021</v>
      </c>
      <c r="N51" s="1328"/>
      <c r="O51" s="1328"/>
      <c r="P51" s="1329"/>
      <c r="Q51" s="1359"/>
      <c r="R51" s="1359"/>
      <c r="S51" s="1359"/>
      <c r="T51" s="1359"/>
      <c r="U51" s="1359"/>
      <c r="V51" s="1359"/>
      <c r="W51" s="1359"/>
      <c r="X51" s="1359"/>
    </row>
    <row r="52" spans="8:29" x14ac:dyDescent="0.35">
      <c r="H52" s="1424"/>
      <c r="I52" s="1425"/>
      <c r="J52" s="149" t="s">
        <v>284</v>
      </c>
      <c r="K52" s="140" t="s">
        <v>238</v>
      </c>
      <c r="L52" s="140" t="s">
        <v>282</v>
      </c>
      <c r="M52" s="252" t="s">
        <v>283</v>
      </c>
      <c r="N52" s="253" t="s">
        <v>284</v>
      </c>
      <c r="O52" s="253" t="s">
        <v>238</v>
      </c>
      <c r="P52" s="251" t="s">
        <v>282</v>
      </c>
      <c r="Q52" s="188"/>
      <c r="S52" s="202"/>
      <c r="T52" s="202"/>
      <c r="U52" s="188"/>
      <c r="V52" s="202"/>
      <c r="W52" s="202"/>
      <c r="X52" s="202"/>
      <c r="Y52" s="202"/>
      <c r="Z52" s="202"/>
      <c r="AA52" s="202"/>
    </row>
    <row r="53" spans="8:29" ht="32.9" customHeight="1" x14ac:dyDescent="0.35">
      <c r="H53" s="448" t="s">
        <v>326</v>
      </c>
      <c r="I53" s="188" t="s">
        <v>327</v>
      </c>
      <c r="J53" s="996">
        <f>'Haver Pivoted'!GU47</f>
        <v>57.2</v>
      </c>
      <c r="K53" s="1008">
        <f>'Haver Pivoted'!GV47</f>
        <v>81.2</v>
      </c>
      <c r="L53" s="1008">
        <f>'Haver Pivoted'!GW47</f>
        <v>24.4</v>
      </c>
      <c r="M53" s="214">
        <f>'Haver Pivoted'!GX47</f>
        <v>11.7</v>
      </c>
      <c r="N53" s="214">
        <f>'Haver Pivoted'!GY47</f>
        <v>28.5</v>
      </c>
      <c r="O53" s="328">
        <f>'Haver Pivoted'!GZ47</f>
        <v>18.8</v>
      </c>
      <c r="P53" s="328">
        <f>'Haver Pivoted'!HA47</f>
        <v>1.6</v>
      </c>
      <c r="Q53" s="214"/>
      <c r="S53" s="202"/>
      <c r="T53" s="202"/>
      <c r="U53" s="202"/>
      <c r="V53" s="202"/>
      <c r="W53" s="202"/>
      <c r="X53" s="202"/>
      <c r="Y53" s="202"/>
      <c r="Z53" s="202"/>
      <c r="AA53" s="202"/>
    </row>
    <row r="54" spans="8:29" ht="33.75" customHeight="1" x14ac:dyDescent="0.35">
      <c r="H54" s="448" t="s">
        <v>328</v>
      </c>
      <c r="I54" s="192" t="s">
        <v>329</v>
      </c>
      <c r="J54" s="995">
        <f>'Haver Pivoted'!GU49</f>
        <v>576.9</v>
      </c>
      <c r="K54" s="214">
        <f>'Haver Pivoted'!GV49</f>
        <v>819.5</v>
      </c>
      <c r="L54" s="214">
        <f>'Haver Pivoted'!GW49</f>
        <v>246.3</v>
      </c>
      <c r="M54" s="214">
        <f>'Haver Pivoted'!GX49</f>
        <v>197</v>
      </c>
      <c r="N54" s="214">
        <f>'Haver Pivoted'!GY49</f>
        <v>441.2</v>
      </c>
      <c r="O54" s="328">
        <f>'Haver Pivoted'!GZ49</f>
        <v>276.7</v>
      </c>
      <c r="P54" s="328">
        <f>'Haver Pivoted'!HA49</f>
        <v>28.2</v>
      </c>
      <c r="Q54" s="214"/>
      <c r="R54" s="214"/>
    </row>
    <row r="55" spans="8:29" x14ac:dyDescent="0.35">
      <c r="H55" s="250" t="s">
        <v>312</v>
      </c>
      <c r="I55" s="188"/>
      <c r="J55" s="995">
        <f>J54+J53</f>
        <v>634.1</v>
      </c>
      <c r="K55" s="214">
        <f t="shared" ref="K55:M55" si="27">K54+K53</f>
        <v>900.7</v>
      </c>
      <c r="L55" s="214">
        <f t="shared" si="27"/>
        <v>270.7</v>
      </c>
      <c r="M55" s="214">
        <f t="shared" si="27"/>
        <v>208.7</v>
      </c>
      <c r="N55" s="214">
        <f t="shared" ref="N55:P55" si="28">N54+N53</f>
        <v>469.7</v>
      </c>
      <c r="O55" s="328">
        <f t="shared" si="28"/>
        <v>295.5</v>
      </c>
      <c r="P55" s="328">
        <f t="shared" si="28"/>
        <v>29.8</v>
      </c>
      <c r="Q55" s="214"/>
      <c r="R55" s="214"/>
    </row>
    <row r="56" spans="8:29" x14ac:dyDescent="0.35">
      <c r="H56" s="321" t="s">
        <v>330</v>
      </c>
      <c r="I56" s="543"/>
      <c r="J56" s="891">
        <f t="shared" ref="J56:P56" si="29">J53/J55</f>
        <v>9.0206592020186091E-2</v>
      </c>
      <c r="K56" s="892">
        <f t="shared" si="29"/>
        <v>9.015210391917397E-2</v>
      </c>
      <c r="L56" s="892">
        <f t="shared" si="29"/>
        <v>9.0136682674547469E-2</v>
      </c>
      <c r="M56" s="892">
        <f t="shared" si="29"/>
        <v>5.6061332055582176E-2</v>
      </c>
      <c r="N56" s="892">
        <f t="shared" si="29"/>
        <v>6.0677027890142649E-2</v>
      </c>
      <c r="O56" s="893">
        <f t="shared" si="29"/>
        <v>6.3620981387478848E-2</v>
      </c>
      <c r="P56" s="893">
        <f t="shared" si="29"/>
        <v>5.3691275167785234E-2</v>
      </c>
      <c r="Q56" s="999"/>
      <c r="R56" s="754"/>
    </row>
    <row r="58" spans="8:29" x14ac:dyDescent="0.35">
      <c r="H58" s="202" t="s">
        <v>821</v>
      </c>
    </row>
    <row r="59" spans="8:29" x14ac:dyDescent="0.35">
      <c r="H59" s="249"/>
      <c r="I59" s="188"/>
      <c r="J59" s="214"/>
      <c r="K59" s="214"/>
      <c r="L59" s="214"/>
      <c r="M59" s="214"/>
      <c r="N59" s="214"/>
      <c r="O59" s="214"/>
      <c r="P59" s="477"/>
      <c r="Q59" s="214"/>
      <c r="R59" s="214"/>
      <c r="S59" s="214"/>
      <c r="T59" s="202"/>
      <c r="U59" s="202"/>
      <c r="V59" s="202"/>
      <c r="W59" s="202"/>
      <c r="X59" s="202"/>
      <c r="Y59" s="202"/>
      <c r="Z59" s="202"/>
      <c r="AA59" s="202"/>
      <c r="AB59" s="202"/>
      <c r="AC59" s="202"/>
    </row>
    <row r="60" spans="8:29" x14ac:dyDescent="0.35">
      <c r="P60" s="214"/>
      <c r="Q60" s="202"/>
      <c r="R60" s="202"/>
      <c r="S60" s="202"/>
      <c r="T60" s="202"/>
      <c r="U60" s="202"/>
      <c r="V60" s="202"/>
      <c r="W60" s="202"/>
      <c r="X60" s="202"/>
      <c r="Y60" s="202"/>
      <c r="Z60" s="202"/>
      <c r="AA60" s="202"/>
      <c r="AB60" s="202"/>
      <c r="AC60" s="202"/>
    </row>
    <row r="61" spans="8:29" x14ac:dyDescent="0.35">
      <c r="P61" s="214"/>
      <c r="Q61" s="997"/>
      <c r="R61" s="997"/>
      <c r="S61" s="997"/>
      <c r="T61" s="997"/>
      <c r="U61" s="997"/>
      <c r="V61" s="997"/>
      <c r="W61" s="997"/>
      <c r="X61" s="997"/>
      <c r="Y61" s="997"/>
      <c r="Z61" s="997"/>
      <c r="AA61" s="997"/>
      <c r="AB61" s="997"/>
      <c r="AC61" s="202"/>
    </row>
    <row r="62" spans="8:29" x14ac:dyDescent="0.35">
      <c r="P62" s="214"/>
      <c r="Q62" s="997"/>
      <c r="R62" s="997"/>
      <c r="S62" s="997"/>
      <c r="T62" s="997"/>
      <c r="U62" s="997"/>
      <c r="V62" s="997"/>
      <c r="W62" s="997"/>
      <c r="X62" s="997"/>
      <c r="Y62" s="997"/>
      <c r="Z62" s="997"/>
      <c r="AA62" s="997"/>
      <c r="AB62" s="997"/>
      <c r="AC62" s="202"/>
    </row>
    <row r="63" spans="8:29" x14ac:dyDescent="0.35">
      <c r="I63" s="202" t="s">
        <v>283</v>
      </c>
      <c r="J63" s="202" t="s">
        <v>284</v>
      </c>
      <c r="K63" s="202" t="s">
        <v>238</v>
      </c>
      <c r="L63" s="202" t="s">
        <v>282</v>
      </c>
      <c r="P63" s="754"/>
      <c r="Q63" s="997"/>
      <c r="R63" s="997"/>
      <c r="S63" s="997"/>
      <c r="T63" s="997"/>
      <c r="U63" s="997"/>
      <c r="V63" s="997"/>
      <c r="W63" s="997"/>
      <c r="X63" s="997"/>
      <c r="Y63" s="997"/>
      <c r="Z63" s="997"/>
      <c r="AA63" s="997"/>
      <c r="AB63" s="997"/>
      <c r="AC63" s="202"/>
    </row>
    <row r="64" spans="8:29" x14ac:dyDescent="0.35">
      <c r="H64" s="202" t="s">
        <v>822</v>
      </c>
      <c r="I64" s="202">
        <v>81.599999999999994</v>
      </c>
      <c r="J64" s="202">
        <v>188.9</v>
      </c>
      <c r="K64" s="202">
        <v>117.2</v>
      </c>
      <c r="L64" s="202" t="e">
        <f>#REF!+#REF!</f>
        <v>#REF!</v>
      </c>
      <c r="P64" s="202"/>
      <c r="Q64" s="202"/>
      <c r="R64" s="202"/>
      <c r="S64" s="202"/>
      <c r="T64" s="202"/>
      <c r="U64" s="202"/>
      <c r="V64" s="202"/>
      <c r="W64" s="202"/>
      <c r="X64" s="202"/>
      <c r="Y64" s="202"/>
      <c r="Z64" s="202"/>
      <c r="AA64" s="202"/>
      <c r="AB64" s="202"/>
      <c r="AC64" s="202"/>
    </row>
    <row r="65" spans="7:29" x14ac:dyDescent="0.35">
      <c r="H65" s="202" t="s">
        <v>471</v>
      </c>
      <c r="I65" s="699">
        <f>M53</f>
        <v>11.7</v>
      </c>
      <c r="J65" s="699">
        <f t="shared" ref="J65:K65" si="30">N53</f>
        <v>28.5</v>
      </c>
      <c r="K65" s="699">
        <f t="shared" si="30"/>
        <v>18.8</v>
      </c>
      <c r="L65" s="202" t="e">
        <f>#REF!</f>
        <v>#REF!</v>
      </c>
      <c r="P65" s="202"/>
      <c r="Q65" s="202"/>
      <c r="R65" s="202"/>
      <c r="S65" s="202"/>
      <c r="T65" s="202"/>
      <c r="U65" s="202"/>
      <c r="V65" s="202"/>
      <c r="W65" s="202"/>
      <c r="X65" s="202"/>
      <c r="Y65" s="202"/>
      <c r="Z65" s="202"/>
      <c r="AA65" s="202"/>
      <c r="AB65" s="202"/>
      <c r="AC65" s="202"/>
    </row>
    <row r="66" spans="7:29" x14ac:dyDescent="0.35">
      <c r="H66" s="202" t="s">
        <v>823</v>
      </c>
      <c r="I66" s="699">
        <f>I67-SUM(I64:I65)</f>
        <v>115.39999999999999</v>
      </c>
      <c r="J66" s="699">
        <f t="shared" ref="J66:K66" si="31">J67-SUM(J64:J65)</f>
        <v>252.29999999999998</v>
      </c>
      <c r="K66" s="699">
        <f t="shared" si="31"/>
        <v>159.5</v>
      </c>
      <c r="L66" s="699" t="e">
        <f>1.26*L64</f>
        <v>#REF!</v>
      </c>
      <c r="P66" s="202"/>
      <c r="Q66" s="202"/>
      <c r="R66" s="202"/>
      <c r="S66" s="202"/>
      <c r="T66" s="202"/>
      <c r="U66" s="202"/>
      <c r="V66" s="202"/>
      <c r="W66" s="202"/>
      <c r="X66" s="202"/>
      <c r="Y66" s="202"/>
      <c r="Z66" s="202"/>
      <c r="AA66" s="202"/>
      <c r="AB66" s="202"/>
      <c r="AC66" s="202"/>
    </row>
    <row r="67" spans="7:29" x14ac:dyDescent="0.35">
      <c r="H67" s="202" t="s">
        <v>312</v>
      </c>
      <c r="I67" s="699">
        <f>M55</f>
        <v>208.7</v>
      </c>
      <c r="J67" s="699">
        <f>N55</f>
        <v>469.7</v>
      </c>
      <c r="K67" s="699">
        <f>O55</f>
        <v>295.5</v>
      </c>
      <c r="L67" s="699" t="e">
        <f>SUM(L64:L66)</f>
        <v>#REF!</v>
      </c>
    </row>
    <row r="68" spans="7:29" x14ac:dyDescent="0.35">
      <c r="G68" s="202" t="s">
        <v>824</v>
      </c>
    </row>
    <row r="69" spans="7:29" x14ac:dyDescent="0.35">
      <c r="H69" s="202" t="s">
        <v>822</v>
      </c>
      <c r="I69" s="586">
        <f>I64/I$67</f>
        <v>0.39099185433636796</v>
      </c>
      <c r="J69" s="586">
        <f t="shared" ref="J69:L69" si="32">J64/J$67</f>
        <v>0.40217159889291038</v>
      </c>
      <c r="K69" s="586">
        <f t="shared" si="32"/>
        <v>0.3966159052453469</v>
      </c>
      <c r="L69" s="586" t="e">
        <f t="shared" si="32"/>
        <v>#REF!</v>
      </c>
    </row>
    <row r="70" spans="7:29" x14ac:dyDescent="0.35">
      <c r="H70" s="202" t="s">
        <v>471</v>
      </c>
      <c r="I70" s="586">
        <f t="shared" ref="I70:L71" si="33">I65/I$67</f>
        <v>5.6061332055582176E-2</v>
      </c>
      <c r="J70" s="586">
        <f t="shared" si="33"/>
        <v>6.0677027890142649E-2</v>
      </c>
      <c r="K70" s="586">
        <f t="shared" si="33"/>
        <v>6.3620981387478848E-2</v>
      </c>
      <c r="L70" s="586" t="e">
        <f t="shared" si="33"/>
        <v>#REF!</v>
      </c>
    </row>
    <row r="71" spans="7:29" x14ac:dyDescent="0.35">
      <c r="H71" s="202" t="s">
        <v>823</v>
      </c>
      <c r="I71" s="586">
        <f t="shared" si="33"/>
        <v>0.55294681360804987</v>
      </c>
      <c r="J71" s="586">
        <f t="shared" si="33"/>
        <v>0.53715137321694695</v>
      </c>
      <c r="K71" s="586">
        <f t="shared" si="33"/>
        <v>0.53976311336717431</v>
      </c>
      <c r="L71" s="586" t="e">
        <f t="shared" si="33"/>
        <v>#REF!</v>
      </c>
    </row>
    <row r="73" spans="7:29" x14ac:dyDescent="0.35">
      <c r="H73" s="202" t="s">
        <v>825</v>
      </c>
      <c r="I73" s="202">
        <f>I66/I64</f>
        <v>1.4142156862745099</v>
      </c>
      <c r="J73" s="202">
        <f t="shared" ref="J73:K73" si="34">J66/J64</f>
        <v>1.3356273160402328</v>
      </c>
      <c r="K73" s="20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B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77" t="s">
        <v>152</v>
      </c>
      <c r="C1" s="1277"/>
      <c r="D1" s="1277"/>
      <c r="E1" s="1277"/>
      <c r="F1" s="1277"/>
      <c r="G1" s="1277"/>
      <c r="H1" s="1277"/>
      <c r="I1" s="1277"/>
      <c r="J1" s="1277"/>
      <c r="K1" s="1277"/>
      <c r="L1" s="1277"/>
      <c r="M1" s="1277"/>
      <c r="N1" s="1277"/>
      <c r="O1" s="1277"/>
      <c r="P1" s="1277"/>
      <c r="Q1" s="1277"/>
      <c r="R1" s="1277"/>
      <c r="S1" s="1277"/>
      <c r="T1" s="1277"/>
    </row>
    <row r="2" spans="1:22" x14ac:dyDescent="0.35">
      <c r="B2" s="1439" t="s">
        <v>861</v>
      </c>
      <c r="C2" s="1439"/>
      <c r="D2" s="1439"/>
      <c r="E2" s="1439"/>
      <c r="F2" s="1439"/>
      <c r="G2" s="1439"/>
      <c r="H2" s="1439"/>
      <c r="I2" s="1439"/>
      <c r="J2" s="1439"/>
      <c r="K2" s="1439"/>
      <c r="L2" s="1439"/>
      <c r="M2" s="1439"/>
      <c r="N2" s="1439"/>
      <c r="O2" s="1439"/>
      <c r="P2" s="1439"/>
      <c r="Q2" s="1439"/>
      <c r="R2" s="1439"/>
      <c r="S2" s="1439"/>
      <c r="T2" s="1439"/>
    </row>
    <row r="3" spans="1:22" x14ac:dyDescent="0.35">
      <c r="B3" s="1439"/>
      <c r="C3" s="1439"/>
      <c r="D3" s="1439"/>
      <c r="E3" s="1439"/>
      <c r="F3" s="1439"/>
      <c r="G3" s="1439"/>
      <c r="H3" s="1439"/>
      <c r="I3" s="1439"/>
      <c r="J3" s="1439"/>
      <c r="K3" s="1439"/>
      <c r="L3" s="1439"/>
      <c r="M3" s="1439"/>
      <c r="N3" s="1439"/>
      <c r="O3" s="1439"/>
      <c r="P3" s="1439"/>
      <c r="Q3" s="1439"/>
      <c r="R3" s="1439"/>
      <c r="S3" s="1439"/>
      <c r="T3" s="1439"/>
    </row>
    <row r="4" spans="1:22" x14ac:dyDescent="0.35">
      <c r="B4" s="1439"/>
      <c r="C4" s="1439"/>
      <c r="D4" s="1439"/>
      <c r="E4" s="1439"/>
      <c r="F4" s="1439"/>
      <c r="G4" s="1439"/>
      <c r="H4" s="1439"/>
      <c r="I4" s="1439"/>
      <c r="J4" s="1439"/>
      <c r="K4" s="1439"/>
      <c r="L4" s="1439"/>
      <c r="M4" s="1439"/>
      <c r="N4" s="1439"/>
      <c r="O4" s="1439"/>
      <c r="P4" s="1439"/>
      <c r="Q4" s="1439"/>
      <c r="R4" s="1439"/>
      <c r="S4" s="1439"/>
      <c r="T4" s="1439"/>
    </row>
    <row r="5" spans="1:22" x14ac:dyDescent="0.35">
      <c r="B5" s="1439"/>
      <c r="C5" s="1439"/>
      <c r="D5" s="1439"/>
      <c r="E5" s="1439"/>
      <c r="F5" s="1439"/>
      <c r="G5" s="1439"/>
      <c r="H5" s="1439"/>
      <c r="I5" s="1439"/>
      <c r="J5" s="1439"/>
      <c r="K5" s="1439"/>
      <c r="L5" s="1439"/>
      <c r="M5" s="1439"/>
      <c r="N5" s="1439"/>
      <c r="O5" s="1439"/>
      <c r="P5" s="1439"/>
      <c r="Q5" s="1439"/>
      <c r="R5" s="1439"/>
      <c r="S5" s="1439"/>
      <c r="T5" s="1439"/>
    </row>
    <row r="6" spans="1:22" x14ac:dyDescent="0.35">
      <c r="B6" s="1439"/>
      <c r="C6" s="1439"/>
      <c r="D6" s="1439"/>
      <c r="E6" s="1439"/>
      <c r="F6" s="1439"/>
      <c r="G6" s="1439"/>
      <c r="H6" s="1439"/>
      <c r="I6" s="1439"/>
      <c r="J6" s="1439"/>
      <c r="K6" s="1439"/>
      <c r="L6" s="1439"/>
      <c r="M6" s="1439"/>
      <c r="N6" s="1439"/>
      <c r="O6" s="1439"/>
      <c r="P6" s="1439"/>
      <c r="Q6" s="1439"/>
      <c r="R6" s="1439"/>
      <c r="S6" s="1439"/>
      <c r="T6" s="1439"/>
    </row>
    <row r="7" spans="1:22" x14ac:dyDescent="0.35">
      <c r="J7" s="170"/>
      <c r="K7" s="170"/>
      <c r="M7" s="170"/>
    </row>
    <row r="9" spans="1:22" ht="14.9" customHeight="1" x14ac:dyDescent="0.35">
      <c r="A9" s="136"/>
      <c r="B9" s="1440" t="s">
        <v>304</v>
      </c>
      <c r="C9" s="1441"/>
      <c r="D9" s="1027">
        <v>2018</v>
      </c>
      <c r="E9" s="1446">
        <v>2019</v>
      </c>
      <c r="F9" s="1447"/>
      <c r="G9" s="1447"/>
      <c r="H9" s="1448"/>
      <c r="I9" s="1444">
        <v>2020</v>
      </c>
      <c r="J9" s="1445"/>
      <c r="K9" s="1445"/>
      <c r="L9" s="1445"/>
      <c r="M9" s="1449">
        <v>2021</v>
      </c>
      <c r="N9" s="1450"/>
      <c r="O9" s="1450"/>
      <c r="P9" s="1451"/>
      <c r="Q9" s="1444">
        <v>2022</v>
      </c>
      <c r="R9" s="1452"/>
      <c r="S9" s="1452"/>
      <c r="T9" s="1453"/>
    </row>
    <row r="10" spans="1:22" x14ac:dyDescent="0.35">
      <c r="B10" s="1442"/>
      <c r="C10" s="1443"/>
      <c r="D10" s="1031" t="s">
        <v>282</v>
      </c>
      <c r="E10" s="1032" t="s">
        <v>283</v>
      </c>
      <c r="F10" s="139" t="s">
        <v>284</v>
      </c>
      <c r="G10" s="139" t="s">
        <v>238</v>
      </c>
      <c r="H10" s="1033" t="s">
        <v>282</v>
      </c>
      <c r="I10" s="1032" t="s">
        <v>283</v>
      </c>
      <c r="J10" s="139" t="s">
        <v>284</v>
      </c>
      <c r="K10" s="139" t="s">
        <v>238</v>
      </c>
      <c r="L10" s="139" t="s">
        <v>282</v>
      </c>
      <c r="M10" s="149" t="s">
        <v>283</v>
      </c>
      <c r="N10" s="140" t="s">
        <v>284</v>
      </c>
      <c r="O10" s="140" t="s">
        <v>238</v>
      </c>
      <c r="P10" s="146" t="s">
        <v>282</v>
      </c>
      <c r="Q10" s="139" t="s">
        <v>283</v>
      </c>
      <c r="R10" s="139" t="s">
        <v>284</v>
      </c>
      <c r="S10" s="139" t="s">
        <v>238</v>
      </c>
      <c r="T10" s="1033" t="s">
        <v>282</v>
      </c>
    </row>
    <row r="11" spans="1:22" ht="29.15" customHeight="1" x14ac:dyDescent="0.35">
      <c r="A11" s="1025"/>
      <c r="B11" s="1035" t="s">
        <v>139</v>
      </c>
      <c r="C11" s="1030" t="s">
        <v>305</v>
      </c>
      <c r="D11" s="1019"/>
      <c r="E11" s="1020"/>
      <c r="F11" s="1020"/>
      <c r="G11" s="1020"/>
      <c r="H11" s="1020"/>
      <c r="I11" s="1020"/>
      <c r="J11" s="1012">
        <f>'Haver Pivoted'!GU48</f>
        <v>160.9</v>
      </c>
      <c r="K11" s="1012">
        <f>'Haver Pivoted'!GV48</f>
        <v>58.4</v>
      </c>
      <c r="L11" s="1012">
        <f>'Haver Pivoted'!GW48</f>
        <v>34.5</v>
      </c>
      <c r="M11" s="1012">
        <f>'Haver Pivoted'!GX48</f>
        <v>21.4</v>
      </c>
      <c r="N11" s="1012">
        <f>'Haver Pivoted'!GY48</f>
        <v>13.3</v>
      </c>
      <c r="O11" s="1012">
        <f>'Haver Pivoted'!GZ48</f>
        <v>18.7</v>
      </c>
      <c r="P11" s="1012">
        <f>'Haver Pivoted'!HA48</f>
        <v>32.200000000000003</v>
      </c>
      <c r="Q11" s="1012">
        <f>'Haver Pivoted'!HB48</f>
        <v>26.9</v>
      </c>
      <c r="R11" s="1012">
        <f>'Haver Pivoted'!HC48</f>
        <v>20</v>
      </c>
      <c r="S11" s="1018">
        <f>'Haver Pivoted'!HD48</f>
        <v>8.1</v>
      </c>
      <c r="T11" s="1013">
        <f>'Haver Pivoted'!HE48</f>
        <v>4.9000000000000004</v>
      </c>
    </row>
    <row r="12" spans="1:22" ht="29.15" customHeight="1" x14ac:dyDescent="0.35">
      <c r="A12" s="1025"/>
      <c r="B12" s="1023" t="s">
        <v>306</v>
      </c>
      <c r="C12" s="127" t="s">
        <v>307</v>
      </c>
      <c r="D12" s="1023"/>
      <c r="E12" s="127"/>
      <c r="F12" s="127"/>
      <c r="G12" s="127"/>
      <c r="H12" s="127"/>
      <c r="I12" s="127"/>
      <c r="J12" s="1014">
        <f>'Haver Pivoted'!GU58</f>
        <v>64.400000000000006</v>
      </c>
      <c r="K12" s="1014">
        <f>'Haver Pivoted'!GV58</f>
        <v>23.4</v>
      </c>
      <c r="L12" s="1014">
        <f>'Haver Pivoted'!GW58</f>
        <v>13.8</v>
      </c>
      <c r="M12" s="1014">
        <f>'Haver Pivoted'!GX58</f>
        <v>12</v>
      </c>
      <c r="N12" s="1014">
        <f>'Haver Pivoted'!GY58</f>
        <v>7.5</v>
      </c>
      <c r="O12" s="1014">
        <f>'Haver Pivoted'!GZ58</f>
        <v>10.5</v>
      </c>
      <c r="P12" s="1014">
        <f>'Haver Pivoted'!HA58</f>
        <v>18</v>
      </c>
      <c r="Q12" s="1014">
        <f>'Haver Pivoted'!HB58</f>
        <v>15</v>
      </c>
      <c r="R12" s="1014">
        <f>'Haver Pivoted'!HC58</f>
        <v>11.2</v>
      </c>
      <c r="S12" s="1017">
        <f>'Haver Pivoted'!HD58</f>
        <v>7.5</v>
      </c>
      <c r="T12" s="1021">
        <f>'Haver Pivoted'!HE58</f>
        <v>6.2</v>
      </c>
    </row>
    <row r="13" spans="1:22" ht="47.15" customHeight="1" x14ac:dyDescent="0.35">
      <c r="A13" s="1025"/>
      <c r="B13" s="1023" t="s">
        <v>308</v>
      </c>
      <c r="C13" s="127" t="s">
        <v>309</v>
      </c>
      <c r="D13" s="1023"/>
      <c r="E13" s="127"/>
      <c r="F13" s="127"/>
      <c r="G13" s="127"/>
      <c r="H13" s="127"/>
      <c r="I13" s="127"/>
      <c r="J13" s="1014">
        <f>'Haver Pivoted'!GU54</f>
        <v>96.6</v>
      </c>
      <c r="K13" s="1014">
        <f>'Haver Pivoted'!GV54</f>
        <v>35.1</v>
      </c>
      <c r="L13" s="1014">
        <f>'Haver Pivoted'!GW54</f>
        <v>20.7</v>
      </c>
      <c r="M13" s="1014">
        <f>'Haver Pivoted'!GX54</f>
        <v>15.4</v>
      </c>
      <c r="N13" s="1014">
        <f>'Haver Pivoted'!GY54</f>
        <v>9.6</v>
      </c>
      <c r="O13" s="1014">
        <f>'Haver Pivoted'!GZ54</f>
        <v>13.5</v>
      </c>
      <c r="P13" s="1014">
        <f>'Haver Pivoted'!HA54</f>
        <v>23.2</v>
      </c>
      <c r="Q13" s="1014">
        <f>'Haver Pivoted'!HB54</f>
        <v>19.3</v>
      </c>
      <c r="R13" s="1014">
        <f>'Haver Pivoted'!HC54</f>
        <v>14.4</v>
      </c>
      <c r="S13" s="1017">
        <f>'Haver Pivoted'!HD54</f>
        <v>5.9</v>
      </c>
      <c r="T13" s="1021">
        <f>'Haver Pivoted'!HE54</f>
        <v>3.6</v>
      </c>
      <c r="U13" s="1015" t="s">
        <v>310</v>
      </c>
      <c r="V13" s="1028" t="s">
        <v>311</v>
      </c>
    </row>
    <row r="14" spans="1:22" x14ac:dyDescent="0.35">
      <c r="B14" s="54" t="s">
        <v>312</v>
      </c>
      <c r="C14" s="56"/>
      <c r="D14" s="54"/>
      <c r="E14" s="56"/>
      <c r="F14" s="56"/>
      <c r="G14" s="56"/>
      <c r="H14" s="56"/>
      <c r="I14" s="56"/>
      <c r="J14" s="1014">
        <f t="shared" ref="J14:T14" si="0">J13+J12+J11</f>
        <v>321.89999999999998</v>
      </c>
      <c r="K14" s="1014">
        <f t="shared" si="0"/>
        <v>116.9</v>
      </c>
      <c r="L14" s="1014">
        <f t="shared" si="0"/>
        <v>69</v>
      </c>
      <c r="M14" s="1014">
        <f t="shared" si="0"/>
        <v>48.8</v>
      </c>
      <c r="N14" s="1014">
        <f t="shared" si="0"/>
        <v>30.400000000000002</v>
      </c>
      <c r="O14" s="1014">
        <f t="shared" si="0"/>
        <v>42.7</v>
      </c>
      <c r="P14" s="1014">
        <f t="shared" si="0"/>
        <v>73.400000000000006</v>
      </c>
      <c r="Q14" s="1014">
        <f t="shared" si="0"/>
        <v>61.199999999999996</v>
      </c>
      <c r="R14" s="1014">
        <f t="shared" si="0"/>
        <v>45.6</v>
      </c>
      <c r="S14" s="1017">
        <f t="shared" si="0"/>
        <v>21.5</v>
      </c>
      <c r="T14" s="1021">
        <f t="shared" si="0"/>
        <v>14.700000000000001</v>
      </c>
      <c r="U14" s="1016">
        <v>236</v>
      </c>
      <c r="V14" s="1034">
        <f>SUM(J14:S14)/4</f>
        <v>207.85</v>
      </c>
    </row>
    <row r="15" spans="1:22" x14ac:dyDescent="0.35">
      <c r="B15" s="1024" t="s">
        <v>313</v>
      </c>
      <c r="C15" s="58"/>
      <c r="D15" s="1024"/>
      <c r="E15" s="58"/>
      <c r="F15" s="58"/>
      <c r="G15" s="58"/>
      <c r="H15" s="58"/>
      <c r="I15" s="58"/>
      <c r="J15" s="136">
        <f t="shared" ref="J15:N17" si="1">J11/J$14</f>
        <v>0.49984467225846541</v>
      </c>
      <c r="K15" s="136">
        <f t="shared" si="1"/>
        <v>0.49957228400342168</v>
      </c>
      <c r="L15" s="136">
        <f t="shared" si="1"/>
        <v>0.5</v>
      </c>
      <c r="M15" s="136">
        <f t="shared" si="1"/>
        <v>0.43852459016393441</v>
      </c>
      <c r="N15" s="136">
        <f t="shared" si="1"/>
        <v>0.4375</v>
      </c>
      <c r="O15" s="136">
        <f>O11/O$14</f>
        <v>0.43793911007025754</v>
      </c>
      <c r="P15" s="136">
        <f t="shared" ref="P15:T15" si="2">P11/P$14</f>
        <v>0.43869209809264303</v>
      </c>
      <c r="Q15" s="136">
        <f t="shared" si="2"/>
        <v>0.43954248366013071</v>
      </c>
      <c r="R15" s="136">
        <f t="shared" si="2"/>
        <v>0.43859649122807015</v>
      </c>
      <c r="S15" s="139">
        <f t="shared" si="2"/>
        <v>0.37674418604651161</v>
      </c>
      <c r="T15" s="1033">
        <f t="shared" si="2"/>
        <v>0.33333333333333331</v>
      </c>
    </row>
    <row r="16" spans="1:22" x14ac:dyDescent="0.35">
      <c r="B16" s="1024" t="s">
        <v>314</v>
      </c>
      <c r="C16" s="58"/>
      <c r="D16" s="1024"/>
      <c r="E16" s="58"/>
      <c r="F16" s="58"/>
      <c r="G16" s="58"/>
      <c r="H16" s="58"/>
      <c r="I16" s="58"/>
      <c r="J16" s="136">
        <f t="shared" si="1"/>
        <v>0.20006213109661389</v>
      </c>
      <c r="K16" s="136">
        <f t="shared" si="1"/>
        <v>0.20017108639863129</v>
      </c>
      <c r="L16" s="136">
        <f t="shared" si="1"/>
        <v>0.2</v>
      </c>
      <c r="M16" s="136">
        <f t="shared" si="1"/>
        <v>0.24590163934426232</v>
      </c>
      <c r="N16" s="136">
        <f t="shared" si="1"/>
        <v>0.24671052631578946</v>
      </c>
      <c r="O16" s="136">
        <f t="shared" ref="O16:T16" si="3">O12/O$14</f>
        <v>0.24590163934426229</v>
      </c>
      <c r="P16" s="136">
        <f t="shared" si="3"/>
        <v>0.24523160762942778</v>
      </c>
      <c r="Q16" s="136">
        <f t="shared" si="3"/>
        <v>0.24509803921568629</v>
      </c>
      <c r="R16" s="136">
        <f t="shared" si="3"/>
        <v>0.24561403508771928</v>
      </c>
      <c r="S16" s="139">
        <f t="shared" si="3"/>
        <v>0.34883720930232559</v>
      </c>
      <c r="T16" s="1033">
        <f t="shared" si="3"/>
        <v>0.42176870748299317</v>
      </c>
      <c r="U16" s="122"/>
    </row>
    <row r="17" spans="2:21" x14ac:dyDescent="0.35">
      <c r="B17" s="1026" t="s">
        <v>315</v>
      </c>
      <c r="C17" s="1029"/>
      <c r="D17" s="1026"/>
      <c r="E17" s="1029"/>
      <c r="F17" s="1029"/>
      <c r="G17" s="1029"/>
      <c r="H17" s="1029"/>
      <c r="I17" s="1029"/>
      <c r="J17" s="630">
        <f t="shared" si="1"/>
        <v>0.30009319664492079</v>
      </c>
      <c r="K17" s="630">
        <f t="shared" si="1"/>
        <v>0.30025662959794697</v>
      </c>
      <c r="L17" s="630">
        <f t="shared" si="1"/>
        <v>0.3</v>
      </c>
      <c r="M17" s="630">
        <f t="shared" si="1"/>
        <v>0.3155737704918033</v>
      </c>
      <c r="N17" s="630">
        <f t="shared" si="1"/>
        <v>0.31578947368421051</v>
      </c>
      <c r="O17" s="630">
        <f t="shared" ref="O17:T17" si="4">O13/O$14</f>
        <v>0.31615925058548006</v>
      </c>
      <c r="P17" s="630">
        <f t="shared" si="4"/>
        <v>0.3160762942779291</v>
      </c>
      <c r="Q17" s="630">
        <f t="shared" si="4"/>
        <v>0.31535947712418305</v>
      </c>
      <c r="R17" s="630">
        <f t="shared" si="4"/>
        <v>0.31578947368421051</v>
      </c>
      <c r="S17" s="1036">
        <f t="shared" si="4"/>
        <v>0.2744186046511628</v>
      </c>
      <c r="T17" s="1022">
        <f t="shared" si="4"/>
        <v>0.24489795918367346</v>
      </c>
    </row>
    <row r="18" spans="2:21" x14ac:dyDescent="0.35">
      <c r="B18" s="58"/>
      <c r="C18" s="58"/>
      <c r="D18" s="58"/>
      <c r="E18" s="58"/>
      <c r="F18" s="58"/>
      <c r="G18" s="58"/>
      <c r="H18" s="58"/>
      <c r="I18" s="58"/>
      <c r="J18" s="136"/>
      <c r="K18" s="136"/>
      <c r="L18" s="136"/>
      <c r="M18" s="136"/>
      <c r="N18" s="136"/>
      <c r="O18" s="136"/>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7" activePane="bottomLeft" state="frozen"/>
      <selection pane="bottomLeft" activeCell="D8" sqref="D8"/>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62" t="s">
        <v>37</v>
      </c>
      <c r="B2" s="1263"/>
      <c r="C2" s="1263"/>
      <c r="D2" s="1264"/>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928</v>
      </c>
      <c r="E7" s="16"/>
      <c r="F7" s="14"/>
    </row>
    <row r="8" spans="1:6" ht="29.9" customHeight="1" x14ac:dyDescent="0.35">
      <c r="A8" s="19" t="s">
        <v>75</v>
      </c>
      <c r="B8" s="14" t="s">
        <v>76</v>
      </c>
      <c r="C8" s="14" t="s">
        <v>77</v>
      </c>
      <c r="D8" s="23" t="s">
        <v>925</v>
      </c>
      <c r="E8" s="16"/>
      <c r="F8" s="14"/>
    </row>
    <row r="9" spans="1:6" ht="48.65" customHeight="1" x14ac:dyDescent="0.35">
      <c r="A9" s="19" t="s">
        <v>47</v>
      </c>
      <c r="B9" s="14" t="s">
        <v>48</v>
      </c>
      <c r="C9" s="14" t="s">
        <v>847</v>
      </c>
      <c r="D9" s="23" t="s">
        <v>925</v>
      </c>
      <c r="E9" s="16"/>
      <c r="F9" s="14"/>
    </row>
    <row r="10" spans="1:6" ht="22.5" customHeight="1" x14ac:dyDescent="0.35">
      <c r="A10" s="1262" t="s">
        <v>848</v>
      </c>
      <c r="B10" s="1263"/>
      <c r="C10" s="1263"/>
      <c r="D10" s="1264"/>
      <c r="E10" s="16"/>
      <c r="F10" s="14"/>
    </row>
    <row r="11" spans="1:6" ht="22.5" customHeight="1" x14ac:dyDescent="0.35">
      <c r="A11" s="20" t="s">
        <v>75</v>
      </c>
      <c r="B11" s="1275" t="s">
        <v>858</v>
      </c>
      <c r="C11" s="1276"/>
      <c r="D11" s="31"/>
      <c r="E11" s="16"/>
      <c r="F11" s="14"/>
    </row>
    <row r="12" spans="1:6" ht="33" customHeight="1" x14ac:dyDescent="0.35">
      <c r="A12" s="20" t="s">
        <v>857</v>
      </c>
      <c r="B12" s="1268" t="s">
        <v>859</v>
      </c>
      <c r="C12" s="1268"/>
      <c r="D12" s="23"/>
      <c r="E12" s="14"/>
      <c r="F12" s="14"/>
    </row>
    <row r="13" spans="1:6" ht="39.65" customHeight="1" x14ac:dyDescent="0.35">
      <c r="A13" s="18" t="s">
        <v>849</v>
      </c>
      <c r="B13" s="1268" t="s">
        <v>860</v>
      </c>
      <c r="C13" s="1268"/>
      <c r="D13" s="23"/>
    </row>
    <row r="14" spans="1:6" ht="38.9" customHeight="1" x14ac:dyDescent="0.35">
      <c r="A14" s="18" t="s">
        <v>851</v>
      </c>
      <c r="B14" s="1268" t="s">
        <v>852</v>
      </c>
      <c r="C14" s="1268"/>
      <c r="D14" s="23"/>
    </row>
    <row r="15" spans="1:6" ht="20.149999999999999" customHeight="1" x14ac:dyDescent="0.35">
      <c r="A15" s="1265" t="s">
        <v>59</v>
      </c>
      <c r="B15" s="1266"/>
      <c r="C15" s="1266"/>
      <c r="D15" s="1267"/>
    </row>
    <row r="16" spans="1:6" ht="24.65" customHeight="1" x14ac:dyDescent="0.35">
      <c r="A16" s="1269" t="s">
        <v>828</v>
      </c>
      <c r="B16" s="1270"/>
      <c r="C16" s="1271"/>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272" t="s">
        <v>827</v>
      </c>
      <c r="B20" s="1273"/>
      <c r="C20" s="1274"/>
      <c r="D20" s="23"/>
    </row>
    <row r="21" spans="1:7" x14ac:dyDescent="0.35">
      <c r="A21" s="1265" t="s">
        <v>62</v>
      </c>
      <c r="B21" s="1266"/>
      <c r="C21" s="1266"/>
      <c r="D21" s="1267"/>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314" t="s">
        <v>56</v>
      </c>
      <c r="C1" s="1314"/>
      <c r="D1" s="1314"/>
      <c r="E1" s="1314"/>
      <c r="F1" s="1314"/>
      <c r="G1" s="1314"/>
      <c r="H1" s="1314"/>
      <c r="I1" s="1314"/>
      <c r="J1" s="1314"/>
      <c r="K1" s="1314"/>
      <c r="L1" s="1314"/>
      <c r="M1" s="1314"/>
      <c r="N1" s="1314"/>
      <c r="O1" s="1314"/>
      <c r="P1" s="1314"/>
      <c r="Q1" s="1314"/>
      <c r="R1" s="1314"/>
      <c r="S1" s="1314"/>
      <c r="T1" s="1314"/>
      <c r="U1" s="1314"/>
      <c r="V1" s="1314"/>
      <c r="W1" s="1314"/>
      <c r="X1" s="1314"/>
      <c r="Y1" s="1314"/>
      <c r="Z1" s="1314"/>
      <c r="AA1" s="1314"/>
      <c r="AB1" s="1314"/>
      <c r="AC1" s="1314"/>
    </row>
    <row r="2" spans="1:29" ht="14.9" customHeight="1" x14ac:dyDescent="0.35">
      <c r="B2" s="1315" t="s">
        <v>460</v>
      </c>
      <c r="C2" s="1315"/>
      <c r="D2" s="1315"/>
      <c r="E2" s="1315"/>
      <c r="F2" s="1315"/>
      <c r="G2" s="1315"/>
      <c r="H2" s="1315"/>
      <c r="I2" s="1315"/>
      <c r="J2" s="1315"/>
      <c r="K2" s="1315"/>
      <c r="L2" s="1315"/>
      <c r="M2" s="1315"/>
      <c r="N2" s="1315"/>
      <c r="O2" s="1315"/>
      <c r="P2" s="1315"/>
      <c r="Q2" s="1315"/>
      <c r="R2" s="1315"/>
      <c r="S2" s="1315"/>
      <c r="T2" s="1315"/>
      <c r="U2" s="1315"/>
      <c r="V2" s="1315"/>
      <c r="W2" s="1315"/>
      <c r="X2" s="1315"/>
      <c r="Y2" s="1315"/>
      <c r="Z2" s="1315"/>
      <c r="AA2" s="1315"/>
      <c r="AB2" s="1315"/>
      <c r="AC2" s="1315"/>
    </row>
    <row r="3" spans="1:29" x14ac:dyDescent="0.35">
      <c r="B3" s="1315"/>
      <c r="C3" s="1315"/>
      <c r="D3" s="1315"/>
      <c r="E3" s="1315"/>
      <c r="F3" s="1315"/>
      <c r="G3" s="1315"/>
      <c r="H3" s="1315"/>
      <c r="I3" s="1315"/>
      <c r="J3" s="1315"/>
      <c r="K3" s="1315"/>
      <c r="L3" s="1315"/>
      <c r="M3" s="1315"/>
      <c r="N3" s="1315"/>
      <c r="O3" s="1315"/>
      <c r="P3" s="1315"/>
      <c r="Q3" s="1315"/>
      <c r="R3" s="1315"/>
      <c r="S3" s="1315"/>
      <c r="T3" s="1315"/>
      <c r="U3" s="1315"/>
      <c r="V3" s="1315"/>
      <c r="W3" s="1315"/>
      <c r="X3" s="1315"/>
      <c r="Y3" s="1315"/>
      <c r="Z3" s="1315"/>
      <c r="AA3" s="1315"/>
      <c r="AB3" s="1315"/>
      <c r="AC3" s="1315"/>
    </row>
    <row r="4" spans="1:29" x14ac:dyDescent="0.35">
      <c r="B4" s="1315"/>
      <c r="C4" s="1315"/>
      <c r="D4" s="1315"/>
      <c r="E4" s="1315"/>
      <c r="F4" s="1315"/>
      <c r="G4" s="1315"/>
      <c r="H4" s="1315"/>
      <c r="I4" s="1315"/>
      <c r="J4" s="1315"/>
      <c r="K4" s="1315"/>
      <c r="L4" s="1315"/>
      <c r="M4" s="1315"/>
      <c r="N4" s="1315"/>
      <c r="O4" s="1315"/>
      <c r="P4" s="1315"/>
      <c r="Q4" s="1315"/>
      <c r="R4" s="1315"/>
      <c r="S4" s="1315"/>
      <c r="T4" s="1315"/>
      <c r="U4" s="1315"/>
      <c r="V4" s="1315"/>
      <c r="W4" s="1315"/>
      <c r="X4" s="1315"/>
      <c r="Y4" s="1315"/>
      <c r="Z4" s="1315"/>
      <c r="AA4" s="1315"/>
      <c r="AB4" s="1315"/>
      <c r="AC4" s="1315"/>
    </row>
    <row r="5" spans="1:29" x14ac:dyDescent="0.35">
      <c r="B5" s="364"/>
      <c r="C5" s="202"/>
      <c r="D5" s="202"/>
      <c r="E5" s="202"/>
      <c r="F5" s="202"/>
      <c r="G5" s="202"/>
      <c r="H5" s="202"/>
      <c r="I5" s="202"/>
      <c r="J5" s="202"/>
      <c r="K5" s="202"/>
      <c r="L5" s="202"/>
      <c r="M5" s="202"/>
      <c r="N5" s="202"/>
      <c r="O5" s="202"/>
      <c r="P5" s="202"/>
      <c r="Q5" s="202"/>
      <c r="R5" s="202"/>
      <c r="S5" s="202"/>
      <c r="T5" s="202"/>
      <c r="U5" s="202"/>
      <c r="V5" s="202"/>
      <c r="W5" s="202"/>
      <c r="X5" s="202"/>
      <c r="Y5" s="202"/>
    </row>
    <row r="6" spans="1:29" x14ac:dyDescent="0.35">
      <c r="B6" s="1319" t="s">
        <v>405</v>
      </c>
      <c r="C6" s="1320"/>
      <c r="D6" s="1338" t="s">
        <v>280</v>
      </c>
      <c r="E6" s="1339"/>
      <c r="F6" s="1339"/>
      <c r="G6" s="1339"/>
      <c r="H6" s="1339"/>
      <c r="I6" s="1339"/>
      <c r="J6" s="1339"/>
      <c r="K6" s="1339"/>
      <c r="L6" s="1339"/>
      <c r="M6" s="1339"/>
      <c r="N6" s="1339"/>
      <c r="O6" s="1339"/>
      <c r="P6" s="1339"/>
      <c r="Q6" s="1384"/>
      <c r="R6" s="1384"/>
      <c r="S6" s="1384"/>
      <c r="T6" s="1320"/>
      <c r="U6" s="1342" t="s">
        <v>281</v>
      </c>
      <c r="V6" s="1342"/>
      <c r="W6" s="1342"/>
      <c r="X6" s="1342"/>
      <c r="Y6" s="1342"/>
      <c r="Z6" s="1342"/>
      <c r="AA6" s="1342"/>
      <c r="AB6" s="1342"/>
      <c r="AC6" s="1343"/>
    </row>
    <row r="7" spans="1:29" x14ac:dyDescent="0.35">
      <c r="B7" s="1321"/>
      <c r="C7" s="1322"/>
      <c r="D7" s="142">
        <v>2018</v>
      </c>
      <c r="E7" s="1310">
        <v>2019</v>
      </c>
      <c r="F7" s="1328"/>
      <c r="G7" s="1328"/>
      <c r="H7" s="1329"/>
      <c r="I7" s="1310">
        <v>2020</v>
      </c>
      <c r="J7" s="1328"/>
      <c r="K7" s="1328"/>
      <c r="L7" s="1328"/>
      <c r="M7" s="1310">
        <v>2021</v>
      </c>
      <c r="N7" s="1328"/>
      <c r="O7" s="1328"/>
      <c r="P7" s="1328"/>
      <c r="Q7" s="1310">
        <v>2022</v>
      </c>
      <c r="R7" s="1311"/>
      <c r="S7" s="1311"/>
      <c r="T7" s="1329"/>
      <c r="U7" s="1326">
        <v>2023</v>
      </c>
      <c r="V7" s="1337"/>
      <c r="W7" s="1337"/>
      <c r="X7" s="1337"/>
      <c r="Y7" s="1325">
        <v>2024</v>
      </c>
      <c r="Z7" s="1337"/>
      <c r="AA7" s="1337"/>
      <c r="AB7" s="1327"/>
      <c r="AC7" s="213">
        <v>2025</v>
      </c>
    </row>
    <row r="8" spans="1:29" x14ac:dyDescent="0.35">
      <c r="B8" s="1323"/>
      <c r="C8" s="1324"/>
      <c r="D8" s="149" t="s">
        <v>282</v>
      </c>
      <c r="E8" s="149" t="s">
        <v>283</v>
      </c>
      <c r="F8" s="140" t="s">
        <v>284</v>
      </c>
      <c r="G8" s="140" t="s">
        <v>238</v>
      </c>
      <c r="H8" s="146" t="s">
        <v>282</v>
      </c>
      <c r="I8" s="140" t="s">
        <v>283</v>
      </c>
      <c r="J8" s="140" t="s">
        <v>284</v>
      </c>
      <c r="K8" s="140" t="s">
        <v>238</v>
      </c>
      <c r="L8" s="140" t="s">
        <v>282</v>
      </c>
      <c r="M8" s="149" t="s">
        <v>283</v>
      </c>
      <c r="N8" s="140" t="s">
        <v>284</v>
      </c>
      <c r="O8" s="140" t="s">
        <v>238</v>
      </c>
      <c r="P8" s="140" t="s">
        <v>282</v>
      </c>
      <c r="Q8" s="149" t="s">
        <v>283</v>
      </c>
      <c r="R8" s="140" t="s">
        <v>284</v>
      </c>
      <c r="S8" s="140" t="s">
        <v>238</v>
      </c>
      <c r="T8" s="146" t="s">
        <v>282</v>
      </c>
      <c r="U8" s="280" t="s">
        <v>283</v>
      </c>
      <c r="V8" s="280" t="s">
        <v>284</v>
      </c>
      <c r="W8" s="280" t="s">
        <v>238</v>
      </c>
      <c r="X8" s="280" t="s">
        <v>282</v>
      </c>
      <c r="Y8" s="400" t="s">
        <v>283</v>
      </c>
      <c r="Z8" s="289" t="s">
        <v>284</v>
      </c>
      <c r="AA8" s="280" t="s">
        <v>238</v>
      </c>
      <c r="AB8" s="399" t="s">
        <v>282</v>
      </c>
      <c r="AC8" s="854" t="s">
        <v>283</v>
      </c>
    </row>
    <row r="9" spans="1:29" x14ac:dyDescent="0.35">
      <c r="B9" s="542" t="s">
        <v>56</v>
      </c>
      <c r="C9" s="453" t="s">
        <v>461</v>
      </c>
      <c r="D9" s="542"/>
      <c r="E9" s="695"/>
      <c r="F9" s="695"/>
      <c r="G9" s="695"/>
      <c r="H9" s="695"/>
      <c r="I9" s="695"/>
      <c r="J9" s="273">
        <f>'Haver Pivoted'!GU45</f>
        <v>1078.0999999999999</v>
      </c>
      <c r="K9" s="273">
        <f>'Haver Pivoted'!GV45</f>
        <v>15.6</v>
      </c>
      <c r="L9" s="273">
        <f>'Haver Pivoted'!GW45</f>
        <v>5</v>
      </c>
      <c r="M9" s="273">
        <f>'Haver Pivoted'!GX45</f>
        <v>1933.7</v>
      </c>
      <c r="N9" s="273">
        <f>'Haver Pivoted'!GY45</f>
        <v>290.10000000000002</v>
      </c>
      <c r="O9" s="273">
        <f>'Haver Pivoted'!GZ45</f>
        <v>38.9</v>
      </c>
      <c r="P9" s="273">
        <f>'Haver Pivoted'!HA45</f>
        <v>14.2</v>
      </c>
      <c r="Q9" s="273">
        <f>'Haver Pivoted'!HB45</f>
        <v>0</v>
      </c>
      <c r="R9" s="273">
        <f>'Haver Pivoted'!HC45</f>
        <v>0</v>
      </c>
      <c r="S9" s="143">
        <f>'Haver Pivoted'!HD45</f>
        <v>0</v>
      </c>
      <c r="T9" s="187">
        <f>'Haver Pivoted'!HE45</f>
        <v>0</v>
      </c>
      <c r="U9" s="259"/>
      <c r="V9" s="259"/>
      <c r="W9" s="259"/>
      <c r="X9" s="259"/>
      <c r="Y9" s="259"/>
      <c r="Z9" s="259"/>
      <c r="AA9" s="259"/>
      <c r="AB9" s="259"/>
      <c r="AC9" s="185"/>
    </row>
    <row r="10" spans="1:29" x14ac:dyDescent="0.35">
      <c r="B10" s="562" t="s">
        <v>214</v>
      </c>
      <c r="C10" s="229"/>
      <c r="D10" s="562"/>
      <c r="E10" s="229"/>
      <c r="F10" s="229"/>
      <c r="G10" s="229"/>
      <c r="H10" s="229"/>
      <c r="I10" s="229"/>
      <c r="J10" s="611"/>
      <c r="K10" s="611"/>
      <c r="L10" s="611"/>
      <c r="M10" s="611">
        <f t="shared" ref="M10:T10" si="0">M9-M11</f>
        <v>1348.1</v>
      </c>
      <c r="N10" s="611">
        <f t="shared" si="0"/>
        <v>290.10000000000002</v>
      </c>
      <c r="O10" s="611">
        <f t="shared" si="0"/>
        <v>38.9</v>
      </c>
      <c r="P10" s="611">
        <f t="shared" si="0"/>
        <v>14.2</v>
      </c>
      <c r="Q10" s="611">
        <f t="shared" si="0"/>
        <v>0</v>
      </c>
      <c r="R10" s="611">
        <f t="shared" si="0"/>
        <v>0</v>
      </c>
      <c r="S10" s="1047">
        <f t="shared" si="0"/>
        <v>0</v>
      </c>
      <c r="T10" s="1037">
        <f t="shared" si="0"/>
        <v>0</v>
      </c>
      <c r="U10" s="1045"/>
      <c r="V10" s="1045"/>
      <c r="W10" s="1045"/>
      <c r="X10" s="1045"/>
      <c r="Y10" s="1045"/>
      <c r="Z10" s="1045"/>
      <c r="AA10" s="1045"/>
      <c r="AB10" s="1045"/>
      <c r="AC10" s="1046"/>
    </row>
    <row r="11" spans="1:29" x14ac:dyDescent="0.35">
      <c r="B11" s="516" t="s">
        <v>462</v>
      </c>
      <c r="C11" s="517"/>
      <c r="D11" s="516"/>
      <c r="E11" s="517"/>
      <c r="F11" s="517"/>
      <c r="G11" s="517"/>
      <c r="H11" s="517"/>
      <c r="I11" s="517"/>
      <c r="J11" s="631">
        <f t="shared" ref="J11:L11" si="1">J9-J10</f>
        <v>1078.0999999999999</v>
      </c>
      <c r="K11" s="631">
        <f t="shared" si="1"/>
        <v>15.6</v>
      </c>
      <c r="L11" s="631">
        <f t="shared" si="1"/>
        <v>5</v>
      </c>
      <c r="M11" s="631">
        <f>SUM(C17:D17)/12*4</f>
        <v>585.6</v>
      </c>
      <c r="N11" s="631">
        <v>0</v>
      </c>
      <c r="O11" s="631">
        <v>0</v>
      </c>
      <c r="P11" s="631">
        <v>0</v>
      </c>
      <c r="Q11" s="631">
        <v>0</v>
      </c>
      <c r="R11" s="631">
        <v>0</v>
      </c>
      <c r="S11" s="631">
        <v>0</v>
      </c>
      <c r="T11" s="937"/>
      <c r="U11" s="1039"/>
      <c r="V11" s="1039"/>
      <c r="W11" s="1039"/>
      <c r="X11" s="1039"/>
      <c r="Y11" s="1039"/>
      <c r="Z11" s="1039"/>
      <c r="AA11" s="1039"/>
      <c r="AB11" s="1039"/>
      <c r="AC11" s="1040"/>
    </row>
    <row r="12" spans="1:29" x14ac:dyDescent="0.35">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35"/>
      <c r="AA12" s="35"/>
      <c r="AB12" s="35"/>
      <c r="AC12" s="35"/>
    </row>
    <row r="13" spans="1:29" x14ac:dyDescent="0.35">
      <c r="A13" s="75"/>
      <c r="B13" s="75"/>
      <c r="C13" s="75"/>
      <c r="D13" s="75"/>
      <c r="E13" s="75"/>
      <c r="F13" s="75"/>
      <c r="G13" s="75"/>
      <c r="H13" s="75"/>
      <c r="I13" s="75"/>
      <c r="J13" s="75"/>
      <c r="K13" s="75"/>
      <c r="L13" s="97"/>
      <c r="M13" s="97"/>
      <c r="N13" s="97"/>
    </row>
    <row r="14" spans="1:29" x14ac:dyDescent="0.35">
      <c r="A14" s="75"/>
      <c r="N14" s="35"/>
    </row>
    <row r="15" spans="1:29" x14ac:dyDescent="0.35">
      <c r="A15" s="136"/>
      <c r="B15" s="1454" t="s">
        <v>463</v>
      </c>
      <c r="C15" s="1444">
        <v>2021</v>
      </c>
      <c r="D15" s="1445"/>
      <c r="E15" s="1445"/>
      <c r="F15" s="1445"/>
      <c r="G15" s="47"/>
      <c r="K15" s="1456"/>
      <c r="L15" s="1456"/>
      <c r="M15" s="35"/>
      <c r="N15" s="35"/>
    </row>
    <row r="16" spans="1:29" x14ac:dyDescent="0.35">
      <c r="B16" s="1455"/>
      <c r="C16" s="1042" t="s">
        <v>234</v>
      </c>
      <c r="D16" s="1036" t="s">
        <v>235</v>
      </c>
      <c r="E16" s="1036" t="s">
        <v>236</v>
      </c>
      <c r="F16" s="1036" t="s">
        <v>237</v>
      </c>
      <c r="G16" s="1038"/>
      <c r="H16" s="136"/>
      <c r="I16" s="136"/>
      <c r="J16" s="136"/>
      <c r="K16" s="136"/>
      <c r="L16" s="136"/>
      <c r="M16" s="136"/>
      <c r="N16" s="136"/>
    </row>
    <row r="17" spans="2:29" ht="16.399999999999999" customHeight="1" x14ac:dyDescent="0.35">
      <c r="B17" s="1041" t="s">
        <v>464</v>
      </c>
      <c r="C17" s="1043">
        <v>1660.9</v>
      </c>
      <c r="D17" s="1043">
        <v>95.9</v>
      </c>
      <c r="E17" s="1043">
        <v>4044.2</v>
      </c>
      <c r="F17" s="1044">
        <v>688</v>
      </c>
      <c r="G17" s="107"/>
      <c r="H17" s="107"/>
      <c r="I17" s="107"/>
      <c r="J17" s="107"/>
      <c r="K17" s="107"/>
      <c r="L17" s="107"/>
      <c r="M17" s="202"/>
      <c r="N17" s="202"/>
    </row>
    <row r="18" spans="2:29" x14ac:dyDescent="0.35">
      <c r="B18" s="998" t="s">
        <v>465</v>
      </c>
      <c r="C18" s="202"/>
      <c r="D18" s="202"/>
      <c r="E18" s="202"/>
      <c r="F18" s="202"/>
      <c r="G18" s="202"/>
      <c r="H18" s="202"/>
      <c r="I18" s="202"/>
      <c r="J18" s="202"/>
      <c r="K18" s="202"/>
      <c r="L18" s="202"/>
      <c r="M18" s="202"/>
      <c r="N18" s="202"/>
    </row>
    <row r="19" spans="2:29" x14ac:dyDescent="0.35">
      <c r="B19" s="202"/>
      <c r="C19" s="202"/>
      <c r="D19" s="202"/>
      <c r="E19" s="202"/>
      <c r="F19" s="202"/>
      <c r="G19" s="202"/>
      <c r="H19" s="202"/>
      <c r="I19" s="202"/>
      <c r="J19" s="202"/>
      <c r="K19" s="202"/>
      <c r="L19" s="202"/>
      <c r="M19" s="202"/>
      <c r="N19" s="202"/>
    </row>
    <row r="20" spans="2:29" x14ac:dyDescent="0.35">
      <c r="B20" s="998"/>
      <c r="C20" s="202"/>
      <c r="D20" s="202"/>
      <c r="E20" s="202"/>
      <c r="F20" s="202"/>
      <c r="G20" s="202"/>
      <c r="H20" s="202"/>
      <c r="I20" s="202"/>
      <c r="J20" s="202"/>
      <c r="K20" s="202"/>
      <c r="L20" s="202"/>
      <c r="M20" s="202"/>
      <c r="N20" s="202"/>
    </row>
    <row r="21" spans="2:29" x14ac:dyDescent="0.35">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35"/>
      <c r="AA21" s="35"/>
      <c r="AB21" s="35"/>
      <c r="AC21" s="35"/>
    </row>
    <row r="22" spans="2:29" x14ac:dyDescent="0.35">
      <c r="B22" s="75"/>
      <c r="C22" s="75"/>
      <c r="D22" s="75"/>
      <c r="E22" s="75"/>
      <c r="F22" s="75"/>
      <c r="G22" s="75"/>
      <c r="H22" s="75"/>
      <c r="I22" s="75"/>
      <c r="J22" s="75"/>
      <c r="K22" s="75"/>
      <c r="L22" s="97"/>
      <c r="M22" s="97"/>
      <c r="N22" s="97"/>
    </row>
    <row r="23" spans="2:29" x14ac:dyDescent="0.35">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row>
    <row r="24" spans="2:29" x14ac:dyDescent="0.35">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row>
    <row r="25" spans="2:29" x14ac:dyDescent="0.35">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row>
    <row r="26" spans="2:29" x14ac:dyDescent="0.35">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row>
    <row r="27" spans="2:29" x14ac:dyDescent="0.35">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row>
    <row r="28" spans="2:29" x14ac:dyDescent="0.35">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row>
    <row r="29" spans="2:29" x14ac:dyDescent="0.35">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row>
    <row r="30" spans="2:29" x14ac:dyDescent="0.35">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row>
    <row r="31" spans="2:29" x14ac:dyDescent="0.35">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row>
    <row r="32" spans="2:29" x14ac:dyDescent="0.35">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row>
    <row r="33" spans="2:25" x14ac:dyDescent="0.35">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row>
    <row r="34" spans="2:25" x14ac:dyDescent="0.35">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row>
    <row r="35" spans="2:25" x14ac:dyDescent="0.35">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row>
    <row r="36" spans="2:25" x14ac:dyDescent="0.35">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row>
    <row r="37" spans="2:25" x14ac:dyDescent="0.35">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row>
    <row r="38" spans="2:25" x14ac:dyDescent="0.35">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row>
    <row r="39" spans="2:25" x14ac:dyDescent="0.35">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row>
    <row r="40" spans="2:25" x14ac:dyDescent="0.35">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row>
    <row r="41" spans="2:25" x14ac:dyDescent="0.35">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row>
    <row r="42" spans="2:25" x14ac:dyDescent="0.35">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row>
    <row r="43" spans="2:25" x14ac:dyDescent="0.35">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row>
    <row r="44" spans="2:25" x14ac:dyDescent="0.35">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row>
    <row r="45" spans="2:25" x14ac:dyDescent="0.35">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row>
    <row r="46" spans="2:25" x14ac:dyDescent="0.35">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row>
    <row r="47" spans="2:25" x14ac:dyDescent="0.35">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row>
    <row r="48" spans="2:25" x14ac:dyDescent="0.35">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row>
    <row r="49" spans="2:25" x14ac:dyDescent="0.35">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row>
    <row r="50" spans="2:25" x14ac:dyDescent="0.35">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row>
    <row r="51" spans="2:25" x14ac:dyDescent="0.35">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row>
    <row r="52" spans="2:25" x14ac:dyDescent="0.35">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D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76"/>
  <sheetViews>
    <sheetView topLeftCell="E7" workbookViewId="0">
      <selection activeCell="R12" sqref="R12"/>
    </sheetView>
  </sheetViews>
  <sheetFormatPr defaultColWidth="10.90625" defaultRowHeight="14.5" x14ac:dyDescent="0.35"/>
  <sheetData>
    <row r="1" spans="1:22" x14ac:dyDescent="0.35">
      <c r="A1" s="730" t="s">
        <v>1945</v>
      </c>
      <c r="B1" s="730"/>
      <c r="C1" s="730"/>
      <c r="D1" s="730"/>
      <c r="E1" s="730"/>
      <c r="F1" s="730"/>
      <c r="G1" s="730"/>
      <c r="H1" s="730"/>
      <c r="I1" s="730"/>
      <c r="J1" s="730"/>
      <c r="K1" s="730"/>
      <c r="L1" s="730"/>
      <c r="M1" s="730"/>
      <c r="N1" s="730"/>
      <c r="O1" s="730"/>
      <c r="P1" s="730"/>
      <c r="Q1" s="730"/>
      <c r="R1" s="730"/>
      <c r="S1" s="730"/>
      <c r="T1" s="730"/>
      <c r="U1" s="730"/>
      <c r="V1" s="730"/>
    </row>
    <row r="2" spans="1:22" x14ac:dyDescent="0.35">
      <c r="A2" s="730" t="s">
        <v>1946</v>
      </c>
      <c r="B2" s="730"/>
      <c r="C2" s="730"/>
      <c r="D2" s="730"/>
      <c r="E2" s="730"/>
      <c r="F2" s="730"/>
      <c r="G2" s="730"/>
      <c r="H2" s="730"/>
      <c r="I2" s="730"/>
      <c r="J2" s="730"/>
      <c r="K2" s="730"/>
      <c r="L2" s="730"/>
      <c r="M2" s="730"/>
      <c r="N2" s="730"/>
      <c r="O2" s="730"/>
      <c r="P2" s="730"/>
      <c r="Q2" s="730"/>
      <c r="R2" s="730"/>
      <c r="S2" s="730"/>
      <c r="T2" s="730"/>
      <c r="U2" s="730"/>
      <c r="V2" s="730"/>
    </row>
    <row r="3" spans="1:22" x14ac:dyDescent="0.35">
      <c r="A3" s="730"/>
      <c r="B3" s="730"/>
      <c r="C3" s="730"/>
      <c r="D3" s="730"/>
      <c r="E3" s="730"/>
      <c r="F3" s="730"/>
      <c r="G3" s="730"/>
      <c r="H3" s="730"/>
      <c r="I3" s="730"/>
      <c r="J3" s="730"/>
      <c r="K3" s="730"/>
      <c r="L3" s="730"/>
      <c r="M3" s="730"/>
      <c r="N3" s="730"/>
      <c r="O3" s="730"/>
      <c r="P3" s="730"/>
      <c r="Q3" s="730"/>
      <c r="R3" s="730"/>
      <c r="S3" s="730"/>
      <c r="T3" s="730"/>
      <c r="U3" s="730"/>
      <c r="V3" s="730"/>
    </row>
    <row r="4" spans="1:22" x14ac:dyDescent="0.35">
      <c r="A4" s="730" t="s">
        <v>1947</v>
      </c>
      <c r="B4" s="730"/>
      <c r="C4" s="730"/>
      <c r="D4" s="730"/>
      <c r="E4" s="730"/>
      <c r="F4" s="730"/>
      <c r="G4" s="730"/>
      <c r="H4" s="730"/>
      <c r="I4" s="730"/>
      <c r="J4" s="730"/>
      <c r="K4" s="730"/>
      <c r="L4" s="730"/>
      <c r="M4" s="730"/>
      <c r="N4" s="730"/>
      <c r="O4" s="730"/>
      <c r="P4" s="730"/>
      <c r="Q4" s="730"/>
      <c r="R4" s="730"/>
      <c r="S4" s="730"/>
      <c r="T4" s="730"/>
      <c r="U4" s="730"/>
      <c r="V4" s="730"/>
    </row>
    <row r="5" spans="1:22" x14ac:dyDescent="0.35">
      <c r="A5" s="730" t="s">
        <v>1948</v>
      </c>
      <c r="B5" s="730" t="s">
        <v>1949</v>
      </c>
      <c r="C5" s="730"/>
      <c r="D5" s="730"/>
      <c r="E5" s="730"/>
      <c r="F5" s="730"/>
      <c r="G5" s="730"/>
      <c r="H5" s="730"/>
      <c r="I5" s="730"/>
      <c r="J5" s="730"/>
      <c r="K5" s="730"/>
      <c r="L5" s="730"/>
      <c r="M5" s="730"/>
      <c r="N5" s="730"/>
      <c r="O5" s="730"/>
      <c r="P5" s="730"/>
      <c r="Q5" s="730"/>
      <c r="R5" s="730"/>
      <c r="S5" s="730"/>
      <c r="T5" s="730"/>
      <c r="U5" s="730"/>
      <c r="V5" s="730"/>
    </row>
    <row r="6" spans="1:22" x14ac:dyDescent="0.35">
      <c r="A6" s="730" t="s">
        <v>1950</v>
      </c>
      <c r="B6" s="730"/>
      <c r="C6" s="730"/>
      <c r="D6" s="730"/>
      <c r="E6" s="730"/>
      <c r="F6" s="730"/>
      <c r="G6" s="730"/>
      <c r="H6" s="730"/>
      <c r="I6" s="730"/>
      <c r="J6" s="730"/>
      <c r="K6" s="730"/>
      <c r="L6" s="730"/>
      <c r="M6" s="730"/>
      <c r="N6" s="730"/>
      <c r="O6" s="730"/>
      <c r="P6" s="730"/>
      <c r="Q6" s="730"/>
      <c r="R6" s="730"/>
      <c r="S6" s="730"/>
      <c r="T6" s="730"/>
      <c r="U6" s="730"/>
      <c r="V6" s="730"/>
    </row>
    <row r="7" spans="1:22" x14ac:dyDescent="0.35">
      <c r="A7" s="730" t="s">
        <v>1951</v>
      </c>
      <c r="B7" s="730"/>
      <c r="C7" s="730"/>
      <c r="D7" s="730"/>
      <c r="E7" s="730"/>
      <c r="F7" s="730"/>
      <c r="G7" s="730"/>
      <c r="H7" s="730"/>
      <c r="I7" s="730"/>
      <c r="J7" s="730"/>
      <c r="K7" s="730"/>
      <c r="L7" s="730"/>
      <c r="M7" s="730"/>
      <c r="N7" s="730"/>
      <c r="O7" s="730"/>
      <c r="P7" s="730"/>
      <c r="Q7" s="730"/>
      <c r="R7" s="730"/>
      <c r="S7" s="730"/>
      <c r="T7" s="730"/>
      <c r="U7" s="730"/>
      <c r="V7" s="730"/>
    </row>
    <row r="8" spans="1:22" x14ac:dyDescent="0.35">
      <c r="A8" s="730"/>
      <c r="B8" s="730"/>
      <c r="C8" s="730"/>
      <c r="D8" s="730"/>
      <c r="E8" s="730"/>
      <c r="F8" s="730"/>
      <c r="G8" s="730"/>
      <c r="H8" s="730"/>
      <c r="I8" s="730"/>
      <c r="J8" s="730"/>
      <c r="K8" s="730"/>
      <c r="L8" s="730"/>
      <c r="M8" s="730"/>
      <c r="N8" s="730"/>
      <c r="O8" s="730"/>
      <c r="P8" s="730"/>
      <c r="Q8" s="730"/>
      <c r="R8" s="730"/>
      <c r="S8" s="730"/>
      <c r="T8" s="730"/>
      <c r="U8" s="730"/>
      <c r="V8" s="730"/>
    </row>
    <row r="9" spans="1:22" x14ac:dyDescent="0.35">
      <c r="A9" s="730"/>
      <c r="B9" s="730"/>
      <c r="C9" s="730"/>
      <c r="D9" s="730"/>
      <c r="E9" s="730"/>
      <c r="F9" s="730"/>
      <c r="G9" s="730"/>
      <c r="H9" s="730"/>
      <c r="I9" s="730"/>
      <c r="J9" s="730"/>
      <c r="K9" s="730"/>
      <c r="L9" s="730"/>
      <c r="M9" s="730"/>
      <c r="N9" s="730"/>
      <c r="O9" s="730"/>
      <c r="P9" s="730"/>
      <c r="Q9" s="730"/>
      <c r="R9" s="730"/>
      <c r="S9" s="730"/>
      <c r="T9" s="730"/>
      <c r="U9" s="730"/>
      <c r="V9" s="730"/>
    </row>
    <row r="10" spans="1:22" x14ac:dyDescent="0.35">
      <c r="A10" s="730"/>
      <c r="B10" s="731" t="s">
        <v>184</v>
      </c>
      <c r="C10" s="731" t="s">
        <v>185</v>
      </c>
      <c r="D10" s="731" t="s">
        <v>186</v>
      </c>
      <c r="E10" s="731" t="s">
        <v>187</v>
      </c>
      <c r="F10" s="731" t="s">
        <v>188</v>
      </c>
      <c r="G10" s="731" t="s">
        <v>189</v>
      </c>
      <c r="H10" s="731" t="s">
        <v>190</v>
      </c>
      <c r="I10" s="731" t="s">
        <v>191</v>
      </c>
      <c r="J10" s="731" t="s">
        <v>175</v>
      </c>
      <c r="K10" s="731" t="s">
        <v>176</v>
      </c>
      <c r="L10" s="731" t="s">
        <v>177</v>
      </c>
      <c r="M10" s="731" t="s">
        <v>769</v>
      </c>
      <c r="N10" s="731" t="s">
        <v>770</v>
      </c>
      <c r="O10" s="731" t="s">
        <v>771</v>
      </c>
      <c r="P10" s="731" t="s">
        <v>1163</v>
      </c>
      <c r="Q10" s="731" t="s">
        <v>1164</v>
      </c>
      <c r="R10" s="731"/>
      <c r="S10" s="731"/>
      <c r="T10" s="731"/>
      <c r="U10" s="731"/>
      <c r="V10" s="730"/>
    </row>
    <row r="11" spans="1:22" x14ac:dyDescent="0.35">
      <c r="A11" s="730"/>
      <c r="B11" s="730"/>
      <c r="C11" s="730"/>
      <c r="D11" s="730"/>
      <c r="E11" s="730"/>
      <c r="F11" s="730"/>
      <c r="G11" s="730"/>
      <c r="H11" s="730"/>
      <c r="I11" s="730"/>
      <c r="J11" s="730"/>
      <c r="K11" s="730"/>
      <c r="L11" s="730"/>
      <c r="M11" s="730"/>
      <c r="N11" s="730"/>
      <c r="O11" s="730"/>
      <c r="P11" s="730"/>
      <c r="Q11" s="730"/>
      <c r="R11" s="730"/>
      <c r="S11" s="730"/>
      <c r="T11" s="730"/>
      <c r="U11" s="730"/>
      <c r="V11" s="730"/>
    </row>
    <row r="12" spans="1:22" x14ac:dyDescent="0.35">
      <c r="A12" s="730" t="s">
        <v>1952</v>
      </c>
      <c r="B12" s="730">
        <v>11.428571428571429</v>
      </c>
      <c r="C12" s="730">
        <v>13</v>
      </c>
      <c r="D12" s="730">
        <v>33</v>
      </c>
      <c r="E12" s="730">
        <v>60</v>
      </c>
      <c r="F12" s="730">
        <v>88</v>
      </c>
      <c r="G12" s="730">
        <v>106</v>
      </c>
      <c r="H12" s="730">
        <v>114.28571428571429</v>
      </c>
      <c r="I12" s="730">
        <v>112</v>
      </c>
      <c r="J12" s="730">
        <v>101</v>
      </c>
      <c r="K12" s="730">
        <v>90</v>
      </c>
      <c r="L12" s="730">
        <v>52</v>
      </c>
      <c r="M12" s="730">
        <v>28</v>
      </c>
      <c r="N12" s="730">
        <v>28.571428571428573</v>
      </c>
      <c r="O12" s="730">
        <v>28.571428571428573</v>
      </c>
      <c r="P12" s="730">
        <v>28.571428571428573</v>
      </c>
      <c r="Q12" s="730">
        <v>28.571428571428573</v>
      </c>
      <c r="R12" s="730"/>
      <c r="S12" s="730"/>
      <c r="T12" s="730"/>
      <c r="U12" s="730"/>
      <c r="V12" s="730"/>
    </row>
    <row r="13" spans="1:22" x14ac:dyDescent="0.35">
      <c r="A13" s="730" t="s">
        <v>1953</v>
      </c>
      <c r="B13" s="732">
        <v>1.2372660206226285</v>
      </c>
      <c r="C13" s="732">
        <v>1.248682720244251</v>
      </c>
      <c r="D13" s="732">
        <v>1.2615323491280164</v>
      </c>
      <c r="E13" s="732">
        <v>1.2711595804574931</v>
      </c>
      <c r="F13" s="732">
        <v>1.2805988589197217</v>
      </c>
      <c r="G13" s="732">
        <v>1.2903026473835131</v>
      </c>
      <c r="H13" s="732">
        <v>1.2992703261336995</v>
      </c>
      <c r="I13" s="732">
        <v>1.3072384685165053</v>
      </c>
      <c r="J13" s="732">
        <v>1.3154269306958029</v>
      </c>
      <c r="K13" s="732">
        <v>1.3233344552591992</v>
      </c>
      <c r="L13" s="732">
        <v>1.3308984310938612</v>
      </c>
      <c r="M13" s="732">
        <v>1.3383543012580754</v>
      </c>
      <c r="N13" s="732">
        <v>1.3457221150918501</v>
      </c>
      <c r="O13" s="732">
        <v>1.3530984416878797</v>
      </c>
      <c r="P13" s="1048">
        <v>0</v>
      </c>
      <c r="Q13" s="1048">
        <v>0</v>
      </c>
      <c r="V13" s="730"/>
    </row>
    <row r="14" spans="1:22" x14ac:dyDescent="0.35">
      <c r="A14" s="730" t="s">
        <v>1954</v>
      </c>
      <c r="B14" s="730">
        <v>14.140183092830039</v>
      </c>
      <c r="C14" s="730">
        <v>16.232875363175264</v>
      </c>
      <c r="D14" s="730">
        <v>41.630567521224542</v>
      </c>
      <c r="E14" s="730">
        <v>76.269574827449588</v>
      </c>
      <c r="F14" s="730">
        <v>112.69269958493551</v>
      </c>
      <c r="G14" s="730">
        <v>136.7720806226524</v>
      </c>
      <c r="H14" s="730">
        <v>148.48803727242282</v>
      </c>
      <c r="I14" s="730">
        <v>146.41070847384859</v>
      </c>
      <c r="J14" s="730">
        <v>132.8581200002761</v>
      </c>
      <c r="K14" s="730">
        <v>119.10010097332793</v>
      </c>
      <c r="L14" s="730">
        <v>69.206718416880776</v>
      </c>
      <c r="M14" s="730">
        <v>37.473920435226113</v>
      </c>
      <c r="N14" s="730">
        <v>38.44920328833858</v>
      </c>
      <c r="O14" s="730">
        <v>38.659955476796569</v>
      </c>
      <c r="P14" s="730">
        <v>0</v>
      </c>
      <c r="Q14" s="730">
        <v>0</v>
      </c>
      <c r="R14" s="730"/>
      <c r="S14" s="730"/>
      <c r="T14" s="730"/>
      <c r="U14" s="730"/>
      <c r="V14" s="730"/>
    </row>
    <row r="15" spans="1:22" x14ac:dyDescent="0.35">
      <c r="A15" s="730"/>
      <c r="B15" s="730"/>
      <c r="C15" s="730"/>
      <c r="D15" s="730"/>
      <c r="E15" s="730"/>
      <c r="F15" s="730"/>
      <c r="G15" s="730"/>
      <c r="H15" s="730"/>
      <c r="I15" s="730"/>
      <c r="J15" s="730"/>
      <c r="K15" s="730"/>
      <c r="L15" s="730"/>
      <c r="M15" s="730"/>
      <c r="N15" s="730"/>
      <c r="O15" s="730"/>
      <c r="P15" s="730"/>
      <c r="Q15" s="730"/>
      <c r="R15" s="730"/>
      <c r="S15" s="730"/>
      <c r="T15" s="730"/>
      <c r="U15" s="730"/>
      <c r="V15" s="730"/>
    </row>
    <row r="16" spans="1:22" x14ac:dyDescent="0.35">
      <c r="A16" t="s">
        <v>1945</v>
      </c>
      <c r="B16" s="730"/>
      <c r="C16" s="730"/>
      <c r="D16" s="730"/>
      <c r="E16" s="730"/>
      <c r="F16" s="730"/>
      <c r="G16" s="730"/>
      <c r="H16" s="730"/>
      <c r="I16" s="730"/>
      <c r="J16" s="730"/>
      <c r="K16" s="730"/>
      <c r="L16" s="730"/>
      <c r="M16" s="730"/>
      <c r="N16" s="730"/>
      <c r="O16" s="730"/>
      <c r="P16" s="730"/>
      <c r="Q16" s="730"/>
      <c r="R16" s="730"/>
      <c r="S16" s="730"/>
      <c r="T16" s="730"/>
      <c r="U16" s="730"/>
      <c r="V16" s="730"/>
    </row>
    <row r="17" spans="1:22" x14ac:dyDescent="0.35">
      <c r="A17" t="s">
        <v>1946</v>
      </c>
      <c r="B17" s="730"/>
      <c r="C17" s="730"/>
      <c r="D17" s="730"/>
      <c r="E17" s="730"/>
      <c r="F17" s="730"/>
      <c r="G17" s="730"/>
      <c r="H17" s="730"/>
      <c r="I17" s="730"/>
      <c r="J17" s="730"/>
      <c r="K17" s="730"/>
      <c r="L17" s="730"/>
      <c r="M17" s="730"/>
      <c r="N17" s="730"/>
      <c r="O17" s="730"/>
      <c r="P17" s="730"/>
      <c r="Q17" s="730"/>
      <c r="R17" s="730"/>
      <c r="S17" s="730"/>
      <c r="T17" s="730"/>
      <c r="U17" s="730"/>
      <c r="V17" s="730"/>
    </row>
    <row r="18" spans="1:22" x14ac:dyDescent="0.35">
      <c r="B18" s="730"/>
      <c r="C18" s="730"/>
      <c r="D18" s="730"/>
      <c r="E18" s="730"/>
      <c r="F18" s="730"/>
      <c r="G18" s="730"/>
      <c r="H18" s="730"/>
      <c r="I18" s="730"/>
      <c r="J18" s="730"/>
      <c r="K18" s="730"/>
      <c r="L18" s="730"/>
      <c r="M18" s="730"/>
      <c r="N18" s="730"/>
      <c r="O18" s="730"/>
      <c r="P18" s="730"/>
      <c r="Q18" s="730"/>
      <c r="R18" s="730"/>
      <c r="S18" s="730"/>
      <c r="T18" s="730"/>
      <c r="U18" s="730"/>
      <c r="V18" s="730"/>
    </row>
    <row r="19" spans="1:22" x14ac:dyDescent="0.35">
      <c r="A19" t="s">
        <v>1947</v>
      </c>
      <c r="B19" s="730"/>
      <c r="C19" s="730"/>
      <c r="D19" s="730"/>
      <c r="E19" s="730"/>
      <c r="F19" s="730"/>
      <c r="G19" s="730"/>
      <c r="H19" s="730"/>
      <c r="I19" s="730"/>
      <c r="J19" s="730"/>
      <c r="K19" s="730"/>
      <c r="L19" s="730"/>
      <c r="M19" s="730"/>
      <c r="N19" s="730"/>
      <c r="O19" s="730"/>
      <c r="P19" s="730"/>
      <c r="Q19" s="730"/>
      <c r="R19" s="730"/>
      <c r="S19" s="730"/>
      <c r="T19" s="730"/>
      <c r="U19" s="730"/>
      <c r="V19" s="730"/>
    </row>
    <row r="20" spans="1:22" x14ac:dyDescent="0.35">
      <c r="A20" t="s">
        <v>1948</v>
      </c>
      <c r="B20" s="730"/>
      <c r="C20" s="730"/>
      <c r="D20" s="730"/>
      <c r="E20" s="730"/>
      <c r="F20" s="730"/>
      <c r="G20" s="730"/>
      <c r="H20" s="730"/>
      <c r="I20" s="730"/>
      <c r="J20" s="730"/>
      <c r="K20" s="730"/>
      <c r="L20" s="730"/>
      <c r="M20" s="730"/>
      <c r="N20" s="730"/>
      <c r="O20" s="730"/>
      <c r="P20" s="730"/>
      <c r="Q20" s="730"/>
      <c r="R20" s="730"/>
      <c r="S20" s="730"/>
      <c r="T20" s="730"/>
      <c r="U20" s="730"/>
      <c r="V20" s="730"/>
    </row>
    <row r="21" spans="1:22" x14ac:dyDescent="0.35">
      <c r="A21" t="s">
        <v>1950</v>
      </c>
      <c r="B21" s="730"/>
      <c r="C21" s="730"/>
      <c r="D21" s="730"/>
      <c r="E21" s="730"/>
      <c r="F21" s="730"/>
      <c r="G21" s="730"/>
      <c r="H21" s="730"/>
      <c r="I21" s="730"/>
      <c r="J21" s="730"/>
      <c r="K21" s="730"/>
      <c r="L21" s="730"/>
      <c r="M21" s="730"/>
      <c r="N21" s="730"/>
      <c r="O21" s="730"/>
      <c r="P21" s="730"/>
      <c r="Q21" s="730"/>
      <c r="R21" s="730"/>
      <c r="S21" s="730"/>
      <c r="T21" s="730"/>
      <c r="U21" s="730"/>
      <c r="V21" s="730"/>
    </row>
    <row r="22" spans="1:22" x14ac:dyDescent="0.35">
      <c r="A22" t="s">
        <v>1951</v>
      </c>
      <c r="B22" s="730"/>
      <c r="C22" s="730"/>
      <c r="D22" s="730"/>
      <c r="E22" s="730"/>
      <c r="F22" s="730"/>
      <c r="G22" s="730"/>
      <c r="H22" s="730"/>
      <c r="I22" s="730"/>
      <c r="J22" s="730"/>
      <c r="K22" s="730"/>
      <c r="L22" s="730"/>
      <c r="M22" s="730"/>
      <c r="N22" s="730"/>
      <c r="O22" s="730"/>
      <c r="P22" s="730"/>
      <c r="Q22" s="730"/>
      <c r="R22" s="730"/>
      <c r="S22" s="730"/>
      <c r="T22" s="730"/>
      <c r="U22" s="730"/>
      <c r="V22" s="730"/>
    </row>
    <row r="23" spans="1:22" x14ac:dyDescent="0.35">
      <c r="B23" s="1457" t="s">
        <v>1955</v>
      </c>
      <c r="C23" s="1457"/>
      <c r="D23" s="1457"/>
      <c r="L23" s="730"/>
      <c r="M23" s="730"/>
      <c r="N23" s="730"/>
      <c r="O23" s="730"/>
      <c r="P23" s="730"/>
      <c r="Q23" s="730"/>
      <c r="R23" s="730"/>
      <c r="S23" s="730"/>
      <c r="T23" s="730"/>
      <c r="U23" s="730"/>
      <c r="V23" s="730"/>
    </row>
    <row r="24" spans="1:22" x14ac:dyDescent="0.35">
      <c r="L24" s="730"/>
      <c r="M24" s="730"/>
      <c r="N24" s="730"/>
      <c r="O24" s="730"/>
      <c r="P24" s="730"/>
      <c r="Q24" s="730"/>
      <c r="R24" s="730"/>
      <c r="S24" s="730"/>
      <c r="T24" s="730"/>
      <c r="U24" s="730"/>
      <c r="V24" s="730"/>
    </row>
    <row r="25" spans="1:22" ht="58" customHeight="1" x14ac:dyDescent="0.35">
      <c r="A25" s="1049"/>
      <c r="B25" s="1050" t="s">
        <v>1956</v>
      </c>
      <c r="C25" s="1050"/>
      <c r="D25" s="1050" t="s">
        <v>1957</v>
      </c>
      <c r="F25" s="1051" t="s">
        <v>1958</v>
      </c>
      <c r="G25" s="1052"/>
      <c r="H25" s="1051" t="s">
        <v>1999</v>
      </c>
      <c r="I25" s="1051" t="s">
        <v>2000</v>
      </c>
      <c r="J25" s="1051"/>
      <c r="K25" s="1051"/>
      <c r="L25" s="730"/>
      <c r="M25" s="730"/>
      <c r="N25" s="730"/>
      <c r="O25" s="730"/>
      <c r="P25" s="730"/>
      <c r="Q25" s="730"/>
      <c r="R25" s="730"/>
      <c r="S25" s="730"/>
      <c r="T25" s="730"/>
      <c r="U25" s="730"/>
      <c r="V25" s="730"/>
    </row>
    <row r="26" spans="1:22" ht="58" customHeight="1" x14ac:dyDescent="0.35">
      <c r="A26" s="1049" t="s">
        <v>1959</v>
      </c>
      <c r="B26" s="1050" t="s">
        <v>1960</v>
      </c>
      <c r="C26" s="1050"/>
      <c r="D26" s="1053" t="s">
        <v>1961</v>
      </c>
      <c r="F26" s="1051"/>
      <c r="G26" s="1051"/>
      <c r="H26" s="1051"/>
      <c r="I26" s="1051"/>
      <c r="J26" s="1054" t="s">
        <v>312</v>
      </c>
      <c r="K26" s="1051" t="s">
        <v>2001</v>
      </c>
      <c r="L26" s="730" t="s">
        <v>1962</v>
      </c>
      <c r="M26" s="730"/>
      <c r="N26" s="730"/>
      <c r="O26" s="730"/>
      <c r="P26" s="730"/>
      <c r="Q26" s="730"/>
      <c r="R26" s="730"/>
      <c r="S26" s="730"/>
      <c r="T26" s="730"/>
      <c r="U26" s="730"/>
      <c r="V26" s="730"/>
    </row>
    <row r="27" spans="1:22" x14ac:dyDescent="0.35">
      <c r="A27" s="1055">
        <v>44774</v>
      </c>
      <c r="B27">
        <v>10</v>
      </c>
      <c r="D27">
        <f>B27/1.75</f>
        <v>5.7142857142857144</v>
      </c>
      <c r="F27" s="1056" t="s">
        <v>184</v>
      </c>
      <c r="G27" s="1057">
        <f>AVERAGE(D27:D28)</f>
        <v>5.7142857142857144</v>
      </c>
      <c r="H27" s="1057">
        <f>0.5*G27</f>
        <v>2.8571428571428572</v>
      </c>
      <c r="I27" s="1057">
        <f>H27*3</f>
        <v>8.5714285714285712</v>
      </c>
      <c r="J27" s="1057">
        <f t="shared" ref="J27:J46" si="0">H27+I27</f>
        <v>11.428571428571429</v>
      </c>
      <c r="K27" s="1057">
        <f>J27</f>
        <v>11.428571428571429</v>
      </c>
      <c r="L27" s="730"/>
      <c r="M27" s="730"/>
      <c r="N27" s="730"/>
      <c r="O27" s="730"/>
      <c r="P27" s="730"/>
      <c r="Q27" s="730"/>
      <c r="R27" s="730"/>
      <c r="S27" s="730"/>
      <c r="T27" s="730"/>
      <c r="U27" s="730"/>
      <c r="V27" s="730"/>
    </row>
    <row r="28" spans="1:22" x14ac:dyDescent="0.35">
      <c r="A28" s="1055">
        <f>A27+31</f>
        <v>44805</v>
      </c>
      <c r="B28">
        <v>10</v>
      </c>
      <c r="D28">
        <f t="shared" ref="D28:D61" si="1">B28/1.75</f>
        <v>5.7142857142857144</v>
      </c>
      <c r="F28" s="1056" t="s">
        <v>185</v>
      </c>
      <c r="G28" s="1057">
        <f>AVERAGE(D29:D31)</f>
        <v>5.7142857142857144</v>
      </c>
      <c r="H28" s="1057">
        <f t="shared" ref="H28:H46" si="2">0.5*G28</f>
        <v>2.8571428571428572</v>
      </c>
      <c r="I28" s="1057">
        <f t="shared" ref="I28:I46" si="3">H28*3</f>
        <v>8.5714285714285712</v>
      </c>
      <c r="J28" s="1057">
        <f t="shared" si="0"/>
        <v>11.428571428571429</v>
      </c>
      <c r="K28" s="1057">
        <v>13</v>
      </c>
      <c r="L28" s="730"/>
      <c r="M28" s="730"/>
      <c r="N28" s="730"/>
      <c r="O28" s="730"/>
      <c r="P28" s="730"/>
      <c r="Q28" s="730"/>
      <c r="R28" s="730"/>
      <c r="S28" s="730"/>
      <c r="T28" s="730"/>
      <c r="U28" s="730"/>
      <c r="V28" s="730"/>
    </row>
    <row r="29" spans="1:22" x14ac:dyDescent="0.35">
      <c r="A29" s="1055">
        <f t="shared" ref="A29:A61" si="4">A28+31</f>
        <v>44836</v>
      </c>
      <c r="B29">
        <v>10</v>
      </c>
      <c r="D29">
        <f t="shared" si="1"/>
        <v>5.7142857142857144</v>
      </c>
      <c r="F29" s="1056" t="s">
        <v>186</v>
      </c>
      <c r="G29" s="1057">
        <f>AVERAGE(D32:D34)</f>
        <v>17.714285714285715</v>
      </c>
      <c r="H29" s="1057">
        <f t="shared" si="2"/>
        <v>8.8571428571428577</v>
      </c>
      <c r="I29" s="1057">
        <f t="shared" si="3"/>
        <v>26.571428571428573</v>
      </c>
      <c r="J29" s="1057">
        <f t="shared" si="0"/>
        <v>35.428571428571431</v>
      </c>
      <c r="K29" s="1057">
        <v>33</v>
      </c>
      <c r="L29" s="730"/>
      <c r="M29" s="730"/>
      <c r="N29" s="730"/>
      <c r="O29" s="730"/>
      <c r="P29" s="730"/>
      <c r="Q29" s="730"/>
      <c r="R29" s="730"/>
      <c r="S29" s="730"/>
      <c r="T29" s="730"/>
      <c r="U29" s="730"/>
      <c r="V29" s="730"/>
    </row>
    <row r="30" spans="1:22" x14ac:dyDescent="0.35">
      <c r="A30" s="1055">
        <f t="shared" si="4"/>
        <v>44867</v>
      </c>
      <c r="B30">
        <v>10</v>
      </c>
      <c r="D30">
        <f t="shared" si="1"/>
        <v>5.7142857142857144</v>
      </c>
      <c r="F30" s="1056" t="s">
        <v>187</v>
      </c>
      <c r="G30" s="1057">
        <f>AVERAGE(D35:D37)</f>
        <v>28.571428571428573</v>
      </c>
      <c r="H30" s="1057">
        <f t="shared" si="2"/>
        <v>14.285714285714286</v>
      </c>
      <c r="I30" s="1057">
        <f t="shared" si="3"/>
        <v>42.857142857142861</v>
      </c>
      <c r="J30" s="1057">
        <f t="shared" si="0"/>
        <v>57.142857142857146</v>
      </c>
      <c r="K30" s="1057">
        <v>60</v>
      </c>
      <c r="L30" s="730"/>
      <c r="M30" s="730"/>
      <c r="N30" s="730"/>
      <c r="O30" s="730"/>
      <c r="P30" s="730"/>
      <c r="Q30" s="730"/>
      <c r="R30" s="730"/>
      <c r="S30" s="730"/>
      <c r="T30" s="730"/>
      <c r="U30" s="730"/>
      <c r="V30" s="730"/>
    </row>
    <row r="31" spans="1:22" x14ac:dyDescent="0.35">
      <c r="A31" s="1055">
        <f t="shared" si="4"/>
        <v>44898</v>
      </c>
      <c r="B31">
        <v>10</v>
      </c>
      <c r="D31">
        <f t="shared" si="1"/>
        <v>5.7142857142857144</v>
      </c>
      <c r="F31" s="1056" t="s">
        <v>188</v>
      </c>
      <c r="G31" s="1057">
        <f>AVERAGE(D38:D40)</f>
        <v>46.666666666666664</v>
      </c>
      <c r="H31" s="1057">
        <f t="shared" si="2"/>
        <v>23.333333333333332</v>
      </c>
      <c r="I31" s="1057">
        <f t="shared" si="3"/>
        <v>70</v>
      </c>
      <c r="J31" s="1057">
        <f t="shared" si="0"/>
        <v>93.333333333333329</v>
      </c>
      <c r="K31" s="1057">
        <v>88</v>
      </c>
      <c r="L31" s="730"/>
      <c r="M31" s="730"/>
      <c r="N31" s="730"/>
      <c r="O31" s="730"/>
      <c r="P31" s="730"/>
      <c r="Q31" s="730"/>
      <c r="R31" s="730"/>
      <c r="S31" s="730"/>
      <c r="T31" s="730"/>
      <c r="U31" s="730"/>
      <c r="V31" s="730"/>
    </row>
    <row r="32" spans="1:22" x14ac:dyDescent="0.35">
      <c r="A32" s="1055">
        <f t="shared" si="4"/>
        <v>44929</v>
      </c>
      <c r="B32">
        <v>25</v>
      </c>
      <c r="D32">
        <f t="shared" si="1"/>
        <v>14.285714285714286</v>
      </c>
      <c r="F32" s="1056" t="s">
        <v>189</v>
      </c>
      <c r="G32" s="1057">
        <f>AVERAGE(D41:D43)</f>
        <v>49.904761904761905</v>
      </c>
      <c r="H32" s="1057">
        <f t="shared" si="2"/>
        <v>24.952380952380953</v>
      </c>
      <c r="I32" s="1057">
        <f t="shared" si="3"/>
        <v>74.857142857142861</v>
      </c>
      <c r="J32" s="1057">
        <f t="shared" si="0"/>
        <v>99.80952380952381</v>
      </c>
      <c r="K32" s="1057">
        <v>106</v>
      </c>
      <c r="L32" s="730"/>
      <c r="M32" s="730"/>
      <c r="N32" s="730"/>
      <c r="O32" s="730"/>
      <c r="P32" s="730"/>
      <c r="Q32" s="730"/>
      <c r="R32" s="730"/>
      <c r="S32" s="730"/>
      <c r="T32" s="730"/>
      <c r="U32" s="730"/>
      <c r="V32" s="730"/>
    </row>
    <row r="33" spans="1:22" x14ac:dyDescent="0.35">
      <c r="A33" s="1055">
        <f t="shared" si="4"/>
        <v>44960</v>
      </c>
      <c r="B33">
        <v>30</v>
      </c>
      <c r="D33">
        <f t="shared" si="1"/>
        <v>17.142857142857142</v>
      </c>
      <c r="F33" s="1056" t="s">
        <v>190</v>
      </c>
      <c r="G33" s="1057">
        <f>AVERAGE(D44:D46)</f>
        <v>57.142857142857146</v>
      </c>
      <c r="H33" s="1057">
        <f t="shared" si="2"/>
        <v>28.571428571428573</v>
      </c>
      <c r="I33" s="1057">
        <f t="shared" si="3"/>
        <v>85.714285714285722</v>
      </c>
      <c r="J33" s="1057">
        <f t="shared" si="0"/>
        <v>114.28571428571429</v>
      </c>
      <c r="K33" s="1057">
        <f>J33</f>
        <v>114.28571428571429</v>
      </c>
      <c r="L33" s="730"/>
      <c r="M33" s="730"/>
      <c r="N33" s="730"/>
      <c r="O33" s="730"/>
      <c r="P33" s="730"/>
      <c r="Q33" s="730"/>
      <c r="R33" s="730"/>
      <c r="S33" s="730"/>
      <c r="T33" s="730"/>
      <c r="U33" s="730"/>
      <c r="V33" s="730"/>
    </row>
    <row r="34" spans="1:22" x14ac:dyDescent="0.35">
      <c r="A34" s="1055">
        <f t="shared" si="4"/>
        <v>44991</v>
      </c>
      <c r="B34">
        <v>38</v>
      </c>
      <c r="D34">
        <f t="shared" si="1"/>
        <v>21.714285714285715</v>
      </c>
      <c r="F34" s="1056" t="s">
        <v>191</v>
      </c>
      <c r="G34" s="1057">
        <f>AVERAGE(D47:D49)</f>
        <v>57.142857142857146</v>
      </c>
      <c r="H34" s="1057">
        <f t="shared" si="2"/>
        <v>28.571428571428573</v>
      </c>
      <c r="I34" s="1057">
        <f t="shared" si="3"/>
        <v>85.714285714285722</v>
      </c>
      <c r="J34" s="1057">
        <f t="shared" si="0"/>
        <v>114.28571428571429</v>
      </c>
      <c r="K34" s="1057">
        <v>112</v>
      </c>
      <c r="L34" s="730"/>
      <c r="M34" s="730"/>
      <c r="N34" s="730"/>
      <c r="O34" s="730"/>
      <c r="P34" s="730"/>
      <c r="Q34" s="730"/>
      <c r="R34" s="730"/>
      <c r="S34" s="730"/>
      <c r="T34" s="730"/>
      <c r="U34" s="730"/>
      <c r="V34" s="730"/>
    </row>
    <row r="35" spans="1:22" x14ac:dyDescent="0.35">
      <c r="A35" s="1055">
        <f t="shared" si="4"/>
        <v>45022</v>
      </c>
      <c r="B35">
        <v>40</v>
      </c>
      <c r="D35">
        <f t="shared" si="1"/>
        <v>22.857142857142858</v>
      </c>
      <c r="F35" s="1056" t="s">
        <v>175</v>
      </c>
      <c r="G35" s="1057">
        <f>AVERAGE(D50:D52)</f>
        <v>51.047619047619058</v>
      </c>
      <c r="H35" s="1057">
        <f t="shared" si="2"/>
        <v>25.523809523809529</v>
      </c>
      <c r="I35" s="1057">
        <f t="shared" si="3"/>
        <v>76.571428571428584</v>
      </c>
      <c r="J35" s="1057">
        <f t="shared" si="0"/>
        <v>102.09523809523812</v>
      </c>
      <c r="K35" s="1057">
        <v>101</v>
      </c>
      <c r="L35" s="730"/>
      <c r="M35" s="730"/>
      <c r="N35" s="730"/>
      <c r="O35" s="730"/>
      <c r="P35" s="730"/>
      <c r="Q35" s="730"/>
      <c r="R35" s="730"/>
      <c r="S35" s="730"/>
      <c r="T35" s="730"/>
      <c r="U35" s="730"/>
      <c r="V35" s="730"/>
    </row>
    <row r="36" spans="1:22" x14ac:dyDescent="0.35">
      <c r="A36" s="1055">
        <f t="shared" si="4"/>
        <v>45053</v>
      </c>
      <c r="B36">
        <v>50</v>
      </c>
      <c r="D36">
        <f t="shared" si="1"/>
        <v>28.571428571428573</v>
      </c>
      <c r="F36" s="1056" t="s">
        <v>176</v>
      </c>
      <c r="G36" s="1057">
        <f>AVERAGE(D53:D55)</f>
        <v>45.142857142857146</v>
      </c>
      <c r="H36" s="1057">
        <f t="shared" si="2"/>
        <v>22.571428571428573</v>
      </c>
      <c r="I36" s="1057">
        <f t="shared" si="3"/>
        <v>67.714285714285722</v>
      </c>
      <c r="J36" s="1057">
        <f t="shared" si="0"/>
        <v>90.285714285714292</v>
      </c>
      <c r="K36" s="1057">
        <v>90</v>
      </c>
      <c r="L36" s="730"/>
      <c r="M36" s="730"/>
      <c r="N36" s="730"/>
      <c r="O36" s="730"/>
      <c r="P36" s="730"/>
      <c r="Q36" s="730"/>
      <c r="R36" s="730"/>
      <c r="S36" s="730"/>
      <c r="T36" s="730"/>
      <c r="U36" s="730"/>
      <c r="V36" s="730"/>
    </row>
    <row r="37" spans="1:22" x14ac:dyDescent="0.35">
      <c r="A37" s="1055">
        <f t="shared" si="4"/>
        <v>45084</v>
      </c>
      <c r="B37">
        <v>60</v>
      </c>
      <c r="D37">
        <f t="shared" si="1"/>
        <v>34.285714285714285</v>
      </c>
      <c r="F37" s="1056" t="s">
        <v>177</v>
      </c>
      <c r="G37" s="1057">
        <f>AVERAGE(D56:D58)</f>
        <v>24.761904761904763</v>
      </c>
      <c r="H37" s="1057">
        <f t="shared" si="2"/>
        <v>12.380952380952381</v>
      </c>
      <c r="I37" s="1057">
        <f t="shared" si="3"/>
        <v>37.142857142857146</v>
      </c>
      <c r="J37" s="1057">
        <f t="shared" si="0"/>
        <v>49.523809523809526</v>
      </c>
      <c r="K37" s="1057">
        <v>52</v>
      </c>
      <c r="L37" s="730"/>
      <c r="M37" s="730"/>
      <c r="N37" s="730"/>
      <c r="O37" s="730"/>
      <c r="P37" s="730"/>
      <c r="Q37" s="730"/>
      <c r="R37" s="730"/>
      <c r="S37" s="730"/>
      <c r="T37" s="730"/>
      <c r="U37" s="730"/>
      <c r="V37" s="730"/>
    </row>
    <row r="38" spans="1:22" x14ac:dyDescent="0.35">
      <c r="A38" s="1055">
        <f t="shared" si="4"/>
        <v>45115</v>
      </c>
      <c r="B38">
        <v>70</v>
      </c>
      <c r="D38">
        <f t="shared" si="1"/>
        <v>40</v>
      </c>
      <c r="F38" s="1056" t="s">
        <v>769</v>
      </c>
      <c r="G38" s="1057">
        <f>AVERAGE(D59:D61)</f>
        <v>14.285714285714286</v>
      </c>
      <c r="H38" s="1057">
        <f t="shared" si="2"/>
        <v>7.1428571428571432</v>
      </c>
      <c r="I38" s="1057">
        <f t="shared" si="3"/>
        <v>21.428571428571431</v>
      </c>
      <c r="J38" s="1057">
        <f t="shared" si="0"/>
        <v>28.571428571428573</v>
      </c>
      <c r="K38" s="1057">
        <v>28</v>
      </c>
      <c r="L38" s="730"/>
      <c r="M38" s="730"/>
      <c r="N38" s="730"/>
      <c r="O38" s="730"/>
      <c r="P38" s="730"/>
      <c r="Q38" s="730"/>
      <c r="R38" s="730"/>
      <c r="S38" s="730"/>
      <c r="T38" s="730"/>
      <c r="U38" s="730"/>
      <c r="V38" s="730"/>
    </row>
    <row r="39" spans="1:22" x14ac:dyDescent="0.35">
      <c r="A39" s="1055">
        <f t="shared" si="4"/>
        <v>45146</v>
      </c>
      <c r="B39">
        <v>85</v>
      </c>
      <c r="D39">
        <f t="shared" si="1"/>
        <v>48.571428571428569</v>
      </c>
      <c r="F39" s="1056" t="s">
        <v>1164</v>
      </c>
      <c r="G39" s="1057">
        <f>G38</f>
        <v>14.285714285714286</v>
      </c>
      <c r="H39" s="1057">
        <f t="shared" si="2"/>
        <v>7.1428571428571432</v>
      </c>
      <c r="I39" s="1057">
        <f t="shared" si="3"/>
        <v>21.428571428571431</v>
      </c>
      <c r="J39" s="1057">
        <f t="shared" si="0"/>
        <v>28.571428571428573</v>
      </c>
      <c r="K39" s="1057">
        <f t="shared" ref="K39:K46" si="5">J39</f>
        <v>28.571428571428573</v>
      </c>
      <c r="L39" s="730"/>
      <c r="M39" s="730"/>
      <c r="N39" s="730"/>
      <c r="O39" s="730"/>
      <c r="P39" s="730"/>
      <c r="Q39" s="730"/>
      <c r="R39" s="730"/>
      <c r="S39" s="730"/>
      <c r="T39" s="730"/>
      <c r="U39" s="730"/>
      <c r="V39" s="730"/>
    </row>
    <row r="40" spans="1:22" x14ac:dyDescent="0.35">
      <c r="A40" s="1055">
        <f t="shared" si="4"/>
        <v>45177</v>
      </c>
      <c r="B40">
        <v>90</v>
      </c>
      <c r="D40">
        <f t="shared" si="1"/>
        <v>51.428571428571431</v>
      </c>
      <c r="F40" s="1056" t="s">
        <v>1168</v>
      </c>
      <c r="G40" s="1057">
        <f t="shared" ref="G40:G46" si="6">G39</f>
        <v>14.285714285714286</v>
      </c>
      <c r="H40" s="1057">
        <f t="shared" si="2"/>
        <v>7.1428571428571432</v>
      </c>
      <c r="I40" s="1057">
        <f t="shared" si="3"/>
        <v>21.428571428571431</v>
      </c>
      <c r="J40" s="1057">
        <f t="shared" si="0"/>
        <v>28.571428571428573</v>
      </c>
      <c r="K40" s="1057">
        <f t="shared" si="5"/>
        <v>28.571428571428573</v>
      </c>
      <c r="L40" s="730"/>
      <c r="M40" s="730"/>
      <c r="N40" s="730"/>
      <c r="O40" s="730"/>
      <c r="P40" s="730"/>
      <c r="Q40" s="730"/>
      <c r="R40" s="730"/>
      <c r="S40" s="730"/>
      <c r="T40" s="730"/>
      <c r="U40" s="730"/>
      <c r="V40" s="730"/>
    </row>
    <row r="41" spans="1:22" x14ac:dyDescent="0.35">
      <c r="A41" s="1055">
        <f t="shared" si="4"/>
        <v>45208</v>
      </c>
      <c r="B41">
        <v>93</v>
      </c>
      <c r="D41">
        <f t="shared" si="1"/>
        <v>53.142857142857146</v>
      </c>
      <c r="F41" s="1056" t="s">
        <v>1172</v>
      </c>
      <c r="G41" s="1057">
        <f t="shared" si="6"/>
        <v>14.285714285714286</v>
      </c>
      <c r="H41" s="1057">
        <f t="shared" si="2"/>
        <v>7.1428571428571432</v>
      </c>
      <c r="I41" s="1057">
        <f t="shared" si="3"/>
        <v>21.428571428571431</v>
      </c>
      <c r="J41" s="1057">
        <f t="shared" si="0"/>
        <v>28.571428571428573</v>
      </c>
      <c r="K41" s="1057">
        <f t="shared" si="5"/>
        <v>28.571428571428573</v>
      </c>
      <c r="L41" s="730"/>
      <c r="M41" s="730"/>
      <c r="N41" s="730"/>
      <c r="O41" s="730"/>
      <c r="P41" s="730"/>
      <c r="Q41" s="730"/>
      <c r="R41" s="730"/>
      <c r="S41" s="730"/>
      <c r="T41" s="730"/>
      <c r="U41" s="730"/>
      <c r="V41" s="730"/>
    </row>
    <row r="42" spans="1:22" x14ac:dyDescent="0.35">
      <c r="A42" s="1055">
        <f t="shared" si="4"/>
        <v>45239</v>
      </c>
      <c r="B42">
        <v>84</v>
      </c>
      <c r="D42">
        <f t="shared" si="1"/>
        <v>48</v>
      </c>
      <c r="F42" s="1056" t="s">
        <v>1176</v>
      </c>
      <c r="G42" s="1057">
        <f t="shared" si="6"/>
        <v>14.285714285714286</v>
      </c>
      <c r="H42" s="1057">
        <f t="shared" si="2"/>
        <v>7.1428571428571432</v>
      </c>
      <c r="I42" s="1057">
        <f t="shared" si="3"/>
        <v>21.428571428571431</v>
      </c>
      <c r="J42" s="1057">
        <f t="shared" si="0"/>
        <v>28.571428571428573</v>
      </c>
      <c r="K42" s="1057">
        <f t="shared" si="5"/>
        <v>28.571428571428573</v>
      </c>
      <c r="L42" s="730"/>
      <c r="M42" s="730"/>
      <c r="N42" s="730"/>
      <c r="O42" s="730"/>
      <c r="P42" s="730"/>
      <c r="Q42" s="730"/>
      <c r="R42" s="730"/>
      <c r="S42" s="730"/>
      <c r="T42" s="730"/>
      <c r="U42" s="730"/>
      <c r="V42" s="730"/>
    </row>
    <row r="43" spans="1:22" x14ac:dyDescent="0.35">
      <c r="A43" s="1055">
        <f t="shared" si="4"/>
        <v>45270</v>
      </c>
      <c r="B43">
        <v>85</v>
      </c>
      <c r="D43">
        <f t="shared" si="1"/>
        <v>48.571428571428569</v>
      </c>
      <c r="F43" s="1056" t="s">
        <v>1180</v>
      </c>
      <c r="G43" s="1057">
        <f t="shared" si="6"/>
        <v>14.285714285714286</v>
      </c>
      <c r="H43" s="1057">
        <f t="shared" si="2"/>
        <v>7.1428571428571432</v>
      </c>
      <c r="I43" s="1057">
        <f t="shared" si="3"/>
        <v>21.428571428571431</v>
      </c>
      <c r="J43" s="1057">
        <f t="shared" si="0"/>
        <v>28.571428571428573</v>
      </c>
      <c r="K43" s="1057">
        <f t="shared" si="5"/>
        <v>28.571428571428573</v>
      </c>
      <c r="L43" s="730"/>
      <c r="M43" s="730"/>
      <c r="N43" s="730"/>
      <c r="O43" s="730"/>
      <c r="P43" s="730"/>
      <c r="Q43" s="730"/>
      <c r="R43" s="730"/>
      <c r="S43" s="730"/>
      <c r="T43" s="730"/>
      <c r="U43" s="730"/>
      <c r="V43" s="730"/>
    </row>
    <row r="44" spans="1:22" x14ac:dyDescent="0.35">
      <c r="A44" s="1055">
        <f t="shared" si="4"/>
        <v>45301</v>
      </c>
      <c r="B44">
        <v>100</v>
      </c>
      <c r="D44">
        <f t="shared" si="1"/>
        <v>57.142857142857146</v>
      </c>
      <c r="F44" s="1056" t="s">
        <v>1184</v>
      </c>
      <c r="G44" s="1057">
        <f t="shared" si="6"/>
        <v>14.285714285714286</v>
      </c>
      <c r="H44" s="1057">
        <f t="shared" si="2"/>
        <v>7.1428571428571432</v>
      </c>
      <c r="I44" s="1057">
        <f t="shared" si="3"/>
        <v>21.428571428571431</v>
      </c>
      <c r="J44" s="1057">
        <f t="shared" si="0"/>
        <v>28.571428571428573</v>
      </c>
      <c r="K44" s="1057">
        <f t="shared" si="5"/>
        <v>28.571428571428573</v>
      </c>
      <c r="L44" s="730"/>
      <c r="M44" s="730"/>
      <c r="N44" s="730"/>
      <c r="O44" s="730"/>
      <c r="P44" s="730"/>
      <c r="Q44" s="730"/>
      <c r="R44" s="730"/>
      <c r="S44" s="730"/>
      <c r="T44" s="730"/>
      <c r="U44" s="730"/>
      <c r="V44" s="730"/>
    </row>
    <row r="45" spans="1:22" x14ac:dyDescent="0.35">
      <c r="A45" s="1055">
        <f t="shared" si="4"/>
        <v>45332</v>
      </c>
      <c r="B45">
        <v>100</v>
      </c>
      <c r="D45">
        <f t="shared" si="1"/>
        <v>57.142857142857146</v>
      </c>
      <c r="F45" s="1056" t="s">
        <v>1188</v>
      </c>
      <c r="G45" s="1057">
        <f t="shared" si="6"/>
        <v>14.285714285714286</v>
      </c>
      <c r="H45" s="1057">
        <f t="shared" si="2"/>
        <v>7.1428571428571432</v>
      </c>
      <c r="I45" s="1057">
        <f t="shared" si="3"/>
        <v>21.428571428571431</v>
      </c>
      <c r="J45" s="1057">
        <f t="shared" si="0"/>
        <v>28.571428571428573</v>
      </c>
      <c r="K45" s="1057">
        <f t="shared" si="5"/>
        <v>28.571428571428573</v>
      </c>
      <c r="L45" s="730"/>
      <c r="M45" s="730"/>
      <c r="N45" s="730"/>
      <c r="O45" s="730"/>
      <c r="P45" s="730"/>
      <c r="Q45" s="730"/>
      <c r="R45" s="730"/>
      <c r="S45" s="730"/>
      <c r="T45" s="730"/>
      <c r="U45" s="730"/>
      <c r="V45" s="730"/>
    </row>
    <row r="46" spans="1:22" x14ac:dyDescent="0.35">
      <c r="A46" s="1055">
        <f t="shared" si="4"/>
        <v>45363</v>
      </c>
      <c r="B46">
        <f t="shared" ref="B46:B50" si="7">B45</f>
        <v>100</v>
      </c>
      <c r="D46">
        <f t="shared" si="1"/>
        <v>57.142857142857146</v>
      </c>
      <c r="F46" s="1056" t="s">
        <v>1963</v>
      </c>
      <c r="G46" s="1057">
        <f t="shared" si="6"/>
        <v>14.285714285714286</v>
      </c>
      <c r="H46" s="1057">
        <f t="shared" si="2"/>
        <v>7.1428571428571432</v>
      </c>
      <c r="I46" s="1057">
        <f t="shared" si="3"/>
        <v>21.428571428571431</v>
      </c>
      <c r="J46" s="1057">
        <f t="shared" si="0"/>
        <v>28.571428571428573</v>
      </c>
      <c r="K46" s="1057">
        <f t="shared" si="5"/>
        <v>28.571428571428573</v>
      </c>
      <c r="L46" s="730"/>
      <c r="M46" s="730"/>
      <c r="N46" s="730"/>
      <c r="O46" s="730"/>
      <c r="P46" s="730"/>
      <c r="Q46" s="730"/>
      <c r="R46" s="730"/>
      <c r="S46" s="730"/>
      <c r="T46" s="730"/>
      <c r="U46" s="730"/>
      <c r="V46" s="730"/>
    </row>
    <row r="47" spans="1:22" x14ac:dyDescent="0.35">
      <c r="A47" s="1055">
        <f t="shared" si="4"/>
        <v>45394</v>
      </c>
      <c r="B47">
        <f t="shared" si="7"/>
        <v>100</v>
      </c>
      <c r="D47">
        <f t="shared" si="1"/>
        <v>57.142857142857146</v>
      </c>
      <c r="F47" s="1052"/>
      <c r="G47" s="1057"/>
      <c r="H47" s="1052"/>
      <c r="I47" s="1052"/>
      <c r="J47" s="1057">
        <f>SUM(J27:J46)</f>
        <v>1036.1904761904761</v>
      </c>
      <c r="K47" s="1057">
        <f>SUM(K27:K46)</f>
        <v>1037.2857142857142</v>
      </c>
      <c r="L47" s="730"/>
      <c r="M47" s="730"/>
      <c r="N47" s="730"/>
      <c r="O47" s="730"/>
      <c r="P47" s="730"/>
      <c r="Q47" s="730"/>
      <c r="R47" s="730"/>
      <c r="S47" s="730"/>
      <c r="T47" s="730"/>
      <c r="U47" s="730"/>
      <c r="V47" s="730"/>
    </row>
    <row r="48" spans="1:22" x14ac:dyDescent="0.35">
      <c r="A48" s="1055">
        <f t="shared" si="4"/>
        <v>45425</v>
      </c>
      <c r="B48">
        <f t="shared" si="7"/>
        <v>100</v>
      </c>
      <c r="D48">
        <f t="shared" si="1"/>
        <v>57.142857142857146</v>
      </c>
      <c r="G48" s="1058"/>
      <c r="H48" s="1058"/>
      <c r="I48" s="1058"/>
      <c r="K48" s="1058" t="s">
        <v>323</v>
      </c>
      <c r="L48" s="730"/>
      <c r="M48" s="730"/>
      <c r="N48" s="730"/>
      <c r="O48" s="730"/>
      <c r="P48" s="730"/>
      <c r="Q48" s="730"/>
      <c r="R48" s="730"/>
      <c r="S48" s="730"/>
      <c r="T48" s="730"/>
      <c r="U48" s="730"/>
      <c r="V48" s="730"/>
    </row>
    <row r="49" spans="1:22" x14ac:dyDescent="0.35">
      <c r="A49" s="1055">
        <f t="shared" si="4"/>
        <v>45456</v>
      </c>
      <c r="B49">
        <f t="shared" si="7"/>
        <v>100</v>
      </c>
      <c r="D49">
        <f t="shared" si="1"/>
        <v>57.142857142857146</v>
      </c>
      <c r="G49" s="1058"/>
      <c r="K49" s="1058"/>
      <c r="L49" s="730"/>
      <c r="M49" s="730"/>
      <c r="N49" s="730"/>
      <c r="O49" s="730"/>
      <c r="P49" s="730"/>
      <c r="Q49" s="730"/>
      <c r="R49" s="730"/>
      <c r="S49" s="730"/>
      <c r="T49" s="730"/>
      <c r="U49" s="730"/>
      <c r="V49" s="730"/>
    </row>
    <row r="50" spans="1:22" x14ac:dyDescent="0.35">
      <c r="A50" s="1055">
        <f t="shared" si="4"/>
        <v>45487</v>
      </c>
      <c r="B50">
        <f t="shared" si="7"/>
        <v>100</v>
      </c>
      <c r="D50">
        <f t="shared" si="1"/>
        <v>57.142857142857146</v>
      </c>
      <c r="G50" s="1058"/>
      <c r="K50" s="1058"/>
      <c r="L50" s="730"/>
      <c r="M50" s="730"/>
      <c r="N50" s="730"/>
      <c r="O50" s="730"/>
      <c r="P50" s="730"/>
      <c r="Q50" s="730"/>
      <c r="R50" s="730"/>
      <c r="S50" s="730"/>
      <c r="T50" s="730"/>
      <c r="U50" s="730"/>
      <c r="V50" s="730"/>
    </row>
    <row r="51" spans="1:22" x14ac:dyDescent="0.35">
      <c r="A51" s="1055">
        <f t="shared" si="4"/>
        <v>45518</v>
      </c>
      <c r="B51">
        <v>85</v>
      </c>
      <c r="D51">
        <f t="shared" si="1"/>
        <v>48.571428571428569</v>
      </c>
      <c r="G51" s="1058"/>
      <c r="K51" s="1058"/>
      <c r="L51" s="730"/>
      <c r="M51" s="730"/>
      <c r="N51" s="730"/>
      <c r="O51" s="730"/>
      <c r="P51" s="730"/>
      <c r="Q51" s="730"/>
      <c r="R51" s="730"/>
      <c r="S51" s="730"/>
      <c r="T51" s="730"/>
      <c r="U51" s="730"/>
      <c r="V51" s="730"/>
    </row>
    <row r="52" spans="1:22" x14ac:dyDescent="0.35">
      <c r="A52" s="1055">
        <f t="shared" si="4"/>
        <v>45549</v>
      </c>
      <c r="B52">
        <v>83</v>
      </c>
      <c r="D52">
        <f t="shared" si="1"/>
        <v>47.428571428571431</v>
      </c>
      <c r="G52" s="1058"/>
      <c r="K52" s="1058"/>
      <c r="L52" s="730"/>
      <c r="M52" s="730"/>
      <c r="N52" s="730"/>
      <c r="O52" s="730"/>
      <c r="P52" s="730"/>
      <c r="Q52" s="730"/>
      <c r="R52" s="730"/>
      <c r="S52" s="730"/>
      <c r="T52" s="730"/>
      <c r="U52" s="730"/>
      <c r="V52" s="730"/>
    </row>
    <row r="53" spans="1:22" x14ac:dyDescent="0.35">
      <c r="A53" s="1055">
        <f t="shared" si="4"/>
        <v>45580</v>
      </c>
      <c r="B53">
        <v>81</v>
      </c>
      <c r="D53">
        <f t="shared" si="1"/>
        <v>46.285714285714285</v>
      </c>
      <c r="G53" s="1058"/>
      <c r="K53" s="1058"/>
      <c r="L53" s="730"/>
      <c r="M53" s="730"/>
      <c r="N53" s="730"/>
      <c r="O53" s="730"/>
      <c r="P53" s="730"/>
      <c r="Q53" s="730"/>
      <c r="R53" s="730"/>
      <c r="S53" s="730"/>
      <c r="T53" s="730"/>
      <c r="U53" s="730"/>
      <c r="V53" s="730"/>
    </row>
    <row r="54" spans="1:22" x14ac:dyDescent="0.35">
      <c r="A54" s="1055">
        <f t="shared" si="4"/>
        <v>45611</v>
      </c>
      <c r="B54">
        <v>79</v>
      </c>
      <c r="D54">
        <f t="shared" si="1"/>
        <v>45.142857142857146</v>
      </c>
      <c r="G54" s="1058"/>
      <c r="K54" s="1058"/>
      <c r="L54" s="730"/>
      <c r="M54" s="730"/>
      <c r="N54" s="730"/>
      <c r="O54" s="730"/>
      <c r="P54" s="730"/>
      <c r="Q54" s="730"/>
      <c r="R54" s="730"/>
      <c r="S54" s="730"/>
      <c r="T54" s="730"/>
      <c r="U54" s="730"/>
      <c r="V54" s="730"/>
    </row>
    <row r="55" spans="1:22" x14ac:dyDescent="0.35">
      <c r="A55" s="1055">
        <f t="shared" si="4"/>
        <v>45642</v>
      </c>
      <c r="B55">
        <v>77</v>
      </c>
      <c r="D55">
        <f t="shared" si="1"/>
        <v>44</v>
      </c>
      <c r="G55" s="1058"/>
      <c r="K55" s="1058"/>
      <c r="L55" s="730"/>
      <c r="M55" s="730"/>
      <c r="N55" s="730"/>
      <c r="O55" s="730"/>
      <c r="P55" s="730"/>
      <c r="Q55" s="730"/>
      <c r="R55" s="730"/>
      <c r="S55" s="730"/>
      <c r="T55" s="730"/>
      <c r="U55" s="730"/>
      <c r="V55" s="730"/>
    </row>
    <row r="56" spans="1:22" x14ac:dyDescent="0.35">
      <c r="A56" s="1055">
        <f t="shared" si="4"/>
        <v>45673</v>
      </c>
      <c r="B56">
        <v>50</v>
      </c>
      <c r="D56">
        <f t="shared" si="1"/>
        <v>28.571428571428573</v>
      </c>
      <c r="G56" s="1058"/>
      <c r="K56" s="1058"/>
      <c r="L56" s="730"/>
      <c r="M56" s="730"/>
      <c r="N56" s="730"/>
      <c r="O56" s="730"/>
      <c r="P56" s="730"/>
      <c r="Q56" s="730"/>
      <c r="R56" s="730"/>
      <c r="S56" s="730"/>
      <c r="T56" s="730"/>
      <c r="U56" s="730"/>
      <c r="V56" s="730"/>
    </row>
    <row r="57" spans="1:22" x14ac:dyDescent="0.35">
      <c r="A57" s="1055">
        <f t="shared" si="4"/>
        <v>45704</v>
      </c>
      <c r="B57">
        <v>44</v>
      </c>
      <c r="D57">
        <f t="shared" si="1"/>
        <v>25.142857142857142</v>
      </c>
      <c r="G57" s="1058"/>
      <c r="K57" s="1058"/>
      <c r="L57" s="730"/>
      <c r="M57" s="730"/>
      <c r="N57" s="730"/>
      <c r="O57" s="730"/>
      <c r="P57" s="730"/>
      <c r="Q57" s="730"/>
      <c r="R57" s="730"/>
      <c r="S57" s="730"/>
      <c r="T57" s="730"/>
      <c r="U57" s="730"/>
      <c r="V57" s="730"/>
    </row>
    <row r="58" spans="1:22" x14ac:dyDescent="0.35">
      <c r="A58" s="1055">
        <f t="shared" si="4"/>
        <v>45735</v>
      </c>
      <c r="B58">
        <v>36</v>
      </c>
      <c r="D58">
        <f t="shared" si="1"/>
        <v>20.571428571428573</v>
      </c>
      <c r="G58" s="1058"/>
      <c r="K58" s="1058"/>
      <c r="L58" s="730"/>
      <c r="M58" s="730"/>
      <c r="N58" s="730"/>
      <c r="O58" s="730"/>
      <c r="P58" s="730"/>
      <c r="Q58" s="730"/>
      <c r="R58" s="730"/>
      <c r="S58" s="730"/>
      <c r="T58" s="730"/>
      <c r="U58" s="730"/>
      <c r="V58" s="730"/>
    </row>
    <row r="59" spans="1:22" x14ac:dyDescent="0.35">
      <c r="A59" s="1055">
        <f t="shared" si="4"/>
        <v>45766</v>
      </c>
      <c r="B59">
        <v>26</v>
      </c>
      <c r="D59">
        <f t="shared" si="1"/>
        <v>14.857142857142858</v>
      </c>
      <c r="G59" s="1058"/>
      <c r="K59" s="1058"/>
      <c r="L59" s="730"/>
      <c r="M59" s="730"/>
      <c r="N59" s="730"/>
      <c r="O59" s="730"/>
      <c r="P59" s="730"/>
      <c r="Q59" s="730"/>
      <c r="R59" s="730"/>
      <c r="S59" s="730"/>
      <c r="T59" s="730"/>
      <c r="U59" s="730"/>
      <c r="V59" s="730"/>
    </row>
    <row r="60" spans="1:22" x14ac:dyDescent="0.35">
      <c r="A60" s="1055">
        <f t="shared" si="4"/>
        <v>45797</v>
      </c>
      <c r="B60">
        <v>25</v>
      </c>
      <c r="D60">
        <f t="shared" si="1"/>
        <v>14.285714285714286</v>
      </c>
      <c r="G60" s="1058"/>
      <c r="K60" s="1058"/>
      <c r="L60" s="730"/>
      <c r="M60" s="730"/>
      <c r="N60" s="730"/>
      <c r="O60" s="730"/>
      <c r="P60" s="730"/>
      <c r="Q60" s="730"/>
      <c r="R60" s="730"/>
      <c r="S60" s="730"/>
      <c r="T60" s="730"/>
      <c r="U60" s="730"/>
      <c r="V60" s="730"/>
    </row>
    <row r="61" spans="1:22" x14ac:dyDescent="0.35">
      <c r="A61" s="1055">
        <f t="shared" si="4"/>
        <v>45828</v>
      </c>
      <c r="B61">
        <v>24</v>
      </c>
      <c r="D61">
        <f t="shared" si="1"/>
        <v>13.714285714285714</v>
      </c>
      <c r="G61" s="1058"/>
      <c r="K61" s="1058"/>
      <c r="L61" s="730"/>
      <c r="M61" s="730"/>
      <c r="N61" s="730"/>
      <c r="O61" s="730"/>
      <c r="P61" s="730"/>
      <c r="Q61" s="730"/>
      <c r="R61" s="730"/>
      <c r="S61" s="730"/>
      <c r="T61" s="730"/>
      <c r="U61" s="730"/>
      <c r="V61" s="730"/>
    </row>
    <row r="62" spans="1:22" x14ac:dyDescent="0.35">
      <c r="L62" s="730"/>
      <c r="M62" s="730"/>
      <c r="N62" s="730"/>
      <c r="O62" s="730"/>
      <c r="P62" s="730"/>
      <c r="Q62" s="730"/>
      <c r="R62" s="730"/>
      <c r="S62" s="730"/>
      <c r="T62" s="730"/>
      <c r="U62" s="730"/>
      <c r="V62" s="730"/>
    </row>
    <row r="63" spans="1:22" x14ac:dyDescent="0.35">
      <c r="L63" s="730"/>
      <c r="M63" s="730"/>
      <c r="N63" s="730"/>
      <c r="O63" s="730"/>
      <c r="P63" s="730"/>
      <c r="Q63" s="730"/>
      <c r="R63" s="730"/>
      <c r="S63" s="730"/>
      <c r="T63" s="730"/>
      <c r="U63" s="730"/>
      <c r="V63" s="730"/>
    </row>
    <row r="64" spans="1:22" x14ac:dyDescent="0.35">
      <c r="A64" t="s">
        <v>1964</v>
      </c>
      <c r="L64" s="730"/>
      <c r="M64" s="730"/>
      <c r="N64" s="730"/>
      <c r="O64" s="730"/>
      <c r="P64" s="730"/>
      <c r="Q64" s="730"/>
      <c r="R64" s="730"/>
      <c r="S64" s="730"/>
      <c r="T64" s="730"/>
      <c r="U64" s="730"/>
      <c r="V64" s="730"/>
    </row>
    <row r="65" spans="1:22" x14ac:dyDescent="0.35">
      <c r="L65" s="730"/>
      <c r="M65" s="730"/>
      <c r="N65" s="730"/>
      <c r="O65" s="730"/>
      <c r="P65" s="730"/>
      <c r="Q65" s="730"/>
      <c r="R65" s="730"/>
      <c r="S65" s="730"/>
      <c r="T65" s="730"/>
      <c r="U65" s="730"/>
      <c r="V65" s="730"/>
    </row>
    <row r="66" spans="1:22" ht="333.5" customHeight="1" x14ac:dyDescent="0.35">
      <c r="A66" t="s">
        <v>1965</v>
      </c>
      <c r="B66" s="1050" t="s">
        <v>1966</v>
      </c>
      <c r="C66" s="979" t="s">
        <v>1967</v>
      </c>
      <c r="D66" s="1050"/>
      <c r="L66" s="730"/>
      <c r="M66" s="730"/>
      <c r="N66" s="730"/>
      <c r="O66" s="730"/>
      <c r="P66" s="730"/>
      <c r="Q66" s="730"/>
      <c r="R66" s="730"/>
      <c r="S66" s="730"/>
      <c r="T66" s="730"/>
      <c r="U66" s="730"/>
      <c r="V66" s="730"/>
    </row>
    <row r="67" spans="1:22" x14ac:dyDescent="0.35">
      <c r="L67" s="730"/>
      <c r="M67" s="730"/>
      <c r="N67" s="730"/>
      <c r="O67" s="730"/>
      <c r="P67" s="730"/>
      <c r="Q67" s="730"/>
      <c r="R67" s="730"/>
      <c r="S67" s="730"/>
      <c r="T67" s="730"/>
      <c r="U67" s="730"/>
      <c r="V67" s="730"/>
    </row>
    <row r="68" spans="1:22" x14ac:dyDescent="0.35">
      <c r="A68" t="s">
        <v>1968</v>
      </c>
      <c r="C68" s="1059"/>
      <c r="L68" s="730"/>
      <c r="M68" s="730"/>
      <c r="N68" s="730"/>
      <c r="O68" s="730"/>
      <c r="P68" s="730"/>
      <c r="Q68" s="730"/>
      <c r="R68" s="730"/>
      <c r="S68" s="730"/>
      <c r="T68" s="730"/>
      <c r="U68" s="730"/>
      <c r="V68" s="730"/>
    </row>
    <row r="69" spans="1:22" x14ac:dyDescent="0.35">
      <c r="A69" t="s">
        <v>1969</v>
      </c>
      <c r="B69" t="s">
        <v>1965</v>
      </c>
      <c r="C69" s="1059" t="s">
        <v>1970</v>
      </c>
      <c r="D69" s="1059" t="s">
        <v>1971</v>
      </c>
      <c r="L69" s="730"/>
      <c r="M69" s="730"/>
      <c r="N69" s="730"/>
      <c r="O69" s="730"/>
      <c r="P69" s="730"/>
      <c r="Q69" s="730"/>
      <c r="R69" s="730"/>
      <c r="S69" s="730"/>
      <c r="T69" s="730"/>
      <c r="U69" s="730"/>
      <c r="V69" s="730"/>
    </row>
    <row r="70" spans="1:22" x14ac:dyDescent="0.35">
      <c r="A70" s="1060">
        <v>44562</v>
      </c>
      <c r="B70" s="1061">
        <v>58.637</v>
      </c>
      <c r="C70" s="1062">
        <v>87.938999999999993</v>
      </c>
      <c r="D70">
        <f>C70/B70</f>
        <v>1.4997186077050326</v>
      </c>
      <c r="L70" s="730"/>
      <c r="M70" s="730"/>
      <c r="N70" s="730"/>
      <c r="O70" s="730"/>
      <c r="P70" s="730"/>
      <c r="Q70" s="730"/>
      <c r="R70" s="730"/>
      <c r="S70" s="730"/>
      <c r="T70" s="730"/>
      <c r="U70" s="730"/>
      <c r="V70" s="730"/>
    </row>
    <row r="71" spans="1:22" x14ac:dyDescent="0.35">
      <c r="A71" s="1060">
        <v>44652</v>
      </c>
      <c r="B71" s="1061">
        <v>56.826000000000001</v>
      </c>
      <c r="C71" s="1062">
        <v>90.418999999999997</v>
      </c>
      <c r="D71">
        <f t="shared" ref="D71:D75" si="8">C71/B71</f>
        <v>1.5911554570091155</v>
      </c>
      <c r="L71" s="730"/>
      <c r="M71" s="730"/>
      <c r="N71" s="730"/>
      <c r="O71" s="730"/>
      <c r="P71" s="730"/>
      <c r="Q71" s="730"/>
      <c r="R71" s="730"/>
      <c r="S71" s="730"/>
      <c r="T71" s="730"/>
      <c r="U71" s="730"/>
      <c r="V71" s="730"/>
    </row>
    <row r="72" spans="1:22" x14ac:dyDescent="0.35">
      <c r="A72" s="1060">
        <v>44743</v>
      </c>
      <c r="B72" s="1061">
        <v>59.756999999999998</v>
      </c>
      <c r="C72" s="1062">
        <v>101.727</v>
      </c>
      <c r="D72">
        <f t="shared" si="8"/>
        <v>1.7023444952055828</v>
      </c>
      <c r="L72" s="730"/>
      <c r="M72" s="730"/>
      <c r="N72" s="730"/>
      <c r="O72" s="730"/>
      <c r="P72" s="730"/>
      <c r="Q72" s="730"/>
      <c r="R72" s="730"/>
      <c r="S72" s="730"/>
      <c r="T72" s="730"/>
      <c r="U72" s="730"/>
      <c r="V72" s="730"/>
    </row>
    <row r="73" spans="1:22" x14ac:dyDescent="0.35">
      <c r="A73" s="1060">
        <v>44835</v>
      </c>
      <c r="B73" s="1061">
        <v>64.33</v>
      </c>
      <c r="C73" s="1062">
        <v>112.18300000000001</v>
      </c>
      <c r="D73">
        <f t="shared" si="8"/>
        <v>1.7438675579045548</v>
      </c>
      <c r="L73" s="730"/>
      <c r="M73" s="730"/>
      <c r="N73" s="730"/>
      <c r="O73" s="730"/>
      <c r="P73" s="730"/>
      <c r="Q73" s="730"/>
      <c r="R73" s="730"/>
      <c r="S73" s="730"/>
      <c r="T73" s="730"/>
      <c r="U73" s="730"/>
      <c r="V73" s="730"/>
    </row>
    <row r="74" spans="1:22" x14ac:dyDescent="0.35">
      <c r="A74" s="1060">
        <v>44927</v>
      </c>
      <c r="B74" s="1061">
        <v>74.295000000000002</v>
      </c>
      <c r="C74" s="1062">
        <v>131.22999999999999</v>
      </c>
      <c r="D74">
        <f t="shared" si="8"/>
        <v>1.7663369001951676</v>
      </c>
      <c r="L74" s="730"/>
      <c r="M74" s="730"/>
      <c r="N74" s="730"/>
      <c r="O74" s="730"/>
      <c r="P74" s="730"/>
      <c r="Q74" s="730"/>
      <c r="R74" s="730"/>
      <c r="S74" s="730"/>
      <c r="T74" s="730"/>
      <c r="U74" s="730"/>
      <c r="V74" s="730"/>
    </row>
    <row r="75" spans="1:22" x14ac:dyDescent="0.35">
      <c r="A75" s="1060">
        <v>45017</v>
      </c>
      <c r="B75" s="1061">
        <v>87.679000000000002</v>
      </c>
      <c r="C75" s="1062">
        <v>153.18799999999999</v>
      </c>
      <c r="D75">
        <f t="shared" si="8"/>
        <v>1.7471458387983438</v>
      </c>
      <c r="L75" s="730"/>
      <c r="M75" s="730"/>
      <c r="N75" s="730"/>
      <c r="O75" s="730"/>
      <c r="P75" s="730"/>
      <c r="Q75" s="730"/>
      <c r="R75" s="730"/>
      <c r="S75" s="730"/>
      <c r="T75" s="730"/>
      <c r="U75" s="730"/>
      <c r="V75" s="730"/>
    </row>
    <row r="76" spans="1:22" x14ac:dyDescent="0.35">
      <c r="A76" s="730"/>
      <c r="B76" s="730"/>
      <c r="C76" s="730"/>
      <c r="D76" s="730"/>
      <c r="E76" s="730"/>
      <c r="F76" s="730"/>
      <c r="G76" s="730"/>
      <c r="H76" s="730"/>
      <c r="I76" s="730"/>
      <c r="J76" s="730"/>
      <c r="K76" s="730"/>
      <c r="L76" s="730"/>
      <c r="M76" s="730"/>
      <c r="N76" s="730"/>
      <c r="O76" s="730"/>
      <c r="P76" s="730"/>
      <c r="Q76" s="730"/>
      <c r="R76" s="730"/>
      <c r="S76" s="730"/>
      <c r="T76" s="730"/>
      <c r="U76" s="730"/>
      <c r="V76" s="730"/>
    </row>
  </sheetData>
  <mergeCells count="1">
    <mergeCell ref="B23:D23"/>
  </mergeCell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923" t="s">
        <v>525</v>
      </c>
      <c r="B3" s="202"/>
    </row>
    <row r="4" spans="1:17" x14ac:dyDescent="0.35">
      <c r="A4" s="1067" t="s">
        <v>526</v>
      </c>
      <c r="B4" s="1068"/>
      <c r="C4" s="1068"/>
    </row>
    <row r="7" spans="1:17" x14ac:dyDescent="0.35">
      <c r="A7" s="1459" t="s">
        <v>527</v>
      </c>
      <c r="B7" s="1460"/>
      <c r="C7" s="1460"/>
      <c r="D7" s="1460"/>
      <c r="E7" s="1460"/>
      <c r="F7" s="1460"/>
      <c r="G7" s="1460"/>
      <c r="H7" s="1460"/>
      <c r="I7" s="1460"/>
      <c r="J7" s="1460"/>
      <c r="K7" s="1460"/>
      <c r="L7" s="1460"/>
      <c r="M7" s="1460"/>
      <c r="N7" s="1460"/>
      <c r="O7" s="1460"/>
      <c r="P7" s="1460"/>
    </row>
    <row r="8" spans="1:17" x14ac:dyDescent="0.35">
      <c r="A8" s="322" t="s">
        <v>528</v>
      </c>
      <c r="B8" s="322"/>
      <c r="C8" s="322"/>
      <c r="D8" s="1072"/>
      <c r="E8" s="322"/>
      <c r="F8" s="322"/>
      <c r="G8" s="322"/>
      <c r="H8" s="322"/>
      <c r="I8" s="322"/>
      <c r="J8" s="322"/>
      <c r="K8" s="322"/>
      <c r="L8" s="322"/>
      <c r="M8" s="322"/>
      <c r="N8" s="322"/>
      <c r="O8" s="322"/>
      <c r="P8" s="322"/>
    </row>
    <row r="9" spans="1:17" x14ac:dyDescent="0.35">
      <c r="A9" s="202"/>
      <c r="B9" s="202"/>
      <c r="C9" s="202"/>
      <c r="D9" s="656"/>
      <c r="E9" s="202"/>
      <c r="F9" s="202"/>
      <c r="G9" s="202"/>
      <c r="H9" s="202"/>
      <c r="I9" s="202"/>
      <c r="J9" s="202"/>
      <c r="K9" s="202"/>
      <c r="L9" s="202"/>
      <c r="M9" s="202"/>
      <c r="N9" s="202"/>
      <c r="O9" s="202"/>
      <c r="P9" s="202"/>
    </row>
    <row r="10" spans="1:17" x14ac:dyDescent="0.35">
      <c r="A10" s="202"/>
      <c r="B10" s="202"/>
      <c r="C10" s="202"/>
      <c r="D10" s="656"/>
      <c r="E10" s="202"/>
      <c r="F10" s="202"/>
      <c r="G10" s="202"/>
      <c r="H10" s="202"/>
      <c r="I10" s="202"/>
      <c r="J10" s="202"/>
      <c r="K10" s="202"/>
      <c r="L10" s="202"/>
      <c r="M10" s="202"/>
      <c r="N10" s="202"/>
      <c r="O10" s="1461" t="s">
        <v>312</v>
      </c>
      <c r="P10" s="1461"/>
    </row>
    <row r="11" spans="1:17" x14ac:dyDescent="0.35">
      <c r="A11" s="202"/>
      <c r="B11" s="202"/>
      <c r="C11" s="699"/>
      <c r="D11" s="232"/>
      <c r="E11" s="699"/>
      <c r="F11" s="699"/>
      <c r="G11" s="699"/>
      <c r="H11" s="699"/>
      <c r="I11" s="699"/>
      <c r="J11" s="699"/>
      <c r="K11" s="699"/>
      <c r="L11" s="699"/>
      <c r="M11" s="699"/>
      <c r="N11" s="699"/>
      <c r="O11" s="1071" t="s">
        <v>529</v>
      </c>
      <c r="P11" s="1071" t="s">
        <v>529</v>
      </c>
    </row>
    <row r="12" spans="1:17" x14ac:dyDescent="0.35">
      <c r="A12" s="322"/>
      <c r="B12" s="322"/>
      <c r="C12" s="322"/>
      <c r="D12" s="1072">
        <v>2020</v>
      </c>
      <c r="E12" s="1072">
        <v>2021</v>
      </c>
      <c r="F12" s="1072">
        <v>2022</v>
      </c>
      <c r="G12" s="1072">
        <v>2023</v>
      </c>
      <c r="H12" s="1072">
        <v>2024</v>
      </c>
      <c r="I12" s="1072">
        <v>2025</v>
      </c>
      <c r="J12" s="1072">
        <v>2026</v>
      </c>
      <c r="K12" s="1072">
        <v>2027</v>
      </c>
      <c r="L12" s="1072">
        <v>2028</v>
      </c>
      <c r="M12" s="1072">
        <v>2029</v>
      </c>
      <c r="N12" s="1072">
        <v>2030</v>
      </c>
      <c r="O12" s="767">
        <v>2025</v>
      </c>
      <c r="P12" s="767">
        <v>2030</v>
      </c>
    </row>
    <row r="13" spans="1:17" x14ac:dyDescent="0.35">
      <c r="A13" s="699" t="s">
        <v>530</v>
      </c>
      <c r="B13" s="699"/>
      <c r="C13" s="699"/>
      <c r="D13" s="610">
        <v>540.56299999999999</v>
      </c>
      <c r="E13" s="610">
        <v>0</v>
      </c>
      <c r="F13" s="610">
        <v>0</v>
      </c>
      <c r="G13" s="610">
        <v>0</v>
      </c>
      <c r="H13" s="610">
        <v>0</v>
      </c>
      <c r="I13" s="610">
        <v>0</v>
      </c>
      <c r="J13" s="610">
        <v>0</v>
      </c>
      <c r="K13" s="610">
        <v>0</v>
      </c>
      <c r="L13" s="610">
        <v>0</v>
      </c>
      <c r="M13" s="610">
        <v>0</v>
      </c>
      <c r="N13" s="610">
        <v>0</v>
      </c>
      <c r="O13" s="610">
        <v>0</v>
      </c>
      <c r="P13" s="610">
        <v>0</v>
      </c>
      <c r="Q13" t="s">
        <v>50</v>
      </c>
    </row>
    <row r="14" spans="1:17" x14ac:dyDescent="0.35">
      <c r="A14" s="202" t="s">
        <v>531</v>
      </c>
      <c r="B14" s="202"/>
      <c r="C14" s="202"/>
      <c r="D14" s="232"/>
      <c r="E14" s="699"/>
      <c r="F14" s="699"/>
      <c r="G14" s="699"/>
      <c r="H14" s="699"/>
      <c r="I14" s="699"/>
      <c r="J14" s="699"/>
      <c r="K14" s="699"/>
      <c r="L14" s="699"/>
      <c r="M14" s="699"/>
      <c r="N14" s="699"/>
      <c r="O14" s="699"/>
      <c r="P14" s="699"/>
      <c r="Q14" t="s">
        <v>532</v>
      </c>
    </row>
    <row r="15" spans="1:17" x14ac:dyDescent="0.35">
      <c r="A15" s="202"/>
      <c r="B15" s="202" t="s">
        <v>533</v>
      </c>
      <c r="C15" s="202"/>
      <c r="D15" s="232">
        <v>285.56</v>
      </c>
      <c r="E15" s="232">
        <v>5</v>
      </c>
      <c r="F15" s="232">
        <v>0</v>
      </c>
      <c r="G15" s="232">
        <v>0</v>
      </c>
      <c r="H15" s="232">
        <v>0</v>
      </c>
      <c r="I15" s="232">
        <v>0</v>
      </c>
      <c r="J15" s="232">
        <v>0</v>
      </c>
      <c r="K15" s="232">
        <v>0</v>
      </c>
      <c r="L15" s="232">
        <v>0</v>
      </c>
      <c r="M15" s="232">
        <v>0</v>
      </c>
      <c r="N15" s="232">
        <v>0</v>
      </c>
      <c r="O15" s="232">
        <v>5</v>
      </c>
      <c r="P15" s="232">
        <v>5</v>
      </c>
    </row>
    <row r="16" spans="1:17" x14ac:dyDescent="0.35">
      <c r="A16" s="699"/>
      <c r="B16" s="202" t="s">
        <v>534</v>
      </c>
      <c r="C16" s="699"/>
      <c r="D16" s="232">
        <v>67.209999999999994</v>
      </c>
      <c r="E16" s="232">
        <v>13.68</v>
      </c>
      <c r="F16" s="232">
        <v>0</v>
      </c>
      <c r="G16" s="232">
        <v>0</v>
      </c>
      <c r="H16" s="232">
        <v>0</v>
      </c>
      <c r="I16" s="232">
        <v>0</v>
      </c>
      <c r="J16" s="232">
        <v>0</v>
      </c>
      <c r="K16" s="232">
        <v>0</v>
      </c>
      <c r="L16" s="232">
        <v>0</v>
      </c>
      <c r="M16" s="232">
        <v>0</v>
      </c>
      <c r="N16" s="232">
        <v>0</v>
      </c>
      <c r="O16" s="232">
        <v>13.68</v>
      </c>
      <c r="P16" s="232">
        <v>13.68</v>
      </c>
    </row>
    <row r="17" spans="1:17" x14ac:dyDescent="0.35">
      <c r="A17" s="699"/>
      <c r="B17" s="202" t="s">
        <v>535</v>
      </c>
      <c r="C17" s="699"/>
      <c r="D17" s="232">
        <v>11.12</v>
      </c>
      <c r="E17" s="232">
        <v>47.8</v>
      </c>
      <c r="F17" s="232">
        <v>0</v>
      </c>
      <c r="G17" s="232">
        <v>0</v>
      </c>
      <c r="H17" s="232">
        <v>0</v>
      </c>
      <c r="I17" s="232">
        <v>0</v>
      </c>
      <c r="J17" s="232">
        <v>0</v>
      </c>
      <c r="K17" s="232">
        <v>0</v>
      </c>
      <c r="L17" s="232">
        <v>0</v>
      </c>
      <c r="M17" s="232">
        <v>0</v>
      </c>
      <c r="N17" s="232">
        <v>0</v>
      </c>
      <c r="O17" s="232">
        <v>47.8</v>
      </c>
      <c r="P17" s="232">
        <v>47.8</v>
      </c>
    </row>
    <row r="18" spans="1:17" x14ac:dyDescent="0.35">
      <c r="A18" s="699"/>
      <c r="B18" s="202" t="s">
        <v>536</v>
      </c>
      <c r="C18" s="699"/>
      <c r="D18" s="232">
        <v>6.2149999999999999</v>
      </c>
      <c r="E18" s="232">
        <v>5.0049999999999999</v>
      </c>
      <c r="F18" s="232">
        <v>0</v>
      </c>
      <c r="G18" s="232">
        <v>0</v>
      </c>
      <c r="H18" s="232">
        <v>0</v>
      </c>
      <c r="I18" s="232">
        <v>0</v>
      </c>
      <c r="J18" s="232">
        <v>0</v>
      </c>
      <c r="K18" s="232">
        <v>0</v>
      </c>
      <c r="L18" s="232">
        <v>0</v>
      </c>
      <c r="M18" s="232">
        <v>0</v>
      </c>
      <c r="N18" s="232">
        <v>0</v>
      </c>
      <c r="O18" s="232">
        <v>5.0049999999999999</v>
      </c>
      <c r="P18" s="232">
        <v>5.0049999999999999</v>
      </c>
    </row>
    <row r="19" spans="1:17" x14ac:dyDescent="0.35">
      <c r="A19" s="699"/>
      <c r="B19" s="202"/>
      <c r="C19" s="699"/>
      <c r="D19" s="232" t="s">
        <v>537</v>
      </c>
      <c r="E19" s="232" t="s">
        <v>537</v>
      </c>
      <c r="F19" s="232" t="s">
        <v>537</v>
      </c>
      <c r="G19" s="232" t="s">
        <v>537</v>
      </c>
      <c r="H19" s="232" t="s">
        <v>537</v>
      </c>
      <c r="I19" s="232" t="s">
        <v>537</v>
      </c>
      <c r="J19" s="232" t="s">
        <v>537</v>
      </c>
      <c r="K19" s="232" t="s">
        <v>537</v>
      </c>
      <c r="L19" s="232" t="s">
        <v>537</v>
      </c>
      <c r="M19" s="232" t="s">
        <v>537</v>
      </c>
      <c r="N19" s="232" t="s">
        <v>537</v>
      </c>
      <c r="O19" s="232" t="s">
        <v>537</v>
      </c>
      <c r="P19" s="232" t="s">
        <v>537</v>
      </c>
    </row>
    <row r="20" spans="1:17" x14ac:dyDescent="0.35">
      <c r="A20" s="699"/>
      <c r="B20" s="202"/>
      <c r="C20" s="699" t="s">
        <v>538</v>
      </c>
      <c r="D20" s="232">
        <v>370.10500000000002</v>
      </c>
      <c r="E20" s="232">
        <v>71.484999999999999</v>
      </c>
      <c r="F20" s="232">
        <v>0</v>
      </c>
      <c r="G20" s="232">
        <v>0</v>
      </c>
      <c r="H20" s="232">
        <v>0</v>
      </c>
      <c r="I20" s="232">
        <v>0</v>
      </c>
      <c r="J20" s="232">
        <v>0</v>
      </c>
      <c r="K20" s="232">
        <v>0</v>
      </c>
      <c r="L20" s="232">
        <v>0</v>
      </c>
      <c r="M20" s="232">
        <v>0</v>
      </c>
      <c r="N20" s="232">
        <v>0</v>
      </c>
      <c r="O20" s="232">
        <v>71.484999999999999</v>
      </c>
      <c r="P20" s="232">
        <v>71.484999999999999</v>
      </c>
    </row>
    <row r="21" spans="1:17" x14ac:dyDescent="0.35">
      <c r="A21" s="699"/>
      <c r="B21" s="202"/>
      <c r="C21" s="699"/>
      <c r="D21" s="232"/>
      <c r="E21" s="232"/>
      <c r="F21" s="232"/>
      <c r="G21" s="232"/>
      <c r="H21" s="232"/>
      <c r="I21" s="232"/>
      <c r="J21" s="232"/>
      <c r="K21" s="232"/>
      <c r="L21" s="232"/>
      <c r="M21" s="232"/>
      <c r="N21" s="232"/>
      <c r="O21" s="232"/>
      <c r="P21" s="232"/>
    </row>
    <row r="22" spans="1:17" ht="17.149999999999999" customHeight="1" x14ac:dyDescent="0.35">
      <c r="A22" s="699" t="s">
        <v>539</v>
      </c>
      <c r="B22" s="202"/>
      <c r="C22" s="699"/>
      <c r="D22" s="232">
        <v>271.98399999999998</v>
      </c>
      <c r="E22" s="232">
        <v>9.327</v>
      </c>
      <c r="F22" s="232">
        <v>0</v>
      </c>
      <c r="G22" s="232">
        <v>0</v>
      </c>
      <c r="H22" s="232">
        <v>0</v>
      </c>
      <c r="I22" s="232">
        <v>0</v>
      </c>
      <c r="J22" s="232">
        <v>0</v>
      </c>
      <c r="K22" s="232">
        <v>0</v>
      </c>
      <c r="L22" s="232">
        <v>0</v>
      </c>
      <c r="M22" s="232">
        <v>0</v>
      </c>
      <c r="N22" s="232">
        <v>0</v>
      </c>
      <c r="O22" s="232">
        <v>9.327</v>
      </c>
      <c r="P22" s="232">
        <v>9.327</v>
      </c>
      <c r="Q22" t="s">
        <v>540</v>
      </c>
    </row>
    <row r="23" spans="1:17" x14ac:dyDescent="0.35">
      <c r="A23" s="699" t="s">
        <v>149</v>
      </c>
      <c r="B23" s="202"/>
      <c r="C23" s="202"/>
      <c r="D23" s="232">
        <v>149.97300000000001</v>
      </c>
      <c r="E23" s="232">
        <v>2.5999999999999999E-2</v>
      </c>
      <c r="F23" s="232">
        <v>0</v>
      </c>
      <c r="G23" s="232">
        <v>0</v>
      </c>
      <c r="H23" s="232">
        <v>0</v>
      </c>
      <c r="I23" s="232">
        <v>0</v>
      </c>
      <c r="J23" s="232">
        <v>0</v>
      </c>
      <c r="K23" s="232">
        <v>0</v>
      </c>
      <c r="L23" s="232">
        <v>0</v>
      </c>
      <c r="M23" s="232">
        <v>0</v>
      </c>
      <c r="N23" s="232">
        <v>0</v>
      </c>
      <c r="O23" s="232">
        <v>2.5999999999999999E-2</v>
      </c>
      <c r="P23" s="232">
        <v>2.5999999999999999E-2</v>
      </c>
      <c r="Q23" t="s">
        <v>51</v>
      </c>
    </row>
    <row r="24" spans="1:17" x14ac:dyDescent="0.35">
      <c r="A24" s="699" t="s">
        <v>541</v>
      </c>
      <c r="B24" s="202"/>
      <c r="C24" s="202"/>
      <c r="D24" s="232">
        <v>135.41999999999999</v>
      </c>
      <c r="E24" s="232">
        <v>72.537999999999997</v>
      </c>
      <c r="F24" s="232">
        <v>10.331</v>
      </c>
      <c r="G24" s="232">
        <v>4.2670000000000003</v>
      </c>
      <c r="H24" s="232">
        <v>1.347</v>
      </c>
      <c r="I24" s="232">
        <v>0.67400000000000004</v>
      </c>
      <c r="J24" s="232">
        <v>0</v>
      </c>
      <c r="K24" s="232">
        <v>0</v>
      </c>
      <c r="L24" s="232">
        <v>0</v>
      </c>
      <c r="M24" s="232">
        <v>0</v>
      </c>
      <c r="N24" s="232">
        <v>0</v>
      </c>
      <c r="O24" s="232">
        <v>89.156999999999996</v>
      </c>
      <c r="P24" s="232">
        <v>89.156999999999996</v>
      </c>
      <c r="Q24" t="s">
        <v>542</v>
      </c>
    </row>
    <row r="25" spans="1:17" x14ac:dyDescent="0.35">
      <c r="A25" s="699" t="s">
        <v>543</v>
      </c>
      <c r="B25" s="202"/>
      <c r="C25" s="202"/>
      <c r="D25" s="232"/>
      <c r="E25" s="232"/>
      <c r="F25" s="232"/>
      <c r="G25" s="232"/>
      <c r="H25" s="232"/>
      <c r="I25" s="232"/>
      <c r="J25" s="232"/>
      <c r="K25" s="232"/>
      <c r="L25" s="232"/>
      <c r="M25" s="232"/>
      <c r="N25" s="232"/>
      <c r="O25" s="232"/>
      <c r="P25" s="232"/>
    </row>
    <row r="26" spans="1:17" x14ac:dyDescent="0.35">
      <c r="A26" s="699" t="s">
        <v>544</v>
      </c>
      <c r="B26" s="202"/>
      <c r="C26" s="202"/>
      <c r="D26" s="232">
        <v>40.831000000000003</v>
      </c>
      <c r="E26" s="232">
        <v>79.391999999999996</v>
      </c>
      <c r="F26" s="232">
        <v>47.442999999999998</v>
      </c>
      <c r="G26" s="232">
        <v>4.7220000000000004</v>
      </c>
      <c r="H26" s="232">
        <v>0</v>
      </c>
      <c r="I26" s="232">
        <v>0</v>
      </c>
      <c r="J26" s="232">
        <v>0</v>
      </c>
      <c r="K26" s="232">
        <v>0</v>
      </c>
      <c r="L26" s="232">
        <v>0</v>
      </c>
      <c r="M26" s="232">
        <v>0</v>
      </c>
      <c r="N26" s="232">
        <v>0</v>
      </c>
      <c r="O26" s="232">
        <v>131.55699999999999</v>
      </c>
      <c r="P26" s="232">
        <v>131.55699999999999</v>
      </c>
      <c r="Q26" t="s">
        <v>133</v>
      </c>
    </row>
    <row r="27" spans="1:17" x14ac:dyDescent="0.35">
      <c r="A27" s="699" t="s">
        <v>545</v>
      </c>
      <c r="B27" s="202"/>
      <c r="C27" s="202"/>
      <c r="D27" s="232">
        <v>58.054000000000002</v>
      </c>
      <c r="E27" s="232">
        <v>14.755000000000001</v>
      </c>
      <c r="F27" s="232">
        <v>3.4750000000000001</v>
      </c>
      <c r="G27" s="232">
        <v>3.9249999999999998</v>
      </c>
      <c r="H27" s="232">
        <v>4.375</v>
      </c>
      <c r="I27" s="232">
        <v>4.375</v>
      </c>
      <c r="J27" s="232">
        <v>4.5</v>
      </c>
      <c r="K27" s="232">
        <v>4.5</v>
      </c>
      <c r="L27" s="232">
        <v>4.5</v>
      </c>
      <c r="M27" s="232">
        <v>4.5</v>
      </c>
      <c r="N27" s="232">
        <v>4.5</v>
      </c>
      <c r="O27" s="232">
        <v>30.905000000000001</v>
      </c>
      <c r="P27" s="232">
        <v>53.405000000000001</v>
      </c>
    </row>
    <row r="28" spans="1:17" x14ac:dyDescent="0.35">
      <c r="A28" s="699" t="s">
        <v>546</v>
      </c>
      <c r="B28" s="202"/>
      <c r="C28" s="202"/>
      <c r="D28" s="232">
        <v>47.372999999999998</v>
      </c>
      <c r="E28" s="232">
        <v>-46.081000000000003</v>
      </c>
      <c r="F28" s="232">
        <v>0</v>
      </c>
      <c r="G28" s="232">
        <v>0</v>
      </c>
      <c r="H28" s="232">
        <v>0</v>
      </c>
      <c r="I28" s="232">
        <v>0</v>
      </c>
      <c r="J28" s="232">
        <v>0</v>
      </c>
      <c r="K28" s="232">
        <v>0</v>
      </c>
      <c r="L28" s="232">
        <v>0</v>
      </c>
      <c r="M28" s="232">
        <v>0</v>
      </c>
      <c r="N28" s="232">
        <v>0</v>
      </c>
      <c r="O28" s="232">
        <v>-46.081000000000003</v>
      </c>
      <c r="P28" s="232">
        <v>-46.081000000000003</v>
      </c>
      <c r="Q28" t="s">
        <v>55</v>
      </c>
    </row>
    <row r="29" spans="1:17" x14ac:dyDescent="0.35">
      <c r="A29" s="699" t="s">
        <v>547</v>
      </c>
      <c r="B29" s="202"/>
      <c r="C29" s="202"/>
      <c r="D29" s="232">
        <v>24.475000000000001</v>
      </c>
      <c r="E29" s="232">
        <v>32.784999999999997</v>
      </c>
      <c r="F29" s="232">
        <v>8.4600000000000009</v>
      </c>
      <c r="G29" s="232">
        <v>0</v>
      </c>
      <c r="H29" s="232">
        <v>0</v>
      </c>
      <c r="I29" s="232">
        <v>0</v>
      </c>
      <c r="J29" s="232">
        <v>0</v>
      </c>
      <c r="K29" s="232">
        <v>0</v>
      </c>
      <c r="L29" s="232">
        <v>0</v>
      </c>
      <c r="M29" s="232">
        <v>0</v>
      </c>
      <c r="N29" s="232">
        <v>0</v>
      </c>
      <c r="O29" s="232">
        <v>41.244999999999997</v>
      </c>
      <c r="P29" s="232">
        <v>41.244999999999997</v>
      </c>
      <c r="Q29" t="s">
        <v>548</v>
      </c>
    </row>
    <row r="30" spans="1:17" x14ac:dyDescent="0.35">
      <c r="A30" s="699" t="s">
        <v>549</v>
      </c>
      <c r="B30" s="202"/>
      <c r="C30" s="202"/>
      <c r="D30" s="232">
        <v>27.5</v>
      </c>
      <c r="E30" s="232">
        <v>0.86</v>
      </c>
      <c r="F30" s="232">
        <v>-0.22</v>
      </c>
      <c r="G30" s="232">
        <v>-0.49</v>
      </c>
      <c r="H30" s="232">
        <v>-0.56000000000000005</v>
      </c>
      <c r="I30" s="232">
        <v>-0.98</v>
      </c>
      <c r="J30" s="232">
        <v>-0.76</v>
      </c>
      <c r="K30" s="232">
        <v>-0.74</v>
      </c>
      <c r="L30" s="232">
        <v>-0.72</v>
      </c>
      <c r="M30" s="232">
        <v>-0.7</v>
      </c>
      <c r="N30" s="232">
        <v>-0.69</v>
      </c>
      <c r="O30" s="232">
        <v>-1.39</v>
      </c>
      <c r="P30" s="232">
        <v>-5</v>
      </c>
      <c r="Q30" t="s">
        <v>52</v>
      </c>
    </row>
    <row r="31" spans="1:17" x14ac:dyDescent="0.35">
      <c r="A31" s="699" t="s">
        <v>150</v>
      </c>
      <c r="B31" s="202"/>
      <c r="C31" s="202"/>
      <c r="D31" s="232">
        <v>11.407999999999999</v>
      </c>
      <c r="E31" s="232">
        <v>10.763</v>
      </c>
      <c r="F31" s="232">
        <v>5.7809999999999997</v>
      </c>
      <c r="G31" s="232">
        <v>0.92300000000000004</v>
      </c>
      <c r="H31" s="232">
        <v>0.52300000000000002</v>
      </c>
      <c r="I31" s="232">
        <v>0.43099999999999999</v>
      </c>
      <c r="J31" s="232">
        <v>0.246</v>
      </c>
      <c r="K31" s="232">
        <v>0</v>
      </c>
      <c r="L31" s="232">
        <v>0</v>
      </c>
      <c r="M31" s="232">
        <v>0</v>
      </c>
      <c r="N31" s="232">
        <v>0</v>
      </c>
      <c r="O31" s="232">
        <v>18.420999999999999</v>
      </c>
      <c r="P31" s="232">
        <v>18.667000000000002</v>
      </c>
      <c r="Q31" t="s">
        <v>550</v>
      </c>
    </row>
    <row r="32" spans="1:17" x14ac:dyDescent="0.35">
      <c r="A32" s="699" t="s">
        <v>551</v>
      </c>
      <c r="B32" s="202"/>
      <c r="C32" s="202"/>
      <c r="D32" s="232">
        <v>99.444000000000003</v>
      </c>
      <c r="E32" s="232">
        <v>61.634</v>
      </c>
      <c r="F32" s="232">
        <v>23.815000000000001</v>
      </c>
      <c r="G32" s="232">
        <v>7.35</v>
      </c>
      <c r="H32" s="232">
        <v>4.4029999999999996</v>
      </c>
      <c r="I32" s="232">
        <v>1.663</v>
      </c>
      <c r="J32" s="232">
        <v>0.74399999999999999</v>
      </c>
      <c r="K32" s="232">
        <v>0.65500000000000003</v>
      </c>
      <c r="L32" s="232">
        <v>0.68799999999999994</v>
      </c>
      <c r="M32" s="232">
        <v>10.603</v>
      </c>
      <c r="N32" s="232">
        <v>-35.328000000000003</v>
      </c>
      <c r="O32" s="232">
        <v>98.864999999999995</v>
      </c>
      <c r="P32" s="232">
        <v>76.227000000000004</v>
      </c>
      <c r="Q32" t="s">
        <v>552</v>
      </c>
    </row>
    <row r="33" spans="1:16" x14ac:dyDescent="0.35">
      <c r="A33" s="699"/>
      <c r="B33" s="202"/>
      <c r="C33" s="202"/>
      <c r="D33" s="232"/>
      <c r="E33" s="232"/>
      <c r="F33" s="232"/>
      <c r="G33" s="232"/>
      <c r="H33" s="232"/>
      <c r="I33" s="232"/>
      <c r="J33" s="232"/>
      <c r="K33" s="232"/>
      <c r="L33" s="232"/>
      <c r="M33" s="232"/>
      <c r="N33" s="232"/>
      <c r="O33" s="232"/>
      <c r="P33" s="232"/>
    </row>
    <row r="34" spans="1:16" x14ac:dyDescent="0.35">
      <c r="A34" s="1070"/>
      <c r="B34" s="1070"/>
      <c r="C34" s="1070" t="s">
        <v>312</v>
      </c>
      <c r="D34" s="1073">
        <v>1777.13</v>
      </c>
      <c r="E34" s="1073">
        <v>307.48399999999998</v>
      </c>
      <c r="F34" s="1073">
        <v>99.084999999999994</v>
      </c>
      <c r="G34" s="1073">
        <v>20.696999999999999</v>
      </c>
      <c r="H34" s="1073">
        <v>10.087999999999999</v>
      </c>
      <c r="I34" s="1073">
        <v>6.1630000000000003</v>
      </c>
      <c r="J34" s="1073">
        <v>4.7300000000000004</v>
      </c>
      <c r="K34" s="1073">
        <v>4.415</v>
      </c>
      <c r="L34" s="1073">
        <v>4.468</v>
      </c>
      <c r="M34" s="1073">
        <v>14.403</v>
      </c>
      <c r="N34" s="1073">
        <v>-31.518000000000001</v>
      </c>
      <c r="O34" s="1073">
        <v>443.517</v>
      </c>
      <c r="P34" s="1073">
        <v>440.01499999999999</v>
      </c>
    </row>
    <row r="35" spans="1:16" x14ac:dyDescent="0.35">
      <c r="A35" s="202"/>
      <c r="B35" s="202"/>
      <c r="C35" s="202"/>
      <c r="D35" s="1069"/>
      <c r="E35" s="459"/>
      <c r="F35" s="699"/>
      <c r="G35" s="699"/>
      <c r="H35" s="699"/>
      <c r="I35" s="699"/>
      <c r="J35" s="699"/>
      <c r="K35" s="699"/>
      <c r="L35" s="699"/>
      <c r="M35" s="699"/>
      <c r="N35" s="699"/>
      <c r="O35" s="699"/>
      <c r="P35" s="699"/>
    </row>
    <row r="36" spans="1:16" x14ac:dyDescent="0.35">
      <c r="A36" s="1063" t="s">
        <v>553</v>
      </c>
      <c r="B36" s="1063"/>
      <c r="C36" s="1063"/>
      <c r="D36" s="1064"/>
      <c r="E36" s="1063"/>
      <c r="F36" s="1063"/>
      <c r="G36" s="1063"/>
      <c r="H36" s="1063"/>
      <c r="I36" s="1063"/>
      <c r="J36" s="1063"/>
      <c r="K36" s="1063"/>
      <c r="L36" s="1063"/>
      <c r="M36" s="1063"/>
      <c r="N36" s="1063"/>
      <c r="O36" s="1063"/>
      <c r="P36" s="1063"/>
    </row>
    <row r="37" spans="1:16" x14ac:dyDescent="0.35">
      <c r="A37" s="1063"/>
      <c r="B37" s="1063"/>
      <c r="C37" s="1063"/>
      <c r="D37" s="1064"/>
      <c r="E37" s="1063"/>
      <c r="F37" s="1063"/>
      <c r="G37" s="1063"/>
      <c r="H37" s="1063"/>
      <c r="I37" s="1063"/>
      <c r="J37" s="1063"/>
      <c r="K37" s="1063"/>
      <c r="L37" s="1063"/>
      <c r="M37" s="1063"/>
      <c r="N37" s="1063"/>
      <c r="O37" s="1063"/>
      <c r="P37" s="1063"/>
    </row>
    <row r="38" spans="1:16" x14ac:dyDescent="0.35">
      <c r="A38" s="1464" t="s">
        <v>554</v>
      </c>
      <c r="B38" s="1464"/>
      <c r="C38" s="1464"/>
      <c r="D38" s="1464"/>
      <c r="E38" s="1464"/>
      <c r="F38" s="1464"/>
      <c r="G38" s="1464"/>
      <c r="H38" s="1464"/>
      <c r="I38" s="1464"/>
      <c r="J38" s="1464"/>
      <c r="K38" s="1464"/>
      <c r="L38" s="1464"/>
      <c r="M38" s="1464"/>
      <c r="N38" s="1464"/>
      <c r="O38" s="1464"/>
      <c r="P38" s="1464"/>
    </row>
    <row r="39" spans="1:16" x14ac:dyDescent="0.35">
      <c r="A39" s="1464"/>
      <c r="B39" s="1464"/>
      <c r="C39" s="1464"/>
      <c r="D39" s="1464"/>
      <c r="E39" s="1464"/>
      <c r="F39" s="1464"/>
      <c r="G39" s="1464"/>
      <c r="H39" s="1464"/>
      <c r="I39" s="1464"/>
      <c r="J39" s="1464"/>
      <c r="K39" s="1464"/>
      <c r="L39" s="1464"/>
      <c r="M39" s="1464"/>
      <c r="N39" s="1464"/>
      <c r="O39" s="1464"/>
      <c r="P39" s="1464"/>
    </row>
    <row r="40" spans="1:16" x14ac:dyDescent="0.35">
      <c r="A40" s="1464"/>
      <c r="B40" s="1464"/>
      <c r="C40" s="1464"/>
      <c r="D40" s="1464"/>
      <c r="E40" s="1464"/>
      <c r="F40" s="1464"/>
      <c r="G40" s="1464"/>
      <c r="H40" s="1464"/>
      <c r="I40" s="1464"/>
      <c r="J40" s="1464"/>
      <c r="K40" s="1464"/>
      <c r="L40" s="1464"/>
      <c r="M40" s="1464"/>
      <c r="N40" s="1464"/>
      <c r="O40" s="1464"/>
      <c r="P40" s="1464"/>
    </row>
    <row r="41" spans="1:16" x14ac:dyDescent="0.35">
      <c r="A41" s="1464"/>
      <c r="B41" s="1464"/>
      <c r="C41" s="1464"/>
      <c r="D41" s="1464"/>
      <c r="E41" s="1464"/>
      <c r="F41" s="1464"/>
      <c r="G41" s="1464"/>
      <c r="H41" s="1464"/>
      <c r="I41" s="1464"/>
      <c r="J41" s="1464"/>
      <c r="K41" s="1464"/>
      <c r="L41" s="1464"/>
      <c r="M41" s="1464"/>
      <c r="N41" s="1464"/>
      <c r="O41" s="1464"/>
      <c r="P41" s="1464"/>
    </row>
    <row r="42" spans="1:16" x14ac:dyDescent="0.35">
      <c r="A42" s="1464"/>
      <c r="B42" s="1464"/>
      <c r="C42" s="1464"/>
      <c r="D42" s="1464"/>
      <c r="E42" s="1464"/>
      <c r="F42" s="1464"/>
      <c r="G42" s="1464"/>
      <c r="H42" s="1464"/>
      <c r="I42" s="1464"/>
      <c r="J42" s="1464"/>
      <c r="K42" s="1464"/>
      <c r="L42" s="1464"/>
      <c r="M42" s="1464"/>
      <c r="N42" s="1464"/>
      <c r="O42" s="1464"/>
      <c r="P42" s="1464"/>
    </row>
    <row r="43" spans="1:16" x14ac:dyDescent="0.35">
      <c r="A43" s="209"/>
      <c r="B43" s="209"/>
      <c r="C43" s="209"/>
      <c r="D43" s="209"/>
      <c r="E43" s="209"/>
      <c r="F43" s="209"/>
      <c r="G43" s="209"/>
      <c r="H43" s="209"/>
      <c r="I43" s="209"/>
      <c r="J43" s="209"/>
      <c r="K43" s="209"/>
      <c r="L43" s="209"/>
      <c r="M43" s="209"/>
      <c r="N43" s="209"/>
      <c r="O43" s="209"/>
      <c r="P43" s="209"/>
    </row>
    <row r="44" spans="1:16" x14ac:dyDescent="0.35">
      <c r="A44" s="1353" t="s">
        <v>555</v>
      </c>
      <c r="B44" s="1353"/>
      <c r="C44" s="1353"/>
      <c r="D44" s="1353"/>
      <c r="E44" s="1353"/>
      <c r="F44" s="1353"/>
      <c r="G44" s="1353"/>
      <c r="H44" s="1353"/>
      <c r="I44" s="1353"/>
      <c r="J44" s="1353"/>
      <c r="K44" s="1353"/>
      <c r="L44" s="1353"/>
      <c r="M44" s="1353"/>
      <c r="N44" s="1353"/>
      <c r="O44" s="1353"/>
      <c r="P44" s="1353"/>
    </row>
    <row r="45" spans="1:16" x14ac:dyDescent="0.35">
      <c r="A45" s="1353"/>
      <c r="B45" s="1353"/>
      <c r="C45" s="1353"/>
      <c r="D45" s="1353"/>
      <c r="E45" s="1353"/>
      <c r="F45" s="1353"/>
      <c r="G45" s="1353"/>
      <c r="H45" s="1353"/>
      <c r="I45" s="1353"/>
      <c r="J45" s="1353"/>
      <c r="K45" s="1353"/>
      <c r="L45" s="1353"/>
      <c r="M45" s="1353"/>
      <c r="N45" s="1353"/>
      <c r="O45" s="1353"/>
      <c r="P45" s="1353"/>
    </row>
    <row r="46" spans="1:16" x14ac:dyDescent="0.35">
      <c r="A46" s="1353"/>
      <c r="B46" s="1353"/>
      <c r="C46" s="1353"/>
      <c r="D46" s="1353"/>
      <c r="E46" s="1353"/>
      <c r="F46" s="1353"/>
      <c r="G46" s="1353"/>
      <c r="H46" s="1353"/>
      <c r="I46" s="1353"/>
      <c r="J46" s="1353"/>
      <c r="K46" s="1353"/>
      <c r="L46" s="1353"/>
      <c r="M46" s="1353"/>
      <c r="N46" s="1353"/>
      <c r="O46" s="1353"/>
      <c r="P46" s="1353"/>
    </row>
    <row r="47" spans="1:16" x14ac:dyDescent="0.35">
      <c r="A47" s="1063"/>
      <c r="B47" s="1063"/>
      <c r="C47" s="1063"/>
      <c r="D47" s="1064"/>
      <c r="E47" s="1063"/>
      <c r="F47" s="1063"/>
      <c r="G47" s="1063"/>
      <c r="H47" s="1063"/>
      <c r="I47" s="1063"/>
      <c r="J47" s="1063"/>
      <c r="K47" s="1063"/>
      <c r="L47" s="1063"/>
      <c r="M47" s="1063"/>
      <c r="N47" s="1063"/>
      <c r="O47" s="1063"/>
      <c r="P47" s="1063"/>
    </row>
    <row r="48" spans="1:16" x14ac:dyDescent="0.35">
      <c r="A48" s="1462" t="s">
        <v>556</v>
      </c>
      <c r="B48" s="1463"/>
      <c r="C48" s="1463"/>
      <c r="D48" s="1463"/>
      <c r="E48" s="1463"/>
      <c r="F48" s="1463"/>
      <c r="G48" s="1463"/>
      <c r="H48" s="1463"/>
      <c r="I48" s="1463"/>
      <c r="J48" s="1463"/>
      <c r="K48" s="1463"/>
      <c r="L48" s="1463"/>
      <c r="M48" s="1463"/>
      <c r="N48" s="1463"/>
      <c r="O48" s="1463"/>
      <c r="P48" s="1463"/>
    </row>
    <row r="49" spans="1:16" x14ac:dyDescent="0.35">
      <c r="A49" s="1463"/>
      <c r="B49" s="1463"/>
      <c r="C49" s="1463"/>
      <c r="D49" s="1463"/>
      <c r="E49" s="1463"/>
      <c r="F49" s="1463"/>
      <c r="G49" s="1463"/>
      <c r="H49" s="1463"/>
      <c r="I49" s="1463"/>
      <c r="J49" s="1463"/>
      <c r="K49" s="1463"/>
      <c r="L49" s="1463"/>
      <c r="M49" s="1463"/>
      <c r="N49" s="1463"/>
      <c r="O49" s="1463"/>
      <c r="P49" s="1463"/>
    </row>
    <row r="50" spans="1:16" x14ac:dyDescent="0.35">
      <c r="A50" s="1063"/>
      <c r="B50" s="1063"/>
      <c r="C50" s="1063"/>
      <c r="D50" s="1064"/>
      <c r="E50" s="1063"/>
      <c r="F50" s="1063"/>
      <c r="G50" s="1063"/>
      <c r="H50" s="1063"/>
      <c r="I50" s="1063"/>
      <c r="J50" s="1063"/>
      <c r="K50" s="1063"/>
      <c r="L50" s="1063"/>
      <c r="M50" s="1063"/>
      <c r="N50" s="1063"/>
      <c r="O50" s="1063"/>
      <c r="P50" s="1063"/>
    </row>
    <row r="51" spans="1:16" x14ac:dyDescent="0.35">
      <c r="A51" s="1458" t="s">
        <v>557</v>
      </c>
      <c r="B51" s="1458"/>
      <c r="C51" s="1458"/>
      <c r="D51" s="1458"/>
      <c r="E51" s="1458"/>
      <c r="F51" s="1458"/>
      <c r="G51" s="1458"/>
      <c r="H51" s="1458"/>
      <c r="I51" s="1458"/>
      <c r="J51" s="1458"/>
      <c r="K51" s="1458"/>
      <c r="L51" s="1458"/>
      <c r="M51" s="1458"/>
      <c r="N51" s="1458"/>
      <c r="O51" s="1458"/>
      <c r="P51" s="1458"/>
    </row>
    <row r="52" spans="1:16" x14ac:dyDescent="0.35">
      <c r="A52" s="1458"/>
      <c r="B52" s="1458"/>
      <c r="C52" s="1458"/>
      <c r="D52" s="1458"/>
      <c r="E52" s="1458"/>
      <c r="F52" s="1458"/>
      <c r="G52" s="1458"/>
      <c r="H52" s="1458"/>
      <c r="I52" s="1458"/>
      <c r="J52" s="1458"/>
      <c r="K52" s="1458"/>
      <c r="L52" s="1458"/>
      <c r="M52" s="1458"/>
      <c r="N52" s="1458"/>
      <c r="O52" s="1458"/>
      <c r="P52" s="1458"/>
    </row>
    <row r="53" spans="1:16" x14ac:dyDescent="0.35">
      <c r="A53" s="1458"/>
      <c r="B53" s="1458"/>
      <c r="C53" s="1458"/>
      <c r="D53" s="1458"/>
      <c r="E53" s="1458"/>
      <c r="F53" s="1458"/>
      <c r="G53" s="1458"/>
      <c r="H53" s="1458"/>
      <c r="I53" s="1458"/>
      <c r="J53" s="1458"/>
      <c r="K53" s="1458"/>
      <c r="L53" s="1458"/>
      <c r="M53" s="1458"/>
      <c r="N53" s="1458"/>
      <c r="O53" s="1458"/>
      <c r="P53" s="1458"/>
    </row>
    <row r="54" spans="1:16" x14ac:dyDescent="0.35">
      <c r="A54" s="1065"/>
      <c r="B54" s="1065"/>
      <c r="C54" s="1065"/>
      <c r="D54" s="1066"/>
      <c r="E54" s="1065"/>
      <c r="F54" s="1065"/>
      <c r="G54" s="1065"/>
      <c r="H54" s="1065"/>
      <c r="I54" s="1065"/>
      <c r="J54" s="1065"/>
      <c r="K54" s="1065"/>
      <c r="L54" s="1065"/>
      <c r="M54" s="1065"/>
      <c r="N54" s="1065"/>
      <c r="O54" s="1065"/>
      <c r="P54" s="1065"/>
    </row>
  </sheetData>
  <mergeCells count="6">
    <mergeCell ref="A51:P53"/>
    <mergeCell ref="A7:P7"/>
    <mergeCell ref="O10:P10"/>
    <mergeCell ref="A48:P49"/>
    <mergeCell ref="A38:P42"/>
    <mergeCell ref="A44:P46"/>
  </mergeCells>
  <hyperlinks>
    <hyperlink ref="A4" r:id="rId1" xr:uid="{00000000-0004-0000-1F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198"/>
  <sheetViews>
    <sheetView topLeftCell="Q159" workbookViewId="0">
      <selection activeCell="R191" sqref="R191"/>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21" t="s">
        <v>1392</v>
      </c>
      <c r="D1" s="1152">
        <v>2022</v>
      </c>
      <c r="E1" s="1152">
        <v>2023</v>
      </c>
      <c r="F1" s="1152">
        <v>2024</v>
      </c>
      <c r="G1" s="1152">
        <v>2025</v>
      </c>
      <c r="H1" s="1152">
        <v>2026</v>
      </c>
      <c r="I1" s="1152">
        <v>2027</v>
      </c>
      <c r="J1" s="1152">
        <v>2028</v>
      </c>
      <c r="K1" s="1152">
        <v>2029</v>
      </c>
      <c r="L1" s="1152">
        <v>2030</v>
      </c>
      <c r="M1" s="1153">
        <v>2031</v>
      </c>
      <c r="N1" s="1154" t="s">
        <v>1194</v>
      </c>
      <c r="O1" s="1154" t="s">
        <v>1195</v>
      </c>
      <c r="P1" s="1139"/>
      <c r="Q1" s="1139"/>
      <c r="R1" s="1139"/>
      <c r="S1" s="1139"/>
    </row>
    <row r="2" spans="1:19" x14ac:dyDescent="0.35">
      <c r="C2" s="1465" t="s">
        <v>1393</v>
      </c>
      <c r="D2" s="1465"/>
      <c r="E2" s="1465"/>
      <c r="F2" s="1465"/>
      <c r="G2" s="1465"/>
      <c r="H2" s="1465"/>
      <c r="I2" s="1465"/>
      <c r="J2" s="1465"/>
      <c r="K2" s="1465"/>
      <c r="L2" s="1465"/>
      <c r="M2" s="1465"/>
      <c r="N2" s="1465"/>
      <c r="O2" s="1465"/>
      <c r="P2" s="1138"/>
      <c r="Q2" s="1138"/>
      <c r="R2" s="1138"/>
      <c r="S2" s="1138"/>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66" t="s">
        <v>1403</v>
      </c>
      <c r="D42" s="1466"/>
      <c r="E42" s="1466"/>
      <c r="F42" s="1466"/>
      <c r="G42" s="1466"/>
      <c r="H42" s="1466"/>
      <c r="I42" s="1466"/>
      <c r="J42" s="1466"/>
      <c r="K42" s="1466"/>
      <c r="L42" s="1466"/>
      <c r="M42" s="1466"/>
      <c r="N42" s="1466"/>
      <c r="O42" s="1466"/>
      <c r="P42" s="1138"/>
      <c r="Q42" s="1138"/>
      <c r="R42" s="1138"/>
      <c r="S42" s="1138"/>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70">
        <v>1350</v>
      </c>
      <c r="J56" s="170">
        <v>1400</v>
      </c>
      <c r="K56" s="170">
        <v>1200</v>
      </c>
      <c r="L56" s="170">
        <v>1050</v>
      </c>
      <c r="M56" s="35">
        <v>500</v>
      </c>
      <c r="N56" s="35">
        <v>850</v>
      </c>
      <c r="O56" s="170">
        <v>6350</v>
      </c>
      <c r="P56" s="170"/>
      <c r="Q56" s="170"/>
      <c r="R56" s="170"/>
      <c r="S56" s="170"/>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55" t="s">
        <v>1424</v>
      </c>
      <c r="B60" s="1156">
        <v>10301</v>
      </c>
      <c r="C60" s="1156" t="s">
        <v>239</v>
      </c>
      <c r="D60" s="1156">
        <v>0</v>
      </c>
      <c r="E60" s="1157">
        <v>2012</v>
      </c>
      <c r="F60" s="1157">
        <v>5106</v>
      </c>
      <c r="G60" s="1157">
        <v>11125</v>
      </c>
      <c r="H60" s="1157">
        <v>16116</v>
      </c>
      <c r="I60" s="1157">
        <v>21716</v>
      </c>
      <c r="J60" s="1157">
        <v>26314</v>
      </c>
      <c r="K60" s="1157">
        <v>31218</v>
      </c>
      <c r="L60" s="1157">
        <v>34877</v>
      </c>
      <c r="M60" s="1157">
        <v>31904</v>
      </c>
      <c r="N60" s="1157">
        <v>34359</v>
      </c>
      <c r="O60" s="1158">
        <v>180388</v>
      </c>
      <c r="P60" s="170"/>
      <c r="Q60" s="170"/>
      <c r="R60" s="170"/>
      <c r="S60" s="170"/>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59">
        <v>2022</v>
      </c>
      <c r="E67" s="1159">
        <v>2023</v>
      </c>
      <c r="F67" s="1159">
        <v>2024</v>
      </c>
      <c r="G67" s="1159">
        <v>2025</v>
      </c>
      <c r="H67" s="1159">
        <v>2026</v>
      </c>
      <c r="I67" s="1159">
        <v>2027</v>
      </c>
      <c r="J67" s="1159">
        <v>2028</v>
      </c>
      <c r="K67" s="1159">
        <v>2029</v>
      </c>
      <c r="L67" s="1159">
        <v>2030</v>
      </c>
      <c r="M67" s="1160">
        <v>2031</v>
      </c>
      <c r="N67" s="1139" t="s">
        <v>1374</v>
      </c>
      <c r="O67" s="1161" t="s">
        <v>1375</v>
      </c>
      <c r="P67" s="1139"/>
      <c r="Q67" s="1139"/>
      <c r="R67" s="1139"/>
      <c r="S67" s="1139"/>
    </row>
    <row r="68" spans="3:19" x14ac:dyDescent="0.35">
      <c r="C68" s="1467" t="s">
        <v>1433</v>
      </c>
      <c r="D68" s="1468"/>
      <c r="E68" s="1468"/>
      <c r="F68" s="1468"/>
      <c r="G68" s="1468"/>
      <c r="H68" s="1468"/>
      <c r="I68" s="1468"/>
      <c r="J68" s="1468"/>
      <c r="K68" s="1468"/>
      <c r="L68" s="1468"/>
      <c r="M68" s="1468"/>
      <c r="N68" s="1468"/>
      <c r="O68" s="1469"/>
      <c r="P68" s="1138"/>
      <c r="Q68" s="1138"/>
      <c r="R68" s="1138"/>
      <c r="S68" s="1138"/>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4">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4">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4">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4">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5">
        <f t="shared" si="5"/>
        <v>16463</v>
      </c>
      <c r="O74" s="156">
        <f t="shared" si="5"/>
        <v>55153</v>
      </c>
      <c r="P74" s="35"/>
      <c r="Q74" s="35"/>
      <c r="R74" s="35"/>
      <c r="S74" s="35"/>
    </row>
    <row r="75" spans="3:19" x14ac:dyDescent="0.35">
      <c r="C75" s="1467" t="s">
        <v>1434</v>
      </c>
      <c r="D75" s="1468"/>
      <c r="E75" s="1468"/>
      <c r="F75" s="1468"/>
      <c r="G75" s="1468"/>
      <c r="H75" s="1468"/>
      <c r="I75" s="1468"/>
      <c r="J75" s="1468"/>
      <c r="K75" s="1468"/>
      <c r="L75" s="1468"/>
      <c r="M75" s="1468"/>
      <c r="N75" s="1468"/>
      <c r="O75" s="1469"/>
      <c r="P75" s="1138"/>
      <c r="Q75" s="1138"/>
      <c r="R75" s="1138"/>
      <c r="S75" s="1138"/>
    </row>
    <row r="76" spans="3:19" x14ac:dyDescent="0.35">
      <c r="C76" s="47" t="s">
        <v>385</v>
      </c>
      <c r="D76" s="35">
        <v>0</v>
      </c>
      <c r="E76" s="35">
        <v>596</v>
      </c>
      <c r="F76" s="35">
        <v>1406</v>
      </c>
      <c r="G76" s="35">
        <v>1885</v>
      </c>
      <c r="H76" s="35">
        <v>2113</v>
      </c>
      <c r="I76" s="35">
        <v>2058</v>
      </c>
      <c r="J76" s="35">
        <v>1745</v>
      </c>
      <c r="K76" s="35">
        <v>1369</v>
      </c>
      <c r="L76" s="35">
        <v>970</v>
      </c>
      <c r="M76" s="35">
        <v>369</v>
      </c>
      <c r="N76" s="946">
        <v>6000</v>
      </c>
      <c r="O76" s="87">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4">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4">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4">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4">
        <v>24916</v>
      </c>
      <c r="P80" s="35"/>
      <c r="Q80" s="35"/>
      <c r="R80" s="35"/>
      <c r="S80" s="35"/>
    </row>
    <row r="81" spans="1:20" x14ac:dyDescent="0.35">
      <c r="C81" s="47"/>
      <c r="N81" s="155"/>
      <c r="O81" s="156"/>
      <c r="P81" s="35"/>
      <c r="Q81" s="35"/>
      <c r="R81" s="35"/>
      <c r="S81" s="35"/>
    </row>
    <row r="82" spans="1:20" x14ac:dyDescent="0.35">
      <c r="C82" s="1467" t="s">
        <v>1403</v>
      </c>
      <c r="D82" s="1468"/>
      <c r="E82" s="1468"/>
      <c r="F82" s="1468"/>
      <c r="G82" s="1468"/>
      <c r="H82" s="1468"/>
      <c r="I82" s="1468"/>
      <c r="J82" s="1468"/>
      <c r="K82" s="1468"/>
      <c r="L82" s="1468"/>
      <c r="M82" s="1468"/>
      <c r="N82" s="1468"/>
      <c r="O82" s="1469"/>
      <c r="P82" s="1138"/>
      <c r="Q82" s="1138"/>
      <c r="R82" s="1138"/>
      <c r="S82" s="1138"/>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74" t="s">
        <v>1192</v>
      </c>
      <c r="B88" s="1075" t="s">
        <v>1193</v>
      </c>
      <c r="C88" s="1076">
        <v>2022</v>
      </c>
      <c r="D88" s="1076">
        <v>2023</v>
      </c>
      <c r="E88" s="1076">
        <v>2024</v>
      </c>
      <c r="F88" s="1076">
        <v>2025</v>
      </c>
      <c r="G88" s="1076">
        <v>2026</v>
      </c>
      <c r="H88" s="1076">
        <v>2027</v>
      </c>
      <c r="I88" s="1076">
        <v>2028</v>
      </c>
      <c r="J88" s="1076">
        <v>2029</v>
      </c>
      <c r="K88" s="1076">
        <v>2030</v>
      </c>
      <c r="L88" s="1076">
        <v>2031</v>
      </c>
      <c r="M88" s="1077" t="s">
        <v>1194</v>
      </c>
      <c r="N88" s="1077" t="s">
        <v>1195</v>
      </c>
      <c r="O88" s="1078" t="s">
        <v>1196</v>
      </c>
      <c r="P88" s="1078"/>
      <c r="Q88" s="1078"/>
      <c r="R88" s="1078"/>
      <c r="S88" s="1078"/>
      <c r="T88" s="1079" t="s">
        <v>1197</v>
      </c>
    </row>
    <row r="89" spans="1:20" x14ac:dyDescent="0.35">
      <c r="A89" s="1080" t="s">
        <v>1198</v>
      </c>
      <c r="B89" s="1081" t="s">
        <v>1199</v>
      </c>
      <c r="C89" s="1082">
        <v>0</v>
      </c>
      <c r="D89" s="1082">
        <v>3</v>
      </c>
      <c r="E89" s="1082">
        <v>3</v>
      </c>
      <c r="F89" s="1082">
        <v>3</v>
      </c>
      <c r="G89" s="1082">
        <v>3</v>
      </c>
      <c r="H89" s="1082">
        <v>1</v>
      </c>
      <c r="I89" s="1082">
        <v>0</v>
      </c>
      <c r="J89" s="1082">
        <v>0</v>
      </c>
      <c r="K89" s="1082">
        <v>0</v>
      </c>
      <c r="L89" s="1082">
        <v>0</v>
      </c>
      <c r="M89" s="1082">
        <v>12</v>
      </c>
      <c r="N89" s="1082">
        <v>13</v>
      </c>
      <c r="O89" s="1083" t="s">
        <v>1200</v>
      </c>
      <c r="P89" s="1083"/>
      <c r="Q89" s="1083"/>
      <c r="R89" s="1083"/>
      <c r="S89" s="1083"/>
      <c r="T89" s="1084"/>
    </row>
    <row r="90" spans="1:20" ht="24" customHeight="1" x14ac:dyDescent="0.35">
      <c r="A90" s="1080" t="s">
        <v>1201</v>
      </c>
      <c r="B90" s="1081" t="s">
        <v>1202</v>
      </c>
      <c r="C90" s="1082">
        <v>0</v>
      </c>
      <c r="D90" s="1082">
        <v>65</v>
      </c>
      <c r="E90" s="1082">
        <v>1360</v>
      </c>
      <c r="F90" s="1082">
        <v>2430</v>
      </c>
      <c r="G90" s="1082">
        <v>2800</v>
      </c>
      <c r="H90" s="1082">
        <v>1740</v>
      </c>
      <c r="I90" s="1082">
        <v>570</v>
      </c>
      <c r="J90" s="1082">
        <v>35</v>
      </c>
      <c r="K90" s="1082">
        <v>0</v>
      </c>
      <c r="L90" s="1082">
        <v>0</v>
      </c>
      <c r="M90" s="1082">
        <v>6655</v>
      </c>
      <c r="N90" s="1082">
        <v>9000</v>
      </c>
      <c r="O90" s="1083" t="s">
        <v>1200</v>
      </c>
      <c r="P90" s="1083"/>
      <c r="Q90" s="1083"/>
      <c r="R90" s="1083"/>
      <c r="S90" s="1083"/>
      <c r="T90" s="1085"/>
    </row>
    <row r="91" spans="1:20" x14ac:dyDescent="0.35">
      <c r="A91" s="1086" t="s">
        <v>1203</v>
      </c>
      <c r="B91" s="1087" t="s">
        <v>1204</v>
      </c>
      <c r="C91" s="1088">
        <v>0</v>
      </c>
      <c r="D91" s="1088">
        <v>0</v>
      </c>
      <c r="E91" s="1088">
        <v>601</v>
      </c>
      <c r="F91" s="1089">
        <v>1038</v>
      </c>
      <c r="G91" s="1089">
        <v>1251</v>
      </c>
      <c r="H91" s="1089">
        <v>1431</v>
      </c>
      <c r="I91" s="1089">
        <v>1492</v>
      </c>
      <c r="J91" s="1089">
        <v>1530</v>
      </c>
      <c r="K91" s="1089">
        <v>1567</v>
      </c>
      <c r="L91" s="1089">
        <v>1606</v>
      </c>
      <c r="M91" s="1089">
        <v>2890</v>
      </c>
      <c r="N91" s="1089">
        <v>10516</v>
      </c>
      <c r="O91" s="1090" t="s">
        <v>1205</v>
      </c>
      <c r="P91" s="1090"/>
      <c r="Q91" s="1090"/>
      <c r="R91" s="1090"/>
      <c r="S91" s="1090"/>
      <c r="T91" s="1091"/>
    </row>
    <row r="92" spans="1:20" x14ac:dyDescent="0.35">
      <c r="A92" s="1092" t="s">
        <v>1206</v>
      </c>
      <c r="B92" s="1093" t="s">
        <v>1207</v>
      </c>
      <c r="C92" s="1159">
        <v>0</v>
      </c>
      <c r="D92" s="1159">
        <v>30</v>
      </c>
      <c r="E92" s="1159">
        <v>120</v>
      </c>
      <c r="F92" s="1159">
        <v>165</v>
      </c>
      <c r="G92" s="1159">
        <v>370</v>
      </c>
      <c r="H92" s="1159">
        <v>470</v>
      </c>
      <c r="I92" s="1159">
        <v>420</v>
      </c>
      <c r="J92" s="1159">
        <v>285</v>
      </c>
      <c r="K92" s="1159">
        <v>220</v>
      </c>
      <c r="L92" s="1160">
        <v>65</v>
      </c>
      <c r="M92" s="1159">
        <v>685</v>
      </c>
      <c r="N92" s="1094">
        <v>2145</v>
      </c>
      <c r="O92" s="1095" t="s">
        <v>1208</v>
      </c>
      <c r="P92" s="1140"/>
      <c r="Q92" s="1140"/>
      <c r="R92" s="1140"/>
      <c r="S92" s="1140"/>
      <c r="T92" s="1096" t="s">
        <v>1209</v>
      </c>
    </row>
    <row r="93" spans="1:20" x14ac:dyDescent="0.35">
      <c r="A93" s="1080" t="s">
        <v>1210</v>
      </c>
      <c r="B93" s="1081" t="s">
        <v>1211</v>
      </c>
      <c r="C93" s="1082">
        <v>0</v>
      </c>
      <c r="D93" s="1082">
        <v>2</v>
      </c>
      <c r="E93" s="1082">
        <v>10</v>
      </c>
      <c r="F93" s="1082">
        <v>25</v>
      </c>
      <c r="G93" s="1082">
        <v>28</v>
      </c>
      <c r="H93" s="1082">
        <v>17</v>
      </c>
      <c r="I93" s="1082">
        <v>11</v>
      </c>
      <c r="J93" s="1082">
        <v>4</v>
      </c>
      <c r="K93" s="1082">
        <v>2</v>
      </c>
      <c r="L93" s="1082">
        <v>1</v>
      </c>
      <c r="M93" s="1082">
        <v>65</v>
      </c>
      <c r="N93" s="1082">
        <v>100</v>
      </c>
      <c r="O93" s="1083" t="s">
        <v>1208</v>
      </c>
      <c r="P93" s="1083"/>
      <c r="Q93" s="1083"/>
      <c r="R93" s="1083"/>
      <c r="S93" s="1083"/>
      <c r="T93" s="1084" t="s">
        <v>1212</v>
      </c>
    </row>
    <row r="94" spans="1:20" ht="24" customHeight="1" x14ac:dyDescent="0.35">
      <c r="A94" s="1097" t="s">
        <v>1213</v>
      </c>
      <c r="B94" s="1098" t="s">
        <v>1214</v>
      </c>
      <c r="C94" s="1082">
        <v>0</v>
      </c>
      <c r="D94" s="1082">
        <v>36</v>
      </c>
      <c r="E94" s="1082">
        <v>30</v>
      </c>
      <c r="F94" s="1082">
        <v>14</v>
      </c>
      <c r="G94" s="1082">
        <v>7</v>
      </c>
      <c r="H94" s="1082">
        <v>0</v>
      </c>
      <c r="I94" s="1082">
        <v>0</v>
      </c>
      <c r="J94" s="1082">
        <v>0</v>
      </c>
      <c r="K94" s="1082">
        <v>0</v>
      </c>
      <c r="L94" s="1082">
        <v>0</v>
      </c>
      <c r="M94" s="1082">
        <v>87</v>
      </c>
      <c r="N94" s="1082">
        <v>87</v>
      </c>
      <c r="O94" s="1083" t="s">
        <v>1208</v>
      </c>
      <c r="P94" s="1083"/>
      <c r="Q94" s="1083"/>
      <c r="R94" s="1083"/>
      <c r="S94" s="1083"/>
      <c r="T94" s="1084" t="s">
        <v>1215</v>
      </c>
    </row>
    <row r="95" spans="1:20" x14ac:dyDescent="0.35">
      <c r="A95" s="1080" t="s">
        <v>1216</v>
      </c>
      <c r="B95" s="1081" t="s">
        <v>1217</v>
      </c>
      <c r="C95" s="1082">
        <v>0</v>
      </c>
      <c r="D95" s="1099">
        <v>5240</v>
      </c>
      <c r="E95" s="1099">
        <v>4175</v>
      </c>
      <c r="F95" s="1099">
        <v>5215</v>
      </c>
      <c r="G95" s="1099">
        <v>6493</v>
      </c>
      <c r="H95" s="1099">
        <v>7982</v>
      </c>
      <c r="I95" s="1099">
        <v>9820</v>
      </c>
      <c r="J95" s="1099">
        <v>11813</v>
      </c>
      <c r="K95" s="1099">
        <v>14269</v>
      </c>
      <c r="L95" s="1099">
        <v>14605</v>
      </c>
      <c r="M95" s="1099">
        <v>21123</v>
      </c>
      <c r="N95" s="1099">
        <v>79612</v>
      </c>
      <c r="O95" s="1100" t="s">
        <v>1208</v>
      </c>
      <c r="P95" s="1100"/>
      <c r="Q95" s="1100"/>
      <c r="R95" s="1100"/>
      <c r="S95" s="1100"/>
      <c r="T95" s="1084"/>
    </row>
    <row r="96" spans="1:20" x14ac:dyDescent="0.35">
      <c r="A96" s="1080" t="s">
        <v>1218</v>
      </c>
      <c r="B96" s="1081" t="s">
        <v>1219</v>
      </c>
      <c r="C96" s="1101">
        <v>0</v>
      </c>
      <c r="D96" s="1101">
        <v>55</v>
      </c>
      <c r="E96" s="1101">
        <v>55</v>
      </c>
      <c r="F96" s="1101">
        <v>55</v>
      </c>
      <c r="G96" s="1101">
        <v>55</v>
      </c>
      <c r="H96" s="1101">
        <v>55</v>
      </c>
      <c r="I96" s="1101">
        <v>55</v>
      </c>
      <c r="J96" s="1101">
        <v>55</v>
      </c>
      <c r="K96" s="1101">
        <v>55</v>
      </c>
      <c r="L96" s="1101">
        <v>55</v>
      </c>
      <c r="M96" s="1101">
        <v>220</v>
      </c>
      <c r="N96" s="1101">
        <v>495</v>
      </c>
      <c r="O96" s="1102" t="s">
        <v>1208</v>
      </c>
      <c r="P96" s="1102"/>
      <c r="Q96" s="1102"/>
      <c r="R96" s="1102"/>
      <c r="S96" s="1102"/>
      <c r="T96" s="1085"/>
    </row>
    <row r="97" spans="1:20" x14ac:dyDescent="0.35">
      <c r="A97" s="1080" t="s">
        <v>1220</v>
      </c>
      <c r="B97" s="1081" t="s">
        <v>1221</v>
      </c>
      <c r="C97" s="1082">
        <v>0</v>
      </c>
      <c r="D97" s="1082">
        <v>19</v>
      </c>
      <c r="E97" s="1082">
        <v>26</v>
      </c>
      <c r="F97" s="1082">
        <v>27</v>
      </c>
      <c r="G97" s="1082">
        <v>17</v>
      </c>
      <c r="H97" s="1082">
        <v>7</v>
      </c>
      <c r="I97" s="1082">
        <v>3</v>
      </c>
      <c r="J97" s="1082">
        <v>1</v>
      </c>
      <c r="K97" s="1082">
        <v>0</v>
      </c>
      <c r="L97" s="1082">
        <v>0</v>
      </c>
      <c r="M97" s="1082">
        <v>89</v>
      </c>
      <c r="N97" s="1082">
        <v>100</v>
      </c>
      <c r="O97" s="1100" t="s">
        <v>1208</v>
      </c>
      <c r="P97" s="1100"/>
      <c r="Q97" s="1100"/>
      <c r="R97" s="1100"/>
      <c r="S97" s="1100"/>
      <c r="T97" s="1085"/>
    </row>
    <row r="98" spans="1:20" x14ac:dyDescent="0.35">
      <c r="A98" s="1080" t="s">
        <v>1222</v>
      </c>
      <c r="B98" s="1081" t="s">
        <v>1223</v>
      </c>
      <c r="C98" s="1082">
        <v>0</v>
      </c>
      <c r="D98" s="1082">
        <v>15</v>
      </c>
      <c r="E98" s="1082">
        <v>15</v>
      </c>
      <c r="F98" s="1082">
        <v>15</v>
      </c>
      <c r="G98" s="1082">
        <v>10</v>
      </c>
      <c r="H98" s="1082">
        <v>10</v>
      </c>
      <c r="I98" s="1082">
        <v>10</v>
      </c>
      <c r="J98" s="1082">
        <v>10</v>
      </c>
      <c r="K98" s="1082">
        <v>10</v>
      </c>
      <c r="L98" s="1082">
        <v>5</v>
      </c>
      <c r="M98" s="1082">
        <v>55</v>
      </c>
      <c r="N98" s="1082">
        <v>100</v>
      </c>
      <c r="O98" s="1083" t="s">
        <v>1208</v>
      </c>
      <c r="P98" s="1083"/>
      <c r="Q98" s="1083"/>
      <c r="R98" s="1083"/>
      <c r="S98" s="1083"/>
      <c r="T98" s="1085"/>
    </row>
    <row r="99" spans="1:20" ht="36" customHeight="1" x14ac:dyDescent="0.35">
      <c r="A99" s="1080" t="s">
        <v>1224</v>
      </c>
      <c r="B99" s="1081" t="s">
        <v>1225</v>
      </c>
      <c r="C99" s="1103">
        <v>0</v>
      </c>
      <c r="D99" s="1103">
        <v>22</v>
      </c>
      <c r="E99" s="1103">
        <v>96</v>
      </c>
      <c r="F99" s="1103">
        <v>170</v>
      </c>
      <c r="G99" s="1103">
        <v>213</v>
      </c>
      <c r="H99" s="1103">
        <v>160</v>
      </c>
      <c r="I99" s="1103">
        <v>47</v>
      </c>
      <c r="J99" s="1103">
        <v>2</v>
      </c>
      <c r="K99" s="1103">
        <v>0</v>
      </c>
      <c r="L99" s="1103">
        <v>0</v>
      </c>
      <c r="M99" s="1103">
        <v>501</v>
      </c>
      <c r="N99" s="1103">
        <v>710</v>
      </c>
      <c r="O99" s="1082" t="s">
        <v>1208</v>
      </c>
      <c r="P99" s="1082"/>
      <c r="Q99" s="1082"/>
      <c r="R99" s="1082"/>
      <c r="S99" s="1082"/>
      <c r="T99" s="1085"/>
    </row>
    <row r="100" spans="1:20" ht="36" customHeight="1" x14ac:dyDescent="0.35">
      <c r="A100" s="1080" t="s">
        <v>1226</v>
      </c>
      <c r="B100" s="1081" t="s">
        <v>1227</v>
      </c>
      <c r="C100" s="1104"/>
      <c r="D100" s="1104">
        <v>90</v>
      </c>
      <c r="E100" s="1104">
        <v>260</v>
      </c>
      <c r="F100" s="1104">
        <v>427</v>
      </c>
      <c r="G100" s="1104">
        <v>560</v>
      </c>
      <c r="H100" s="1104">
        <v>572</v>
      </c>
      <c r="I100" s="1104">
        <v>534</v>
      </c>
      <c r="J100" s="1104">
        <v>275</v>
      </c>
      <c r="K100" s="1104">
        <v>162</v>
      </c>
      <c r="L100" s="1104">
        <v>70</v>
      </c>
      <c r="M100" s="1104">
        <v>1347</v>
      </c>
      <c r="N100" s="1104">
        <v>2960</v>
      </c>
      <c r="O100" s="1105" t="s">
        <v>1208</v>
      </c>
      <c r="P100" s="1105"/>
      <c r="Q100" s="1105"/>
      <c r="R100" s="1105"/>
      <c r="S100" s="1105"/>
      <c r="T100" s="1085"/>
    </row>
    <row r="101" spans="1:20" x14ac:dyDescent="0.35">
      <c r="A101" s="1080" t="s">
        <v>1228</v>
      </c>
      <c r="B101" s="1081" t="s">
        <v>1229</v>
      </c>
      <c r="C101" s="1082">
        <v>0</v>
      </c>
      <c r="D101" s="1082">
        <v>40</v>
      </c>
      <c r="E101" s="1082">
        <v>60</v>
      </c>
      <c r="F101" s="1082">
        <v>52</v>
      </c>
      <c r="G101" s="1082">
        <v>40</v>
      </c>
      <c r="H101" s="1082">
        <v>27</v>
      </c>
      <c r="I101" s="1082">
        <v>19</v>
      </c>
      <c r="J101" s="1082">
        <v>10</v>
      </c>
      <c r="K101" s="1082">
        <v>2</v>
      </c>
      <c r="L101" s="1082">
        <v>0</v>
      </c>
      <c r="M101" s="1082">
        <v>192</v>
      </c>
      <c r="N101" s="1082">
        <v>250</v>
      </c>
      <c r="O101" s="1083" t="s">
        <v>1208</v>
      </c>
      <c r="P101" s="1083"/>
      <c r="Q101" s="1083"/>
      <c r="R101" s="1083"/>
      <c r="S101" s="1083"/>
      <c r="T101" s="1085"/>
    </row>
    <row r="102" spans="1:20" x14ac:dyDescent="0.35">
      <c r="A102" s="1097" t="s">
        <v>1230</v>
      </c>
      <c r="B102" s="1098" t="s">
        <v>1231</v>
      </c>
      <c r="C102" s="1082">
        <v>0</v>
      </c>
      <c r="D102" s="1082">
        <v>49</v>
      </c>
      <c r="E102" s="1082">
        <v>62</v>
      </c>
      <c r="F102" s="1082">
        <v>62</v>
      </c>
      <c r="G102" s="1082">
        <v>62</v>
      </c>
      <c r="H102" s="1082">
        <v>63</v>
      </c>
      <c r="I102" s="1082">
        <v>63</v>
      </c>
      <c r="J102" s="1082">
        <v>63</v>
      </c>
      <c r="K102" s="1082">
        <v>64</v>
      </c>
      <c r="L102" s="1082">
        <v>12</v>
      </c>
      <c r="M102" s="1082">
        <v>235</v>
      </c>
      <c r="N102" s="1082">
        <v>500</v>
      </c>
      <c r="O102" s="1083" t="s">
        <v>1208</v>
      </c>
      <c r="P102" s="1083"/>
      <c r="Q102" s="1083"/>
      <c r="R102" s="1083"/>
      <c r="S102" s="1083"/>
      <c r="T102" s="1085"/>
    </row>
    <row r="103" spans="1:20" x14ac:dyDescent="0.35">
      <c r="A103" s="1080" t="s">
        <v>1232</v>
      </c>
      <c r="B103" s="1081" t="s">
        <v>1233</v>
      </c>
      <c r="C103" s="1082">
        <v>0</v>
      </c>
      <c r="D103" s="1082">
        <v>0</v>
      </c>
      <c r="E103" s="1082">
        <v>0</v>
      </c>
      <c r="F103" s="1082">
        <v>0</v>
      </c>
      <c r="G103" s="1082">
        <v>-20</v>
      </c>
      <c r="H103" s="1082">
        <v>-28</v>
      </c>
      <c r="I103" s="1082">
        <v>-28</v>
      </c>
      <c r="J103" s="1082">
        <v>-28</v>
      </c>
      <c r="K103" s="1082">
        <v>-28</v>
      </c>
      <c r="L103" s="1082">
        <v>-28</v>
      </c>
      <c r="M103" s="1082">
        <v>-20</v>
      </c>
      <c r="N103" s="1082">
        <v>-160</v>
      </c>
      <c r="O103" s="1083" t="s">
        <v>1208</v>
      </c>
      <c r="P103" s="1083"/>
      <c r="Q103" s="1083"/>
      <c r="R103" s="1083"/>
      <c r="S103" s="1083"/>
      <c r="T103" s="1085"/>
    </row>
    <row r="104" spans="1:20" ht="24" customHeight="1" x14ac:dyDescent="0.35">
      <c r="A104" s="1080" t="s">
        <v>1234</v>
      </c>
      <c r="B104" s="1081" t="s">
        <v>1235</v>
      </c>
      <c r="C104" s="1082">
        <v>0</v>
      </c>
      <c r="D104" s="1082">
        <v>-235</v>
      </c>
      <c r="E104" s="1082">
        <v>-44</v>
      </c>
      <c r="F104" s="1082">
        <v>-22</v>
      </c>
      <c r="G104" s="1082">
        <v>-26</v>
      </c>
      <c r="H104" s="1082">
        <v>-23</v>
      </c>
      <c r="I104" s="1082">
        <v>-19</v>
      </c>
      <c r="J104" s="1082">
        <v>-41</v>
      </c>
      <c r="K104" s="1082">
        <v>-35</v>
      </c>
      <c r="L104" s="1082">
        <v>-39</v>
      </c>
      <c r="M104" s="1082">
        <v>-327</v>
      </c>
      <c r="N104" s="1082">
        <v>-484</v>
      </c>
      <c r="O104" s="1083" t="s">
        <v>1208</v>
      </c>
      <c r="P104" s="1083"/>
      <c r="Q104" s="1083"/>
      <c r="R104" s="1083"/>
      <c r="S104" s="1083"/>
      <c r="T104" s="1085"/>
    </row>
    <row r="105" spans="1:20" x14ac:dyDescent="0.35">
      <c r="A105" s="1080" t="s">
        <v>1236</v>
      </c>
      <c r="B105" s="1081" t="s">
        <v>1237</v>
      </c>
      <c r="C105" s="1082">
        <v>0</v>
      </c>
      <c r="D105" s="1082">
        <v>7</v>
      </c>
      <c r="E105" s="1082">
        <v>8</v>
      </c>
      <c r="F105" s="1082">
        <v>6</v>
      </c>
      <c r="G105" s="1082">
        <v>2</v>
      </c>
      <c r="H105" s="1082">
        <v>1</v>
      </c>
      <c r="I105" s="1082">
        <v>0</v>
      </c>
      <c r="J105" s="1082">
        <v>0</v>
      </c>
      <c r="K105" s="1082">
        <v>0</v>
      </c>
      <c r="L105" s="1082">
        <v>0</v>
      </c>
      <c r="M105" s="1082">
        <v>23</v>
      </c>
      <c r="N105" s="1082">
        <v>24</v>
      </c>
      <c r="O105" s="1083" t="s">
        <v>1208</v>
      </c>
      <c r="P105" s="1083"/>
      <c r="Q105" s="1083"/>
      <c r="R105" s="1083"/>
      <c r="S105" s="1083"/>
      <c r="T105" s="1085"/>
    </row>
    <row r="106" spans="1:20" ht="36" customHeight="1" x14ac:dyDescent="0.35">
      <c r="A106" s="1080" t="s">
        <v>1238</v>
      </c>
      <c r="B106" s="1081" t="s">
        <v>1239</v>
      </c>
      <c r="C106" s="1082">
        <v>0</v>
      </c>
      <c r="D106" s="1082">
        <v>50</v>
      </c>
      <c r="E106" s="1082">
        <v>77</v>
      </c>
      <c r="F106" s="1082">
        <v>87</v>
      </c>
      <c r="G106" s="1082">
        <v>81</v>
      </c>
      <c r="H106" s="1082">
        <v>50</v>
      </c>
      <c r="I106" s="1082">
        <v>30</v>
      </c>
      <c r="J106" s="1082">
        <v>10</v>
      </c>
      <c r="K106" s="1082">
        <v>0</v>
      </c>
      <c r="L106" s="1082">
        <v>0</v>
      </c>
      <c r="M106" s="1082">
        <v>295</v>
      </c>
      <c r="N106" s="1082">
        <v>385</v>
      </c>
      <c r="O106" s="1083" t="s">
        <v>1208</v>
      </c>
      <c r="P106" s="1083"/>
      <c r="Q106" s="1083"/>
      <c r="R106" s="1083"/>
      <c r="S106" s="1083"/>
      <c r="T106" s="1085"/>
    </row>
    <row r="107" spans="1:20" x14ac:dyDescent="0.35">
      <c r="A107" s="1097" t="s">
        <v>1240</v>
      </c>
      <c r="B107" s="1098" t="s">
        <v>1241</v>
      </c>
      <c r="C107" s="1082">
        <v>0</v>
      </c>
      <c r="D107" s="1082">
        <v>3</v>
      </c>
      <c r="E107" s="1082">
        <v>2</v>
      </c>
      <c r="F107" s="1082">
        <v>0</v>
      </c>
      <c r="G107" s="1082">
        <v>0</v>
      </c>
      <c r="H107" s="1082">
        <v>0</v>
      </c>
      <c r="I107" s="1082">
        <v>0</v>
      </c>
      <c r="J107" s="1082">
        <v>0</v>
      </c>
      <c r="K107" s="1082">
        <v>0</v>
      </c>
      <c r="L107" s="1082">
        <v>0</v>
      </c>
      <c r="M107" s="1082">
        <v>5</v>
      </c>
      <c r="N107" s="1082">
        <v>5</v>
      </c>
      <c r="O107" s="1083" t="s">
        <v>1242</v>
      </c>
      <c r="P107" s="1083"/>
      <c r="Q107" s="1083"/>
      <c r="R107" s="1083"/>
      <c r="S107" s="1083"/>
      <c r="T107" s="1085"/>
    </row>
    <row r="108" spans="1:20" x14ac:dyDescent="0.35">
      <c r="A108" s="1097" t="s">
        <v>1243</v>
      </c>
      <c r="B108" s="1098" t="s">
        <v>1244</v>
      </c>
      <c r="C108" s="1082">
        <v>0</v>
      </c>
      <c r="D108" s="1082">
        <v>70</v>
      </c>
      <c r="E108" s="1082">
        <v>80</v>
      </c>
      <c r="F108" s="1082">
        <v>62</v>
      </c>
      <c r="G108" s="1082">
        <v>25</v>
      </c>
      <c r="H108" s="1082">
        <v>13</v>
      </c>
      <c r="I108" s="1082">
        <v>0</v>
      </c>
      <c r="J108" s="1082">
        <v>0</v>
      </c>
      <c r="K108" s="1082">
        <v>0</v>
      </c>
      <c r="L108" s="1082">
        <v>0</v>
      </c>
      <c r="M108" s="1082">
        <v>237</v>
      </c>
      <c r="N108" s="1082">
        <v>250</v>
      </c>
      <c r="O108" s="1083" t="s">
        <v>1242</v>
      </c>
      <c r="P108" s="1083"/>
      <c r="Q108" s="1083"/>
      <c r="R108" s="1083"/>
      <c r="S108" s="1083"/>
      <c r="T108" s="1085"/>
    </row>
    <row r="109" spans="1:20" ht="24" customHeight="1" x14ac:dyDescent="0.35">
      <c r="A109" s="1097" t="s">
        <v>1245</v>
      </c>
      <c r="B109" s="1098" t="s">
        <v>1246</v>
      </c>
      <c r="C109" s="1101">
        <v>0</v>
      </c>
      <c r="D109" s="1101">
        <v>33</v>
      </c>
      <c r="E109" s="1101">
        <v>54</v>
      </c>
      <c r="F109" s="1101">
        <v>37</v>
      </c>
      <c r="G109" s="1101">
        <v>16</v>
      </c>
      <c r="H109" s="1101">
        <v>0</v>
      </c>
      <c r="I109" s="1101">
        <v>0</v>
      </c>
      <c r="J109" s="1101">
        <v>0</v>
      </c>
      <c r="K109" s="1101">
        <v>0</v>
      </c>
      <c r="L109" s="1101">
        <v>0</v>
      </c>
      <c r="M109" s="1101">
        <v>140</v>
      </c>
      <c r="N109" s="1101">
        <v>140</v>
      </c>
      <c r="O109" s="1083" t="s">
        <v>1208</v>
      </c>
      <c r="P109" s="1083"/>
      <c r="Q109" s="1083"/>
      <c r="R109" s="1083"/>
      <c r="S109" s="1083"/>
      <c r="T109" s="1085"/>
    </row>
    <row r="110" spans="1:20" x14ac:dyDescent="0.35">
      <c r="A110" s="1080" t="s">
        <v>1247</v>
      </c>
      <c r="B110" s="1081" t="s">
        <v>1248</v>
      </c>
      <c r="C110" s="1082">
        <v>0</v>
      </c>
      <c r="D110" s="1082">
        <v>40</v>
      </c>
      <c r="E110" s="1082">
        <v>40</v>
      </c>
      <c r="F110" s="1082">
        <v>30</v>
      </c>
      <c r="G110" s="1082">
        <v>10</v>
      </c>
      <c r="H110" s="1082">
        <v>5</v>
      </c>
      <c r="I110" s="1082">
        <v>0</v>
      </c>
      <c r="J110" s="1082">
        <v>0</v>
      </c>
      <c r="K110" s="1082">
        <v>0</v>
      </c>
      <c r="L110" s="1082">
        <v>0</v>
      </c>
      <c r="M110" s="1082">
        <v>120</v>
      </c>
      <c r="N110" s="1082">
        <v>125</v>
      </c>
      <c r="O110" s="1083" t="s">
        <v>1208</v>
      </c>
      <c r="P110" s="1083"/>
      <c r="Q110" s="1083"/>
      <c r="R110" s="1083"/>
      <c r="S110" s="1083"/>
      <c r="T110" s="1085"/>
    </row>
    <row r="111" spans="1:20" x14ac:dyDescent="0.35">
      <c r="A111" s="1097" t="s">
        <v>1249</v>
      </c>
      <c r="B111" s="1081" t="s">
        <v>1250</v>
      </c>
      <c r="C111" s="1082">
        <v>0</v>
      </c>
      <c r="D111" s="1082">
        <v>5</v>
      </c>
      <c r="E111" s="1082">
        <v>8</v>
      </c>
      <c r="F111" s="1082">
        <v>8</v>
      </c>
      <c r="G111" s="1082">
        <v>8</v>
      </c>
      <c r="H111" s="1082">
        <v>4</v>
      </c>
      <c r="I111" s="1082">
        <v>0</v>
      </c>
      <c r="J111" s="1082">
        <v>0</v>
      </c>
      <c r="K111" s="1082">
        <v>0</v>
      </c>
      <c r="L111" s="1082">
        <v>0</v>
      </c>
      <c r="M111" s="1082">
        <v>29</v>
      </c>
      <c r="N111" s="1082">
        <v>33</v>
      </c>
      <c r="O111" s="1083" t="s">
        <v>1208</v>
      </c>
      <c r="P111" s="1083"/>
      <c r="Q111" s="1083"/>
      <c r="R111" s="1083"/>
      <c r="S111" s="1083"/>
      <c r="T111" s="1085"/>
    </row>
    <row r="112" spans="1:20" x14ac:dyDescent="0.35">
      <c r="A112" s="1080" t="s">
        <v>1251</v>
      </c>
      <c r="B112" s="1098" t="s">
        <v>1252</v>
      </c>
      <c r="C112" s="1082">
        <v>0</v>
      </c>
      <c r="D112" s="1082">
        <v>3</v>
      </c>
      <c r="E112" s="1082">
        <v>8</v>
      </c>
      <c r="F112" s="1082">
        <v>8</v>
      </c>
      <c r="G112" s="1082">
        <v>8</v>
      </c>
      <c r="H112" s="1082">
        <v>3</v>
      </c>
      <c r="I112" s="1082">
        <v>0</v>
      </c>
      <c r="J112" s="1082">
        <v>0</v>
      </c>
      <c r="K112" s="1082">
        <v>0</v>
      </c>
      <c r="L112" s="1082">
        <v>0</v>
      </c>
      <c r="M112" s="1082">
        <v>27</v>
      </c>
      <c r="N112" s="1082">
        <v>30</v>
      </c>
      <c r="O112" s="1083" t="s">
        <v>1208</v>
      </c>
      <c r="P112" s="1083"/>
      <c r="Q112" s="1083"/>
      <c r="R112" s="1083"/>
      <c r="S112" s="1083"/>
      <c r="T112" s="1085"/>
    </row>
    <row r="113" spans="1:20" ht="24" customHeight="1" x14ac:dyDescent="0.35">
      <c r="A113" s="1080" t="s">
        <v>1253</v>
      </c>
      <c r="B113" s="1081" t="s">
        <v>1254</v>
      </c>
      <c r="C113" s="1101">
        <v>0</v>
      </c>
      <c r="D113" s="1101">
        <v>165</v>
      </c>
      <c r="E113" s="1101">
        <v>165</v>
      </c>
      <c r="F113" s="1101">
        <v>230</v>
      </c>
      <c r="G113" s="1101">
        <v>340</v>
      </c>
      <c r="H113" s="1101">
        <v>490</v>
      </c>
      <c r="I113" s="1101">
        <v>540</v>
      </c>
      <c r="J113" s="1101">
        <v>640</v>
      </c>
      <c r="K113" s="1101">
        <v>475</v>
      </c>
      <c r="L113" s="1101">
        <v>330</v>
      </c>
      <c r="M113" s="1101">
        <v>900</v>
      </c>
      <c r="N113" s="1101">
        <v>3375</v>
      </c>
      <c r="O113" s="1100" t="s">
        <v>1208</v>
      </c>
      <c r="P113" s="1100"/>
      <c r="Q113" s="1100"/>
      <c r="R113" s="1100"/>
      <c r="S113" s="1100"/>
      <c r="T113" s="1085"/>
    </row>
    <row r="114" spans="1:20" ht="24" customHeight="1" x14ac:dyDescent="0.35">
      <c r="A114" s="1106" t="s">
        <v>1224</v>
      </c>
      <c r="B114" s="1107" t="s">
        <v>1255</v>
      </c>
      <c r="C114" s="1082">
        <v>0</v>
      </c>
      <c r="D114" s="1082">
        <v>195</v>
      </c>
      <c r="E114" s="1082">
        <v>448</v>
      </c>
      <c r="F114" s="1082">
        <v>641</v>
      </c>
      <c r="G114" s="1082">
        <v>716</v>
      </c>
      <c r="H114" s="1082">
        <v>681</v>
      </c>
      <c r="I114" s="1082">
        <v>528</v>
      </c>
      <c r="J114" s="1082">
        <v>421</v>
      </c>
      <c r="K114" s="1082">
        <v>323</v>
      </c>
      <c r="L114" s="1082">
        <v>23</v>
      </c>
      <c r="M114" s="1099">
        <v>2000</v>
      </c>
      <c r="N114" s="1099">
        <v>3976</v>
      </c>
      <c r="O114" s="1100" t="s">
        <v>1208</v>
      </c>
      <c r="P114" s="1100"/>
      <c r="Q114" s="1100"/>
      <c r="R114" s="1100"/>
      <c r="S114" s="1100"/>
      <c r="T114" s="1108"/>
    </row>
    <row r="115" spans="1:20" ht="30" customHeight="1" x14ac:dyDescent="0.35">
      <c r="A115" s="1092" t="s">
        <v>1256</v>
      </c>
      <c r="B115" s="1093" t="s">
        <v>1257</v>
      </c>
      <c r="C115" s="1109">
        <v>0</v>
      </c>
      <c r="D115" s="1109">
        <v>20</v>
      </c>
      <c r="E115" s="1109">
        <v>57</v>
      </c>
      <c r="F115" s="1109">
        <v>96</v>
      </c>
      <c r="G115" s="1109">
        <v>150</v>
      </c>
      <c r="H115" s="1109">
        <v>200</v>
      </c>
      <c r="I115" s="1109">
        <v>185</v>
      </c>
      <c r="J115" s="1109">
        <v>147</v>
      </c>
      <c r="K115" s="1109">
        <v>106</v>
      </c>
      <c r="L115" s="1109">
        <v>39</v>
      </c>
      <c r="M115" s="1109">
        <v>323</v>
      </c>
      <c r="N115" s="1110">
        <v>1000</v>
      </c>
      <c r="O115" s="1111" t="s">
        <v>1258</v>
      </c>
      <c r="P115" s="1141"/>
      <c r="Q115" s="1141"/>
      <c r="R115" s="1141"/>
      <c r="S115" s="1141"/>
      <c r="T115" s="1112" t="s">
        <v>1259</v>
      </c>
    </row>
    <row r="116" spans="1:20" x14ac:dyDescent="0.35">
      <c r="A116" s="1097" t="s">
        <v>1260</v>
      </c>
      <c r="B116" s="1081" t="s">
        <v>1261</v>
      </c>
      <c r="C116" s="1082">
        <v>0</v>
      </c>
      <c r="D116" s="1082">
        <v>15</v>
      </c>
      <c r="E116" s="1082">
        <v>53</v>
      </c>
      <c r="F116" s="1082">
        <v>57</v>
      </c>
      <c r="G116" s="1082">
        <v>48</v>
      </c>
      <c r="H116" s="1082">
        <v>43</v>
      </c>
      <c r="I116" s="1082">
        <v>17</v>
      </c>
      <c r="J116" s="1082">
        <v>2</v>
      </c>
      <c r="K116" s="1082">
        <v>0</v>
      </c>
      <c r="L116" s="1082">
        <v>0</v>
      </c>
      <c r="M116" s="1082">
        <v>173</v>
      </c>
      <c r="N116" s="1082">
        <v>235</v>
      </c>
      <c r="O116" s="1083" t="s">
        <v>1262</v>
      </c>
      <c r="P116" s="1083"/>
      <c r="Q116" s="1083"/>
      <c r="R116" s="1083"/>
      <c r="S116" s="1083"/>
      <c r="T116" s="1084" t="s">
        <v>1263</v>
      </c>
    </row>
    <row r="117" spans="1:20" x14ac:dyDescent="0.35">
      <c r="A117" s="1080" t="s">
        <v>1264</v>
      </c>
      <c r="B117" s="1081" t="s">
        <v>1265</v>
      </c>
      <c r="C117" s="1082">
        <v>0</v>
      </c>
      <c r="D117" s="1082">
        <v>15</v>
      </c>
      <c r="E117" s="1082">
        <v>53</v>
      </c>
      <c r="F117" s="1082">
        <v>57</v>
      </c>
      <c r="G117" s="1082">
        <v>48</v>
      </c>
      <c r="H117" s="1082">
        <v>43</v>
      </c>
      <c r="I117" s="1082">
        <v>17</v>
      </c>
      <c r="J117" s="1082">
        <v>2</v>
      </c>
      <c r="K117" s="1082">
        <v>0</v>
      </c>
      <c r="L117" s="1082">
        <v>0</v>
      </c>
      <c r="M117" s="1082">
        <v>173</v>
      </c>
      <c r="N117" s="1082">
        <v>235</v>
      </c>
      <c r="O117" s="1083" t="s">
        <v>1262</v>
      </c>
      <c r="P117" s="1083"/>
      <c r="Q117" s="1083"/>
      <c r="R117" s="1083"/>
      <c r="S117" s="1083"/>
      <c r="T117" s="1084" t="s">
        <v>1263</v>
      </c>
    </row>
    <row r="118" spans="1:20" x14ac:dyDescent="0.35">
      <c r="A118" s="1097" t="s">
        <v>1266</v>
      </c>
      <c r="B118" s="1098" t="s">
        <v>1267</v>
      </c>
      <c r="C118" s="1082">
        <v>0</v>
      </c>
      <c r="D118" s="1082">
        <v>42</v>
      </c>
      <c r="E118" s="1082">
        <v>18</v>
      </c>
      <c r="F118" s="1082">
        <v>0</v>
      </c>
      <c r="G118" s="1082">
        <v>0</v>
      </c>
      <c r="H118" s="1082">
        <v>0</v>
      </c>
      <c r="I118" s="1082">
        <v>0</v>
      </c>
      <c r="J118" s="1082">
        <v>0</v>
      </c>
      <c r="K118" s="1082">
        <v>0</v>
      </c>
      <c r="L118" s="1082">
        <v>0</v>
      </c>
      <c r="M118" s="1082">
        <v>60</v>
      </c>
      <c r="N118" s="1082">
        <v>60</v>
      </c>
      <c r="O118" s="1083" t="s">
        <v>1258</v>
      </c>
      <c r="P118" s="1083"/>
      <c r="Q118" s="1083"/>
      <c r="R118" s="1083"/>
      <c r="S118" s="1083"/>
      <c r="T118" s="1085" t="s">
        <v>1268</v>
      </c>
    </row>
    <row r="119" spans="1:20" x14ac:dyDescent="0.35">
      <c r="A119" s="1080" t="s">
        <v>1269</v>
      </c>
      <c r="B119" s="1081" t="s">
        <v>1270</v>
      </c>
      <c r="C119" s="1082">
        <v>0</v>
      </c>
      <c r="D119" s="1082">
        <v>2</v>
      </c>
      <c r="E119" s="1082">
        <v>13</v>
      </c>
      <c r="F119" s="1082">
        <v>26</v>
      </c>
      <c r="G119" s="1082">
        <v>30</v>
      </c>
      <c r="H119" s="1082">
        <v>24</v>
      </c>
      <c r="I119" s="1082">
        <v>0</v>
      </c>
      <c r="J119" s="1082">
        <v>0</v>
      </c>
      <c r="K119" s="1082">
        <v>0</v>
      </c>
      <c r="L119" s="1082">
        <v>0</v>
      </c>
      <c r="M119" s="1082">
        <v>71</v>
      </c>
      <c r="N119" s="1082">
        <v>95</v>
      </c>
      <c r="O119" s="1083" t="s">
        <v>1258</v>
      </c>
      <c r="P119" s="1083"/>
      <c r="Q119" s="1083"/>
      <c r="R119" s="1083"/>
      <c r="S119" s="1083"/>
      <c r="T119" s="1084" t="s">
        <v>1271</v>
      </c>
    </row>
    <row r="120" spans="1:20" ht="36" customHeight="1" x14ac:dyDescent="0.35">
      <c r="A120" s="1080" t="s">
        <v>1272</v>
      </c>
      <c r="B120" s="1081" t="s">
        <v>1273</v>
      </c>
      <c r="C120" s="1082">
        <v>0</v>
      </c>
      <c r="D120" s="1082">
        <v>3</v>
      </c>
      <c r="E120" s="1082">
        <v>19</v>
      </c>
      <c r="F120" s="1082">
        <v>67</v>
      </c>
      <c r="G120" s="1082">
        <v>86</v>
      </c>
      <c r="H120" s="1082">
        <v>59</v>
      </c>
      <c r="I120" s="1082">
        <v>35</v>
      </c>
      <c r="J120" s="1082">
        <v>19</v>
      </c>
      <c r="K120" s="1082">
        <v>6</v>
      </c>
      <c r="L120" s="1082">
        <v>0</v>
      </c>
      <c r="M120" s="1082">
        <v>175</v>
      </c>
      <c r="N120" s="1082">
        <v>294</v>
      </c>
      <c r="O120" s="1083" t="s">
        <v>1258</v>
      </c>
      <c r="P120" s="1083"/>
      <c r="Q120" s="1083"/>
      <c r="R120" s="1083"/>
      <c r="S120" s="1083"/>
      <c r="T120" s="1108" t="s">
        <v>1274</v>
      </c>
    </row>
    <row r="121" spans="1:20" x14ac:dyDescent="0.35">
      <c r="A121" s="1080" t="s">
        <v>1275</v>
      </c>
      <c r="B121" s="1081" t="s">
        <v>1276</v>
      </c>
      <c r="C121" s="1082">
        <v>0</v>
      </c>
      <c r="D121" s="1082">
        <v>65</v>
      </c>
      <c r="E121" s="1082">
        <v>150</v>
      </c>
      <c r="F121" s="1082">
        <v>290</v>
      </c>
      <c r="G121" s="1082">
        <v>290</v>
      </c>
      <c r="H121" s="1082">
        <v>290</v>
      </c>
      <c r="I121" s="1082">
        <v>285</v>
      </c>
      <c r="J121" s="1082">
        <v>250</v>
      </c>
      <c r="K121" s="1082">
        <v>220</v>
      </c>
      <c r="L121" s="1082">
        <v>160</v>
      </c>
      <c r="M121" s="1082">
        <v>795</v>
      </c>
      <c r="N121" s="1099">
        <v>2000</v>
      </c>
      <c r="O121" s="1083" t="s">
        <v>1258</v>
      </c>
      <c r="P121" s="1083"/>
      <c r="Q121" s="1083"/>
      <c r="R121" s="1083"/>
      <c r="S121" s="1083"/>
      <c r="T121" s="1085"/>
    </row>
    <row r="122" spans="1:20" x14ac:dyDescent="0.35">
      <c r="A122" s="1080" t="s">
        <v>1277</v>
      </c>
      <c r="B122" s="1081" t="s">
        <v>1278</v>
      </c>
      <c r="C122" s="1082">
        <v>0</v>
      </c>
      <c r="D122" s="1082">
        <v>5</v>
      </c>
      <c r="E122" s="1082">
        <v>20</v>
      </c>
      <c r="F122" s="1082">
        <v>65</v>
      </c>
      <c r="G122" s="1082">
        <v>105</v>
      </c>
      <c r="H122" s="1082">
        <v>140</v>
      </c>
      <c r="I122" s="1082">
        <v>175</v>
      </c>
      <c r="J122" s="1082">
        <v>210</v>
      </c>
      <c r="K122" s="1082">
        <v>150</v>
      </c>
      <c r="L122" s="1082">
        <v>35</v>
      </c>
      <c r="M122" s="1082">
        <v>195</v>
      </c>
      <c r="N122" s="1082">
        <v>905</v>
      </c>
      <c r="O122" s="1113" t="s">
        <v>1258</v>
      </c>
      <c r="P122" s="1113"/>
      <c r="Q122" s="1113"/>
      <c r="R122" s="1113"/>
      <c r="S122" s="1113"/>
      <c r="T122" s="1114"/>
    </row>
    <row r="123" spans="1:20" x14ac:dyDescent="0.35">
      <c r="A123" s="1080" t="s">
        <v>1279</v>
      </c>
      <c r="B123" s="1081" t="s">
        <v>1280</v>
      </c>
      <c r="C123" s="1082">
        <v>0</v>
      </c>
      <c r="D123" s="1082">
        <v>10</v>
      </c>
      <c r="E123" s="1082">
        <v>150</v>
      </c>
      <c r="F123" s="1082">
        <v>300</v>
      </c>
      <c r="G123" s="1082">
        <v>590</v>
      </c>
      <c r="H123" s="1082">
        <v>460</v>
      </c>
      <c r="I123" s="1082">
        <v>295</v>
      </c>
      <c r="J123" s="1082">
        <v>195</v>
      </c>
      <c r="K123" s="1082">
        <v>0</v>
      </c>
      <c r="L123" s="1082">
        <v>0</v>
      </c>
      <c r="M123" s="1099">
        <v>1050</v>
      </c>
      <c r="N123" s="1099">
        <v>2000</v>
      </c>
      <c r="O123" s="1083" t="s">
        <v>1258</v>
      </c>
      <c r="P123" s="1083"/>
      <c r="Q123" s="1083"/>
      <c r="R123" s="1083"/>
      <c r="S123" s="1083"/>
      <c r="T123" s="1085"/>
    </row>
    <row r="124" spans="1:20" x14ac:dyDescent="0.35">
      <c r="A124" s="1080" t="s">
        <v>1281</v>
      </c>
      <c r="B124" s="1081" t="s">
        <v>1282</v>
      </c>
      <c r="C124" s="1082"/>
      <c r="D124" s="1082"/>
      <c r="E124" s="1082"/>
      <c r="F124" s="1082"/>
      <c r="G124" s="1082"/>
      <c r="H124" s="1082"/>
      <c r="I124" s="1082"/>
      <c r="J124" s="1082"/>
      <c r="K124" s="1082"/>
      <c r="L124" s="1082"/>
      <c r="M124" s="1082"/>
      <c r="N124" s="1082"/>
      <c r="O124" s="1083"/>
      <c r="P124" s="1083"/>
      <c r="Q124" s="1083"/>
      <c r="R124" s="1083"/>
      <c r="S124" s="1083"/>
      <c r="T124" s="1085"/>
    </row>
    <row r="125" spans="1:20" ht="24" customHeight="1" x14ac:dyDescent="0.35">
      <c r="A125" s="1097" t="s">
        <v>1283</v>
      </c>
      <c r="B125" s="1098" t="s">
        <v>1284</v>
      </c>
      <c r="C125" s="1101">
        <v>0</v>
      </c>
      <c r="D125" s="1101">
        <v>72</v>
      </c>
      <c r="E125" s="1101">
        <v>123</v>
      </c>
      <c r="F125" s="1101">
        <v>122</v>
      </c>
      <c r="G125" s="1101">
        <v>115</v>
      </c>
      <c r="H125" s="1101">
        <v>55</v>
      </c>
      <c r="I125" s="1101">
        <v>55</v>
      </c>
      <c r="J125" s="1101">
        <v>33</v>
      </c>
      <c r="K125" s="1101">
        <v>0</v>
      </c>
      <c r="L125" s="1101">
        <v>0</v>
      </c>
      <c r="M125" s="1101">
        <v>432</v>
      </c>
      <c r="N125" s="1101">
        <v>575</v>
      </c>
      <c r="O125" s="1082" t="s">
        <v>1258</v>
      </c>
      <c r="P125" s="1082"/>
      <c r="Q125" s="1082"/>
      <c r="R125" s="1082"/>
      <c r="S125" s="1082"/>
      <c r="T125" s="1085"/>
    </row>
    <row r="126" spans="1:20" x14ac:dyDescent="0.35">
      <c r="A126" s="1080" t="s">
        <v>1285</v>
      </c>
      <c r="B126" s="1081" t="s">
        <v>1286</v>
      </c>
      <c r="C126" s="1082">
        <v>0</v>
      </c>
      <c r="D126" s="1082">
        <v>1</v>
      </c>
      <c r="E126" s="1082">
        <v>2</v>
      </c>
      <c r="F126" s="1082">
        <v>2</v>
      </c>
      <c r="G126" s="1082">
        <v>2</v>
      </c>
      <c r="H126" s="1082">
        <v>2</v>
      </c>
      <c r="I126" s="1082">
        <v>2</v>
      </c>
      <c r="J126" s="1082">
        <v>2</v>
      </c>
      <c r="K126" s="1082">
        <v>2</v>
      </c>
      <c r="L126" s="1082">
        <v>1</v>
      </c>
      <c r="M126" s="1082">
        <v>7</v>
      </c>
      <c r="N126" s="1082">
        <v>16</v>
      </c>
      <c r="O126" s="1083" t="s">
        <v>1258</v>
      </c>
      <c r="P126" s="1083"/>
      <c r="Q126" s="1083"/>
      <c r="R126" s="1083"/>
      <c r="S126" s="1083"/>
      <c r="T126" s="1085"/>
    </row>
    <row r="127" spans="1:20" x14ac:dyDescent="0.35">
      <c r="A127" s="1080" t="s">
        <v>1287</v>
      </c>
      <c r="B127" s="1081" t="s">
        <v>1288</v>
      </c>
      <c r="C127" s="1082">
        <v>0</v>
      </c>
      <c r="D127" s="1082">
        <v>49</v>
      </c>
      <c r="E127" s="1082">
        <v>190</v>
      </c>
      <c r="F127" s="1082">
        <v>379</v>
      </c>
      <c r="G127" s="1082">
        <v>531</v>
      </c>
      <c r="H127" s="1082">
        <v>619</v>
      </c>
      <c r="I127" s="1082">
        <v>580</v>
      </c>
      <c r="J127" s="1082">
        <v>387</v>
      </c>
      <c r="K127" s="1082">
        <v>196</v>
      </c>
      <c r="L127" s="1082">
        <v>69</v>
      </c>
      <c r="M127" s="1099">
        <v>1149</v>
      </c>
      <c r="N127" s="1099">
        <v>3000</v>
      </c>
      <c r="O127" s="1083" t="s">
        <v>1258</v>
      </c>
      <c r="P127" s="1083"/>
      <c r="Q127" s="1083"/>
      <c r="R127" s="1083"/>
      <c r="S127" s="1083"/>
      <c r="T127" s="1085"/>
    </row>
    <row r="128" spans="1:20" x14ac:dyDescent="0.35">
      <c r="A128" s="1097" t="s">
        <v>1289</v>
      </c>
      <c r="B128" s="1098" t="s">
        <v>1290</v>
      </c>
      <c r="C128" s="1082">
        <v>0</v>
      </c>
      <c r="D128" s="1082">
        <v>22</v>
      </c>
      <c r="E128" s="1082">
        <v>22</v>
      </c>
      <c r="F128" s="1082">
        <v>6</v>
      </c>
      <c r="G128" s="1082">
        <v>0</v>
      </c>
      <c r="H128" s="1082">
        <v>0</v>
      </c>
      <c r="I128" s="1082">
        <v>0</v>
      </c>
      <c r="J128" s="1082">
        <v>0</v>
      </c>
      <c r="K128" s="1082">
        <v>0</v>
      </c>
      <c r="L128" s="1082">
        <v>0</v>
      </c>
      <c r="M128" s="1082">
        <v>50</v>
      </c>
      <c r="N128" s="1082">
        <v>50</v>
      </c>
      <c r="O128" s="1083" t="s">
        <v>1258</v>
      </c>
      <c r="P128" s="1083"/>
      <c r="Q128" s="1083"/>
      <c r="R128" s="1083"/>
      <c r="S128" s="1083"/>
      <c r="T128" s="1084"/>
    </row>
    <row r="129" spans="1:20" x14ac:dyDescent="0.35">
      <c r="A129" s="1080" t="s">
        <v>1291</v>
      </c>
      <c r="B129" s="1081" t="s">
        <v>1292</v>
      </c>
      <c r="C129" s="1082">
        <v>0</v>
      </c>
      <c r="D129" s="1082">
        <v>30</v>
      </c>
      <c r="E129" s="1082">
        <v>30</v>
      </c>
      <c r="F129" s="1082">
        <v>40</v>
      </c>
      <c r="G129" s="1082">
        <v>15</v>
      </c>
      <c r="H129" s="1082">
        <v>5</v>
      </c>
      <c r="I129" s="1082">
        <v>5</v>
      </c>
      <c r="J129" s="1082">
        <v>0</v>
      </c>
      <c r="K129" s="1082">
        <v>0</v>
      </c>
      <c r="L129" s="1082">
        <v>0</v>
      </c>
      <c r="M129" s="1082">
        <v>115</v>
      </c>
      <c r="N129" s="1082">
        <v>125</v>
      </c>
      <c r="O129" s="1083" t="s">
        <v>1258</v>
      </c>
      <c r="P129" s="1083"/>
      <c r="Q129" s="1083"/>
      <c r="R129" s="1083"/>
      <c r="S129" s="1083"/>
      <c r="T129" s="1085"/>
    </row>
    <row r="130" spans="1:20" x14ac:dyDescent="0.35">
      <c r="A130" s="1080" t="s">
        <v>1293</v>
      </c>
      <c r="B130" s="1081" t="s">
        <v>1294</v>
      </c>
      <c r="C130" s="1082">
        <v>0</v>
      </c>
      <c r="D130" s="1082">
        <v>10</v>
      </c>
      <c r="E130" s="1082">
        <v>230</v>
      </c>
      <c r="F130" s="1082">
        <v>660</v>
      </c>
      <c r="G130" s="1082">
        <v>945</v>
      </c>
      <c r="H130" s="1082">
        <v>605</v>
      </c>
      <c r="I130" s="1082">
        <v>100</v>
      </c>
      <c r="J130" s="1082">
        <v>0</v>
      </c>
      <c r="K130" s="1082">
        <v>0</v>
      </c>
      <c r="L130" s="1082">
        <v>0</v>
      </c>
      <c r="M130" s="1099">
        <v>1845</v>
      </c>
      <c r="N130" s="1099">
        <v>2550</v>
      </c>
      <c r="O130" s="1083" t="s">
        <v>1258</v>
      </c>
      <c r="P130" s="1083"/>
      <c r="Q130" s="1083"/>
      <c r="R130" s="1083"/>
      <c r="S130" s="1083"/>
      <c r="T130" s="1085"/>
    </row>
    <row r="131" spans="1:20" x14ac:dyDescent="0.35">
      <c r="A131" s="1080" t="s">
        <v>1295</v>
      </c>
      <c r="B131" s="1081" t="s">
        <v>1296</v>
      </c>
      <c r="C131" s="1082">
        <v>0</v>
      </c>
      <c r="D131" s="1082">
        <v>10</v>
      </c>
      <c r="E131" s="1082">
        <v>45</v>
      </c>
      <c r="F131" s="1082">
        <v>70</v>
      </c>
      <c r="G131" s="1082">
        <v>100</v>
      </c>
      <c r="H131" s="1082">
        <v>100</v>
      </c>
      <c r="I131" s="1082">
        <v>100</v>
      </c>
      <c r="J131" s="1082">
        <v>100</v>
      </c>
      <c r="K131" s="1082">
        <v>100</v>
      </c>
      <c r="L131" s="1082">
        <v>100</v>
      </c>
      <c r="M131" s="1082">
        <v>225</v>
      </c>
      <c r="N131" s="1082">
        <v>725</v>
      </c>
      <c r="O131" s="1083" t="s">
        <v>1258</v>
      </c>
      <c r="P131" s="1083"/>
      <c r="Q131" s="1083"/>
      <c r="R131" s="1083"/>
      <c r="S131" s="1083"/>
      <c r="T131" s="1085"/>
    </row>
    <row r="132" spans="1:20" x14ac:dyDescent="0.35">
      <c r="A132" s="1097" t="s">
        <v>1297</v>
      </c>
      <c r="B132" s="1098" t="s">
        <v>1298</v>
      </c>
      <c r="C132" s="1082">
        <v>0</v>
      </c>
      <c r="D132" s="1082">
        <v>14</v>
      </c>
      <c r="E132" s="1082">
        <v>11</v>
      </c>
      <c r="F132" s="1082">
        <v>0</v>
      </c>
      <c r="G132" s="1082">
        <v>0</v>
      </c>
      <c r="H132" s="1082">
        <v>0</v>
      </c>
      <c r="I132" s="1082">
        <v>0</v>
      </c>
      <c r="J132" s="1082">
        <v>0</v>
      </c>
      <c r="K132" s="1082">
        <v>0</v>
      </c>
      <c r="L132" s="1082">
        <v>0</v>
      </c>
      <c r="M132" s="1082">
        <v>25</v>
      </c>
      <c r="N132" s="1082">
        <v>25</v>
      </c>
      <c r="O132" s="1083" t="s">
        <v>1262</v>
      </c>
      <c r="P132" s="1083"/>
      <c r="Q132" s="1083"/>
      <c r="R132" s="1083"/>
      <c r="S132" s="1083"/>
      <c r="T132" s="1084"/>
    </row>
    <row r="133" spans="1:20" x14ac:dyDescent="0.35">
      <c r="A133" s="1097" t="s">
        <v>1299</v>
      </c>
      <c r="B133" s="1098" t="s">
        <v>1300</v>
      </c>
      <c r="C133" s="1082">
        <v>0</v>
      </c>
      <c r="D133" s="1082">
        <v>84</v>
      </c>
      <c r="E133" s="1082">
        <v>320</v>
      </c>
      <c r="F133" s="1082">
        <v>638</v>
      </c>
      <c r="G133" s="1082">
        <v>928</v>
      </c>
      <c r="H133" s="1082">
        <v>940</v>
      </c>
      <c r="I133" s="1082">
        <v>720</v>
      </c>
      <c r="J133" s="1082">
        <v>300</v>
      </c>
      <c r="K133" s="1082">
        <v>120</v>
      </c>
      <c r="L133" s="1082">
        <v>0</v>
      </c>
      <c r="M133" s="1099">
        <v>1970</v>
      </c>
      <c r="N133" s="1099">
        <v>4050</v>
      </c>
      <c r="O133" s="1083" t="s">
        <v>1262</v>
      </c>
      <c r="P133" s="1083"/>
      <c r="Q133" s="1083"/>
      <c r="R133" s="1083"/>
      <c r="S133" s="1083"/>
      <c r="T133" s="1085"/>
    </row>
    <row r="134" spans="1:20" x14ac:dyDescent="0.35">
      <c r="A134" s="1080" t="s">
        <v>1301</v>
      </c>
      <c r="B134" s="1081" t="s">
        <v>1302</v>
      </c>
      <c r="C134" s="1082">
        <v>0</v>
      </c>
      <c r="D134" s="1082">
        <v>40</v>
      </c>
      <c r="E134" s="1082">
        <v>200</v>
      </c>
      <c r="F134" s="1082">
        <v>400</v>
      </c>
      <c r="G134" s="1082">
        <v>660</v>
      </c>
      <c r="H134" s="1082">
        <v>640</v>
      </c>
      <c r="I134" s="1082">
        <v>515</v>
      </c>
      <c r="J134" s="1082">
        <v>240</v>
      </c>
      <c r="K134" s="1082">
        <v>105</v>
      </c>
      <c r="L134" s="1082">
        <v>0</v>
      </c>
      <c r="M134" s="1099">
        <v>1300</v>
      </c>
      <c r="N134" s="1099">
        <v>2800</v>
      </c>
      <c r="O134" s="1083" t="s">
        <v>1262</v>
      </c>
      <c r="P134" s="1083"/>
      <c r="Q134" s="1083"/>
      <c r="R134" s="1083"/>
      <c r="S134" s="1083"/>
      <c r="T134" s="1085"/>
    </row>
    <row r="135" spans="1:20" x14ac:dyDescent="0.35">
      <c r="A135" s="1080" t="s">
        <v>1303</v>
      </c>
      <c r="B135" s="1081" t="s">
        <v>1304</v>
      </c>
      <c r="C135" s="1115">
        <v>0</v>
      </c>
      <c r="D135" s="1115">
        <v>138</v>
      </c>
      <c r="E135" s="1115">
        <v>566</v>
      </c>
      <c r="F135" s="1115">
        <v>994</v>
      </c>
      <c r="G135" s="1116">
        <v>1328</v>
      </c>
      <c r="H135" s="1116">
        <v>1791</v>
      </c>
      <c r="I135" s="1116">
        <v>2350</v>
      </c>
      <c r="J135" s="1116">
        <v>2928</v>
      </c>
      <c r="K135" s="1116">
        <v>3548</v>
      </c>
      <c r="L135" s="1116">
        <v>4162</v>
      </c>
      <c r="M135" s="1116">
        <v>3026</v>
      </c>
      <c r="N135" s="1116">
        <v>17805</v>
      </c>
      <c r="O135" s="1117" t="s">
        <v>54</v>
      </c>
      <c r="P135" s="1117"/>
      <c r="Q135" s="1117"/>
      <c r="R135" s="1117"/>
      <c r="S135" s="1117"/>
      <c r="T135" s="1118"/>
    </row>
    <row r="136" spans="1:20" x14ac:dyDescent="0.35">
      <c r="A136" s="1080" t="s">
        <v>1305</v>
      </c>
      <c r="B136" s="1081" t="s">
        <v>1306</v>
      </c>
      <c r="C136" s="1115">
        <v>0</v>
      </c>
      <c r="D136" s="1115">
        <v>0</v>
      </c>
      <c r="E136" s="1115">
        <v>235</v>
      </c>
      <c r="F136" s="1115">
        <v>317</v>
      </c>
      <c r="G136" s="1115">
        <v>304</v>
      </c>
      <c r="H136" s="1115">
        <v>314</v>
      </c>
      <c r="I136" s="1115">
        <v>324</v>
      </c>
      <c r="J136" s="1115">
        <v>335</v>
      </c>
      <c r="K136" s="1115">
        <v>346</v>
      </c>
      <c r="L136" s="1115">
        <v>359</v>
      </c>
      <c r="M136" s="1115">
        <v>856</v>
      </c>
      <c r="N136" s="1116">
        <v>2534</v>
      </c>
      <c r="O136" s="1117" t="s">
        <v>54</v>
      </c>
      <c r="P136" s="1117"/>
      <c r="Q136" s="1117"/>
      <c r="R136" s="1117"/>
      <c r="S136" s="1117"/>
      <c r="T136" s="1085"/>
    </row>
    <row r="137" spans="1:20" ht="24" customHeight="1" x14ac:dyDescent="0.35">
      <c r="A137" s="1080" t="s">
        <v>1307</v>
      </c>
      <c r="B137" s="1081" t="s">
        <v>1308</v>
      </c>
      <c r="C137" s="1119"/>
      <c r="D137" s="1119">
        <v>333</v>
      </c>
      <c r="E137" s="1119">
        <v>314</v>
      </c>
      <c r="F137" s="1119">
        <v>314</v>
      </c>
      <c r="G137" s="1119">
        <v>-4530</v>
      </c>
      <c r="H137" s="1119">
        <v>-9118</v>
      </c>
      <c r="I137" s="1119">
        <v>-18184</v>
      </c>
      <c r="J137" s="1119">
        <v>-20493</v>
      </c>
      <c r="K137" s="1119">
        <v>-23289</v>
      </c>
      <c r="L137" s="1119">
        <v>-24298</v>
      </c>
      <c r="M137" s="1119">
        <v>-569</v>
      </c>
      <c r="N137" s="1119">
        <v>-95951</v>
      </c>
      <c r="O137" s="1120" t="s">
        <v>55</v>
      </c>
      <c r="P137" s="1120"/>
      <c r="Q137" s="1120"/>
      <c r="R137" s="1120"/>
      <c r="S137" s="1120"/>
      <c r="T137" s="1121"/>
    </row>
    <row r="138" spans="1:20" ht="36" customHeight="1" x14ac:dyDescent="0.35">
      <c r="A138" s="1080" t="s">
        <v>1303</v>
      </c>
      <c r="B138" s="1081" t="s">
        <v>1309</v>
      </c>
      <c r="C138" s="1122">
        <v>0</v>
      </c>
      <c r="D138" s="1122">
        <v>-2447</v>
      </c>
      <c r="E138" s="1122">
        <v>-3716</v>
      </c>
      <c r="F138" s="1122">
        <v>-19171</v>
      </c>
      <c r="G138" s="1122">
        <v>-7014</v>
      </c>
      <c r="H138" s="1122">
        <v>-7706</v>
      </c>
      <c r="I138" s="1122">
        <v>-8497</v>
      </c>
      <c r="J138" s="1122">
        <v>-9360</v>
      </c>
      <c r="K138" s="1122">
        <v>-10602</v>
      </c>
      <c r="L138" s="1122">
        <v>-11603</v>
      </c>
      <c r="M138" s="1122">
        <v>-32348</v>
      </c>
      <c r="N138" s="1122">
        <v>-80116</v>
      </c>
      <c r="O138" s="1120" t="s">
        <v>55</v>
      </c>
      <c r="P138" s="1120"/>
      <c r="Q138" s="1120"/>
      <c r="R138" s="1120"/>
      <c r="S138" s="1120"/>
      <c r="T138" s="1085"/>
    </row>
    <row r="139" spans="1:20" x14ac:dyDescent="0.35">
      <c r="A139" s="1080" t="s">
        <v>1310</v>
      </c>
      <c r="B139" s="1081" t="s">
        <v>1311</v>
      </c>
      <c r="C139" s="1119">
        <v>0</v>
      </c>
      <c r="D139" s="1119">
        <v>53</v>
      </c>
      <c r="E139" s="1119">
        <v>1991</v>
      </c>
      <c r="F139" s="1119">
        <v>3308</v>
      </c>
      <c r="G139" s="1119">
        <v>3545</v>
      </c>
      <c r="H139" s="1119">
        <v>4537</v>
      </c>
      <c r="I139" s="1119">
        <v>4476</v>
      </c>
      <c r="J139" s="1119">
        <v>3947</v>
      </c>
      <c r="K139" s="1119">
        <v>1781</v>
      </c>
      <c r="L139" s="1119">
        <v>1462</v>
      </c>
      <c r="M139" s="1119">
        <v>8897</v>
      </c>
      <c r="N139" s="1119">
        <v>25100</v>
      </c>
      <c r="O139" s="1120" t="s">
        <v>55</v>
      </c>
      <c r="P139" s="1120"/>
      <c r="Q139" s="1120"/>
      <c r="R139" s="1120"/>
      <c r="S139" s="1120"/>
      <c r="T139" s="1085"/>
    </row>
    <row r="140" spans="1:20" x14ac:dyDescent="0.35">
      <c r="A140" s="1080" t="s">
        <v>1312</v>
      </c>
      <c r="B140" s="1081" t="s">
        <v>1313</v>
      </c>
      <c r="C140" s="1123">
        <v>0</v>
      </c>
      <c r="D140" s="1123">
        <v>0</v>
      </c>
      <c r="E140" s="1123">
        <v>0</v>
      </c>
      <c r="F140" s="1123">
        <v>0</v>
      </c>
      <c r="G140" s="1123">
        <v>0</v>
      </c>
      <c r="H140" s="1124">
        <v>-16290</v>
      </c>
      <c r="I140" s="1124">
        <v>-25656</v>
      </c>
      <c r="J140" s="1124">
        <v>-23394</v>
      </c>
      <c r="K140" s="1124">
        <v>-27561</v>
      </c>
      <c r="L140" s="1124">
        <v>-29250</v>
      </c>
      <c r="M140" s="1123">
        <v>0</v>
      </c>
      <c r="N140" s="1124">
        <v>-122151</v>
      </c>
      <c r="O140" s="1120" t="s">
        <v>55</v>
      </c>
      <c r="P140" s="1120"/>
      <c r="Q140" s="1120"/>
      <c r="R140" s="1120"/>
      <c r="S140" s="1120"/>
      <c r="T140" s="1085"/>
    </row>
    <row r="141" spans="1:20" ht="36" customHeight="1" x14ac:dyDescent="0.35">
      <c r="A141" s="1080" t="s">
        <v>1314</v>
      </c>
      <c r="B141" s="1081" t="s">
        <v>1315</v>
      </c>
      <c r="C141" s="1119">
        <v>0</v>
      </c>
      <c r="D141" s="1119">
        <v>-70</v>
      </c>
      <c r="E141" s="1119">
        <v>300</v>
      </c>
      <c r="F141" s="1119">
        <v>862</v>
      </c>
      <c r="G141" s="1119">
        <v>577</v>
      </c>
      <c r="H141" s="1119">
        <v>464</v>
      </c>
      <c r="I141" s="1119">
        <v>549</v>
      </c>
      <c r="J141" s="1119">
        <v>501</v>
      </c>
      <c r="K141" s="1119">
        <v>591</v>
      </c>
      <c r="L141" s="1119">
        <v>630</v>
      </c>
      <c r="M141" s="1119">
        <v>1669</v>
      </c>
      <c r="N141" s="1119">
        <v>4404</v>
      </c>
      <c r="O141" s="1120" t="s">
        <v>55</v>
      </c>
      <c r="P141" s="1120"/>
      <c r="Q141" s="1120"/>
      <c r="R141" s="1120"/>
      <c r="S141" s="1120"/>
      <c r="T141" s="1085"/>
    </row>
    <row r="142" spans="1:20" x14ac:dyDescent="0.35">
      <c r="A142" s="1080" t="s">
        <v>1316</v>
      </c>
      <c r="B142" s="1081" t="s">
        <v>1317</v>
      </c>
      <c r="C142" s="1123">
        <v>0</v>
      </c>
      <c r="D142" s="1123">
        <v>0</v>
      </c>
      <c r="E142" s="1123">
        <v>195</v>
      </c>
      <c r="F142" s="1123">
        <v>230</v>
      </c>
      <c r="G142" s="1123">
        <v>248</v>
      </c>
      <c r="H142" s="1123">
        <v>266</v>
      </c>
      <c r="I142" s="1123">
        <v>311</v>
      </c>
      <c r="J142" s="1123">
        <v>281</v>
      </c>
      <c r="K142" s="1123">
        <v>327</v>
      </c>
      <c r="L142" s="1123">
        <v>347</v>
      </c>
      <c r="M142" s="1123">
        <v>673</v>
      </c>
      <c r="N142" s="1124">
        <v>2205</v>
      </c>
      <c r="O142" s="1120" t="s">
        <v>55</v>
      </c>
      <c r="P142" s="1120"/>
      <c r="Q142" s="1120"/>
      <c r="R142" s="1120"/>
      <c r="S142" s="1120"/>
      <c r="T142" s="1085"/>
    </row>
    <row r="143" spans="1:20" x14ac:dyDescent="0.35">
      <c r="A143" s="1097" t="s">
        <v>1318</v>
      </c>
      <c r="B143" s="1098" t="s">
        <v>1319</v>
      </c>
      <c r="C143" s="1125">
        <v>0</v>
      </c>
      <c r="D143" s="1125">
        <v>70</v>
      </c>
      <c r="E143" s="1125">
        <v>132</v>
      </c>
      <c r="F143" s="1125">
        <v>51</v>
      </c>
      <c r="G143" s="1125">
        <v>20</v>
      </c>
      <c r="H143" s="1125">
        <v>8</v>
      </c>
      <c r="I143" s="1125">
        <v>0</v>
      </c>
      <c r="J143" s="1125">
        <v>0</v>
      </c>
      <c r="K143" s="1125">
        <v>0</v>
      </c>
      <c r="L143" s="1125">
        <v>0</v>
      </c>
      <c r="M143" s="1125">
        <v>273</v>
      </c>
      <c r="N143" s="1125">
        <v>281</v>
      </c>
      <c r="O143" s="1126" t="s">
        <v>1320</v>
      </c>
      <c r="P143" s="1126"/>
      <c r="Q143" s="1126"/>
      <c r="R143" s="1126"/>
      <c r="S143" s="1126"/>
      <c r="T143" s="1085" t="s">
        <v>1321</v>
      </c>
    </row>
    <row r="144" spans="1:20" x14ac:dyDescent="0.35">
      <c r="A144" s="1097" t="s">
        <v>1322</v>
      </c>
      <c r="B144" s="1098" t="s">
        <v>1323</v>
      </c>
      <c r="C144" s="1125">
        <v>0</v>
      </c>
      <c r="D144" s="1125">
        <v>465</v>
      </c>
      <c r="E144" s="1127">
        <v>2420</v>
      </c>
      <c r="F144" s="1127">
        <v>4755</v>
      </c>
      <c r="G144" s="1127">
        <v>5980</v>
      </c>
      <c r="H144" s="1127">
        <v>4694</v>
      </c>
      <c r="I144" s="1127">
        <v>1573</v>
      </c>
      <c r="J144" s="1125">
        <v>93</v>
      </c>
      <c r="K144" s="1125">
        <v>0</v>
      </c>
      <c r="L144" s="1125">
        <v>0</v>
      </c>
      <c r="M144" s="1127">
        <v>13620</v>
      </c>
      <c r="N144" s="1127">
        <v>19980</v>
      </c>
      <c r="O144" s="1126" t="s">
        <v>1320</v>
      </c>
      <c r="P144" s="1126"/>
      <c r="Q144" s="1126"/>
      <c r="R144" s="1126"/>
      <c r="S144" s="1126"/>
      <c r="T144" s="1085" t="s">
        <v>1324</v>
      </c>
    </row>
    <row r="145" spans="1:20" x14ac:dyDescent="0.35">
      <c r="A145" s="1080" t="s">
        <v>1325</v>
      </c>
      <c r="B145" s="1081" t="s">
        <v>1326</v>
      </c>
      <c r="C145" s="1125">
        <v>0</v>
      </c>
      <c r="D145" s="1125">
        <v>20</v>
      </c>
      <c r="E145" s="1125">
        <v>65</v>
      </c>
      <c r="F145" s="1125">
        <v>110</v>
      </c>
      <c r="G145" s="1125">
        <v>135</v>
      </c>
      <c r="H145" s="1125">
        <v>180</v>
      </c>
      <c r="I145" s="1125">
        <v>230</v>
      </c>
      <c r="J145" s="1125">
        <v>180</v>
      </c>
      <c r="K145" s="1125">
        <v>60</v>
      </c>
      <c r="L145" s="1125">
        <v>10</v>
      </c>
      <c r="M145" s="1125">
        <v>330</v>
      </c>
      <c r="N145" s="1125">
        <v>990</v>
      </c>
      <c r="O145" s="1126" t="s">
        <v>1320</v>
      </c>
      <c r="P145" s="1126"/>
      <c r="Q145" s="1126"/>
      <c r="R145" s="1126"/>
      <c r="S145" s="1126"/>
      <c r="T145" s="1108" t="s">
        <v>1327</v>
      </c>
    </row>
    <row r="146" spans="1:20" x14ac:dyDescent="0.35">
      <c r="A146" s="1080" t="s">
        <v>1328</v>
      </c>
      <c r="B146" s="1081" t="s">
        <v>1329</v>
      </c>
      <c r="C146" s="1125">
        <v>0</v>
      </c>
      <c r="D146" s="1127">
        <v>20892</v>
      </c>
      <c r="E146" s="1127">
        <v>11288</v>
      </c>
      <c r="F146" s="1127">
        <v>9651</v>
      </c>
      <c r="G146" s="1127">
        <v>-8548</v>
      </c>
      <c r="H146" s="1125">
        <v>-463</v>
      </c>
      <c r="I146" s="1125">
        <v>0</v>
      </c>
      <c r="J146" s="1125">
        <v>0</v>
      </c>
      <c r="K146" s="1125">
        <v>0</v>
      </c>
      <c r="L146" s="1125">
        <v>0</v>
      </c>
      <c r="M146" s="1127">
        <v>33283</v>
      </c>
      <c r="N146" s="1127">
        <v>32820</v>
      </c>
      <c r="O146" s="1128" t="s">
        <v>1320</v>
      </c>
      <c r="P146" s="1128"/>
      <c r="Q146" s="1128"/>
      <c r="R146" s="1128"/>
      <c r="S146" s="1128"/>
      <c r="T146" s="1085"/>
    </row>
    <row r="147" spans="1:20" x14ac:dyDescent="0.35">
      <c r="A147" s="1080" t="s">
        <v>1330</v>
      </c>
      <c r="B147" s="1081" t="s">
        <v>1331</v>
      </c>
      <c r="C147" s="1125">
        <v>0</v>
      </c>
      <c r="D147" s="1125">
        <v>24</v>
      </c>
      <c r="E147" s="1125">
        <v>65</v>
      </c>
      <c r="F147" s="1125">
        <v>112</v>
      </c>
      <c r="G147" s="1125">
        <v>130</v>
      </c>
      <c r="H147" s="1125">
        <v>98</v>
      </c>
      <c r="I147" s="1125">
        <v>56</v>
      </c>
      <c r="J147" s="1125">
        <v>15</v>
      </c>
      <c r="K147" s="1125">
        <v>0</v>
      </c>
      <c r="L147" s="1125">
        <v>0</v>
      </c>
      <c r="M147" s="1125">
        <v>331</v>
      </c>
      <c r="N147" s="1125">
        <v>500</v>
      </c>
      <c r="O147" s="1128" t="s">
        <v>1320</v>
      </c>
      <c r="P147" s="1128"/>
      <c r="Q147" s="1128"/>
      <c r="R147" s="1128"/>
      <c r="S147" s="1128"/>
      <c r="T147" s="1085"/>
    </row>
    <row r="148" spans="1:20" x14ac:dyDescent="0.35">
      <c r="A148" s="1129" t="s">
        <v>1332</v>
      </c>
      <c r="B148" s="1130" t="s">
        <v>1333</v>
      </c>
      <c r="C148" s="1125">
        <v>0</v>
      </c>
      <c r="D148" s="1125">
        <v>50</v>
      </c>
      <c r="E148" s="1125">
        <v>500</v>
      </c>
      <c r="F148" s="1125">
        <v>920</v>
      </c>
      <c r="G148" s="1127">
        <v>1310</v>
      </c>
      <c r="H148" s="1127">
        <v>1680</v>
      </c>
      <c r="I148" s="1127">
        <v>1780</v>
      </c>
      <c r="J148" s="1127">
        <v>1640</v>
      </c>
      <c r="K148" s="1127">
        <v>1090</v>
      </c>
      <c r="L148" s="1125">
        <v>630</v>
      </c>
      <c r="M148" s="1127">
        <v>2780</v>
      </c>
      <c r="N148" s="1127">
        <v>9600</v>
      </c>
      <c r="O148" s="1128" t="s">
        <v>1320</v>
      </c>
      <c r="P148" s="1128"/>
      <c r="Q148" s="1128"/>
      <c r="R148" s="1128"/>
      <c r="S148" s="1128"/>
      <c r="T148" s="1131"/>
    </row>
    <row r="149" spans="1:20" x14ac:dyDescent="0.35">
      <c r="A149" s="1080" t="s">
        <v>1334</v>
      </c>
      <c r="B149" s="1081" t="s">
        <v>1335</v>
      </c>
      <c r="C149" s="1125">
        <v>0</v>
      </c>
      <c r="D149" s="1125">
        <v>30</v>
      </c>
      <c r="E149" s="1125">
        <v>90</v>
      </c>
      <c r="F149" s="1125">
        <v>90</v>
      </c>
      <c r="G149" s="1125">
        <v>85</v>
      </c>
      <c r="H149" s="1125">
        <v>70</v>
      </c>
      <c r="I149" s="1125">
        <v>65</v>
      </c>
      <c r="J149" s="1125">
        <v>65</v>
      </c>
      <c r="K149" s="1125">
        <v>35</v>
      </c>
      <c r="L149" s="1125">
        <v>15</v>
      </c>
      <c r="M149" s="1125">
        <v>295</v>
      </c>
      <c r="N149" s="1125">
        <v>545</v>
      </c>
      <c r="O149" s="1128" t="s">
        <v>1320</v>
      </c>
      <c r="P149" s="1128"/>
      <c r="Q149" s="1128"/>
      <c r="R149" s="1128"/>
      <c r="S149" s="1128"/>
      <c r="T149" s="1085"/>
    </row>
    <row r="150" spans="1:20" x14ac:dyDescent="0.35">
      <c r="A150" s="1080" t="s">
        <v>1336</v>
      </c>
      <c r="B150" s="1081" t="s">
        <v>1337</v>
      </c>
      <c r="C150" s="1125">
        <v>0</v>
      </c>
      <c r="D150" s="1125">
        <v>185</v>
      </c>
      <c r="E150" s="1125">
        <v>394</v>
      </c>
      <c r="F150" s="1125">
        <v>639</v>
      </c>
      <c r="G150" s="1125">
        <v>722</v>
      </c>
      <c r="H150" s="1125">
        <v>595</v>
      </c>
      <c r="I150" s="1125">
        <v>346</v>
      </c>
      <c r="J150" s="1125">
        <v>101</v>
      </c>
      <c r="K150" s="1125">
        <v>18</v>
      </c>
      <c r="L150" s="1125">
        <v>0</v>
      </c>
      <c r="M150" s="1127">
        <v>1940</v>
      </c>
      <c r="N150" s="1127">
        <v>3000</v>
      </c>
      <c r="O150" s="1126" t="s">
        <v>1320</v>
      </c>
      <c r="P150" s="1126"/>
      <c r="Q150" s="1126"/>
      <c r="R150" s="1126"/>
      <c r="S150" s="1126"/>
      <c r="T150" s="1085"/>
    </row>
    <row r="151" spans="1:20" x14ac:dyDescent="0.35">
      <c r="A151" s="1080" t="s">
        <v>1338</v>
      </c>
      <c r="B151" s="1081" t="s">
        <v>1339</v>
      </c>
      <c r="C151" s="1125">
        <v>0</v>
      </c>
      <c r="D151" s="1125">
        <v>8</v>
      </c>
      <c r="E151" s="1125">
        <v>26</v>
      </c>
      <c r="F151" s="1125">
        <v>41</v>
      </c>
      <c r="G151" s="1125">
        <v>38</v>
      </c>
      <c r="H151" s="1125">
        <v>22</v>
      </c>
      <c r="I151" s="1125">
        <v>11</v>
      </c>
      <c r="J151" s="1125">
        <v>4</v>
      </c>
      <c r="K151" s="1125">
        <v>0</v>
      </c>
      <c r="L151" s="1125">
        <v>0</v>
      </c>
      <c r="M151" s="1125">
        <v>113</v>
      </c>
      <c r="N151" s="1125">
        <v>150</v>
      </c>
      <c r="O151" s="1126" t="s">
        <v>1320</v>
      </c>
      <c r="P151" s="1126"/>
      <c r="Q151" s="1126"/>
      <c r="R151" s="1126"/>
      <c r="S151" s="1126"/>
      <c r="T151" s="1085"/>
    </row>
    <row r="152" spans="1:20" ht="24" customHeight="1" x14ac:dyDescent="0.35">
      <c r="A152" s="1097" t="s">
        <v>1340</v>
      </c>
      <c r="B152" s="1098" t="s">
        <v>1341</v>
      </c>
      <c r="C152" s="1132">
        <v>0</v>
      </c>
      <c r="D152" s="1133">
        <v>77</v>
      </c>
      <c r="E152" s="1133">
        <v>232</v>
      </c>
      <c r="F152" s="1133">
        <v>341</v>
      </c>
      <c r="G152" s="1133">
        <v>496</v>
      </c>
      <c r="H152" s="1133">
        <v>310</v>
      </c>
      <c r="I152" s="1133">
        <v>47</v>
      </c>
      <c r="J152" s="1133">
        <v>31</v>
      </c>
      <c r="K152" s="1133">
        <v>15</v>
      </c>
      <c r="L152" s="1133">
        <v>1</v>
      </c>
      <c r="M152" s="1134">
        <v>1146</v>
      </c>
      <c r="N152" s="1134">
        <v>1550</v>
      </c>
      <c r="O152" s="1135" t="s">
        <v>1342</v>
      </c>
      <c r="P152" s="1142"/>
      <c r="Q152" s="1142"/>
      <c r="R152" s="1142"/>
      <c r="S152" s="1142"/>
      <c r="T152" s="1085" t="s">
        <v>1343</v>
      </c>
    </row>
    <row r="153" spans="1:20" ht="30" customHeight="1" x14ac:dyDescent="0.35">
      <c r="A153" s="1080" t="s">
        <v>1344</v>
      </c>
      <c r="B153" s="1081" t="s">
        <v>1345</v>
      </c>
      <c r="C153" s="1136">
        <v>0</v>
      </c>
      <c r="D153" s="1136">
        <v>264</v>
      </c>
      <c r="E153" s="1136">
        <v>715</v>
      </c>
      <c r="F153" s="1136">
        <v>1393</v>
      </c>
      <c r="G153" s="1136">
        <v>2492</v>
      </c>
      <c r="H153" s="1136">
        <v>3364</v>
      </c>
      <c r="I153" s="1136">
        <v>3209</v>
      </c>
      <c r="J153" s="1136">
        <v>2750</v>
      </c>
      <c r="K153" s="1136">
        <v>1783</v>
      </c>
      <c r="L153" s="1136">
        <v>744</v>
      </c>
      <c r="M153" s="1137">
        <v>4864</v>
      </c>
      <c r="N153" s="1137">
        <v>16714</v>
      </c>
      <c r="O153" s="1143" t="s">
        <v>52</v>
      </c>
      <c r="P153" s="1143"/>
      <c r="Q153" s="1143"/>
      <c r="R153" s="1143"/>
      <c r="S153" s="1143"/>
      <c r="T153" s="1144" t="s">
        <v>1346</v>
      </c>
    </row>
    <row r="154" spans="1:20" x14ac:dyDescent="0.35">
      <c r="A154" s="1080" t="s">
        <v>1347</v>
      </c>
      <c r="B154" s="1081" t="s">
        <v>1348</v>
      </c>
      <c r="C154" s="1145">
        <v>0</v>
      </c>
      <c r="D154" s="1145">
        <v>0</v>
      </c>
      <c r="E154" s="1145">
        <v>50</v>
      </c>
      <c r="F154" s="1145">
        <v>270</v>
      </c>
      <c r="G154" s="1145">
        <v>680</v>
      </c>
      <c r="H154" s="1145">
        <v>850</v>
      </c>
      <c r="I154" s="1145">
        <v>730</v>
      </c>
      <c r="J154" s="1145">
        <v>485</v>
      </c>
      <c r="K154" s="1145">
        <v>285</v>
      </c>
      <c r="L154" s="1145">
        <v>145</v>
      </c>
      <c r="M154" s="1146">
        <v>1000</v>
      </c>
      <c r="N154" s="1146">
        <v>3495</v>
      </c>
      <c r="O154" s="1147" t="s">
        <v>52</v>
      </c>
      <c r="P154" s="1147"/>
      <c r="Q154" s="1147"/>
      <c r="R154" s="1147"/>
      <c r="S154" s="1147"/>
      <c r="T154" s="1148" t="s">
        <v>1349</v>
      </c>
    </row>
    <row r="155" spans="1:20" x14ac:dyDescent="0.35">
      <c r="A155" s="1080" t="s">
        <v>1350</v>
      </c>
      <c r="B155" s="1081" t="s">
        <v>1351</v>
      </c>
      <c r="C155" s="1145">
        <v>0</v>
      </c>
      <c r="D155" s="1145">
        <v>5</v>
      </c>
      <c r="E155" s="1145">
        <v>5</v>
      </c>
      <c r="F155" s="1145">
        <v>10</v>
      </c>
      <c r="G155" s="1145">
        <v>25</v>
      </c>
      <c r="H155" s="1145">
        <v>70</v>
      </c>
      <c r="I155" s="1145">
        <v>175</v>
      </c>
      <c r="J155" s="1145">
        <v>385</v>
      </c>
      <c r="K155" s="1145">
        <v>460</v>
      </c>
      <c r="L155" s="1145">
        <v>325</v>
      </c>
      <c r="M155" s="1145">
        <v>45</v>
      </c>
      <c r="N155" s="1146">
        <v>1460</v>
      </c>
      <c r="O155" s="1149" t="s">
        <v>52</v>
      </c>
      <c r="P155" s="1149"/>
      <c r="Q155" s="1149"/>
      <c r="R155" s="1149"/>
      <c r="S155" s="1149"/>
      <c r="T155" s="1148" t="s">
        <v>1352</v>
      </c>
    </row>
    <row r="156" spans="1:20" x14ac:dyDescent="0.35">
      <c r="A156" s="1097" t="s">
        <v>1353</v>
      </c>
      <c r="B156" s="1098" t="s">
        <v>1354</v>
      </c>
      <c r="C156" s="1145">
        <v>0</v>
      </c>
      <c r="D156" s="1145">
        <v>6</v>
      </c>
      <c r="E156" s="1145">
        <v>8</v>
      </c>
      <c r="F156" s="1145">
        <v>1</v>
      </c>
      <c r="G156" s="1145">
        <v>0</v>
      </c>
      <c r="H156" s="1145">
        <v>0</v>
      </c>
      <c r="I156" s="1145">
        <v>0</v>
      </c>
      <c r="J156" s="1145">
        <v>0</v>
      </c>
      <c r="K156" s="1145">
        <v>0</v>
      </c>
      <c r="L156" s="1145">
        <v>0</v>
      </c>
      <c r="M156" s="1145">
        <v>15</v>
      </c>
      <c r="N156" s="1145">
        <v>15</v>
      </c>
      <c r="O156" s="1149" t="s">
        <v>52</v>
      </c>
      <c r="P156" s="1149"/>
      <c r="Q156" s="1149"/>
      <c r="R156" s="1149"/>
      <c r="S156" s="1149"/>
      <c r="T156" s="1148" t="s">
        <v>1355</v>
      </c>
    </row>
    <row r="157" spans="1:20" ht="24" customHeight="1" x14ac:dyDescent="0.35">
      <c r="A157" s="1080" t="s">
        <v>1356</v>
      </c>
      <c r="B157" s="1081" t="s">
        <v>1357</v>
      </c>
      <c r="C157" s="1145">
        <v>0</v>
      </c>
      <c r="D157" s="1145">
        <v>5</v>
      </c>
      <c r="E157" s="1145">
        <v>41</v>
      </c>
      <c r="F157" s="1145">
        <v>116</v>
      </c>
      <c r="G157" s="1145">
        <v>284</v>
      </c>
      <c r="H157" s="1145">
        <v>417</v>
      </c>
      <c r="I157" s="1145">
        <v>459</v>
      </c>
      <c r="J157" s="1145">
        <v>355</v>
      </c>
      <c r="K157" s="1145">
        <v>210</v>
      </c>
      <c r="L157" s="1145">
        <v>90</v>
      </c>
      <c r="M157" s="1145">
        <v>446</v>
      </c>
      <c r="N157" s="1146">
        <v>1977</v>
      </c>
      <c r="O157" s="1150" t="s">
        <v>52</v>
      </c>
      <c r="P157" s="1150"/>
      <c r="Q157" s="1150"/>
      <c r="R157" s="1150"/>
      <c r="S157" s="1150"/>
      <c r="T157" s="1151" t="s">
        <v>1358</v>
      </c>
    </row>
    <row r="158" spans="1:20" ht="24" customHeight="1" x14ac:dyDescent="0.35">
      <c r="A158" s="1080" t="s">
        <v>1359</v>
      </c>
      <c r="B158" s="1081" t="s">
        <v>1360</v>
      </c>
      <c r="C158" s="1145">
        <v>0</v>
      </c>
      <c r="D158" s="1145">
        <v>20</v>
      </c>
      <c r="E158" s="1145">
        <v>100</v>
      </c>
      <c r="F158" s="1145">
        <v>460</v>
      </c>
      <c r="G158" s="1146">
        <v>1070</v>
      </c>
      <c r="H158" s="1146">
        <v>1430</v>
      </c>
      <c r="I158" s="1146">
        <v>1110</v>
      </c>
      <c r="J158" s="1145">
        <v>660</v>
      </c>
      <c r="K158" s="1145">
        <v>300</v>
      </c>
      <c r="L158" s="1145">
        <v>100</v>
      </c>
      <c r="M158" s="1146">
        <v>1650</v>
      </c>
      <c r="N158" s="1146">
        <v>5250</v>
      </c>
      <c r="O158" s="1149" t="s">
        <v>52</v>
      </c>
      <c r="P158" s="1149"/>
      <c r="Q158" s="1149"/>
      <c r="R158" s="1149"/>
      <c r="S158" s="1149"/>
      <c r="T158" s="1148" t="s">
        <v>1361</v>
      </c>
    </row>
    <row r="159" spans="1:20" x14ac:dyDescent="0.35">
      <c r="A159" s="1080" t="s">
        <v>1362</v>
      </c>
      <c r="B159" s="1081" t="s">
        <v>1363</v>
      </c>
      <c r="C159" s="1163">
        <v>0</v>
      </c>
      <c r="D159" s="1163">
        <v>56</v>
      </c>
      <c r="E159" s="1163">
        <v>141</v>
      </c>
      <c r="F159" s="1163">
        <v>230</v>
      </c>
      <c r="G159" s="1163">
        <v>343</v>
      </c>
      <c r="H159" s="1163">
        <v>470</v>
      </c>
      <c r="I159" s="1163">
        <v>620</v>
      </c>
      <c r="J159" s="1163">
        <v>802</v>
      </c>
      <c r="K159" s="1163">
        <v>1024</v>
      </c>
      <c r="L159" s="1163">
        <v>1330</v>
      </c>
      <c r="M159" s="1163">
        <v>769</v>
      </c>
      <c r="N159" s="1163">
        <v>5015</v>
      </c>
      <c r="O159" s="1147" t="s">
        <v>52</v>
      </c>
      <c r="P159" s="1147"/>
      <c r="Q159" s="1147"/>
      <c r="R159" s="1147"/>
      <c r="S159" s="1147"/>
      <c r="T159" s="1085"/>
    </row>
    <row r="160" spans="1:20" x14ac:dyDescent="0.35">
      <c r="A160" s="1080" t="s">
        <v>1364</v>
      </c>
      <c r="B160" s="1081" t="s">
        <v>1365</v>
      </c>
      <c r="C160" s="1145"/>
      <c r="D160" s="1145"/>
      <c r="E160" s="1145"/>
      <c r="F160" s="1145"/>
      <c r="G160" s="1145"/>
      <c r="H160" s="1145"/>
      <c r="I160" s="1145"/>
      <c r="J160" s="1145"/>
      <c r="K160" s="1145"/>
      <c r="L160" s="1145"/>
      <c r="M160" s="1145"/>
      <c r="N160" s="1146"/>
      <c r="O160" s="1150"/>
      <c r="P160" s="1150"/>
      <c r="Q160" s="1150"/>
      <c r="R160" s="1150"/>
      <c r="S160" s="1150"/>
      <c r="T160" s="1085"/>
    </row>
    <row r="161" spans="1:21" x14ac:dyDescent="0.35">
      <c r="A161" s="1080" t="s">
        <v>1366</v>
      </c>
      <c r="B161" s="1081" t="s">
        <v>1367</v>
      </c>
      <c r="C161" s="1145"/>
      <c r="D161" s="1145"/>
      <c r="E161" s="1145"/>
      <c r="F161" s="1145"/>
      <c r="G161" s="1145"/>
      <c r="H161" s="1145"/>
      <c r="I161" s="1145"/>
      <c r="J161" s="1145"/>
      <c r="K161" s="1145"/>
      <c r="L161" s="1145"/>
      <c r="M161" s="1145"/>
      <c r="N161" s="1146"/>
      <c r="O161" s="1164"/>
      <c r="P161" s="1164"/>
      <c r="Q161" s="1164"/>
      <c r="R161" s="1164"/>
      <c r="S161" s="1164"/>
      <c r="T161" s="1165"/>
    </row>
    <row r="162" spans="1:21" x14ac:dyDescent="0.35">
      <c r="A162" s="1080" t="s">
        <v>1368</v>
      </c>
      <c r="B162" s="1081" t="s">
        <v>1369</v>
      </c>
      <c r="C162" s="1145">
        <v>0</v>
      </c>
      <c r="D162" s="1145">
        <v>20</v>
      </c>
      <c r="E162" s="1145">
        <v>70</v>
      </c>
      <c r="F162" s="1145">
        <v>130</v>
      </c>
      <c r="G162" s="1145">
        <v>155</v>
      </c>
      <c r="H162" s="1145">
        <v>155</v>
      </c>
      <c r="I162" s="1145">
        <v>155</v>
      </c>
      <c r="J162" s="1145">
        <v>135</v>
      </c>
      <c r="K162" s="1145">
        <v>80</v>
      </c>
      <c r="L162" s="1145">
        <v>20</v>
      </c>
      <c r="M162" s="1145">
        <v>375</v>
      </c>
      <c r="N162" s="1145">
        <v>920</v>
      </c>
      <c r="O162" s="1149" t="s">
        <v>52</v>
      </c>
      <c r="P162" s="1149"/>
      <c r="Q162" s="1149"/>
      <c r="R162" s="1149"/>
      <c r="S162" s="1149"/>
      <c r="T162" s="1085"/>
    </row>
    <row r="163" spans="1:21" x14ac:dyDescent="0.35">
      <c r="A163" s="1097" t="s">
        <v>1370</v>
      </c>
      <c r="B163" s="1098" t="s">
        <v>1371</v>
      </c>
      <c r="C163" s="1145">
        <v>0</v>
      </c>
      <c r="D163" s="1145">
        <v>15</v>
      </c>
      <c r="E163" s="1145">
        <v>12</v>
      </c>
      <c r="F163" s="1145">
        <v>8</v>
      </c>
      <c r="G163" s="1145">
        <v>4</v>
      </c>
      <c r="H163" s="1145">
        <v>0</v>
      </c>
      <c r="I163" s="1145">
        <v>0</v>
      </c>
      <c r="J163" s="1145">
        <v>0</v>
      </c>
      <c r="K163" s="1145">
        <v>0</v>
      </c>
      <c r="L163" s="1145">
        <v>0</v>
      </c>
      <c r="M163" s="1145">
        <v>39</v>
      </c>
      <c r="N163" s="1145">
        <v>39</v>
      </c>
      <c r="O163" s="1149" t="s">
        <v>52</v>
      </c>
      <c r="P163" s="1149"/>
      <c r="Q163" s="1149"/>
      <c r="R163" s="1149"/>
      <c r="S163" s="1149"/>
      <c r="T163" s="1085"/>
    </row>
    <row r="164" spans="1:21" x14ac:dyDescent="0.35">
      <c r="A164" s="1080" t="s">
        <v>1372</v>
      </c>
      <c r="B164" s="1081" t="s">
        <v>1373</v>
      </c>
      <c r="C164" s="1166">
        <v>0</v>
      </c>
      <c r="D164" s="1166">
        <v>25</v>
      </c>
      <c r="E164" s="1166">
        <v>100</v>
      </c>
      <c r="F164" s="1166">
        <v>125</v>
      </c>
      <c r="G164" s="1166">
        <v>100</v>
      </c>
      <c r="H164" s="1166">
        <v>75</v>
      </c>
      <c r="I164" s="1166">
        <v>30</v>
      </c>
      <c r="J164" s="1166">
        <v>20</v>
      </c>
      <c r="K164" s="1166">
        <v>0</v>
      </c>
      <c r="L164" s="1166">
        <v>0</v>
      </c>
      <c r="M164" s="1166">
        <v>350</v>
      </c>
      <c r="N164" s="1166">
        <v>475</v>
      </c>
      <c r="O164" s="1167" t="s">
        <v>52</v>
      </c>
      <c r="P164" s="1167"/>
      <c r="Q164" s="1167"/>
      <c r="R164" s="1167"/>
      <c r="S164" s="1167"/>
      <c r="T164" s="1085"/>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68"/>
      <c r="B168" s="1168"/>
      <c r="C168" s="1152"/>
      <c r="D168" s="1152">
        <v>2022</v>
      </c>
      <c r="E168" s="1152">
        <v>2023</v>
      </c>
      <c r="F168" s="1152">
        <v>2024</v>
      </c>
      <c r="G168" s="1152">
        <v>2025</v>
      </c>
      <c r="H168" s="1152">
        <v>2026</v>
      </c>
      <c r="I168" s="1152">
        <v>2027</v>
      </c>
      <c r="J168" s="1152">
        <v>2028</v>
      </c>
      <c r="K168" s="1152">
        <v>2029</v>
      </c>
      <c r="L168" s="1152">
        <v>2030</v>
      </c>
      <c r="M168" s="1153">
        <v>2031</v>
      </c>
      <c r="N168" s="1154" t="s">
        <v>1374</v>
      </c>
      <c r="O168" s="1154" t="s">
        <v>1375</v>
      </c>
      <c r="P168" s="1139"/>
      <c r="Q168" s="1139"/>
      <c r="R168" s="1139"/>
      <c r="S168" s="1139"/>
      <c r="U168" s="62"/>
    </row>
    <row r="169" spans="1:21" x14ac:dyDescent="0.35">
      <c r="A169" s="1169" t="s">
        <v>1376</v>
      </c>
      <c r="B169" s="1169"/>
      <c r="C169" s="1175"/>
      <c r="D169" s="1175">
        <f t="shared" ref="D169:O169" si="9">D78/1000</f>
        <v>0</v>
      </c>
      <c r="E169" s="1175">
        <f t="shared" si="9"/>
        <v>6.8000000000000005E-2</v>
      </c>
      <c r="F169" s="1175">
        <f t="shared" si="9"/>
        <v>1.363</v>
      </c>
      <c r="G169" s="1175">
        <f t="shared" si="9"/>
        <v>2.4329999999999998</v>
      </c>
      <c r="H169" s="1175">
        <f t="shared" si="9"/>
        <v>2.8029999999999999</v>
      </c>
      <c r="I169" s="1175">
        <f t="shared" si="9"/>
        <v>1.7410000000000001</v>
      </c>
      <c r="J169" s="1175">
        <f t="shared" si="9"/>
        <v>0.56999999999999995</v>
      </c>
      <c r="K169" s="1175">
        <f t="shared" si="9"/>
        <v>3.5000000000000003E-2</v>
      </c>
      <c r="L169" s="1175">
        <f t="shared" si="9"/>
        <v>0</v>
      </c>
      <c r="M169" s="1175">
        <f t="shared" si="9"/>
        <v>0</v>
      </c>
      <c r="N169" s="1175">
        <f t="shared" si="9"/>
        <v>6.6669999999999998</v>
      </c>
      <c r="O169" s="1175">
        <f t="shared" si="9"/>
        <v>9.0129999999999999</v>
      </c>
      <c r="P169" s="1175"/>
      <c r="Q169" s="1175"/>
      <c r="R169" s="1175"/>
      <c r="S169" s="1175"/>
      <c r="U169" s="62"/>
    </row>
    <row r="170" spans="1:21" x14ac:dyDescent="0.35">
      <c r="A170" s="1169" t="s">
        <v>1377</v>
      </c>
      <c r="B170" s="1169"/>
      <c r="C170" s="1175"/>
      <c r="D170" s="1175">
        <f t="shared" ref="D170:O170" si="10">(D77+D70)/1000</f>
        <v>0</v>
      </c>
      <c r="E170" s="1175">
        <f t="shared" si="10"/>
        <v>0.81899999999999995</v>
      </c>
      <c r="F170" s="1175">
        <f t="shared" si="10"/>
        <v>2.4780000000000002</v>
      </c>
      <c r="G170" s="1175">
        <f t="shared" si="10"/>
        <v>4.0720000000000001</v>
      </c>
      <c r="H170" s="1175">
        <f t="shared" si="10"/>
        <v>5.4480000000000004</v>
      </c>
      <c r="I170" s="1175">
        <f t="shared" si="10"/>
        <v>4.8289999999999997</v>
      </c>
      <c r="J170" s="1175">
        <f t="shared" si="10"/>
        <v>3.2949999999999999</v>
      </c>
      <c r="K170" s="1175">
        <f t="shared" si="10"/>
        <v>1.98</v>
      </c>
      <c r="L170" s="1175">
        <f t="shared" si="10"/>
        <v>1.01</v>
      </c>
      <c r="M170" s="1175">
        <f t="shared" si="10"/>
        <v>0.40400000000000003</v>
      </c>
      <c r="N170" s="1175">
        <f t="shared" si="10"/>
        <v>12.817</v>
      </c>
      <c r="O170" s="1175">
        <f t="shared" si="10"/>
        <v>24.335000000000001</v>
      </c>
      <c r="P170" s="1175"/>
      <c r="Q170" s="1175"/>
      <c r="R170" s="1175"/>
      <c r="S170" s="1175"/>
      <c r="U170" s="62"/>
    </row>
    <row r="171" spans="1:21" x14ac:dyDescent="0.35">
      <c r="A171" s="1169" t="s">
        <v>1378</v>
      </c>
      <c r="B171" s="1169"/>
      <c r="C171" s="1175"/>
      <c r="D171" s="1175">
        <f t="shared" ref="D171:O171" si="11">(D69+D76)/1000</f>
        <v>0</v>
      </c>
      <c r="E171" s="1175">
        <f t="shared" si="11"/>
        <v>4.5430000000000001</v>
      </c>
      <c r="F171" s="1175">
        <f t="shared" si="11"/>
        <v>5.6079999999999997</v>
      </c>
      <c r="G171" s="1175">
        <f t="shared" si="11"/>
        <v>8.16</v>
      </c>
      <c r="H171" s="1175">
        <f t="shared" si="11"/>
        <v>10.069000000000001</v>
      </c>
      <c r="I171" s="1175">
        <f t="shared" si="11"/>
        <v>12.026999999999999</v>
      </c>
      <c r="J171" s="1175">
        <f t="shared" si="11"/>
        <v>13.826000000000001</v>
      </c>
      <c r="K171" s="1175">
        <f t="shared" si="11"/>
        <v>15.862</v>
      </c>
      <c r="L171" s="1175">
        <f t="shared" si="11"/>
        <v>17.890999999999998</v>
      </c>
      <c r="M171" s="1175">
        <f t="shared" si="11"/>
        <v>17.481000000000002</v>
      </c>
      <c r="N171" s="1175">
        <f t="shared" si="11"/>
        <v>28.38</v>
      </c>
      <c r="O171" s="1175">
        <f t="shared" si="11"/>
        <v>105.467</v>
      </c>
      <c r="P171" s="1175"/>
      <c r="Q171" s="1175"/>
      <c r="R171" s="1175"/>
      <c r="S171" s="1175"/>
      <c r="U171" s="62"/>
    </row>
    <row r="172" spans="1:21" x14ac:dyDescent="0.35">
      <c r="A172" s="1170" t="s">
        <v>52</v>
      </c>
      <c r="B172" s="1170"/>
      <c r="C172" s="1175"/>
      <c r="D172" s="1175">
        <f t="shared" ref="D172:O172" si="12">(D79+D74)/1000</f>
        <v>0</v>
      </c>
      <c r="E172" s="1175">
        <f t="shared" si="12"/>
        <v>1.2969999999999999</v>
      </c>
      <c r="F172" s="1175">
        <f t="shared" si="12"/>
        <v>3.8479999999999999</v>
      </c>
      <c r="G172" s="1175">
        <f t="shared" si="12"/>
        <v>6.4420000000000002</v>
      </c>
      <c r="H172" s="1175">
        <f t="shared" si="12"/>
        <v>9.532</v>
      </c>
      <c r="I172" s="1175">
        <f t="shared" si="12"/>
        <v>11.882</v>
      </c>
      <c r="J172" s="1175">
        <f t="shared" si="12"/>
        <v>11.727</v>
      </c>
      <c r="K172" s="1175">
        <f t="shared" si="12"/>
        <v>10.569000000000001</v>
      </c>
      <c r="L172" s="1175">
        <f t="shared" si="12"/>
        <v>8.8879999999999999</v>
      </c>
      <c r="M172" s="1175">
        <f t="shared" si="12"/>
        <v>7.1890000000000001</v>
      </c>
      <c r="N172" s="1175">
        <f t="shared" si="12"/>
        <v>21.117000000000001</v>
      </c>
      <c r="O172" s="1175">
        <f t="shared" si="12"/>
        <v>71.372</v>
      </c>
      <c r="P172" s="1175"/>
      <c r="Q172" s="1175"/>
      <c r="R172" s="1175"/>
      <c r="S172" s="1175"/>
      <c r="U172" s="62"/>
    </row>
    <row r="173" spans="1:21" x14ac:dyDescent="0.35">
      <c r="A173" s="1171" t="s">
        <v>532</v>
      </c>
      <c r="B173" s="1171"/>
      <c r="C173" s="1175"/>
      <c r="D173" s="1175"/>
      <c r="E173" s="1175"/>
      <c r="F173" s="1175"/>
      <c r="G173" s="1175"/>
      <c r="H173" s="1175"/>
      <c r="I173" s="1175"/>
      <c r="J173" s="1175"/>
      <c r="K173" s="1175"/>
      <c r="L173" s="1175"/>
      <c r="M173" s="1175"/>
      <c r="N173" s="1175"/>
      <c r="O173" s="1175"/>
      <c r="P173" s="1175"/>
      <c r="Q173" s="1175"/>
      <c r="R173" s="1175"/>
      <c r="S173" s="1175"/>
      <c r="U173" s="62"/>
    </row>
    <row r="174" spans="1:21" x14ac:dyDescent="0.35">
      <c r="A174" s="1172" t="s">
        <v>54</v>
      </c>
      <c r="B174" s="1172"/>
      <c r="C174" s="1175"/>
      <c r="D174" s="1175">
        <f t="shared" ref="D174:O174" si="13">D71/1000</f>
        <v>0</v>
      </c>
      <c r="E174" s="1175">
        <f t="shared" si="13"/>
        <v>0.11</v>
      </c>
      <c r="F174" s="1175">
        <f t="shared" si="13"/>
        <v>0.73899999999999999</v>
      </c>
      <c r="G174" s="1175">
        <f t="shared" si="13"/>
        <v>1.1950000000000001</v>
      </c>
      <c r="H174" s="1175">
        <f t="shared" si="13"/>
        <v>1.4970000000000001</v>
      </c>
      <c r="I174" s="1175">
        <f t="shared" si="13"/>
        <v>1.91</v>
      </c>
      <c r="J174" s="1175">
        <f t="shared" si="13"/>
        <v>2.4049999999999998</v>
      </c>
      <c r="K174" s="1175">
        <f t="shared" si="13"/>
        <v>2.9220000000000002</v>
      </c>
      <c r="L174" s="1175">
        <f t="shared" si="13"/>
        <v>3.4630000000000001</v>
      </c>
      <c r="M174" s="1175">
        <f t="shared" si="13"/>
        <v>4.0069999999999997</v>
      </c>
      <c r="N174" s="1175">
        <f t="shared" si="13"/>
        <v>3.5409999999999999</v>
      </c>
      <c r="O174" s="1175">
        <f t="shared" si="13"/>
        <v>18.248000000000001</v>
      </c>
      <c r="P174" s="1175"/>
      <c r="Q174" s="1175"/>
      <c r="R174" s="1175"/>
      <c r="S174" s="1175"/>
      <c r="U174" s="62"/>
    </row>
    <row r="175" spans="1:21" x14ac:dyDescent="0.35">
      <c r="A175" s="1172" t="s">
        <v>1379</v>
      </c>
      <c r="B175" s="1172"/>
      <c r="C175" s="1175"/>
      <c r="D175" s="1175">
        <f t="shared" ref="D175:O175" si="14">D72/1000</f>
        <v>0</v>
      </c>
      <c r="E175" s="1175">
        <f t="shared" si="14"/>
        <v>-0.41499999999999998</v>
      </c>
      <c r="F175" s="1175">
        <f t="shared" si="14"/>
        <v>2.7679999999999998</v>
      </c>
      <c r="G175" s="1175">
        <f t="shared" si="14"/>
        <v>-12.473000000000001</v>
      </c>
      <c r="H175" s="1175">
        <f t="shared" si="14"/>
        <v>-5.3739999999999997</v>
      </c>
      <c r="I175" s="1175">
        <f t="shared" si="14"/>
        <v>-25.515000000000001</v>
      </c>
      <c r="J175" s="1175">
        <f t="shared" si="14"/>
        <v>-43.975000000000001</v>
      </c>
      <c r="K175" s="1175">
        <f t="shared" si="14"/>
        <v>-46.426000000000002</v>
      </c>
      <c r="L175" s="1175">
        <f t="shared" si="14"/>
        <v>-56.228000000000002</v>
      </c>
      <c r="M175" s="1175">
        <f t="shared" si="14"/>
        <v>-60.581000000000003</v>
      </c>
      <c r="N175" s="1175">
        <f t="shared" si="14"/>
        <v>-15.494</v>
      </c>
      <c r="O175" s="1175">
        <f t="shared" si="14"/>
        <v>-248.21899999999999</v>
      </c>
      <c r="P175" s="1175"/>
      <c r="Q175" s="1175"/>
      <c r="R175" s="1175"/>
      <c r="S175" s="1175"/>
      <c r="U175" s="62"/>
    </row>
    <row r="176" spans="1:21" x14ac:dyDescent="0.35">
      <c r="A176" s="1173" t="s">
        <v>57</v>
      </c>
      <c r="B176" s="1173"/>
      <c r="C176" s="1175"/>
      <c r="D176" s="1175">
        <f t="shared" ref="D176:O176" si="15">(D80+D73)/1000</f>
        <v>-0.622</v>
      </c>
      <c r="E176" s="1175">
        <f t="shared" si="15"/>
        <v>21.89</v>
      </c>
      <c r="F176" s="1175">
        <f t="shared" si="15"/>
        <v>15.439</v>
      </c>
      <c r="G176" s="1175">
        <f t="shared" si="15"/>
        <v>16.966999999999999</v>
      </c>
      <c r="H176" s="1175">
        <f t="shared" si="15"/>
        <v>0.72799999999999998</v>
      </c>
      <c r="I176" s="1175">
        <f t="shared" si="15"/>
        <v>7.657</v>
      </c>
      <c r="J176" s="1175">
        <f t="shared" si="15"/>
        <v>4.5590000000000002</v>
      </c>
      <c r="K176" s="1175">
        <f t="shared" si="15"/>
        <v>2.4649999999999999</v>
      </c>
      <c r="L176" s="1175">
        <f t="shared" si="15"/>
        <v>1.444</v>
      </c>
      <c r="M176" s="1175">
        <f t="shared" si="15"/>
        <v>0.77300000000000002</v>
      </c>
      <c r="N176" s="1175">
        <f t="shared" si="15"/>
        <v>54.402000000000001</v>
      </c>
      <c r="O176" s="1175">
        <f t="shared" si="15"/>
        <v>71.3</v>
      </c>
      <c r="P176" s="1175"/>
      <c r="Q176" s="1175"/>
      <c r="R176" s="1175"/>
      <c r="S176" s="1175"/>
      <c r="U176" s="62"/>
    </row>
    <row r="177" spans="1:21" x14ac:dyDescent="0.35">
      <c r="A177" s="1174" t="s">
        <v>1435</v>
      </c>
      <c r="B177" s="1174"/>
      <c r="C177" s="1175"/>
      <c r="D177" s="1162">
        <f t="shared" ref="D177:O177" si="16">D84/1000</f>
        <v>0</v>
      </c>
      <c r="E177" s="1162">
        <f t="shared" si="16"/>
        <v>-3.1549999999999998</v>
      </c>
      <c r="F177" s="1162">
        <f t="shared" si="16"/>
        <v>-2.2309999999999999</v>
      </c>
      <c r="G177" s="1162">
        <f t="shared" si="16"/>
        <v>-1.6080000000000001</v>
      </c>
      <c r="H177" s="1162">
        <f t="shared" si="16"/>
        <v>-0.77</v>
      </c>
      <c r="I177" s="1162">
        <f t="shared" si="16"/>
        <v>-0.98299999999999998</v>
      </c>
      <c r="J177" s="1162">
        <f t="shared" si="16"/>
        <v>-1.2110000000000001</v>
      </c>
      <c r="K177" s="1162">
        <f t="shared" si="16"/>
        <v>-1.4710000000000001</v>
      </c>
      <c r="L177" s="1162">
        <f t="shared" si="16"/>
        <v>-1.81</v>
      </c>
      <c r="M177" s="1162">
        <f t="shared" si="16"/>
        <v>-2.3250000000000002</v>
      </c>
      <c r="N177" s="1162">
        <f t="shared" si="16"/>
        <v>-7.7670000000000003</v>
      </c>
      <c r="O177" s="1162">
        <f t="shared" si="16"/>
        <v>-15.566000000000001</v>
      </c>
      <c r="P177" s="1162"/>
      <c r="Q177" s="1162"/>
      <c r="R177" s="1162"/>
      <c r="S177" s="1162"/>
      <c r="U177" s="62"/>
    </row>
    <row r="178" spans="1:21" x14ac:dyDescent="0.35">
      <c r="A178" s="1174" t="s">
        <v>239</v>
      </c>
      <c r="B178" s="1174"/>
      <c r="C178" s="1175"/>
      <c r="D178" s="1162">
        <f t="shared" ref="D178:O178" si="17">D85/1000</f>
        <v>0</v>
      </c>
      <c r="E178" s="1162">
        <f t="shared" si="17"/>
        <v>0.45200000000000001</v>
      </c>
      <c r="F178" s="1162">
        <f t="shared" si="17"/>
        <v>-8.67</v>
      </c>
      <c r="G178" s="1162">
        <f t="shared" si="17"/>
        <v>-4.5270000000000001</v>
      </c>
      <c r="H178" s="1162">
        <f t="shared" si="17"/>
        <v>-0.70499999999999996</v>
      </c>
      <c r="I178" s="1162">
        <f t="shared" si="17"/>
        <v>15.813000000000001</v>
      </c>
      <c r="J178" s="1162">
        <f t="shared" si="17"/>
        <v>20.372</v>
      </c>
      <c r="K178" s="1162">
        <f t="shared" si="17"/>
        <v>24.847000000000001</v>
      </c>
      <c r="L178" s="1162">
        <f t="shared" si="17"/>
        <v>28.113</v>
      </c>
      <c r="M178" s="1162">
        <f t="shared" si="17"/>
        <v>24.777000000000001</v>
      </c>
      <c r="N178" s="1162">
        <f t="shared" si="17"/>
        <v>-13.451000000000001</v>
      </c>
      <c r="O178" s="1162">
        <f t="shared" si="17"/>
        <v>100.468</v>
      </c>
      <c r="P178" s="1162"/>
      <c r="Q178" s="1162"/>
      <c r="R178" s="1162"/>
      <c r="S178" s="1162"/>
      <c r="U178" s="62"/>
    </row>
    <row r="179" spans="1:21" x14ac:dyDescent="0.35">
      <c r="A179" s="1174" t="s">
        <v>106</v>
      </c>
      <c r="B179" s="1174"/>
      <c r="C179" s="1175"/>
      <c r="D179" s="1162">
        <f t="shared" ref="D179:O179" si="18">D83/1000</f>
        <v>0</v>
      </c>
      <c r="E179" s="1162">
        <f t="shared" si="18"/>
        <v>35.317</v>
      </c>
      <c r="F179" s="1162">
        <f t="shared" si="18"/>
        <v>36.033000000000001</v>
      </c>
      <c r="G179" s="1162">
        <f t="shared" si="18"/>
        <v>21.076000000000001</v>
      </c>
      <c r="H179" s="1162">
        <f t="shared" si="18"/>
        <v>13.346</v>
      </c>
      <c r="I179" s="1162">
        <f t="shared" si="18"/>
        <v>27.507999999999999</v>
      </c>
      <c r="J179" s="1162">
        <f t="shared" si="18"/>
        <v>35.85</v>
      </c>
      <c r="K179" s="1162">
        <f t="shared" si="18"/>
        <v>18.64</v>
      </c>
      <c r="L179" s="1162">
        <f t="shared" si="18"/>
        <v>8.3940000000000001</v>
      </c>
      <c r="M179" s="1162">
        <f t="shared" si="18"/>
        <v>7.9820000000000002</v>
      </c>
      <c r="N179" s="1162">
        <f t="shared" si="18"/>
        <v>105.76900000000001</v>
      </c>
      <c r="O179" s="1162">
        <f t="shared" si="18"/>
        <v>204.14400000000001</v>
      </c>
      <c r="P179" s="1162"/>
      <c r="Q179" s="1162"/>
      <c r="R179" s="1162"/>
      <c r="S179" s="1162"/>
      <c r="U179" s="62"/>
    </row>
    <row r="182" spans="1:21" x14ac:dyDescent="0.35">
      <c r="A182" s="56" t="s">
        <v>1380</v>
      </c>
    </row>
    <row r="183" spans="1:21" x14ac:dyDescent="0.35">
      <c r="A183" s="1168"/>
      <c r="B183" s="1168"/>
      <c r="C183" s="1168"/>
      <c r="D183" s="1168" t="s">
        <v>183</v>
      </c>
      <c r="E183" s="1168" t="s">
        <v>184</v>
      </c>
      <c r="F183" s="1168" t="s">
        <v>185</v>
      </c>
      <c r="G183" s="1168" t="s">
        <v>186</v>
      </c>
      <c r="H183" s="1168" t="s">
        <v>187</v>
      </c>
      <c r="I183" s="1168" t="s">
        <v>188</v>
      </c>
      <c r="J183" s="1168" t="s">
        <v>189</v>
      </c>
      <c r="K183" s="1168" t="s">
        <v>190</v>
      </c>
      <c r="L183" s="1168" t="s">
        <v>191</v>
      </c>
      <c r="M183" s="1168" t="s">
        <v>175</v>
      </c>
      <c r="N183" s="1168" t="s">
        <v>176</v>
      </c>
      <c r="O183" s="1168" t="s">
        <v>177</v>
      </c>
      <c r="P183" s="1168" t="s">
        <v>769</v>
      </c>
      <c r="Q183" s="1168" t="s">
        <v>770</v>
      </c>
      <c r="R183" s="1168" t="s">
        <v>771</v>
      </c>
      <c r="S183" s="1168" t="s">
        <v>1163</v>
      </c>
      <c r="U183" s="62"/>
    </row>
    <row r="184" spans="1:21" x14ac:dyDescent="0.35">
      <c r="A184" s="1169" t="s">
        <v>1376</v>
      </c>
      <c r="B184" s="1169"/>
      <c r="C184" s="1176"/>
      <c r="D184" s="1176">
        <f t="shared" ref="D184:D191" si="19">D169</f>
        <v>0</v>
      </c>
      <c r="E184" s="1176">
        <f>D184</f>
        <v>0</v>
      </c>
      <c r="F184" s="1176">
        <f t="shared" ref="F184:F191" si="20">E169</f>
        <v>6.8000000000000005E-2</v>
      </c>
      <c r="G184" s="1176">
        <f>F184</f>
        <v>6.8000000000000005E-2</v>
      </c>
      <c r="H184" s="1176">
        <f>G184</f>
        <v>6.8000000000000005E-2</v>
      </c>
      <c r="I184" s="1176">
        <f>H184</f>
        <v>6.8000000000000005E-2</v>
      </c>
      <c r="J184" s="1176">
        <f t="shared" ref="J184:J191" si="21">F169</f>
        <v>1.363</v>
      </c>
      <c r="K184" s="1176">
        <f t="shared" ref="K184:M191" si="22">J184</f>
        <v>1.363</v>
      </c>
      <c r="L184" s="1176">
        <f t="shared" si="22"/>
        <v>1.363</v>
      </c>
      <c r="M184" s="1176">
        <f>L184</f>
        <v>1.363</v>
      </c>
      <c r="N184" s="1176">
        <f>G169</f>
        <v>2.4329999999999998</v>
      </c>
      <c r="O184" s="1176">
        <f>N184</f>
        <v>2.4329999999999998</v>
      </c>
      <c r="P184" s="1176">
        <f t="shared" ref="P184:Q184" si="23">O184</f>
        <v>2.4329999999999998</v>
      </c>
      <c r="Q184" s="1176">
        <f t="shared" si="23"/>
        <v>2.4329999999999998</v>
      </c>
      <c r="R184" s="1176">
        <f>H169</f>
        <v>2.8029999999999999</v>
      </c>
      <c r="S184" s="1176">
        <f>R184</f>
        <v>2.8029999999999999</v>
      </c>
      <c r="U184" s="62"/>
    </row>
    <row r="185" spans="1:21" x14ac:dyDescent="0.35">
      <c r="A185" s="1169" t="s">
        <v>1377</v>
      </c>
      <c r="B185" s="1169"/>
      <c r="C185" s="1176"/>
      <c r="D185" s="1176">
        <f t="shared" si="19"/>
        <v>0</v>
      </c>
      <c r="E185" s="1176">
        <f t="shared" ref="E185:E191" si="24">D185</f>
        <v>0</v>
      </c>
      <c r="F185" s="1176">
        <f t="shared" si="20"/>
        <v>0.81899999999999995</v>
      </c>
      <c r="G185" s="1176">
        <f t="shared" ref="G185:I191" si="25">F185</f>
        <v>0.81899999999999995</v>
      </c>
      <c r="H185" s="1176">
        <f t="shared" si="25"/>
        <v>0.81899999999999995</v>
      </c>
      <c r="I185" s="1176">
        <f t="shared" si="25"/>
        <v>0.81899999999999995</v>
      </c>
      <c r="J185" s="1176">
        <f>F170</f>
        <v>2.4780000000000002</v>
      </c>
      <c r="K185" s="1176">
        <f t="shared" si="22"/>
        <v>2.4780000000000002</v>
      </c>
      <c r="L185" s="1176">
        <f t="shared" si="22"/>
        <v>2.4780000000000002</v>
      </c>
      <c r="M185" s="1176">
        <f>L185</f>
        <v>2.4780000000000002</v>
      </c>
      <c r="N185" s="1176">
        <f>G170</f>
        <v>4.0720000000000001</v>
      </c>
      <c r="O185" s="1176">
        <f>N185</f>
        <v>4.0720000000000001</v>
      </c>
      <c r="P185" s="1176">
        <f t="shared" ref="P185:Q194" si="26">O185</f>
        <v>4.0720000000000001</v>
      </c>
      <c r="Q185" s="1176">
        <f t="shared" si="26"/>
        <v>4.0720000000000001</v>
      </c>
      <c r="R185" s="1176">
        <f>H170</f>
        <v>5.4480000000000004</v>
      </c>
      <c r="S185" s="1176">
        <f t="shared" ref="S185:S194" si="27">R185</f>
        <v>5.4480000000000004</v>
      </c>
      <c r="U185" s="62"/>
    </row>
    <row r="186" spans="1:21" x14ac:dyDescent="0.35">
      <c r="A186" s="1169" t="s">
        <v>1378</v>
      </c>
      <c r="B186" s="1169"/>
      <c r="C186" s="1176"/>
      <c r="D186" s="1176">
        <f t="shared" si="19"/>
        <v>0</v>
      </c>
      <c r="E186" s="1176">
        <f t="shared" si="24"/>
        <v>0</v>
      </c>
      <c r="F186" s="1176">
        <f t="shared" si="20"/>
        <v>4.5430000000000001</v>
      </c>
      <c r="G186" s="1176">
        <f t="shared" si="25"/>
        <v>4.5430000000000001</v>
      </c>
      <c r="H186" s="1176">
        <f t="shared" si="25"/>
        <v>4.5430000000000001</v>
      </c>
      <c r="I186" s="1176">
        <f t="shared" si="25"/>
        <v>4.5430000000000001</v>
      </c>
      <c r="J186" s="1176">
        <f t="shared" si="21"/>
        <v>5.6079999999999997</v>
      </c>
      <c r="K186" s="1176">
        <f t="shared" si="22"/>
        <v>5.6079999999999997</v>
      </c>
      <c r="L186" s="1176">
        <f t="shared" si="22"/>
        <v>5.6079999999999997</v>
      </c>
      <c r="M186" s="1176">
        <f t="shared" si="22"/>
        <v>5.6079999999999997</v>
      </c>
      <c r="N186" s="1176">
        <f>G171</f>
        <v>8.16</v>
      </c>
      <c r="O186" s="1176">
        <f t="shared" ref="O186:O191" si="28">N186</f>
        <v>8.16</v>
      </c>
      <c r="P186" s="1176">
        <f t="shared" si="26"/>
        <v>8.16</v>
      </c>
      <c r="Q186" s="1176">
        <f t="shared" si="26"/>
        <v>8.16</v>
      </c>
      <c r="R186" s="1176">
        <f t="shared" ref="R186:R194" si="29">H171</f>
        <v>10.069000000000001</v>
      </c>
      <c r="S186" s="1176">
        <f t="shared" si="27"/>
        <v>10.069000000000001</v>
      </c>
      <c r="U186" s="62"/>
    </row>
    <row r="187" spans="1:21" x14ac:dyDescent="0.35">
      <c r="A187" s="1170" t="s">
        <v>52</v>
      </c>
      <c r="B187" s="1170"/>
      <c r="C187" s="1176"/>
      <c r="D187" s="1176">
        <f t="shared" si="19"/>
        <v>0</v>
      </c>
      <c r="E187" s="1176">
        <f t="shared" si="24"/>
        <v>0</v>
      </c>
      <c r="F187" s="1176">
        <f t="shared" si="20"/>
        <v>1.2969999999999999</v>
      </c>
      <c r="G187" s="1176">
        <f t="shared" si="25"/>
        <v>1.2969999999999999</v>
      </c>
      <c r="H187" s="1176">
        <f t="shared" si="25"/>
        <v>1.2969999999999999</v>
      </c>
      <c r="I187" s="1176">
        <f t="shared" si="25"/>
        <v>1.2969999999999999</v>
      </c>
      <c r="J187" s="1176">
        <f t="shared" si="21"/>
        <v>3.8479999999999999</v>
      </c>
      <c r="K187" s="1176">
        <f t="shared" si="22"/>
        <v>3.8479999999999999</v>
      </c>
      <c r="L187" s="1176">
        <f t="shared" si="22"/>
        <v>3.8479999999999999</v>
      </c>
      <c r="M187" s="1176">
        <f t="shared" si="22"/>
        <v>3.8479999999999999</v>
      </c>
      <c r="N187" s="1176">
        <f t="shared" ref="N187:N191" si="30">G172</f>
        <v>6.4420000000000002</v>
      </c>
      <c r="O187" s="1176">
        <f t="shared" si="28"/>
        <v>6.4420000000000002</v>
      </c>
      <c r="P187" s="1176">
        <f t="shared" si="26"/>
        <v>6.4420000000000002</v>
      </c>
      <c r="Q187" s="1176">
        <f t="shared" si="26"/>
        <v>6.4420000000000002</v>
      </c>
      <c r="R187" s="1176">
        <f t="shared" si="29"/>
        <v>9.532</v>
      </c>
      <c r="S187" s="1176">
        <f t="shared" si="27"/>
        <v>9.532</v>
      </c>
      <c r="U187" s="62"/>
    </row>
    <row r="188" spans="1:21" x14ac:dyDescent="0.35">
      <c r="A188" s="1171" t="s">
        <v>532</v>
      </c>
      <c r="B188" s="1171"/>
      <c r="C188" s="1176"/>
      <c r="D188" s="1176">
        <f t="shared" si="19"/>
        <v>0</v>
      </c>
      <c r="E188" s="1176">
        <f t="shared" si="24"/>
        <v>0</v>
      </c>
      <c r="F188" s="1176">
        <f t="shared" si="20"/>
        <v>0</v>
      </c>
      <c r="G188" s="1176">
        <f t="shared" si="25"/>
        <v>0</v>
      </c>
      <c r="H188" s="1176">
        <f t="shared" si="25"/>
        <v>0</v>
      </c>
      <c r="I188" s="1176">
        <f t="shared" si="25"/>
        <v>0</v>
      </c>
      <c r="J188" s="1176">
        <f t="shared" si="21"/>
        <v>0</v>
      </c>
      <c r="K188" s="1176">
        <f t="shared" si="22"/>
        <v>0</v>
      </c>
      <c r="L188" s="1176">
        <f t="shared" si="22"/>
        <v>0</v>
      </c>
      <c r="M188" s="1176">
        <f t="shared" si="22"/>
        <v>0</v>
      </c>
      <c r="N188" s="1176">
        <f t="shared" si="30"/>
        <v>0</v>
      </c>
      <c r="O188" s="1176">
        <f t="shared" si="28"/>
        <v>0</v>
      </c>
      <c r="P188" s="1176">
        <f t="shared" si="26"/>
        <v>0</v>
      </c>
      <c r="Q188" s="1176">
        <f t="shared" si="26"/>
        <v>0</v>
      </c>
      <c r="R188" s="1176">
        <f t="shared" si="29"/>
        <v>0</v>
      </c>
      <c r="S188" s="1176">
        <f t="shared" si="27"/>
        <v>0</v>
      </c>
      <c r="U188" s="62"/>
    </row>
    <row r="189" spans="1:21" x14ac:dyDescent="0.35">
      <c r="A189" s="1172" t="s">
        <v>54</v>
      </c>
      <c r="B189" s="1172"/>
      <c r="C189" s="1176"/>
      <c r="D189" s="1176">
        <f t="shared" si="19"/>
        <v>0</v>
      </c>
      <c r="E189" s="1176">
        <f t="shared" si="24"/>
        <v>0</v>
      </c>
      <c r="F189" s="1176">
        <f t="shared" si="20"/>
        <v>0.11</v>
      </c>
      <c r="G189" s="1176">
        <f t="shared" si="25"/>
        <v>0.11</v>
      </c>
      <c r="H189" s="1176">
        <f t="shared" si="25"/>
        <v>0.11</v>
      </c>
      <c r="I189" s="1176">
        <f t="shared" si="25"/>
        <v>0.11</v>
      </c>
      <c r="J189" s="1176">
        <f t="shared" si="21"/>
        <v>0.73899999999999999</v>
      </c>
      <c r="K189" s="1176">
        <f t="shared" si="22"/>
        <v>0.73899999999999999</v>
      </c>
      <c r="L189" s="1176">
        <f t="shared" si="22"/>
        <v>0.73899999999999999</v>
      </c>
      <c r="M189" s="1176">
        <f t="shared" si="22"/>
        <v>0.73899999999999999</v>
      </c>
      <c r="N189" s="1176">
        <f t="shared" si="30"/>
        <v>1.1950000000000001</v>
      </c>
      <c r="O189" s="1176">
        <f t="shared" si="28"/>
        <v>1.1950000000000001</v>
      </c>
      <c r="P189" s="1176">
        <f t="shared" si="26"/>
        <v>1.1950000000000001</v>
      </c>
      <c r="Q189" s="1176">
        <f t="shared" si="26"/>
        <v>1.1950000000000001</v>
      </c>
      <c r="R189" s="1176">
        <f t="shared" si="29"/>
        <v>1.4970000000000001</v>
      </c>
      <c r="S189" s="1176">
        <f t="shared" si="27"/>
        <v>1.4970000000000001</v>
      </c>
      <c r="U189" s="62"/>
    </row>
    <row r="190" spans="1:21" x14ac:dyDescent="0.35">
      <c r="A190" s="1172" t="s">
        <v>1379</v>
      </c>
      <c r="B190" s="1172"/>
      <c r="C190" s="1176"/>
      <c r="D190" s="1176">
        <f t="shared" si="19"/>
        <v>0</v>
      </c>
      <c r="E190" s="1176">
        <f t="shared" si="24"/>
        <v>0</v>
      </c>
      <c r="F190" s="1176">
        <f t="shared" si="20"/>
        <v>-0.41499999999999998</v>
      </c>
      <c r="G190" s="1176">
        <f t="shared" si="25"/>
        <v>-0.41499999999999998</v>
      </c>
      <c r="H190" s="1176">
        <f t="shared" si="25"/>
        <v>-0.41499999999999998</v>
      </c>
      <c r="I190" s="1176">
        <f t="shared" si="25"/>
        <v>-0.41499999999999998</v>
      </c>
      <c r="J190" s="1176">
        <f t="shared" si="21"/>
        <v>2.7679999999999998</v>
      </c>
      <c r="K190" s="1176">
        <f t="shared" si="22"/>
        <v>2.7679999999999998</v>
      </c>
      <c r="L190" s="1176">
        <f t="shared" si="22"/>
        <v>2.7679999999999998</v>
      </c>
      <c r="M190" s="1176">
        <f t="shared" si="22"/>
        <v>2.7679999999999998</v>
      </c>
      <c r="N190" s="1176">
        <f t="shared" si="30"/>
        <v>-12.473000000000001</v>
      </c>
      <c r="O190" s="1176">
        <f t="shared" si="28"/>
        <v>-12.473000000000001</v>
      </c>
      <c r="P190" s="1176">
        <f t="shared" si="26"/>
        <v>-12.473000000000001</v>
      </c>
      <c r="Q190" s="1176">
        <f t="shared" si="26"/>
        <v>-12.473000000000001</v>
      </c>
      <c r="R190" s="1176">
        <f t="shared" si="29"/>
        <v>-5.3739999999999997</v>
      </c>
      <c r="S190" s="1176">
        <f t="shared" si="27"/>
        <v>-5.3739999999999997</v>
      </c>
      <c r="U190" s="62"/>
    </row>
    <row r="191" spans="1:21" x14ac:dyDescent="0.35">
      <c r="A191" s="1173" t="s">
        <v>57</v>
      </c>
      <c r="B191" s="1173"/>
      <c r="C191" s="1176"/>
      <c r="D191" s="1176">
        <f t="shared" si="19"/>
        <v>-0.622</v>
      </c>
      <c r="E191" s="1176">
        <f t="shared" si="24"/>
        <v>-0.622</v>
      </c>
      <c r="F191" s="1176">
        <f t="shared" si="20"/>
        <v>21.89</v>
      </c>
      <c r="G191" s="1176">
        <f t="shared" si="25"/>
        <v>21.89</v>
      </c>
      <c r="H191" s="1176">
        <f t="shared" si="25"/>
        <v>21.89</v>
      </c>
      <c r="I191" s="1176">
        <f t="shared" si="25"/>
        <v>21.89</v>
      </c>
      <c r="J191" s="1176">
        <f t="shared" si="21"/>
        <v>15.439</v>
      </c>
      <c r="K191" s="1176">
        <f t="shared" si="22"/>
        <v>15.439</v>
      </c>
      <c r="L191" s="1176">
        <f t="shared" si="22"/>
        <v>15.439</v>
      </c>
      <c r="M191" s="1176">
        <f t="shared" si="22"/>
        <v>15.439</v>
      </c>
      <c r="N191" s="1176">
        <f t="shared" si="30"/>
        <v>16.966999999999999</v>
      </c>
      <c r="O191" s="1176">
        <f t="shared" si="28"/>
        <v>16.966999999999999</v>
      </c>
      <c r="P191" s="1176">
        <f t="shared" si="26"/>
        <v>16.966999999999999</v>
      </c>
      <c r="Q191" s="1176">
        <f t="shared" si="26"/>
        <v>16.966999999999999</v>
      </c>
      <c r="R191" s="1176">
        <f t="shared" si="29"/>
        <v>0.72799999999999998</v>
      </c>
      <c r="S191" s="1176">
        <f t="shared" si="27"/>
        <v>0.72799999999999998</v>
      </c>
      <c r="U191" s="62"/>
    </row>
    <row r="192" spans="1:21" x14ac:dyDescent="0.35">
      <c r="A192" s="1174" t="s">
        <v>487</v>
      </c>
      <c r="B192" s="1174"/>
      <c r="C192" s="1176"/>
      <c r="D192" s="1162">
        <f t="shared" ref="D192:D194" si="31">D177</f>
        <v>0</v>
      </c>
      <c r="E192" s="1162">
        <f t="shared" ref="E192:E194" si="32">D192</f>
        <v>0</v>
      </c>
      <c r="F192" s="1162">
        <f t="shared" ref="F192:F194" si="33">E177</f>
        <v>-3.1549999999999998</v>
      </c>
      <c r="G192" s="1162">
        <f t="shared" ref="G192:G194" si="34">F192</f>
        <v>-3.1549999999999998</v>
      </c>
      <c r="H192" s="1162">
        <f t="shared" ref="H192:H194" si="35">G192</f>
        <v>-3.1549999999999998</v>
      </c>
      <c r="I192" s="1162">
        <f t="shared" ref="I192:I194" si="36">H192</f>
        <v>-3.1549999999999998</v>
      </c>
      <c r="J192" s="1162">
        <f t="shared" ref="J192:J194" si="37">F177</f>
        <v>-2.2309999999999999</v>
      </c>
      <c r="K192" s="1162">
        <f t="shared" ref="K192:K194" si="38">J192</f>
        <v>-2.2309999999999999</v>
      </c>
      <c r="L192" s="1162">
        <f t="shared" ref="L192:L194" si="39">K192</f>
        <v>-2.2309999999999999</v>
      </c>
      <c r="M192" s="1162">
        <f t="shared" ref="M192:M194" si="40">L192</f>
        <v>-2.2309999999999999</v>
      </c>
      <c r="N192" s="1162">
        <f t="shared" ref="N192:N194" si="41">G177</f>
        <v>-1.6080000000000001</v>
      </c>
      <c r="O192" s="1162">
        <f t="shared" ref="O192:O194" si="42">N192</f>
        <v>-1.6080000000000001</v>
      </c>
      <c r="P192" s="1162">
        <f t="shared" si="26"/>
        <v>-1.6080000000000001</v>
      </c>
      <c r="Q192" s="1162">
        <f t="shared" si="26"/>
        <v>-1.6080000000000001</v>
      </c>
      <c r="R192" s="1176">
        <f t="shared" si="29"/>
        <v>-0.77</v>
      </c>
      <c r="S192" s="1176">
        <f t="shared" si="27"/>
        <v>-0.77</v>
      </c>
      <c r="U192" s="62"/>
    </row>
    <row r="193" spans="1:21" x14ac:dyDescent="0.35">
      <c r="A193" s="1174" t="s">
        <v>485</v>
      </c>
      <c r="B193" s="1174"/>
      <c r="C193" s="1176"/>
      <c r="D193" s="1162">
        <f t="shared" si="31"/>
        <v>0</v>
      </c>
      <c r="E193" s="1162">
        <f t="shared" si="32"/>
        <v>0</v>
      </c>
      <c r="F193" s="1162">
        <f t="shared" si="33"/>
        <v>0.45200000000000001</v>
      </c>
      <c r="G193" s="1162">
        <f t="shared" si="34"/>
        <v>0.45200000000000001</v>
      </c>
      <c r="H193" s="1162">
        <f t="shared" si="35"/>
        <v>0.45200000000000001</v>
      </c>
      <c r="I193" s="1162">
        <f t="shared" si="36"/>
        <v>0.45200000000000001</v>
      </c>
      <c r="J193" s="1162">
        <f t="shared" si="37"/>
        <v>-8.67</v>
      </c>
      <c r="K193" s="1162">
        <f t="shared" si="38"/>
        <v>-8.67</v>
      </c>
      <c r="L193" s="1162">
        <f t="shared" si="39"/>
        <v>-8.67</v>
      </c>
      <c r="M193" s="1162">
        <f t="shared" si="40"/>
        <v>-8.67</v>
      </c>
      <c r="N193" s="1162">
        <f t="shared" si="41"/>
        <v>-4.5270000000000001</v>
      </c>
      <c r="O193" s="1162">
        <f t="shared" si="42"/>
        <v>-4.5270000000000001</v>
      </c>
      <c r="P193" s="1162">
        <f t="shared" si="26"/>
        <v>-4.5270000000000001</v>
      </c>
      <c r="Q193" s="1162">
        <f t="shared" si="26"/>
        <v>-4.5270000000000001</v>
      </c>
      <c r="R193" s="1176">
        <f t="shared" si="29"/>
        <v>-0.70499999999999996</v>
      </c>
      <c r="S193" s="1176">
        <f t="shared" si="27"/>
        <v>-0.70499999999999996</v>
      </c>
      <c r="U193" s="62"/>
    </row>
    <row r="194" spans="1:21" x14ac:dyDescent="0.35">
      <c r="A194" s="1174" t="s">
        <v>106</v>
      </c>
      <c r="B194" s="1174"/>
      <c r="C194" s="1176"/>
      <c r="D194" s="1162">
        <f t="shared" si="31"/>
        <v>0</v>
      </c>
      <c r="E194" s="1162">
        <f t="shared" si="32"/>
        <v>0</v>
      </c>
      <c r="F194" s="1162">
        <f t="shared" si="33"/>
        <v>35.317</v>
      </c>
      <c r="G194" s="1162">
        <f t="shared" si="34"/>
        <v>35.317</v>
      </c>
      <c r="H194" s="1162">
        <f t="shared" si="35"/>
        <v>35.317</v>
      </c>
      <c r="I194" s="1162">
        <f t="shared" si="36"/>
        <v>35.317</v>
      </c>
      <c r="J194" s="1162">
        <f t="shared" si="37"/>
        <v>36.033000000000001</v>
      </c>
      <c r="K194" s="1162">
        <f t="shared" si="38"/>
        <v>36.033000000000001</v>
      </c>
      <c r="L194" s="1162">
        <f t="shared" si="39"/>
        <v>36.033000000000001</v>
      </c>
      <c r="M194" s="1162">
        <f t="shared" si="40"/>
        <v>36.033000000000001</v>
      </c>
      <c r="N194" s="1162">
        <f t="shared" si="41"/>
        <v>21.076000000000001</v>
      </c>
      <c r="O194" s="1162">
        <f t="shared" si="42"/>
        <v>21.076000000000001</v>
      </c>
      <c r="P194" s="1162">
        <f t="shared" si="26"/>
        <v>21.076000000000001</v>
      </c>
      <c r="Q194" s="1162">
        <f t="shared" si="26"/>
        <v>21.076000000000001</v>
      </c>
      <c r="R194" s="1176">
        <f t="shared" si="29"/>
        <v>13.346</v>
      </c>
      <c r="S194" s="1176">
        <f t="shared" si="27"/>
        <v>13.346</v>
      </c>
      <c r="U194" s="62"/>
    </row>
    <row r="197" spans="1:21" x14ac:dyDescent="0.35">
      <c r="A197" s="56" t="s">
        <v>1382</v>
      </c>
    </row>
    <row r="198" spans="1:21" x14ac:dyDescent="0.35">
      <c r="A198" s="1170" t="s">
        <v>52</v>
      </c>
      <c r="D198" s="1177">
        <v>0</v>
      </c>
      <c r="E198" s="1177">
        <v>0</v>
      </c>
      <c r="F198" s="1177">
        <v>2.3250000000000002</v>
      </c>
      <c r="G198" s="1177">
        <v>2.3250000000000002</v>
      </c>
      <c r="H198" s="1177">
        <v>2.3250000000000002</v>
      </c>
      <c r="I198" s="1177">
        <v>2.3250000000000002</v>
      </c>
      <c r="J198" s="1177">
        <v>5.5830000000000002</v>
      </c>
      <c r="K198" s="1177">
        <v>5.5830000000000002</v>
      </c>
      <c r="L198" s="1177">
        <v>5.5830000000000002</v>
      </c>
      <c r="M198" s="1177">
        <v>5.5830000000000002</v>
      </c>
      <c r="N198" s="1177">
        <v>8.0220000000000002</v>
      </c>
      <c r="O198" s="1177">
        <v>8.0220000000000002</v>
      </c>
      <c r="P198" s="1177"/>
      <c r="Q198" s="1177"/>
      <c r="R198" s="1177"/>
      <c r="S198" s="1177"/>
    </row>
  </sheetData>
  <mergeCells count="5">
    <mergeCell ref="C2:O2"/>
    <mergeCell ref="C42:O42"/>
    <mergeCell ref="C68:O68"/>
    <mergeCell ref="C75:O75"/>
    <mergeCell ref="C82:O82"/>
  </mergeCells>
  <hyperlinks>
    <hyperlink ref="T157" r:id="rId1" xr:uid="{00000000-0004-0000-2000-000000000000}"/>
    <hyperlink ref="T115" r:id="rId2" xr:uid="{00000000-0004-0000-2000-000001000000}"/>
    <hyperlink ref="T153" r:id="rId3" location=":~:text=Who%20is%20eligible%20for%20Conservation,resource%20concerns%20when%20they%20apply." xr:uid="{00000000-0004-0000-2000-000002000000}"/>
    <hyperlink ref="A1" r:id="rId4" xr:uid="{00000000-0004-0000-20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2" t="s">
        <v>558</v>
      </c>
    </row>
    <row r="2" spans="1:6" ht="20.9" customHeight="1" x14ac:dyDescent="0.4">
      <c r="A2" s="1182" t="s">
        <v>559</v>
      </c>
      <c r="B2" s="1182" t="s">
        <v>560</v>
      </c>
      <c r="C2" s="1182" t="s">
        <v>561</v>
      </c>
      <c r="D2" s="1182" t="s">
        <v>562</v>
      </c>
    </row>
    <row r="3" spans="1:6" x14ac:dyDescent="0.35">
      <c r="A3" s="1183" t="s">
        <v>563</v>
      </c>
      <c r="B3" s="656">
        <f>SUM(B4:B7)</f>
        <v>325</v>
      </c>
      <c r="E3" s="1470" t="s">
        <v>564</v>
      </c>
      <c r="F3" s="1470"/>
    </row>
    <row r="4" spans="1:6" x14ac:dyDescent="0.35">
      <c r="A4" s="799" t="s">
        <v>565</v>
      </c>
      <c r="B4" s="656">
        <v>284</v>
      </c>
      <c r="E4" s="490" t="s">
        <v>51</v>
      </c>
      <c r="F4" s="490" t="s">
        <v>566</v>
      </c>
    </row>
    <row r="5" spans="1:6" x14ac:dyDescent="0.35">
      <c r="A5" s="799" t="s">
        <v>415</v>
      </c>
      <c r="B5" s="656">
        <v>20</v>
      </c>
      <c r="E5" s="202" t="s">
        <v>150</v>
      </c>
      <c r="F5" s="202">
        <f>SUM(B11:B16)</f>
        <v>82</v>
      </c>
    </row>
    <row r="6" spans="1:6" x14ac:dyDescent="0.35">
      <c r="A6" s="799" t="s">
        <v>422</v>
      </c>
      <c r="B6" s="656">
        <v>15</v>
      </c>
      <c r="E6" s="202" t="s">
        <v>49</v>
      </c>
      <c r="F6" s="202">
        <f>B23</f>
        <v>3</v>
      </c>
    </row>
    <row r="7" spans="1:6" x14ac:dyDescent="0.35">
      <c r="A7" s="799" t="s">
        <v>423</v>
      </c>
      <c r="B7" s="656">
        <v>6</v>
      </c>
      <c r="E7" s="202" t="s">
        <v>343</v>
      </c>
      <c r="F7" s="202">
        <f>B27-B28</f>
        <v>29</v>
      </c>
    </row>
    <row r="8" spans="1:6" x14ac:dyDescent="0.35">
      <c r="A8" s="490" t="s">
        <v>567</v>
      </c>
      <c r="B8" s="656">
        <v>121</v>
      </c>
      <c r="E8" s="202" t="s">
        <v>360</v>
      </c>
      <c r="F8" s="202">
        <f>B42</f>
        <v>2</v>
      </c>
    </row>
    <row r="9" spans="1:6" x14ac:dyDescent="0.35">
      <c r="A9" s="1184" t="s">
        <v>568</v>
      </c>
      <c r="B9" s="656">
        <v>166</v>
      </c>
      <c r="E9" s="202" t="s">
        <v>569</v>
      </c>
      <c r="F9" s="202">
        <f>B18+B20+B21</f>
        <v>34</v>
      </c>
    </row>
    <row r="10" spans="1:6" x14ac:dyDescent="0.35">
      <c r="A10" s="1181" t="s">
        <v>570</v>
      </c>
      <c r="B10" s="656">
        <v>82</v>
      </c>
      <c r="E10" s="490" t="s">
        <v>571</v>
      </c>
      <c r="F10" s="490" t="s">
        <v>572</v>
      </c>
    </row>
    <row r="11" spans="1:6" x14ac:dyDescent="0.35">
      <c r="A11" s="799" t="s">
        <v>573</v>
      </c>
      <c r="B11" s="656">
        <v>54</v>
      </c>
      <c r="E11" s="202" t="s">
        <v>316</v>
      </c>
      <c r="F11" s="202">
        <f>B4</f>
        <v>284</v>
      </c>
    </row>
    <row r="12" spans="1:6" x14ac:dyDescent="0.35">
      <c r="A12" s="799" t="s">
        <v>574</v>
      </c>
      <c r="B12" s="656">
        <v>20</v>
      </c>
      <c r="E12" s="202" t="s">
        <v>575</v>
      </c>
      <c r="F12" s="202">
        <f>B5</f>
        <v>20</v>
      </c>
    </row>
    <row r="13" spans="1:6" x14ac:dyDescent="0.35">
      <c r="A13" s="799" t="s">
        <v>576</v>
      </c>
      <c r="B13" s="656">
        <v>4</v>
      </c>
      <c r="E13" s="202" t="s">
        <v>422</v>
      </c>
      <c r="F13" s="202">
        <f>B6</f>
        <v>15</v>
      </c>
    </row>
    <row r="14" spans="1:6" ht="27.65" customHeight="1" x14ac:dyDescent="0.35">
      <c r="A14" s="799" t="s">
        <v>577</v>
      </c>
      <c r="B14" s="656">
        <v>2</v>
      </c>
      <c r="E14" s="249" t="s">
        <v>423</v>
      </c>
      <c r="F14" s="202">
        <f>B7</f>
        <v>6</v>
      </c>
    </row>
    <row r="15" spans="1:6" ht="27.65" customHeight="1" x14ac:dyDescent="0.35">
      <c r="A15" s="799" t="s">
        <v>578</v>
      </c>
      <c r="B15" s="656">
        <v>1</v>
      </c>
      <c r="E15" s="249" t="s">
        <v>579</v>
      </c>
      <c r="F15" s="202">
        <f>B28</f>
        <v>15</v>
      </c>
    </row>
    <row r="16" spans="1:6" x14ac:dyDescent="0.35">
      <c r="A16" s="799" t="s">
        <v>580</v>
      </c>
      <c r="B16" s="656">
        <v>1</v>
      </c>
      <c r="E16" s="202" t="s">
        <v>581</v>
      </c>
      <c r="F16" s="202">
        <f>B37</f>
        <v>12</v>
      </c>
    </row>
    <row r="17" spans="1:6" x14ac:dyDescent="0.35">
      <c r="A17" s="490" t="s">
        <v>582</v>
      </c>
      <c r="B17" s="656">
        <v>72</v>
      </c>
      <c r="E17" s="202" t="s">
        <v>583</v>
      </c>
      <c r="F17" s="202">
        <f>B38</f>
        <v>10</v>
      </c>
    </row>
    <row r="18" spans="1:6" x14ac:dyDescent="0.35">
      <c r="A18" s="799" t="s">
        <v>584</v>
      </c>
      <c r="B18" s="656">
        <v>22</v>
      </c>
      <c r="C18" s="202" t="s">
        <v>585</v>
      </c>
    </row>
    <row r="19" spans="1:6" x14ac:dyDescent="0.35">
      <c r="A19" s="799" t="s">
        <v>586</v>
      </c>
      <c r="B19" s="656">
        <v>20</v>
      </c>
      <c r="C19" s="202" t="s">
        <v>109</v>
      </c>
    </row>
    <row r="20" spans="1:6" x14ac:dyDescent="0.35">
      <c r="A20" s="799" t="s">
        <v>587</v>
      </c>
      <c r="B20" s="656">
        <v>8</v>
      </c>
      <c r="C20" s="202" t="s">
        <v>585</v>
      </c>
    </row>
    <row r="21" spans="1:6" x14ac:dyDescent="0.35">
      <c r="A21" s="799" t="s">
        <v>588</v>
      </c>
      <c r="B21" s="656">
        <v>4</v>
      </c>
      <c r="C21" s="202" t="s">
        <v>51</v>
      </c>
    </row>
    <row r="22" spans="1:6" x14ac:dyDescent="0.35">
      <c r="A22" s="799" t="s">
        <v>589</v>
      </c>
      <c r="B22" s="656">
        <v>4</v>
      </c>
      <c r="C22" s="202" t="s">
        <v>109</v>
      </c>
    </row>
    <row r="23" spans="1:6" x14ac:dyDescent="0.35">
      <c r="A23" s="799" t="s">
        <v>590</v>
      </c>
      <c r="B23" s="656">
        <v>3</v>
      </c>
      <c r="C23" s="202" t="s">
        <v>591</v>
      </c>
    </row>
    <row r="24" spans="1:6" x14ac:dyDescent="0.35">
      <c r="A24" s="799" t="s">
        <v>592</v>
      </c>
      <c r="B24" s="656">
        <v>3</v>
      </c>
      <c r="C24" s="202" t="s">
        <v>593</v>
      </c>
    </row>
    <row r="25" spans="1:6" x14ac:dyDescent="0.35">
      <c r="A25" s="1185" t="s">
        <v>594</v>
      </c>
      <c r="B25" s="656">
        <v>3</v>
      </c>
      <c r="C25" s="202" t="s">
        <v>55</v>
      </c>
    </row>
    <row r="26" spans="1:6" x14ac:dyDescent="0.35">
      <c r="A26" s="799" t="s">
        <v>595</v>
      </c>
      <c r="B26" s="656">
        <v>4</v>
      </c>
      <c r="C26" s="202" t="s">
        <v>596</v>
      </c>
    </row>
    <row r="27" spans="1:6" x14ac:dyDescent="0.35">
      <c r="A27" s="490" t="s">
        <v>343</v>
      </c>
      <c r="B27" s="656">
        <v>44</v>
      </c>
    </row>
    <row r="28" spans="1:6" x14ac:dyDescent="0.35">
      <c r="A28" s="1178" t="s">
        <v>579</v>
      </c>
      <c r="B28" s="1179">
        <v>15</v>
      </c>
    </row>
    <row r="29" spans="1:6" x14ac:dyDescent="0.35">
      <c r="A29" s="799" t="s">
        <v>597</v>
      </c>
      <c r="B29" s="656">
        <v>14</v>
      </c>
    </row>
    <row r="30" spans="1:6" x14ac:dyDescent="0.35">
      <c r="A30" s="799" t="s">
        <v>598</v>
      </c>
      <c r="B30" s="656">
        <v>10</v>
      </c>
    </row>
    <row r="31" spans="1:6" x14ac:dyDescent="0.35">
      <c r="A31" s="799" t="s">
        <v>599</v>
      </c>
      <c r="B31" s="656">
        <v>2</v>
      </c>
    </row>
    <row r="32" spans="1:6" x14ac:dyDescent="0.35">
      <c r="A32" s="799" t="s">
        <v>600</v>
      </c>
      <c r="B32" s="656">
        <v>2</v>
      </c>
    </row>
    <row r="33" spans="1:6" x14ac:dyDescent="0.35">
      <c r="A33" s="799" t="s">
        <v>601</v>
      </c>
      <c r="B33" s="656">
        <v>1</v>
      </c>
    </row>
    <row r="34" spans="1:6" x14ac:dyDescent="0.35">
      <c r="A34" s="490" t="s">
        <v>602</v>
      </c>
      <c r="B34" s="656">
        <v>88</v>
      </c>
    </row>
    <row r="35" spans="1:6" x14ac:dyDescent="0.35">
      <c r="A35" s="1185" t="s">
        <v>603</v>
      </c>
      <c r="B35" s="656">
        <v>26</v>
      </c>
    </row>
    <row r="36" spans="1:6" x14ac:dyDescent="0.35">
      <c r="A36" s="799" t="s">
        <v>604</v>
      </c>
      <c r="B36" s="656">
        <v>25</v>
      </c>
    </row>
    <row r="37" spans="1:6" x14ac:dyDescent="0.35">
      <c r="A37" s="799" t="s">
        <v>581</v>
      </c>
      <c r="B37" s="656">
        <v>12</v>
      </c>
      <c r="C37" s="202" t="s">
        <v>605</v>
      </c>
      <c r="E37" s="202" t="s">
        <v>606</v>
      </c>
      <c r="F37" s="202" t="s">
        <v>607</v>
      </c>
    </row>
    <row r="38" spans="1:6" x14ac:dyDescent="0.35">
      <c r="A38" s="799" t="s">
        <v>583</v>
      </c>
      <c r="B38" s="656">
        <v>10</v>
      </c>
      <c r="C38" s="202" t="s">
        <v>605</v>
      </c>
      <c r="E38" s="202" t="s">
        <v>608</v>
      </c>
      <c r="F38" s="202" t="s">
        <v>609</v>
      </c>
    </row>
    <row r="39" spans="1:6" x14ac:dyDescent="0.35">
      <c r="A39" s="799" t="s">
        <v>610</v>
      </c>
      <c r="B39" s="656">
        <v>7</v>
      </c>
      <c r="C39" s="202" t="s">
        <v>596</v>
      </c>
      <c r="E39" s="202" t="s">
        <v>611</v>
      </c>
      <c r="F39" s="202" t="s">
        <v>612</v>
      </c>
    </row>
    <row r="40" spans="1:6" x14ac:dyDescent="0.35">
      <c r="A40" s="799" t="s">
        <v>613</v>
      </c>
      <c r="B40" s="656">
        <v>5</v>
      </c>
      <c r="C40" s="202" t="s">
        <v>109</v>
      </c>
      <c r="E40" s="202" t="s">
        <v>614</v>
      </c>
    </row>
    <row r="41" spans="1:6" x14ac:dyDescent="0.35">
      <c r="A41" s="799" t="s">
        <v>615</v>
      </c>
      <c r="B41" s="656">
        <v>2</v>
      </c>
      <c r="C41" s="202" t="s">
        <v>596</v>
      </c>
      <c r="E41" s="202" t="s">
        <v>616</v>
      </c>
    </row>
    <row r="42" spans="1:6" x14ac:dyDescent="0.35">
      <c r="A42" s="799" t="s">
        <v>617</v>
      </c>
      <c r="B42" s="656">
        <v>2</v>
      </c>
      <c r="C42" s="202" t="s">
        <v>585</v>
      </c>
      <c r="E42" s="1180" t="s">
        <v>618</v>
      </c>
    </row>
    <row r="43" spans="1:6" x14ac:dyDescent="0.35">
      <c r="A43" s="799" t="s">
        <v>619</v>
      </c>
      <c r="B43" s="656">
        <v>0</v>
      </c>
      <c r="E43" s="202" t="s">
        <v>620</v>
      </c>
    </row>
    <row r="44" spans="1:6" x14ac:dyDescent="0.35">
      <c r="A44" s="490" t="s">
        <v>621</v>
      </c>
      <c r="B44" s="656">
        <v>40</v>
      </c>
    </row>
    <row r="45" spans="1:6" x14ac:dyDescent="0.35">
      <c r="A45" s="1185" t="s">
        <v>622</v>
      </c>
      <c r="B45" s="1186">
        <v>21</v>
      </c>
    </row>
    <row r="46" spans="1:6" x14ac:dyDescent="0.35">
      <c r="A46" s="799" t="s">
        <v>623</v>
      </c>
      <c r="B46" s="656">
        <v>6</v>
      </c>
    </row>
    <row r="47" spans="1:6" x14ac:dyDescent="0.35">
      <c r="A47" s="1185" t="s">
        <v>624</v>
      </c>
      <c r="B47" s="1186">
        <v>4</v>
      </c>
    </row>
    <row r="48" spans="1:6" x14ac:dyDescent="0.35">
      <c r="A48" s="799" t="s">
        <v>625</v>
      </c>
      <c r="B48" s="656">
        <v>4</v>
      </c>
    </row>
    <row r="49" spans="1:2" x14ac:dyDescent="0.35">
      <c r="A49" s="1185" t="s">
        <v>626</v>
      </c>
      <c r="B49" s="1186">
        <v>3</v>
      </c>
    </row>
    <row r="50" spans="1:2" x14ac:dyDescent="0.35">
      <c r="A50" s="799" t="s">
        <v>627</v>
      </c>
      <c r="B50" s="65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471"/>
      <c r="J1" s="1471"/>
      <c r="K1" s="1471"/>
    </row>
    <row r="2" spans="1:62" ht="13.4" customHeight="1" x14ac:dyDescent="0.35">
      <c r="A2" s="1199"/>
      <c r="O2" s="1225" t="s">
        <v>799</v>
      </c>
      <c r="P2" s="1477" t="s">
        <v>628</v>
      </c>
      <c r="Q2" s="1477"/>
      <c r="R2" s="1477"/>
      <c r="S2" s="1477"/>
      <c r="T2" s="1228"/>
      <c r="U2" s="1228"/>
      <c r="V2" s="1228"/>
      <c r="W2" s="1228"/>
      <c r="X2" s="1228"/>
      <c r="Y2" s="1472" t="s">
        <v>629</v>
      </c>
      <c r="Z2" s="1473"/>
      <c r="AA2" s="1473"/>
      <c r="AB2" s="1473"/>
      <c r="AC2" s="1473"/>
      <c r="AD2" s="1473"/>
      <c r="AE2" s="1228"/>
      <c r="AF2" s="1228"/>
      <c r="AG2" s="1474" t="s">
        <v>630</v>
      </c>
      <c r="AH2" s="1473"/>
      <c r="AI2" s="1473"/>
      <c r="AJ2" s="1476" t="s">
        <v>631</v>
      </c>
      <c r="AK2" s="1476"/>
      <c r="AL2" s="1476"/>
      <c r="AM2" s="1476"/>
      <c r="AN2" s="1476"/>
      <c r="AO2" s="1476"/>
      <c r="AP2" s="1476"/>
      <c r="AQ2" s="1476"/>
      <c r="AR2" s="1476"/>
      <c r="AS2" s="1476"/>
      <c r="AT2" s="1229"/>
      <c r="AU2" s="1475" t="s">
        <v>385</v>
      </c>
      <c r="AV2" s="1475"/>
      <c r="AW2" s="1475"/>
      <c r="AX2" s="1475"/>
      <c r="AY2" s="1475"/>
      <c r="AZ2" s="1475"/>
      <c r="BA2" s="1475"/>
      <c r="BB2" s="1210"/>
      <c r="BC2" s="1210"/>
      <c r="BD2" s="1210"/>
      <c r="BE2" s="1210"/>
      <c r="BF2" s="1210"/>
      <c r="BG2" s="1210"/>
      <c r="BH2" s="1210"/>
      <c r="BI2" s="1210"/>
      <c r="BJ2" s="1216" t="s">
        <v>632</v>
      </c>
    </row>
    <row r="3" spans="1:62" ht="43.4" customHeight="1" x14ac:dyDescent="0.35">
      <c r="A3" s="1200"/>
      <c r="B3" s="1200"/>
      <c r="C3" s="1200"/>
      <c r="D3" s="1200"/>
      <c r="E3" s="1200"/>
      <c r="F3" s="1200"/>
      <c r="G3" s="1200"/>
      <c r="H3" s="1200"/>
      <c r="I3" s="1200"/>
      <c r="J3" s="1200"/>
      <c r="K3" s="1200"/>
      <c r="L3" s="1200"/>
      <c r="M3" s="1200"/>
      <c r="N3" s="1200"/>
      <c r="O3" s="1226" t="s">
        <v>633</v>
      </c>
      <c r="P3" s="1209" t="s">
        <v>634</v>
      </c>
      <c r="Q3" s="1209" t="s">
        <v>635</v>
      </c>
      <c r="R3" s="1209" t="s">
        <v>636</v>
      </c>
      <c r="S3" s="1209" t="s">
        <v>637</v>
      </c>
      <c r="T3" s="1209" t="s">
        <v>638</v>
      </c>
      <c r="U3" s="1209" t="s">
        <v>639</v>
      </c>
      <c r="V3" s="1209" t="s">
        <v>640</v>
      </c>
      <c r="W3" s="1209" t="s">
        <v>641</v>
      </c>
      <c r="X3" s="1209" t="s">
        <v>642</v>
      </c>
      <c r="Y3" s="1209" t="s">
        <v>643</v>
      </c>
      <c r="Z3" s="1209"/>
      <c r="AA3" s="1209"/>
      <c r="AB3" s="1209"/>
      <c r="AC3" s="1209" t="s">
        <v>644</v>
      </c>
      <c r="AD3" s="1209" t="s">
        <v>645</v>
      </c>
      <c r="AE3" s="1209" t="s">
        <v>646</v>
      </c>
      <c r="AF3" s="1209" t="s">
        <v>647</v>
      </c>
      <c r="AG3" s="1209" t="s">
        <v>648</v>
      </c>
      <c r="AH3" s="1209" t="s">
        <v>649</v>
      </c>
      <c r="AI3" s="1209" t="s">
        <v>650</v>
      </c>
      <c r="AJ3" s="1209" t="s">
        <v>651</v>
      </c>
      <c r="AK3" s="1209" t="s">
        <v>652</v>
      </c>
      <c r="AL3" s="1209" t="s">
        <v>653</v>
      </c>
      <c r="AM3" s="1209" t="s">
        <v>654</v>
      </c>
      <c r="AN3" s="1209" t="s">
        <v>655</v>
      </c>
      <c r="AO3" s="1209" t="s">
        <v>656</v>
      </c>
      <c r="AP3" s="1209" t="s">
        <v>657</v>
      </c>
      <c r="AQ3" s="1222" t="s">
        <v>658</v>
      </c>
      <c r="AR3" s="1209" t="s">
        <v>659</v>
      </c>
      <c r="AS3" s="1209" t="s">
        <v>660</v>
      </c>
      <c r="AT3" s="1209" t="s">
        <v>661</v>
      </c>
      <c r="AU3" s="1209" t="s">
        <v>662</v>
      </c>
      <c r="AV3" s="1209" t="s">
        <v>663</v>
      </c>
      <c r="AW3" s="1209" t="s">
        <v>664</v>
      </c>
      <c r="AX3" s="1209" t="s">
        <v>665</v>
      </c>
      <c r="AY3" s="1209" t="s">
        <v>666</v>
      </c>
      <c r="AZ3" s="1209" t="s">
        <v>667</v>
      </c>
      <c r="BA3" s="1209" t="s">
        <v>644</v>
      </c>
      <c r="BB3" s="1217" t="s">
        <v>668</v>
      </c>
      <c r="BC3" s="1217" t="s">
        <v>669</v>
      </c>
      <c r="BD3" s="1217" t="s">
        <v>670</v>
      </c>
      <c r="BE3" s="1217" t="s">
        <v>671</v>
      </c>
      <c r="BF3" s="1217" t="s">
        <v>672</v>
      </c>
      <c r="BG3" s="1217" t="s">
        <v>673</v>
      </c>
      <c r="BH3" s="1217" t="s">
        <v>674</v>
      </c>
      <c r="BI3" s="1217" t="s">
        <v>675</v>
      </c>
      <c r="BJ3" s="1211" t="s">
        <v>676</v>
      </c>
    </row>
    <row r="4" spans="1:62" ht="63" customHeight="1" x14ac:dyDescent="0.35">
      <c r="A4" s="1220" t="s">
        <v>677</v>
      </c>
      <c r="B4" s="1199" t="s">
        <v>56</v>
      </c>
      <c r="C4" s="1199" t="s">
        <v>678</v>
      </c>
      <c r="D4" s="1199" t="s">
        <v>548</v>
      </c>
      <c r="E4" s="1199" t="s">
        <v>679</v>
      </c>
      <c r="F4" s="1199" t="s">
        <v>680</v>
      </c>
      <c r="G4" s="1199" t="s">
        <v>681</v>
      </c>
      <c r="H4" s="1199" t="s">
        <v>131</v>
      </c>
      <c r="I4" s="1206" t="s">
        <v>348</v>
      </c>
      <c r="J4" s="1206" t="s">
        <v>150</v>
      </c>
      <c r="K4" s="1206" t="s">
        <v>682</v>
      </c>
      <c r="L4" s="1204" t="s">
        <v>159</v>
      </c>
      <c r="M4" s="1199" t="s">
        <v>109</v>
      </c>
      <c r="N4" s="1199" t="s">
        <v>683</v>
      </c>
      <c r="O4" s="1227" t="s">
        <v>684</v>
      </c>
      <c r="P4" s="1217" t="s">
        <v>685</v>
      </c>
      <c r="Q4" s="1217" t="s">
        <v>686</v>
      </c>
      <c r="R4" s="1217" t="s">
        <v>687</v>
      </c>
      <c r="S4" s="1217" t="s">
        <v>688</v>
      </c>
      <c r="T4" s="1217" t="s">
        <v>689</v>
      </c>
      <c r="U4" s="1217" t="s">
        <v>690</v>
      </c>
      <c r="V4" s="1217" t="s">
        <v>691</v>
      </c>
      <c r="W4" s="1217" t="s">
        <v>692</v>
      </c>
      <c r="X4" s="1217" t="s">
        <v>693</v>
      </c>
      <c r="Y4" s="1217" t="s">
        <v>694</v>
      </c>
      <c r="Z4" s="1217" t="s">
        <v>695</v>
      </c>
      <c r="AA4" s="1217" t="s">
        <v>696</v>
      </c>
      <c r="AB4" s="1217" t="s">
        <v>697</v>
      </c>
      <c r="AC4" s="1217" t="s">
        <v>698</v>
      </c>
      <c r="AD4" s="1217" t="s">
        <v>699</v>
      </c>
      <c r="AE4" s="1217" t="s">
        <v>700</v>
      </c>
      <c r="AF4" s="1217" t="s">
        <v>701</v>
      </c>
      <c r="AG4" s="1217" t="s">
        <v>210</v>
      </c>
      <c r="AH4" s="1217" t="s">
        <v>211</v>
      </c>
      <c r="AI4" s="1217" t="s">
        <v>702</v>
      </c>
      <c r="AJ4" s="1217" t="s">
        <v>703</v>
      </c>
      <c r="AK4" s="1217" t="s">
        <v>704</v>
      </c>
      <c r="AL4" s="1217" t="s">
        <v>705</v>
      </c>
      <c r="AM4" s="1217" t="s">
        <v>706</v>
      </c>
      <c r="AN4" s="1217" t="s">
        <v>707</v>
      </c>
      <c r="AO4" s="1217" t="s">
        <v>708</v>
      </c>
      <c r="AP4" s="1217" t="s">
        <v>709</v>
      </c>
      <c r="AQ4" s="1218" t="s">
        <v>710</v>
      </c>
      <c r="AR4" s="1217" t="s">
        <v>711</v>
      </c>
      <c r="AS4" s="1217" t="s">
        <v>712</v>
      </c>
      <c r="AT4" s="1217" t="s">
        <v>713</v>
      </c>
      <c r="AU4" s="1217" t="s">
        <v>714</v>
      </c>
      <c r="AV4" s="1217" t="s">
        <v>715</v>
      </c>
      <c r="AW4" s="1217" t="s">
        <v>716</v>
      </c>
      <c r="AX4" s="1217" t="s">
        <v>717</v>
      </c>
      <c r="AY4" s="1217" t="s">
        <v>718</v>
      </c>
      <c r="AZ4" s="1217" t="s">
        <v>719</v>
      </c>
      <c r="BA4" s="1217"/>
      <c r="BB4" s="1217" t="s">
        <v>427</v>
      </c>
      <c r="BC4" s="1217" t="s">
        <v>720</v>
      </c>
      <c r="BD4" s="1217" t="s">
        <v>721</v>
      </c>
      <c r="BE4" s="1217" t="s">
        <v>722</v>
      </c>
      <c r="BF4" s="1217" t="s">
        <v>723</v>
      </c>
      <c r="BG4" s="1217" t="s">
        <v>724</v>
      </c>
      <c r="BH4" s="1217" t="s">
        <v>725</v>
      </c>
      <c r="BI4" s="1217" t="s">
        <v>726</v>
      </c>
      <c r="BJ4" s="1219" t="s">
        <v>727</v>
      </c>
    </row>
    <row r="5" spans="1:62" x14ac:dyDescent="0.35">
      <c r="A5" s="1201">
        <v>2021</v>
      </c>
      <c r="B5" s="1203">
        <f>Q5</f>
        <v>394.202</v>
      </c>
      <c r="C5" s="1203">
        <f>SUM(Y5:AB5)</f>
        <v>195.7</v>
      </c>
      <c r="D5" s="1203">
        <f>T5</f>
        <v>18.823</v>
      </c>
      <c r="E5" s="1203">
        <f>SUM(P5:S5)-B5</f>
        <v>0.77600000000001046</v>
      </c>
      <c r="F5" s="1203">
        <f>SUM(T5:AF5)-C5-L5-D5 - 28</f>
        <v>19.722000000000016</v>
      </c>
      <c r="G5" s="1203">
        <f>SUM(BB5:BI5)-BC5</f>
        <v>81.642999999999986</v>
      </c>
      <c r="H5" s="1203">
        <f>SUM(AG5:AI5)</f>
        <v>7.798</v>
      </c>
      <c r="I5" s="1203">
        <f>AJ5</f>
        <v>283.95749999999998</v>
      </c>
      <c r="J5" s="1203">
        <f>AL5</f>
        <v>12.347</v>
      </c>
      <c r="K5" s="1203">
        <f>SUM(AM5:AT5)</f>
        <v>29.628</v>
      </c>
      <c r="L5" s="1207">
        <f>103/4</f>
        <v>25.75</v>
      </c>
      <c r="M5" s="1203">
        <f t="shared" ref="M5:M16" si="0">SUM(AU5:BA5)</f>
        <v>31.939</v>
      </c>
      <c r="N5" s="1203">
        <f>AK5</f>
        <v>3.4</v>
      </c>
      <c r="O5" s="1230">
        <v>50</v>
      </c>
      <c r="P5" s="1224">
        <v>0.55000000000000004</v>
      </c>
      <c r="Q5" s="1059">
        <v>394.202</v>
      </c>
      <c r="R5" s="1232">
        <v>0.14599999999999999</v>
      </c>
      <c r="S5" s="1232">
        <v>0.08</v>
      </c>
      <c r="T5" s="1232">
        <v>18.823</v>
      </c>
      <c r="U5" s="1059">
        <v>19</v>
      </c>
      <c r="V5" s="1232">
        <v>11.481999999999999</v>
      </c>
      <c r="W5" s="1196">
        <v>1.5580000000000001</v>
      </c>
      <c r="X5" s="1196">
        <v>0.74</v>
      </c>
      <c r="Y5" s="1059">
        <v>0.2</v>
      </c>
      <c r="Z5" s="1059">
        <v>43.1</v>
      </c>
      <c r="AA5" s="1059">
        <v>33.9</v>
      </c>
      <c r="AB5" s="1059">
        <v>118.5</v>
      </c>
      <c r="AC5" s="1059">
        <v>28</v>
      </c>
      <c r="AD5" s="1196">
        <v>-2.0379999999999998</v>
      </c>
      <c r="AE5" s="1059">
        <v>14.31</v>
      </c>
      <c r="AF5" s="1232">
        <v>0.42</v>
      </c>
      <c r="AG5" s="1232">
        <v>7.7279999999999998</v>
      </c>
      <c r="AH5" s="1059">
        <v>7.0000000000000007E-2</v>
      </c>
      <c r="AI5" s="1059">
        <v>0</v>
      </c>
      <c r="AJ5" s="1059">
        <v>283.95749999999998</v>
      </c>
      <c r="AK5" s="1223">
        <v>3.4</v>
      </c>
      <c r="AL5" s="1223">
        <v>12.347</v>
      </c>
      <c r="AM5" s="1233">
        <v>0.28599999999999998</v>
      </c>
      <c r="AN5" s="1223">
        <v>2</v>
      </c>
      <c r="AO5" s="1059">
        <v>0.81</v>
      </c>
      <c r="AP5" s="1223">
        <v>0.52100000000000002</v>
      </c>
      <c r="AQ5" s="1234">
        <v>10</v>
      </c>
      <c r="AR5" s="1223">
        <v>2.7</v>
      </c>
      <c r="AS5" s="1223">
        <v>0.751</v>
      </c>
      <c r="AT5" s="1059">
        <v>12.56</v>
      </c>
      <c r="AU5" s="1059">
        <v>0</v>
      </c>
      <c r="AV5" s="1223">
        <v>1.415</v>
      </c>
      <c r="AW5" s="1223">
        <v>10.51</v>
      </c>
      <c r="AX5" s="1223">
        <v>2.6</v>
      </c>
      <c r="AY5" s="1059">
        <v>-0.33</v>
      </c>
      <c r="AZ5" s="1223">
        <v>17.744</v>
      </c>
      <c r="BA5" s="1059">
        <v>0</v>
      </c>
      <c r="BB5" s="1223">
        <v>4.0999999999999996</v>
      </c>
      <c r="BC5" s="1223">
        <v>7.25</v>
      </c>
      <c r="BD5" s="1223">
        <v>48.4</v>
      </c>
      <c r="BE5" s="1232">
        <v>0.83</v>
      </c>
      <c r="BF5" s="1196">
        <v>4.5110000000000001</v>
      </c>
      <c r="BG5" s="1059">
        <v>3.0739999999999998</v>
      </c>
      <c r="BH5" s="1187">
        <v>-0.28399999999999997</v>
      </c>
      <c r="BI5" s="1223">
        <v>21.012</v>
      </c>
      <c r="BJ5" s="1212">
        <v>1.1599999999999999</v>
      </c>
    </row>
    <row r="6" spans="1:62" x14ac:dyDescent="0.35">
      <c r="A6" s="1201">
        <v>2022</v>
      </c>
      <c r="B6" s="1203">
        <f t="shared" ref="B6:B15" si="1">Q6</f>
        <v>17.465</v>
      </c>
      <c r="C6" s="1203">
        <f t="shared" ref="C6:C15" si="2">SUM(Y6:AB6)</f>
        <v>10.1</v>
      </c>
      <c r="D6" s="1203">
        <f t="shared" ref="D6:D15" si="3">T6</f>
        <v>2.5950000000000002</v>
      </c>
      <c r="E6" s="1203">
        <f t="shared" ref="E6:E15" si="4">SUM(P6:S6)-B6</f>
        <v>19.719000000000005</v>
      </c>
      <c r="F6" s="1203">
        <f>SUM(T6:AF6)-C6-L6-D6</f>
        <v>52.756999999999998</v>
      </c>
      <c r="G6" s="1203">
        <f t="shared" ref="G6:G16" si="5">SUM(BB6:BI6)-BC6</f>
        <v>110.24799999999999</v>
      </c>
      <c r="H6" s="1203">
        <f t="shared" ref="H6:H15" si="6">SUM(AG6:AI6)</f>
        <v>7.9489999999999998</v>
      </c>
      <c r="I6" s="1203">
        <f t="shared" ref="I6:I15" si="7">AJ6</f>
        <v>77.092500000000001</v>
      </c>
      <c r="J6" s="1203">
        <f t="shared" ref="J6:J15" si="8">AL6</f>
        <v>46.79</v>
      </c>
      <c r="K6" s="1203">
        <f t="shared" ref="K6:K16" si="9">SUM(AM6:AT6)</f>
        <v>35.671000000000006</v>
      </c>
      <c r="L6" s="1207">
        <v>0</v>
      </c>
      <c r="M6" s="1203">
        <f t="shared" si="0"/>
        <v>56.412999999999997</v>
      </c>
      <c r="N6" s="1203">
        <f t="shared" ref="N6:N15" si="10">AK6</f>
        <v>5.0999999999999996</v>
      </c>
      <c r="O6" s="1230">
        <v>55</v>
      </c>
      <c r="P6" s="1224">
        <v>15.61</v>
      </c>
      <c r="Q6" s="1059">
        <v>17.465</v>
      </c>
      <c r="R6" s="1232">
        <v>0.317</v>
      </c>
      <c r="S6" s="1232">
        <v>3.7919999999999998</v>
      </c>
      <c r="T6" s="1059">
        <v>2.5950000000000002</v>
      </c>
      <c r="U6" s="1223">
        <v>14.5</v>
      </c>
      <c r="V6" s="1059">
        <v>25.070999999999998</v>
      </c>
      <c r="W6" s="1196">
        <v>1.952</v>
      </c>
      <c r="X6" s="1196">
        <v>0.61399999999999999</v>
      </c>
      <c r="Y6" s="1223">
        <v>0</v>
      </c>
      <c r="Z6" s="1223">
        <v>2.2999999999999998</v>
      </c>
      <c r="AA6" s="1223">
        <v>1.6</v>
      </c>
      <c r="AB6" s="1223">
        <v>6.2</v>
      </c>
      <c r="AC6" s="1059">
        <v>0</v>
      </c>
      <c r="AD6" s="1059">
        <v>1.31</v>
      </c>
      <c r="AE6" s="1059">
        <v>8.61</v>
      </c>
      <c r="AF6" s="1059">
        <v>0.7</v>
      </c>
      <c r="AG6" s="1232">
        <v>7.782</v>
      </c>
      <c r="AH6" s="1059">
        <v>0.12</v>
      </c>
      <c r="AI6" s="1059">
        <v>4.7E-2</v>
      </c>
      <c r="AJ6" s="1059">
        <v>77.092500000000001</v>
      </c>
      <c r="AK6" s="1223">
        <v>5.0999999999999996</v>
      </c>
      <c r="AL6" s="1223">
        <v>46.79</v>
      </c>
      <c r="AM6" s="1187">
        <v>0.30499999999999999</v>
      </c>
      <c r="AN6" s="1223">
        <v>4.3</v>
      </c>
      <c r="AO6" s="1196">
        <v>1.1000000000000001</v>
      </c>
      <c r="AP6" s="1223">
        <v>1.575</v>
      </c>
      <c r="AQ6" s="1234">
        <v>10</v>
      </c>
      <c r="AR6" s="1223">
        <v>4.5</v>
      </c>
      <c r="AS6" s="1223">
        <v>1.9810000000000001</v>
      </c>
      <c r="AT6" s="1059">
        <v>11.91</v>
      </c>
      <c r="AU6" s="1059">
        <v>0</v>
      </c>
      <c r="AV6" s="1223">
        <v>3.927</v>
      </c>
      <c r="AW6" s="1223">
        <v>4.2880000000000003</v>
      </c>
      <c r="AX6" s="1223">
        <v>3.7</v>
      </c>
      <c r="AY6" s="1059">
        <v>-1.34</v>
      </c>
      <c r="AZ6" s="1223">
        <v>45.838000000000001</v>
      </c>
      <c r="BA6" s="1059">
        <v>0</v>
      </c>
      <c r="BB6" s="1223">
        <v>11.3</v>
      </c>
      <c r="BC6" s="1223">
        <v>0</v>
      </c>
      <c r="BD6" s="1223">
        <v>1.1000000000000001</v>
      </c>
      <c r="BE6" s="1232">
        <v>1.75</v>
      </c>
      <c r="BF6" s="1196">
        <v>1.7330000000000001</v>
      </c>
      <c r="BG6" s="1196">
        <v>7.1440000000000001</v>
      </c>
      <c r="BH6" s="1188">
        <v>81.608999999999995</v>
      </c>
      <c r="BI6" s="1223">
        <v>5.6120000000000001</v>
      </c>
      <c r="BJ6" s="1212">
        <v>4.2</v>
      </c>
    </row>
    <row r="7" spans="1:62" x14ac:dyDescent="0.35">
      <c r="A7" s="1201">
        <v>2023</v>
      </c>
      <c r="B7" s="1203">
        <f t="shared" si="1"/>
        <v>0.48599999999999999</v>
      </c>
      <c r="C7" s="1203">
        <f t="shared" si="2"/>
        <v>0</v>
      </c>
      <c r="D7" s="1203">
        <f t="shared" si="3"/>
        <v>0.93700000000000006</v>
      </c>
      <c r="E7" s="1203">
        <f t="shared" si="4"/>
        <v>1.4159999999999999</v>
      </c>
      <c r="F7" s="1203">
        <f t="shared" ref="F7:F15" si="11">SUM(T7:AF7)-C7-L7-D7</f>
        <v>12</v>
      </c>
      <c r="G7" s="1203">
        <f t="shared" si="5"/>
        <v>12.726000000000001</v>
      </c>
      <c r="H7" s="1203">
        <f t="shared" si="6"/>
        <v>4.7519999999999998</v>
      </c>
      <c r="I7" s="1203">
        <f t="shared" si="7"/>
        <v>1</v>
      </c>
      <c r="J7" s="1203">
        <f t="shared" si="8"/>
        <v>38.595999999999997</v>
      </c>
      <c r="K7" s="1203">
        <f t="shared" si="9"/>
        <v>24.216000000000001</v>
      </c>
      <c r="L7" s="1207">
        <v>0</v>
      </c>
      <c r="M7" s="1203">
        <f t="shared" si="0"/>
        <v>15.652999999999999</v>
      </c>
      <c r="N7" s="1203">
        <f t="shared" si="10"/>
        <v>0</v>
      </c>
      <c r="O7" s="1230">
        <v>0.7</v>
      </c>
      <c r="P7" s="1224">
        <v>0.96</v>
      </c>
      <c r="Q7" s="1059">
        <v>0.48599999999999999</v>
      </c>
      <c r="R7" s="1232">
        <v>0.45600000000000002</v>
      </c>
      <c r="S7" s="1059">
        <v>0</v>
      </c>
      <c r="T7" s="1189">
        <v>0.93700000000000006</v>
      </c>
      <c r="U7" s="1223">
        <v>3</v>
      </c>
      <c r="V7" s="1232">
        <v>7.891</v>
      </c>
      <c r="W7" s="1196">
        <v>0.61699999999999999</v>
      </c>
      <c r="X7" s="1196">
        <v>8.4000000000000005E-2</v>
      </c>
      <c r="Y7" s="1223">
        <v>0</v>
      </c>
      <c r="Z7" s="1223">
        <v>0</v>
      </c>
      <c r="AA7" s="1223">
        <v>0</v>
      </c>
      <c r="AB7" s="1223">
        <v>0</v>
      </c>
      <c r="AC7" s="1059">
        <v>0</v>
      </c>
      <c r="AD7" s="1059">
        <v>0.318</v>
      </c>
      <c r="AE7" s="1232">
        <v>-0.11000000000000001</v>
      </c>
      <c r="AF7" s="1059">
        <v>0.2</v>
      </c>
      <c r="AG7" s="1232">
        <v>4.6749999999999998</v>
      </c>
      <c r="AH7" s="1059">
        <v>0.06</v>
      </c>
      <c r="AI7" s="1059">
        <v>1.7000000000000001E-2</v>
      </c>
      <c r="AJ7" s="1059">
        <v>1</v>
      </c>
      <c r="AK7" s="1223">
        <v>0</v>
      </c>
      <c r="AL7" s="1223">
        <v>38.595999999999997</v>
      </c>
      <c r="AM7" s="1059">
        <v>0.14899999999999999</v>
      </c>
      <c r="AN7" s="1223">
        <v>1.2</v>
      </c>
      <c r="AO7" s="1196">
        <v>0.53</v>
      </c>
      <c r="AP7" s="1223">
        <v>0.38100000000000001</v>
      </c>
      <c r="AQ7" s="1234">
        <v>8</v>
      </c>
      <c r="AR7" s="1223">
        <v>4.5</v>
      </c>
      <c r="AS7" s="1223">
        <v>0.76600000000000001</v>
      </c>
      <c r="AT7" s="1059">
        <v>8.69</v>
      </c>
      <c r="AU7" s="1059">
        <v>0</v>
      </c>
      <c r="AV7" s="1223">
        <v>1.93</v>
      </c>
      <c r="AW7" s="1223">
        <v>1.4379999999999999</v>
      </c>
      <c r="AX7" s="1223">
        <v>2.6</v>
      </c>
      <c r="AY7" s="1196">
        <v>-2.48</v>
      </c>
      <c r="AZ7" s="1223">
        <v>12.164999999999999</v>
      </c>
      <c r="BA7" s="1196">
        <v>0</v>
      </c>
      <c r="BB7" s="1223">
        <v>8.4</v>
      </c>
      <c r="BC7" s="1223">
        <v>0</v>
      </c>
      <c r="BD7" s="1223">
        <v>0.3</v>
      </c>
      <c r="BE7" s="1232">
        <v>1.8</v>
      </c>
      <c r="BF7" s="1196">
        <v>0</v>
      </c>
      <c r="BG7" s="1196">
        <v>0</v>
      </c>
      <c r="BH7" s="1187">
        <v>1.3759999999999999</v>
      </c>
      <c r="BI7" s="1223">
        <v>0.85</v>
      </c>
      <c r="BJ7" s="1212">
        <v>2.7</v>
      </c>
    </row>
    <row r="8" spans="1:62" x14ac:dyDescent="0.35">
      <c r="A8" s="1201">
        <v>2024</v>
      </c>
      <c r="B8" s="1203">
        <f t="shared" si="1"/>
        <v>0</v>
      </c>
      <c r="C8" s="1203">
        <f t="shared" si="2"/>
        <v>0</v>
      </c>
      <c r="D8" s="1203">
        <f t="shared" si="3"/>
        <v>0.16</v>
      </c>
      <c r="E8" s="1203">
        <f t="shared" si="4"/>
        <v>1.4790000000000001</v>
      </c>
      <c r="F8" s="1203">
        <f t="shared" si="11"/>
        <v>4.2219999999999995</v>
      </c>
      <c r="G8" s="1203">
        <f t="shared" si="5"/>
        <v>1.365</v>
      </c>
      <c r="H8" s="1203">
        <f t="shared" si="6"/>
        <v>4.637999999999999</v>
      </c>
      <c r="I8" s="1203">
        <f t="shared" si="7"/>
        <v>0</v>
      </c>
      <c r="J8" s="1203">
        <f t="shared" si="8"/>
        <v>31.911000000000001</v>
      </c>
      <c r="K8" s="1203">
        <f t="shared" si="9"/>
        <v>9.6430000000000007</v>
      </c>
      <c r="L8" s="1207">
        <v>0</v>
      </c>
      <c r="M8" s="1203">
        <f t="shared" si="0"/>
        <v>3.9320000000000004</v>
      </c>
      <c r="N8" s="1203">
        <f t="shared" si="10"/>
        <v>0</v>
      </c>
      <c r="O8" s="1230">
        <v>0.7</v>
      </c>
      <c r="P8" s="1224">
        <v>0.96</v>
      </c>
      <c r="Q8" s="1223">
        <v>0</v>
      </c>
      <c r="R8" s="1232">
        <v>0.51900000000000002</v>
      </c>
      <c r="S8" s="1059">
        <v>0</v>
      </c>
      <c r="T8" s="1190">
        <v>0.16</v>
      </c>
      <c r="U8" s="1223">
        <v>2.8</v>
      </c>
      <c r="V8" s="1059">
        <v>0.504</v>
      </c>
      <c r="W8" s="1196">
        <v>0.47199999999999998</v>
      </c>
      <c r="X8" s="1196">
        <v>2E-3</v>
      </c>
      <c r="Y8" s="1223">
        <v>0</v>
      </c>
      <c r="Z8" s="1223">
        <v>0</v>
      </c>
      <c r="AA8" s="1223">
        <v>0</v>
      </c>
      <c r="AB8" s="1223">
        <v>0</v>
      </c>
      <c r="AC8" s="1059">
        <v>0</v>
      </c>
      <c r="AD8" s="1059">
        <v>0.34399999999999997</v>
      </c>
      <c r="AE8" s="1232">
        <v>0</v>
      </c>
      <c r="AF8" s="1232">
        <v>0.1</v>
      </c>
      <c r="AG8" s="1232">
        <v>4.5739999999999998</v>
      </c>
      <c r="AH8" s="1059">
        <v>0.06</v>
      </c>
      <c r="AI8" s="1059">
        <v>4.0000000000000001E-3</v>
      </c>
      <c r="AJ8" s="1059">
        <v>0</v>
      </c>
      <c r="AK8" s="1223">
        <v>0</v>
      </c>
      <c r="AL8" s="1223">
        <v>31.911000000000001</v>
      </c>
      <c r="AM8" s="1059">
        <v>4.1000000000000002E-2</v>
      </c>
      <c r="AN8" s="1223">
        <v>0.4</v>
      </c>
      <c r="AO8" s="1196">
        <v>0.41</v>
      </c>
      <c r="AP8" s="1223">
        <v>0.13100000000000001</v>
      </c>
      <c r="AQ8" s="1234">
        <v>0</v>
      </c>
      <c r="AR8" s="1223">
        <v>3</v>
      </c>
      <c r="AS8" s="1223">
        <v>0.30099999999999999</v>
      </c>
      <c r="AT8" s="1196">
        <v>5.36</v>
      </c>
      <c r="AU8" s="1059">
        <v>0</v>
      </c>
      <c r="AV8" s="1223">
        <v>0.79600000000000004</v>
      </c>
      <c r="AW8" s="1223">
        <v>0.27500000000000002</v>
      </c>
      <c r="AX8" s="1223">
        <v>1</v>
      </c>
      <c r="AY8" s="1196">
        <v>-2.6</v>
      </c>
      <c r="AZ8" s="1223">
        <v>4.4610000000000003</v>
      </c>
      <c r="BA8" s="1196">
        <v>0</v>
      </c>
      <c r="BB8" s="1223">
        <v>0.2</v>
      </c>
      <c r="BC8" s="1223">
        <v>0</v>
      </c>
      <c r="BD8" s="1223">
        <v>0</v>
      </c>
      <c r="BE8" s="1232">
        <v>1.95</v>
      </c>
      <c r="BF8" s="1196">
        <v>0</v>
      </c>
      <c r="BG8" s="1196">
        <v>0</v>
      </c>
      <c r="BH8" s="1187">
        <v>-0.875</v>
      </c>
      <c r="BI8" s="1223">
        <v>0.09</v>
      </c>
      <c r="BJ8" s="1213">
        <v>0.87</v>
      </c>
    </row>
    <row r="9" spans="1:62" x14ac:dyDescent="0.35">
      <c r="A9" s="1201">
        <v>2025</v>
      </c>
      <c r="B9" s="1203">
        <f t="shared" si="1"/>
        <v>0</v>
      </c>
      <c r="C9" s="1203">
        <f t="shared" si="2"/>
        <v>0</v>
      </c>
      <c r="D9" s="1203">
        <f t="shared" si="3"/>
        <v>3.3000000000000002E-2</v>
      </c>
      <c r="E9" s="1203">
        <f t="shared" si="4"/>
        <v>1.63</v>
      </c>
      <c r="F9" s="1203">
        <f t="shared" si="11"/>
        <v>2.3719999999999999</v>
      </c>
      <c r="G9" s="1203">
        <f t="shared" si="5"/>
        <v>-0.90100000000000025</v>
      </c>
      <c r="H9" s="1203">
        <f t="shared" si="6"/>
        <v>1.8800000000000001</v>
      </c>
      <c r="I9" s="1203">
        <f t="shared" si="7"/>
        <v>0</v>
      </c>
      <c r="J9" s="1203">
        <f t="shared" si="8"/>
        <v>23.099</v>
      </c>
      <c r="K9" s="1203">
        <f t="shared" si="9"/>
        <v>4.5789999999999997</v>
      </c>
      <c r="L9" s="1207">
        <v>0</v>
      </c>
      <c r="M9" s="1203">
        <f t="shared" si="0"/>
        <v>-0.74299999999999988</v>
      </c>
      <c r="N9" s="1203">
        <f t="shared" si="10"/>
        <v>0</v>
      </c>
      <c r="O9" s="1230">
        <v>0.7</v>
      </c>
      <c r="P9" s="1224">
        <v>1.06</v>
      </c>
      <c r="Q9" s="1223">
        <v>0</v>
      </c>
      <c r="R9" s="1232">
        <v>0.56999999999999995</v>
      </c>
      <c r="S9" s="1059">
        <v>0</v>
      </c>
      <c r="T9" s="1191">
        <v>3.3000000000000002E-2</v>
      </c>
      <c r="U9" s="1223">
        <v>2</v>
      </c>
      <c r="V9" s="1191">
        <v>0</v>
      </c>
      <c r="W9" s="1196">
        <v>0.21299999999999999</v>
      </c>
      <c r="X9" s="1196">
        <v>2E-3</v>
      </c>
      <c r="Y9" s="1223">
        <v>0</v>
      </c>
      <c r="Z9" s="1223">
        <v>0</v>
      </c>
      <c r="AA9" s="1223">
        <v>0</v>
      </c>
      <c r="AB9" s="1223">
        <v>0</v>
      </c>
      <c r="AC9" s="1059">
        <v>0</v>
      </c>
      <c r="AD9" s="1059">
        <v>0.157</v>
      </c>
      <c r="AE9" s="1232">
        <v>0</v>
      </c>
      <c r="AF9" s="1232">
        <v>0</v>
      </c>
      <c r="AG9" s="1059">
        <v>1.81</v>
      </c>
      <c r="AH9" s="1059">
        <v>7.0000000000000007E-2</v>
      </c>
      <c r="AI9" s="1059">
        <v>0</v>
      </c>
      <c r="AJ9" s="1223">
        <v>0</v>
      </c>
      <c r="AK9" s="1223">
        <v>0</v>
      </c>
      <c r="AL9" s="1223">
        <v>23.099</v>
      </c>
      <c r="AM9" s="1059">
        <v>1.2999999999999999E-2</v>
      </c>
      <c r="AN9" s="1223">
        <v>0.3</v>
      </c>
      <c r="AO9" s="1221">
        <v>0.15</v>
      </c>
      <c r="AP9" s="1223">
        <v>0.112</v>
      </c>
      <c r="AQ9" s="1234">
        <v>0</v>
      </c>
      <c r="AR9" s="1223">
        <v>0.2</v>
      </c>
      <c r="AS9" s="1223">
        <v>7.3999999999999996E-2</v>
      </c>
      <c r="AT9" s="1196">
        <v>3.73</v>
      </c>
      <c r="AU9" s="1059">
        <v>0</v>
      </c>
      <c r="AV9" s="1223">
        <v>5.3999999999999999E-2</v>
      </c>
      <c r="AW9" s="1223">
        <v>0.13100000000000001</v>
      </c>
      <c r="AX9" s="1223">
        <v>0</v>
      </c>
      <c r="AY9" s="1196">
        <v>-2.71</v>
      </c>
      <c r="AZ9" s="1223">
        <v>1.782</v>
      </c>
      <c r="BA9" s="1196">
        <v>0</v>
      </c>
      <c r="BB9" s="1223">
        <v>0</v>
      </c>
      <c r="BC9" s="1223">
        <v>0</v>
      </c>
      <c r="BD9" s="1223">
        <v>0</v>
      </c>
      <c r="BE9" s="1232">
        <v>1.43</v>
      </c>
      <c r="BF9" s="1196">
        <v>0</v>
      </c>
      <c r="BG9" s="1196">
        <v>0</v>
      </c>
      <c r="BH9" s="1187">
        <v>-2.3410000000000002</v>
      </c>
      <c r="BI9" s="1223">
        <v>0.01</v>
      </c>
      <c r="BJ9" s="1213">
        <v>0.33</v>
      </c>
    </row>
    <row r="10" spans="1:62" x14ac:dyDescent="0.35">
      <c r="A10" s="1201">
        <v>2026</v>
      </c>
      <c r="B10" s="1203">
        <f t="shared" si="1"/>
        <v>0</v>
      </c>
      <c r="C10" s="1203">
        <f t="shared" si="2"/>
        <v>0</v>
      </c>
      <c r="D10" s="1203">
        <f t="shared" si="3"/>
        <v>3.2000000000000001E-2</v>
      </c>
      <c r="E10" s="1203">
        <f t="shared" si="4"/>
        <v>1.671</v>
      </c>
      <c r="F10" s="1203">
        <f t="shared" si="11"/>
        <v>0.49</v>
      </c>
      <c r="G10" s="1203">
        <f t="shared" si="5"/>
        <v>-2.1500000000000004</v>
      </c>
      <c r="H10" s="1203">
        <f t="shared" si="6"/>
        <v>1.446</v>
      </c>
      <c r="I10" s="1203">
        <f t="shared" si="7"/>
        <v>0</v>
      </c>
      <c r="J10" s="1203">
        <f t="shared" si="8"/>
        <v>10.766999999999999</v>
      </c>
      <c r="K10" s="1203">
        <f t="shared" si="9"/>
        <v>2.9130000000000003</v>
      </c>
      <c r="L10" s="1207"/>
      <c r="M10" s="1203">
        <f t="shared" si="0"/>
        <v>-21.606000000000002</v>
      </c>
      <c r="N10" s="1203">
        <f t="shared" si="10"/>
        <v>0</v>
      </c>
      <c r="O10" s="1230">
        <v>0.7</v>
      </c>
      <c r="P10" s="1224">
        <v>1.07</v>
      </c>
      <c r="Q10" s="1223">
        <v>0</v>
      </c>
      <c r="R10" s="1232">
        <v>0.60099999999999998</v>
      </c>
      <c r="S10" s="1059">
        <v>0</v>
      </c>
      <c r="T10" s="1187">
        <v>3.2000000000000001E-2</v>
      </c>
      <c r="U10" s="1223">
        <v>0.3</v>
      </c>
      <c r="V10" s="1232">
        <v>0</v>
      </c>
      <c r="W10" s="1196">
        <v>0.188</v>
      </c>
      <c r="X10" s="1196">
        <v>2E-3</v>
      </c>
      <c r="Y10" s="1223">
        <v>0</v>
      </c>
      <c r="Z10" s="1223">
        <v>0</v>
      </c>
      <c r="AA10" s="1223">
        <v>0</v>
      </c>
      <c r="AB10" s="1223">
        <v>0</v>
      </c>
      <c r="AC10" s="1059">
        <v>0</v>
      </c>
      <c r="AD10" s="1059">
        <v>0</v>
      </c>
      <c r="AE10" s="1059">
        <v>0</v>
      </c>
      <c r="AF10" s="1232">
        <v>0</v>
      </c>
      <c r="AG10" s="1059">
        <v>1.3759999999999999</v>
      </c>
      <c r="AH10" s="1059">
        <v>7.0000000000000007E-2</v>
      </c>
      <c r="AI10" s="1059">
        <v>0</v>
      </c>
      <c r="AJ10" s="1192">
        <v>0</v>
      </c>
      <c r="AK10" s="1223">
        <v>0</v>
      </c>
      <c r="AL10" s="1223">
        <v>10.766999999999999</v>
      </c>
      <c r="AM10" s="1059">
        <v>3.0000000000000001E-3</v>
      </c>
      <c r="AN10" s="1223">
        <v>0.2</v>
      </c>
      <c r="AO10" s="1221">
        <v>0.1</v>
      </c>
      <c r="AP10" s="1223">
        <v>0.05</v>
      </c>
      <c r="AQ10" s="1234">
        <v>0</v>
      </c>
      <c r="AR10" s="1223">
        <v>0</v>
      </c>
      <c r="AS10" s="1223">
        <v>0</v>
      </c>
      <c r="AT10" s="1196">
        <v>2.56</v>
      </c>
      <c r="AU10" s="1059">
        <v>0</v>
      </c>
      <c r="AV10" s="1223">
        <v>3.7999999999999999E-2</v>
      </c>
      <c r="AW10" s="1223">
        <v>2.5999999999999999E-2</v>
      </c>
      <c r="AX10" s="1223">
        <v>0</v>
      </c>
      <c r="AY10" s="1196">
        <v>-2.6700000000000004</v>
      </c>
      <c r="AZ10" s="1223">
        <v>0</v>
      </c>
      <c r="BA10" s="1196">
        <v>-19</v>
      </c>
      <c r="BB10" s="1223">
        <v>0</v>
      </c>
      <c r="BC10" s="1223">
        <v>0</v>
      </c>
      <c r="BD10" s="1223">
        <v>0</v>
      </c>
      <c r="BE10" s="1196">
        <v>0.88</v>
      </c>
      <c r="BF10" s="1196">
        <v>0</v>
      </c>
      <c r="BG10" s="1196">
        <v>0</v>
      </c>
      <c r="BH10" s="1059">
        <v>-2.8200000000000003</v>
      </c>
      <c r="BI10" s="1223">
        <v>-0.21</v>
      </c>
      <c r="BJ10" s="1213">
        <v>0.17</v>
      </c>
    </row>
    <row r="11" spans="1:62" x14ac:dyDescent="0.35">
      <c r="A11" s="1201">
        <v>2027</v>
      </c>
      <c r="B11" s="1203">
        <f t="shared" si="1"/>
        <v>0</v>
      </c>
      <c r="C11" s="1203">
        <f t="shared" si="2"/>
        <v>0</v>
      </c>
      <c r="D11" s="1203">
        <f t="shared" si="3"/>
        <v>3.2000000000000001E-2</v>
      </c>
      <c r="E11" s="1203">
        <f t="shared" si="4"/>
        <v>1.7130000000000001</v>
      </c>
      <c r="F11" s="1203">
        <f t="shared" si="11"/>
        <v>0</v>
      </c>
      <c r="G11" s="1203">
        <f t="shared" si="5"/>
        <v>-4.8169999999999993</v>
      </c>
      <c r="H11" s="1203">
        <f t="shared" si="6"/>
        <v>0.65699999999999992</v>
      </c>
      <c r="I11" s="1203">
        <f t="shared" si="7"/>
        <v>0</v>
      </c>
      <c r="J11" s="1203">
        <f t="shared" si="8"/>
        <v>4.0789999999999997</v>
      </c>
      <c r="K11" s="1203">
        <f t="shared" si="9"/>
        <v>2.46</v>
      </c>
      <c r="L11" s="1207"/>
      <c r="M11" s="1203">
        <f t="shared" si="0"/>
        <v>-14.713000000000001</v>
      </c>
      <c r="N11" s="1203">
        <f t="shared" si="10"/>
        <v>0</v>
      </c>
      <c r="O11" s="1230">
        <v>0.3</v>
      </c>
      <c r="P11" s="1224">
        <v>1.08</v>
      </c>
      <c r="Q11" s="1223">
        <v>0</v>
      </c>
      <c r="R11" s="1232">
        <v>0.63300000000000001</v>
      </c>
      <c r="S11" s="1190">
        <v>0</v>
      </c>
      <c r="T11" s="1223">
        <v>3.2000000000000001E-2</v>
      </c>
      <c r="U11" s="1223">
        <v>0</v>
      </c>
      <c r="V11" s="1059">
        <v>0</v>
      </c>
      <c r="W11" s="1196">
        <v>0</v>
      </c>
      <c r="X11" s="1196">
        <v>0</v>
      </c>
      <c r="Y11" s="1223">
        <v>0</v>
      </c>
      <c r="Z11" s="1223">
        <v>0</v>
      </c>
      <c r="AA11" s="1223">
        <v>0</v>
      </c>
      <c r="AB11" s="1223">
        <v>0</v>
      </c>
      <c r="AC11" s="1059">
        <v>0</v>
      </c>
      <c r="AD11" s="1232">
        <v>0</v>
      </c>
      <c r="AE11" s="1059">
        <v>0</v>
      </c>
      <c r="AF11" s="1232">
        <v>0</v>
      </c>
      <c r="AG11" s="1059">
        <v>0.57699999999999996</v>
      </c>
      <c r="AH11" s="1059">
        <v>0.08</v>
      </c>
      <c r="AI11" s="1059">
        <v>0</v>
      </c>
      <c r="AJ11" s="1059">
        <v>0</v>
      </c>
      <c r="AK11" s="1223">
        <v>0</v>
      </c>
      <c r="AL11" s="1223">
        <v>4.0789999999999997</v>
      </c>
      <c r="AM11" s="1223">
        <v>0</v>
      </c>
      <c r="AN11" s="1223">
        <v>0.1</v>
      </c>
      <c r="AO11" s="1221">
        <v>0.1</v>
      </c>
      <c r="AP11" s="1223">
        <v>0.03</v>
      </c>
      <c r="AQ11" s="1234">
        <v>0</v>
      </c>
      <c r="AR11" s="1223">
        <v>0</v>
      </c>
      <c r="AS11" s="1223">
        <v>0</v>
      </c>
      <c r="AT11" s="1221">
        <v>2.23</v>
      </c>
      <c r="AU11" s="1059">
        <v>0</v>
      </c>
      <c r="AV11" s="1223">
        <v>1.7000000000000001E-2</v>
      </c>
      <c r="AW11" s="1223">
        <v>0</v>
      </c>
      <c r="AX11" s="1223">
        <v>0</v>
      </c>
      <c r="AY11" s="1196">
        <v>-2.73</v>
      </c>
      <c r="AZ11" s="1223">
        <v>0</v>
      </c>
      <c r="BA11" s="1196">
        <v>-12</v>
      </c>
      <c r="BB11" s="1223">
        <v>0</v>
      </c>
      <c r="BC11" s="1223">
        <v>0</v>
      </c>
      <c r="BD11" s="1223">
        <v>0</v>
      </c>
      <c r="BE11" s="1196">
        <v>0.28000000000000003</v>
      </c>
      <c r="BF11" s="1196">
        <v>0</v>
      </c>
      <c r="BG11" s="1196">
        <v>0</v>
      </c>
      <c r="BH11" s="1191">
        <v>-5.0069999999999997</v>
      </c>
      <c r="BI11" s="1223">
        <v>-0.09</v>
      </c>
      <c r="BJ11" s="1214">
        <v>0.06</v>
      </c>
    </row>
    <row r="12" spans="1:62" x14ac:dyDescent="0.35">
      <c r="A12" s="1201">
        <v>2028</v>
      </c>
      <c r="B12" s="1203">
        <f t="shared" si="1"/>
        <v>0</v>
      </c>
      <c r="C12" s="1203">
        <f t="shared" si="2"/>
        <v>0</v>
      </c>
      <c r="D12" s="1203">
        <f t="shared" si="3"/>
        <v>3.3000000000000002E-2</v>
      </c>
      <c r="E12" s="1203">
        <f t="shared" si="4"/>
        <v>1.7130000000000001</v>
      </c>
      <c r="F12" s="1203">
        <f t="shared" si="11"/>
        <v>0</v>
      </c>
      <c r="G12" s="1203">
        <f t="shared" si="5"/>
        <v>-5.0590000000000002</v>
      </c>
      <c r="H12" s="1203">
        <f t="shared" si="6"/>
        <v>-1.071</v>
      </c>
      <c r="I12" s="1203">
        <f t="shared" si="7"/>
        <v>0</v>
      </c>
      <c r="J12" s="1203">
        <f t="shared" si="8"/>
        <v>1.635</v>
      </c>
      <c r="K12" s="1203">
        <f t="shared" si="9"/>
        <v>1.81</v>
      </c>
      <c r="L12" s="1207"/>
      <c r="M12" s="1203">
        <f t="shared" si="0"/>
        <v>-2.7690000000000001</v>
      </c>
      <c r="N12" s="1203">
        <f t="shared" si="10"/>
        <v>0</v>
      </c>
      <c r="O12" s="1230">
        <v>0.3</v>
      </c>
      <c r="P12" s="1224">
        <v>1.08</v>
      </c>
      <c r="Q12" s="1223">
        <v>0</v>
      </c>
      <c r="R12" s="1232">
        <v>0.63300000000000001</v>
      </c>
      <c r="S12" s="1190">
        <v>0</v>
      </c>
      <c r="T12" s="1193">
        <v>3.3000000000000002E-2</v>
      </c>
      <c r="U12" s="1223">
        <v>0</v>
      </c>
      <c r="V12" s="1059">
        <v>0</v>
      </c>
      <c r="W12" s="1196">
        <v>0</v>
      </c>
      <c r="X12" s="1196">
        <v>0</v>
      </c>
      <c r="Y12" s="1223">
        <v>0</v>
      </c>
      <c r="Z12" s="1223">
        <v>0</v>
      </c>
      <c r="AA12" s="1223">
        <v>0</v>
      </c>
      <c r="AB12" s="1223">
        <v>0</v>
      </c>
      <c r="AC12" s="1059">
        <v>0</v>
      </c>
      <c r="AD12" s="1059">
        <v>0</v>
      </c>
      <c r="AE12" s="1059">
        <v>0</v>
      </c>
      <c r="AF12" s="1059">
        <v>0</v>
      </c>
      <c r="AG12" s="1059">
        <v>-1.151</v>
      </c>
      <c r="AH12" s="1059">
        <v>0.08</v>
      </c>
      <c r="AI12" s="1059">
        <v>0</v>
      </c>
      <c r="AJ12" s="1059">
        <v>0</v>
      </c>
      <c r="AK12" s="1223">
        <v>0</v>
      </c>
      <c r="AL12" s="1223">
        <v>1.635</v>
      </c>
      <c r="AM12" s="1223">
        <v>0</v>
      </c>
      <c r="AN12" s="1223">
        <v>0.1</v>
      </c>
      <c r="AO12" s="1196">
        <v>0</v>
      </c>
      <c r="AP12" s="1223">
        <v>0</v>
      </c>
      <c r="AQ12" s="1234">
        <v>0</v>
      </c>
      <c r="AR12" s="1223">
        <v>0</v>
      </c>
      <c r="AS12" s="1223">
        <v>0</v>
      </c>
      <c r="AT12" s="1221">
        <v>1.71</v>
      </c>
      <c r="AU12" s="1059">
        <v>0</v>
      </c>
      <c r="AV12" s="1223">
        <v>1E-3</v>
      </c>
      <c r="AW12" s="1223">
        <v>0</v>
      </c>
      <c r="AX12" s="1223">
        <v>0</v>
      </c>
      <c r="AY12" s="1196">
        <v>-2.77</v>
      </c>
      <c r="AZ12" s="1223">
        <v>0</v>
      </c>
      <c r="BA12" s="1196">
        <v>0</v>
      </c>
      <c r="BB12" s="1223">
        <v>0</v>
      </c>
      <c r="BC12" s="1223">
        <v>0</v>
      </c>
      <c r="BD12" s="1223">
        <v>0</v>
      </c>
      <c r="BE12" s="1196">
        <v>0.1</v>
      </c>
      <c r="BF12" s="1196">
        <v>0</v>
      </c>
      <c r="BG12" s="1196">
        <v>0</v>
      </c>
      <c r="BH12" s="1191">
        <v>-5.069</v>
      </c>
      <c r="BI12" s="1223">
        <v>-0.09</v>
      </c>
      <c r="BJ12" s="1214">
        <v>0.03</v>
      </c>
    </row>
    <row r="13" spans="1:62" x14ac:dyDescent="0.35">
      <c r="A13" s="1201">
        <v>2029</v>
      </c>
      <c r="B13" s="1203">
        <f t="shared" si="1"/>
        <v>0</v>
      </c>
      <c r="C13" s="1203">
        <f t="shared" si="2"/>
        <v>0</v>
      </c>
      <c r="D13" s="1203">
        <f t="shared" si="3"/>
        <v>3.3000000000000002E-2</v>
      </c>
      <c r="E13" s="1203">
        <f t="shared" si="4"/>
        <v>1.7130000000000001</v>
      </c>
      <c r="F13" s="1203">
        <f t="shared" si="11"/>
        <v>0</v>
      </c>
      <c r="G13" s="1203">
        <f t="shared" si="5"/>
        <v>-5.218</v>
      </c>
      <c r="H13" s="1203">
        <f t="shared" si="6"/>
        <v>-1.964</v>
      </c>
      <c r="I13" s="1203">
        <f t="shared" si="7"/>
        <v>0</v>
      </c>
      <c r="J13" s="1203">
        <f t="shared" si="8"/>
        <v>-1.7000000000000001E-2</v>
      </c>
      <c r="K13" s="1203">
        <f t="shared" si="9"/>
        <v>1</v>
      </c>
      <c r="L13" s="1207"/>
      <c r="M13" s="1203">
        <f t="shared" si="0"/>
        <v>-2.75</v>
      </c>
      <c r="N13" s="1203">
        <f t="shared" si="10"/>
        <v>0</v>
      </c>
      <c r="O13" s="1230">
        <v>0.3</v>
      </c>
      <c r="P13" s="1224">
        <v>1.08</v>
      </c>
      <c r="Q13" s="1223">
        <v>0</v>
      </c>
      <c r="R13" s="1232">
        <v>0.63300000000000001</v>
      </c>
      <c r="S13" s="1190">
        <v>0</v>
      </c>
      <c r="T13" s="1059">
        <v>3.3000000000000002E-2</v>
      </c>
      <c r="U13" s="1223">
        <v>0</v>
      </c>
      <c r="V13" s="1059">
        <v>0</v>
      </c>
      <c r="W13" s="1196">
        <v>0</v>
      </c>
      <c r="X13" s="1196">
        <v>0</v>
      </c>
      <c r="Y13" s="1223">
        <v>0</v>
      </c>
      <c r="Z13" s="1223">
        <v>0</v>
      </c>
      <c r="AA13" s="1223">
        <v>0</v>
      </c>
      <c r="AB13" s="1223">
        <v>0</v>
      </c>
      <c r="AC13" s="1059">
        <v>0</v>
      </c>
      <c r="AD13" s="1059">
        <v>0</v>
      </c>
      <c r="AE13" s="1059">
        <v>0</v>
      </c>
      <c r="AF13" s="1059">
        <v>0</v>
      </c>
      <c r="AG13" s="1223">
        <v>-2.044</v>
      </c>
      <c r="AH13" s="1059">
        <v>0.08</v>
      </c>
      <c r="AI13" s="1059">
        <v>0</v>
      </c>
      <c r="AJ13" s="1194">
        <v>0</v>
      </c>
      <c r="AK13" s="1223">
        <v>0</v>
      </c>
      <c r="AL13" s="1223">
        <v>-1.7000000000000001E-2</v>
      </c>
      <c r="AM13" s="1223">
        <v>0</v>
      </c>
      <c r="AN13" s="1223">
        <v>0</v>
      </c>
      <c r="AO13" s="1196">
        <v>0</v>
      </c>
      <c r="AP13" s="1223">
        <v>0</v>
      </c>
      <c r="AQ13" s="1234">
        <v>0</v>
      </c>
      <c r="AR13" s="1223">
        <v>0</v>
      </c>
      <c r="AS13" s="1223">
        <v>0</v>
      </c>
      <c r="AT13" s="1221">
        <v>1</v>
      </c>
      <c r="AU13" s="1059">
        <v>0</v>
      </c>
      <c r="AV13" s="1223">
        <v>0</v>
      </c>
      <c r="AW13" s="1223">
        <v>0</v>
      </c>
      <c r="AX13" s="1223">
        <v>0</v>
      </c>
      <c r="AY13" s="1196">
        <v>-2.75</v>
      </c>
      <c r="AZ13" s="1223">
        <v>0</v>
      </c>
      <c r="BA13" s="1196">
        <v>0</v>
      </c>
      <c r="BB13" s="1223">
        <v>0</v>
      </c>
      <c r="BC13" s="1223">
        <v>0</v>
      </c>
      <c r="BD13" s="1223">
        <v>0</v>
      </c>
      <c r="BE13" s="1196">
        <v>0</v>
      </c>
      <c r="BF13" s="1195">
        <v>0</v>
      </c>
      <c r="BG13" s="1196">
        <v>0</v>
      </c>
      <c r="BH13" s="1191">
        <v>-5.1180000000000003</v>
      </c>
      <c r="BI13" s="1223">
        <v>-0.1</v>
      </c>
      <c r="BJ13" s="1214">
        <v>0.01</v>
      </c>
    </row>
    <row r="14" spans="1:62" x14ac:dyDescent="0.35">
      <c r="A14" s="1201">
        <v>2030</v>
      </c>
      <c r="B14" s="1203">
        <f t="shared" si="1"/>
        <v>0</v>
      </c>
      <c r="C14" s="1203">
        <f t="shared" si="2"/>
        <v>0</v>
      </c>
      <c r="D14" s="1203">
        <f t="shared" si="3"/>
        <v>3.3000000000000002E-2</v>
      </c>
      <c r="E14" s="1203">
        <f t="shared" si="4"/>
        <v>1.8130000000000002</v>
      </c>
      <c r="F14" s="1203">
        <f t="shared" si="11"/>
        <v>0</v>
      </c>
      <c r="G14" s="1203">
        <f t="shared" si="5"/>
        <v>-5.9420000000000002</v>
      </c>
      <c r="H14" s="1203">
        <f t="shared" si="6"/>
        <v>-2.0210000000000004</v>
      </c>
      <c r="I14" s="1203">
        <f t="shared" si="7"/>
        <v>0</v>
      </c>
      <c r="J14" s="1203">
        <f t="shared" si="8"/>
        <v>-1.9E-2</v>
      </c>
      <c r="K14" s="1203">
        <f t="shared" si="9"/>
        <v>0.8</v>
      </c>
      <c r="L14" s="1207"/>
      <c r="M14" s="1203">
        <f t="shared" si="0"/>
        <v>-8.1189999999999998</v>
      </c>
      <c r="N14" s="1203">
        <f t="shared" si="10"/>
        <v>0</v>
      </c>
      <c r="O14" s="1230">
        <v>0.3</v>
      </c>
      <c r="P14" s="1224">
        <v>1.1800000000000002</v>
      </c>
      <c r="Q14" s="1223">
        <v>0</v>
      </c>
      <c r="R14" s="1232">
        <v>0.63300000000000001</v>
      </c>
      <c r="S14" s="1190">
        <v>0</v>
      </c>
      <c r="T14" s="1059">
        <v>3.3000000000000002E-2</v>
      </c>
      <c r="U14" s="1223">
        <v>0</v>
      </c>
      <c r="V14" s="1059">
        <v>0</v>
      </c>
      <c r="W14" s="1196">
        <v>0</v>
      </c>
      <c r="X14" s="1196">
        <v>0</v>
      </c>
      <c r="Y14" s="1223">
        <v>0</v>
      </c>
      <c r="Z14" s="1223">
        <v>0</v>
      </c>
      <c r="AA14" s="1223">
        <v>0</v>
      </c>
      <c r="AB14" s="1223">
        <v>0</v>
      </c>
      <c r="AC14" s="1059">
        <v>0</v>
      </c>
      <c r="AD14" s="1232">
        <v>0</v>
      </c>
      <c r="AE14" s="1223">
        <v>0</v>
      </c>
      <c r="AF14" s="1059">
        <v>0</v>
      </c>
      <c r="AG14" s="1059">
        <v>-2.1110000000000002</v>
      </c>
      <c r="AH14" s="1059">
        <v>0.09</v>
      </c>
      <c r="AI14" s="1059">
        <v>0</v>
      </c>
      <c r="AJ14" s="1197">
        <v>0</v>
      </c>
      <c r="AK14" s="1223">
        <v>0</v>
      </c>
      <c r="AL14" s="1223">
        <v>-1.9E-2</v>
      </c>
      <c r="AM14" s="1223">
        <v>0</v>
      </c>
      <c r="AN14" s="1223">
        <v>0</v>
      </c>
      <c r="AO14" s="1196">
        <v>0</v>
      </c>
      <c r="AP14" s="1223">
        <v>0</v>
      </c>
      <c r="AQ14" s="1234">
        <v>0</v>
      </c>
      <c r="AR14" s="1223">
        <v>0</v>
      </c>
      <c r="AS14" s="1223">
        <v>0</v>
      </c>
      <c r="AT14" s="1196">
        <v>0.8</v>
      </c>
      <c r="AU14" s="1059">
        <v>-5.4089999999999998</v>
      </c>
      <c r="AV14" s="1223">
        <v>0</v>
      </c>
      <c r="AW14" s="1223">
        <v>0</v>
      </c>
      <c r="AX14" s="1223">
        <v>0</v>
      </c>
      <c r="AY14" s="1196">
        <v>-2.71</v>
      </c>
      <c r="AZ14" s="1223">
        <v>0</v>
      </c>
      <c r="BA14" s="1196">
        <v>0</v>
      </c>
      <c r="BB14" s="1223">
        <v>0</v>
      </c>
      <c r="BC14" s="1223">
        <v>0</v>
      </c>
      <c r="BD14" s="1223">
        <v>0</v>
      </c>
      <c r="BE14" s="1223">
        <v>0</v>
      </c>
      <c r="BF14" s="1196">
        <v>0</v>
      </c>
      <c r="BG14" s="1196">
        <v>0</v>
      </c>
      <c r="BH14" s="1059">
        <v>-5.8319999999999999</v>
      </c>
      <c r="BI14" s="1223">
        <v>-0.11</v>
      </c>
      <c r="BJ14" s="1213">
        <v>0.01</v>
      </c>
    </row>
    <row r="15" spans="1:62" ht="17.25" customHeight="1" x14ac:dyDescent="0.35">
      <c r="A15" s="1201">
        <v>2031</v>
      </c>
      <c r="B15" s="1203">
        <f t="shared" si="1"/>
        <v>0</v>
      </c>
      <c r="C15" s="1203">
        <f t="shared" si="2"/>
        <v>0</v>
      </c>
      <c r="D15" s="1203">
        <f t="shared" si="3"/>
        <v>0</v>
      </c>
      <c r="E15" s="1203">
        <f t="shared" si="4"/>
        <v>1.8230000000000002</v>
      </c>
      <c r="F15" s="1203">
        <f t="shared" si="11"/>
        <v>0</v>
      </c>
      <c r="G15" s="1203">
        <f t="shared" si="5"/>
        <v>-7.7250000000000005</v>
      </c>
      <c r="H15" s="1203">
        <f t="shared" si="6"/>
        <v>-2.4630000000000001</v>
      </c>
      <c r="I15" s="1203">
        <f t="shared" si="7"/>
        <v>0</v>
      </c>
      <c r="J15" s="1203">
        <f t="shared" si="8"/>
        <v>-1.9E-2</v>
      </c>
      <c r="K15" s="1203">
        <f t="shared" si="9"/>
        <v>0</v>
      </c>
      <c r="L15" s="1207"/>
      <c r="M15" s="1203">
        <f t="shared" si="0"/>
        <v>-3.0390000000000001</v>
      </c>
      <c r="N15" s="1203">
        <f t="shared" si="10"/>
        <v>0</v>
      </c>
      <c r="O15" s="1230">
        <v>0.3</v>
      </c>
      <c r="P15" s="1224">
        <v>1.1900000000000002</v>
      </c>
      <c r="Q15" s="1223">
        <v>0</v>
      </c>
      <c r="R15" s="1232">
        <v>0.63300000000000001</v>
      </c>
      <c r="S15" s="1190">
        <v>0</v>
      </c>
      <c r="T15" s="1196">
        <v>0</v>
      </c>
      <c r="U15" s="1223">
        <v>0</v>
      </c>
      <c r="V15" s="1223">
        <v>0</v>
      </c>
      <c r="W15" s="1196">
        <v>0</v>
      </c>
      <c r="X15" s="1196">
        <v>0</v>
      </c>
      <c r="Y15" s="1223">
        <v>0</v>
      </c>
      <c r="Z15" s="1223">
        <v>0</v>
      </c>
      <c r="AA15" s="1223">
        <v>0</v>
      </c>
      <c r="AB15" s="1223">
        <v>0</v>
      </c>
      <c r="AC15" s="1059">
        <v>0</v>
      </c>
      <c r="AD15" s="1223">
        <v>0</v>
      </c>
      <c r="AE15" s="1059">
        <v>0</v>
      </c>
      <c r="AF15" s="1059">
        <v>0</v>
      </c>
      <c r="AG15" s="1059">
        <v>-2.5529999999999999</v>
      </c>
      <c r="AH15" s="1059">
        <v>0.09</v>
      </c>
      <c r="AI15" s="1059">
        <v>0</v>
      </c>
      <c r="AJ15" s="1198">
        <v>0</v>
      </c>
      <c r="AK15" s="1223">
        <v>0</v>
      </c>
      <c r="AL15" s="1223">
        <v>-1.9E-2</v>
      </c>
      <c r="AM15" s="1223">
        <v>0</v>
      </c>
      <c r="AN15" s="1223">
        <v>0</v>
      </c>
      <c r="AO15" s="1196">
        <v>0</v>
      </c>
      <c r="AP15" s="1223">
        <v>0</v>
      </c>
      <c r="AQ15" s="1234">
        <v>0</v>
      </c>
      <c r="AR15" s="1223">
        <v>0</v>
      </c>
      <c r="AS15" s="1223">
        <v>0</v>
      </c>
      <c r="AT15" s="1196">
        <v>0</v>
      </c>
      <c r="AU15" s="1059">
        <v>-0.26900000000000002</v>
      </c>
      <c r="AV15" s="1223">
        <v>0</v>
      </c>
      <c r="AW15" s="1223">
        <v>0</v>
      </c>
      <c r="AX15" s="1223">
        <v>0</v>
      </c>
      <c r="AY15" s="1196">
        <v>-2.77</v>
      </c>
      <c r="AZ15" s="1223">
        <v>0</v>
      </c>
      <c r="BA15" s="1196">
        <v>0</v>
      </c>
      <c r="BB15" s="1223">
        <v>0</v>
      </c>
      <c r="BC15" s="1223">
        <v>0</v>
      </c>
      <c r="BD15" s="1223">
        <v>0</v>
      </c>
      <c r="BE15" s="1223">
        <v>0</v>
      </c>
      <c r="BF15" s="1196">
        <v>0</v>
      </c>
      <c r="BG15" s="1196">
        <v>0</v>
      </c>
      <c r="BH15" s="1059">
        <v>-5.4350000000000005</v>
      </c>
      <c r="BI15" s="1223">
        <v>-2.29</v>
      </c>
      <c r="BJ15" s="1213">
        <v>0</v>
      </c>
    </row>
    <row r="16" spans="1:62" x14ac:dyDescent="0.35">
      <c r="A16" s="1202" t="s">
        <v>312</v>
      </c>
      <c r="B16" s="1202">
        <f>SUM(B5:B15)</f>
        <v>412.15299999999996</v>
      </c>
      <c r="C16" s="1202">
        <f>SUM(C5:C15)</f>
        <v>205.79999999999998</v>
      </c>
      <c r="D16" s="1202">
        <f>SUM(D5:D15)</f>
        <v>22.711000000000006</v>
      </c>
      <c r="E16" s="1202">
        <f t="shared" ref="E16:H16" si="12">SUM(E5:E15)</f>
        <v>35.466000000000015</v>
      </c>
      <c r="F16" s="1202">
        <f t="shared" si="12"/>
        <v>91.563000000000002</v>
      </c>
      <c r="G16" s="1203">
        <f t="shared" si="5"/>
        <v>174.17</v>
      </c>
      <c r="H16" s="1202">
        <f t="shared" si="12"/>
        <v>21.600999999999996</v>
      </c>
      <c r="I16" s="1207">
        <f t="shared" ref="I16" si="13">SUM(I5:I15)</f>
        <v>362.04999999999995</v>
      </c>
      <c r="J16" s="1207">
        <f t="shared" ref="J16" si="14">SUM(J5:J15)</f>
        <v>169.16899999999998</v>
      </c>
      <c r="K16" s="1203">
        <f t="shared" si="9"/>
        <v>112.72</v>
      </c>
      <c r="L16" s="1207">
        <f>SUM(L5:L15)</f>
        <v>25.75</v>
      </c>
      <c r="M16" s="1203">
        <f t="shared" si="0"/>
        <v>85.197999999999993</v>
      </c>
      <c r="N16" s="1203">
        <f>AK16</f>
        <v>8.5</v>
      </c>
      <c r="O16" s="1231">
        <f t="shared" ref="O16:BI16" si="15">SUM(O5:O15)</f>
        <v>109.3</v>
      </c>
      <c r="P16" s="1223">
        <f t="shared" si="15"/>
        <v>25.819999999999997</v>
      </c>
      <c r="Q16" s="1223">
        <f t="shared" si="15"/>
        <v>412.15299999999996</v>
      </c>
      <c r="R16" s="1223">
        <f t="shared" si="15"/>
        <v>5.774</v>
      </c>
      <c r="S16" s="1223">
        <f t="shared" si="15"/>
        <v>3.8719999999999999</v>
      </c>
      <c r="T16" s="1223">
        <f t="shared" si="15"/>
        <v>22.711000000000006</v>
      </c>
      <c r="U16" s="1223">
        <f t="shared" si="15"/>
        <v>41.599999999999994</v>
      </c>
      <c r="V16" s="1223">
        <f t="shared" si="15"/>
        <v>44.947999999999993</v>
      </c>
      <c r="W16" s="1223">
        <f t="shared" si="15"/>
        <v>5</v>
      </c>
      <c r="X16" s="1223">
        <f t="shared" si="15"/>
        <v>1.4440000000000002</v>
      </c>
      <c r="Y16" s="1223">
        <f t="shared" si="15"/>
        <v>0.2</v>
      </c>
      <c r="Z16" s="1223">
        <f t="shared" si="15"/>
        <v>45.4</v>
      </c>
      <c r="AA16" s="1223">
        <f t="shared" si="15"/>
        <v>35.5</v>
      </c>
      <c r="AB16" s="1223">
        <f t="shared" si="15"/>
        <v>124.7</v>
      </c>
      <c r="AC16" s="1223">
        <f t="shared" si="15"/>
        <v>28</v>
      </c>
      <c r="AD16" s="1223">
        <f t="shared" si="15"/>
        <v>9.100000000000022E-2</v>
      </c>
      <c r="AE16" s="1223">
        <f t="shared" si="15"/>
        <v>22.810000000000002</v>
      </c>
      <c r="AF16" s="1223">
        <f t="shared" si="15"/>
        <v>1.42</v>
      </c>
      <c r="AG16" s="1223">
        <f t="shared" si="15"/>
        <v>20.662999999999997</v>
      </c>
      <c r="AH16" s="1223">
        <f t="shared" si="15"/>
        <v>0.86999999999999988</v>
      </c>
      <c r="AI16" s="1223">
        <f t="shared" si="15"/>
        <v>6.8000000000000005E-2</v>
      </c>
      <c r="AJ16" s="1223">
        <f t="shared" si="15"/>
        <v>362.04999999999995</v>
      </c>
      <c r="AK16" s="1223">
        <f t="shared" ref="AK16:AO16" si="16">SUM(AK5:AK15)</f>
        <v>8.5</v>
      </c>
      <c r="AL16" s="1223">
        <f t="shared" si="16"/>
        <v>169.16899999999998</v>
      </c>
      <c r="AM16" s="1205">
        <f t="shared" si="16"/>
        <v>0.79700000000000004</v>
      </c>
      <c r="AN16" s="1223">
        <f t="shared" si="16"/>
        <v>8.6</v>
      </c>
      <c r="AO16" s="1223">
        <f t="shared" si="16"/>
        <v>3.2000000000000006</v>
      </c>
      <c r="AP16" s="1223">
        <f t="shared" si="15"/>
        <v>2.8000000000000003</v>
      </c>
      <c r="AQ16" s="1208">
        <f>SUM(AQ5:AQ15)</f>
        <v>28</v>
      </c>
      <c r="AR16" s="1223">
        <f>SUM(AR5:AR15)</f>
        <v>14.899999999999999</v>
      </c>
      <c r="AS16" s="1223">
        <f>SUM(AS5:AS15)</f>
        <v>3.8730000000000002</v>
      </c>
      <c r="AT16" s="1223">
        <f t="shared" ref="AT16" si="17">SUM(AT5:AT15)</f>
        <v>50.54999999999999</v>
      </c>
      <c r="AU16" s="1223">
        <f t="shared" si="15"/>
        <v>-5.6779999999999999</v>
      </c>
      <c r="AV16" s="1223">
        <f t="shared" si="15"/>
        <v>8.177999999999999</v>
      </c>
      <c r="AW16" s="1223">
        <f t="shared" si="15"/>
        <v>16.667999999999999</v>
      </c>
      <c r="AX16" s="1223">
        <f t="shared" si="15"/>
        <v>9.9</v>
      </c>
      <c r="AY16" s="1223">
        <f t="shared" si="15"/>
        <v>-25.860000000000003</v>
      </c>
      <c r="AZ16" s="1223">
        <f t="shared" si="15"/>
        <v>81.99</v>
      </c>
      <c r="BA16" s="1223">
        <v>0</v>
      </c>
      <c r="BB16" s="1223">
        <f t="shared" si="15"/>
        <v>24</v>
      </c>
      <c r="BC16" s="1223">
        <f t="shared" si="15"/>
        <v>7.25</v>
      </c>
      <c r="BD16" s="1223">
        <f t="shared" si="15"/>
        <v>49.8</v>
      </c>
      <c r="BE16" s="1223">
        <f t="shared" si="15"/>
        <v>9.02</v>
      </c>
      <c r="BF16" s="1223">
        <f t="shared" si="15"/>
        <v>6.2439999999999998</v>
      </c>
      <c r="BG16" s="1223">
        <f t="shared" si="15"/>
        <v>10.218</v>
      </c>
      <c r="BH16" s="1223">
        <f t="shared" si="15"/>
        <v>50.203999999999979</v>
      </c>
      <c r="BI16" s="1223">
        <f t="shared" si="15"/>
        <v>24.684000000000005</v>
      </c>
      <c r="BJ16" s="1215">
        <f>SUM(BJ5:BJ15)</f>
        <v>9.5399999999999991</v>
      </c>
    </row>
    <row r="17" spans="2:61" x14ac:dyDescent="0.35">
      <c r="R17" s="1232"/>
      <c r="S17" s="1232"/>
      <c r="W17" s="1232"/>
      <c r="X17" s="1232"/>
      <c r="AE17" s="1232"/>
      <c r="AF17" s="1232"/>
      <c r="AV17" s="1232"/>
      <c r="AW17" s="1232"/>
      <c r="AX17" s="1232"/>
      <c r="AY17" s="1232"/>
      <c r="AZ17" s="1232"/>
      <c r="BA17" s="1232"/>
      <c r="BC17" s="1232"/>
      <c r="BE17" s="1232"/>
      <c r="BF17" s="1232"/>
      <c r="BG17" s="1232"/>
    </row>
    <row r="18" spans="2:61" x14ac:dyDescent="0.35">
      <c r="R18" s="1232"/>
      <c r="S18" s="1232"/>
      <c r="W18" s="1232"/>
      <c r="X18" s="1232"/>
      <c r="AE18" s="1232"/>
      <c r="AF18" s="1232"/>
      <c r="AV18" s="1232"/>
      <c r="AW18" s="1232"/>
      <c r="AX18" s="1232"/>
      <c r="AY18" s="1232"/>
      <c r="AZ18" s="1232"/>
      <c r="BA18" s="1232"/>
      <c r="BC18" s="1232" t="s">
        <v>728</v>
      </c>
      <c r="BD18" s="1232" t="s">
        <v>728</v>
      </c>
      <c r="BE18" s="1232"/>
      <c r="BF18" s="1232" t="s">
        <v>728</v>
      </c>
      <c r="BG18" s="1232" t="s">
        <v>728</v>
      </c>
      <c r="BI18" s="1232" t="s">
        <v>728</v>
      </c>
    </row>
    <row r="19" spans="2:61" x14ac:dyDescent="0.35">
      <c r="B19" s="979"/>
      <c r="C19" s="979"/>
      <c r="D19" s="979"/>
      <c r="E19" s="979"/>
      <c r="F19" s="979"/>
      <c r="H19" s="979"/>
      <c r="I19" s="979"/>
      <c r="J19" s="979"/>
      <c r="K19" s="979"/>
      <c r="M19" s="979"/>
      <c r="N19" s="979"/>
      <c r="R19" s="1232"/>
      <c r="S19" s="1232"/>
      <c r="W19" s="1232"/>
      <c r="X19" s="1232"/>
      <c r="AE19" s="1232"/>
      <c r="AF19" s="1232"/>
      <c r="AV19" s="1232"/>
      <c r="AW19" s="1232"/>
      <c r="AX19" s="1232"/>
      <c r="AY19" s="1232"/>
      <c r="AZ19" s="1232"/>
      <c r="BA19" s="1232"/>
      <c r="BC19" s="1232"/>
      <c r="BD19" t="s">
        <v>729</v>
      </c>
      <c r="BE19" s="1232"/>
      <c r="BF19" s="1232"/>
      <c r="BG19" s="1232"/>
    </row>
    <row r="20" spans="2:61" x14ac:dyDescent="0.35">
      <c r="R20" s="1232"/>
      <c r="S20" s="1232"/>
      <c r="W20" s="1232"/>
      <c r="X20" s="1232"/>
      <c r="AE20" s="1232"/>
      <c r="AF20" s="1232"/>
      <c r="AV20" s="1232"/>
      <c r="AW20" s="1232"/>
      <c r="AX20" s="1232"/>
      <c r="AY20" s="1232"/>
      <c r="AZ20" s="1232"/>
      <c r="BA20" s="1232"/>
      <c r="BC20" s="1232"/>
      <c r="BE20" s="1232"/>
      <c r="BF20" s="1232"/>
      <c r="BG20" s="1232"/>
    </row>
    <row r="21" spans="2:61" x14ac:dyDescent="0.35">
      <c r="R21" s="1232"/>
      <c r="S21" s="1232"/>
      <c r="W21" s="1232"/>
      <c r="X21" s="1232"/>
      <c r="AE21" s="1232"/>
      <c r="AF21" s="1232"/>
      <c r="AV21" s="1232"/>
      <c r="AW21" s="1232"/>
      <c r="AX21" s="1232"/>
      <c r="AY21" s="1232"/>
      <c r="AZ21" s="1232"/>
      <c r="BA21" s="1232"/>
      <c r="BC21" s="1232"/>
      <c r="BE21" s="1232"/>
      <c r="BF21" s="1232"/>
      <c r="BG21" s="1232"/>
    </row>
    <row r="22" spans="2:61" x14ac:dyDescent="0.35">
      <c r="B22" s="979"/>
      <c r="R22" s="1232"/>
      <c r="S22" s="1232"/>
      <c r="W22" s="1232"/>
      <c r="X22" s="1232"/>
      <c r="AE22" s="1232"/>
      <c r="AF22" s="1232"/>
      <c r="AV22" s="1232"/>
      <c r="AW22" s="1232"/>
      <c r="AX22" s="1232"/>
      <c r="AY22" s="1232"/>
      <c r="AZ22" s="1232"/>
      <c r="BA22" s="1232"/>
      <c r="BC22" s="1232"/>
      <c r="BE22" s="1232"/>
      <c r="BF22" s="1232"/>
      <c r="BG22" s="1232"/>
    </row>
    <row r="23" spans="2:61" x14ac:dyDescent="0.35">
      <c r="B23" s="979"/>
      <c r="R23" s="1232"/>
      <c r="S23" s="1232"/>
      <c r="W23" s="1232"/>
      <c r="X23" s="1232"/>
      <c r="AE23" s="1232"/>
      <c r="AF23" s="1232"/>
      <c r="AV23" s="1232"/>
      <c r="AW23" s="1232"/>
      <c r="AX23" s="1232"/>
      <c r="AY23" s="1232"/>
      <c r="AZ23" s="1232"/>
      <c r="BA23" s="1232"/>
      <c r="BC23" s="1232"/>
      <c r="BE23" s="1232"/>
      <c r="BF23" s="1232"/>
      <c r="BG23" s="1232"/>
    </row>
    <row r="24" spans="2:61" x14ac:dyDescent="0.35">
      <c r="B24" s="979"/>
      <c r="R24" s="1232"/>
      <c r="S24" s="1232"/>
      <c r="W24" s="1232"/>
      <c r="X24" s="1232"/>
      <c r="AE24" s="1232"/>
      <c r="AF24" s="1232"/>
      <c r="AV24" s="1232"/>
      <c r="AW24" s="1232"/>
      <c r="AX24" s="1232"/>
      <c r="AY24" s="1232"/>
      <c r="AZ24" s="1232"/>
      <c r="BA24" s="1232"/>
      <c r="BC24" s="1232"/>
      <c r="BE24" s="1232"/>
      <c r="BF24" s="1232"/>
      <c r="BG24" s="1232"/>
    </row>
    <row r="25" spans="2:61" x14ac:dyDescent="0.35">
      <c r="B25" s="979"/>
      <c r="R25" s="1232"/>
      <c r="S25" s="1232"/>
      <c r="W25" s="1232"/>
      <c r="X25" s="1232"/>
      <c r="AE25" s="1232"/>
      <c r="AF25" s="1232"/>
      <c r="AV25" s="1232"/>
      <c r="AW25" s="1232"/>
      <c r="AX25" s="1232"/>
      <c r="AY25" s="1232"/>
      <c r="AZ25" s="1232"/>
      <c r="BA25" s="1232"/>
      <c r="BC25" s="1232"/>
      <c r="BE25" s="1232"/>
      <c r="BF25" s="1232"/>
      <c r="BG25" s="1232"/>
    </row>
    <row r="26" spans="2:61" x14ac:dyDescent="0.35">
      <c r="B26" s="979"/>
      <c r="R26" s="1232"/>
      <c r="S26" s="1232"/>
      <c r="W26" s="1232"/>
      <c r="X26" s="1232"/>
      <c r="AE26" s="1232"/>
      <c r="AF26" s="1232"/>
      <c r="AV26" s="1232"/>
      <c r="AW26" s="1232"/>
      <c r="AX26" s="1232"/>
      <c r="AY26" s="1232"/>
      <c r="AZ26" s="1232"/>
      <c r="BA26" s="1232"/>
      <c r="BC26" s="1232"/>
      <c r="BE26" s="1232"/>
      <c r="BF26" s="1232"/>
      <c r="BG26" s="1232"/>
    </row>
    <row r="27" spans="2:61" x14ac:dyDescent="0.35">
      <c r="B27" s="979"/>
      <c r="R27" s="1232"/>
      <c r="S27" s="1232"/>
      <c r="W27" s="1232"/>
      <c r="X27" s="1232"/>
      <c r="AE27" s="1232"/>
      <c r="AF27" s="1232"/>
      <c r="AV27" s="1232"/>
      <c r="AW27" s="1232"/>
      <c r="AX27" s="1232"/>
      <c r="AY27" s="1232"/>
      <c r="AZ27" s="1232"/>
      <c r="BA27" s="1232"/>
      <c r="BC27" s="1232"/>
      <c r="BE27" s="1232"/>
      <c r="BF27" s="1232"/>
      <c r="BG27" s="1232"/>
    </row>
    <row r="28" spans="2:61" x14ac:dyDescent="0.35">
      <c r="B28" s="979"/>
      <c r="R28" s="1232"/>
      <c r="S28" s="1232"/>
      <c r="W28" s="1232"/>
      <c r="X28" s="1232"/>
      <c r="AE28" s="1232"/>
      <c r="AF28" s="1232"/>
      <c r="AV28" s="1232"/>
      <c r="AW28" s="1232"/>
      <c r="AX28" s="1232"/>
      <c r="AY28" s="1232"/>
      <c r="AZ28" s="1232"/>
      <c r="BA28" s="1232"/>
      <c r="BC28" s="1232"/>
      <c r="BE28" s="1232"/>
      <c r="BF28" s="1232"/>
      <c r="BG28" s="1232"/>
    </row>
    <row r="29" spans="2:61" x14ac:dyDescent="0.35">
      <c r="R29" s="1232"/>
      <c r="S29" s="1232"/>
      <c r="W29" s="1232"/>
      <c r="X29" s="1232"/>
      <c r="AE29" s="1232"/>
      <c r="AF29" s="1232"/>
      <c r="AV29" s="1232"/>
      <c r="AW29" s="1232"/>
      <c r="AX29" s="1232"/>
      <c r="AY29" s="1232"/>
      <c r="AZ29" s="1232"/>
      <c r="BA29" s="1232"/>
      <c r="BC29" s="1232"/>
      <c r="BE29" s="1232"/>
      <c r="BF29" s="1232"/>
      <c r="BG29" s="1232"/>
    </row>
    <row r="30" spans="2:61" x14ac:dyDescent="0.35">
      <c r="R30" s="1232"/>
      <c r="S30" s="1232"/>
      <c r="W30" s="1232"/>
      <c r="X30" s="1232"/>
      <c r="AE30" s="1232"/>
      <c r="AF30" s="1232"/>
      <c r="AV30" s="1232"/>
      <c r="AW30" s="1232"/>
      <c r="AX30" s="1232"/>
      <c r="AY30" s="1232"/>
      <c r="AZ30" s="1232"/>
      <c r="BA30" s="1232"/>
      <c r="BC30" s="1232"/>
      <c r="BE30" s="1232"/>
      <c r="BF30" s="1232"/>
      <c r="BG30" s="1232"/>
    </row>
    <row r="31" spans="2:61" x14ac:dyDescent="0.35">
      <c r="R31" s="1232"/>
      <c r="S31" s="1232"/>
      <c r="W31" s="1232"/>
      <c r="X31" s="1232"/>
      <c r="AE31" s="1232"/>
      <c r="AF31" s="1232"/>
      <c r="AV31" s="1232"/>
      <c r="AW31" s="1232"/>
      <c r="AX31" s="1232"/>
      <c r="AY31" s="1232"/>
      <c r="AZ31" s="1232"/>
      <c r="BA31" s="1232"/>
      <c r="BC31" s="1232"/>
      <c r="BE31" s="1232"/>
      <c r="BF31" s="1232"/>
      <c r="BG31" s="1232"/>
    </row>
    <row r="32" spans="2:61" x14ac:dyDescent="0.35">
      <c r="R32" s="1232"/>
      <c r="S32" s="1232"/>
      <c r="W32" s="1232"/>
      <c r="X32" s="1232"/>
      <c r="AE32" s="1232"/>
      <c r="AF32" s="1232"/>
      <c r="AV32" s="1232"/>
      <c r="AW32" s="1232"/>
      <c r="AX32" s="1232"/>
      <c r="AY32" s="1232"/>
      <c r="AZ32" s="1232"/>
      <c r="BA32" s="1232"/>
      <c r="BC32" s="1232"/>
      <c r="BE32" s="1232"/>
      <c r="BF32" s="1232"/>
      <c r="BG32" s="1232"/>
    </row>
    <row r="33" spans="18:59" x14ac:dyDescent="0.35">
      <c r="R33" s="1232"/>
      <c r="S33" s="1232"/>
      <c r="W33" s="1232"/>
      <c r="X33" s="1232"/>
      <c r="AE33" s="1232"/>
      <c r="AF33" s="1232"/>
      <c r="AV33" s="1232"/>
      <c r="AW33" s="1232"/>
      <c r="AX33" s="1232"/>
      <c r="AY33" s="1232"/>
      <c r="AZ33" s="1232"/>
      <c r="BA33" s="1232"/>
      <c r="BC33" s="1232"/>
      <c r="BE33" s="1232"/>
      <c r="BF33" s="1232"/>
      <c r="BG33" s="1232"/>
    </row>
    <row r="34" spans="18:59" x14ac:dyDescent="0.35">
      <c r="R34" s="1232"/>
      <c r="S34" s="1232"/>
      <c r="W34" s="1232"/>
      <c r="X34" s="1232"/>
      <c r="AE34" s="1232"/>
      <c r="AF34" s="1232"/>
      <c r="AV34" s="1232"/>
      <c r="AW34" s="1232"/>
      <c r="AX34" s="1232"/>
      <c r="AY34" s="1232"/>
      <c r="AZ34" s="1232"/>
      <c r="BA34" s="1232"/>
      <c r="BC34" s="1232"/>
      <c r="BE34" s="1232"/>
      <c r="BF34" s="1232"/>
      <c r="BG34" s="1232"/>
    </row>
    <row r="35" spans="18:59" x14ac:dyDescent="0.35">
      <c r="R35" s="1232"/>
      <c r="S35" s="1232"/>
      <c r="W35" s="1232"/>
      <c r="X35" s="1232"/>
      <c r="AE35" s="1232"/>
      <c r="AF35" s="1232"/>
      <c r="AV35" s="1232"/>
      <c r="AW35" s="1232"/>
      <c r="AX35" s="1232"/>
      <c r="AY35" s="1232"/>
      <c r="AZ35" s="1232"/>
      <c r="BA35" s="1232"/>
      <c r="BC35" s="1232"/>
      <c r="BE35" s="1232"/>
      <c r="BF35" s="1232"/>
      <c r="BG35" s="1232"/>
    </row>
    <row r="36" spans="18:59" x14ac:dyDescent="0.35">
      <c r="R36" s="1232"/>
      <c r="S36" s="1232"/>
      <c r="W36" s="1232"/>
      <c r="X36" s="1232"/>
      <c r="AE36" s="1232"/>
      <c r="AF36" s="1232"/>
      <c r="AV36" s="1232"/>
      <c r="AW36" s="1232"/>
      <c r="AX36" s="1232"/>
      <c r="AY36" s="1232"/>
      <c r="AZ36" s="1232"/>
      <c r="BA36" s="1232"/>
      <c r="BC36" s="1232"/>
      <c r="BE36" s="1232"/>
      <c r="BF36" s="1232"/>
      <c r="BG36" s="1232"/>
    </row>
    <row r="37" spans="18:59" x14ac:dyDescent="0.35">
      <c r="R37" s="1232"/>
      <c r="S37" s="1232"/>
      <c r="W37" s="1232"/>
      <c r="X37" s="1232"/>
      <c r="AE37" s="1232"/>
      <c r="AF37" s="1232"/>
      <c r="AV37" s="1232"/>
      <c r="AW37" s="1232"/>
      <c r="AX37" s="1232"/>
      <c r="AY37" s="1232"/>
      <c r="AZ37" s="1232"/>
      <c r="BA37" s="1232"/>
      <c r="BC37" s="1232"/>
      <c r="BE37" s="1232"/>
      <c r="BF37" s="1232"/>
      <c r="BG37" s="1232"/>
    </row>
    <row r="38" spans="18:59" x14ac:dyDescent="0.35">
      <c r="R38" s="1232"/>
      <c r="S38" s="1232"/>
      <c r="W38" s="1232"/>
      <c r="X38" s="1232"/>
      <c r="AE38" s="1232"/>
      <c r="AF38" s="1232"/>
      <c r="AV38" s="1232"/>
      <c r="AW38" s="1232"/>
      <c r="AX38" s="1232"/>
      <c r="AY38" s="1232"/>
      <c r="AZ38" s="1232"/>
      <c r="BA38" s="1232"/>
      <c r="BC38" s="1232"/>
      <c r="BE38" s="1232"/>
      <c r="BF38" s="1232"/>
      <c r="BG38" s="1232"/>
    </row>
    <row r="39" spans="18:59" x14ac:dyDescent="0.35">
      <c r="R39" s="1232"/>
      <c r="S39" s="1232"/>
      <c r="W39" s="1232"/>
      <c r="X39" s="1232"/>
      <c r="AE39" s="1232"/>
      <c r="AF39" s="1232"/>
      <c r="AV39" s="1232"/>
      <c r="AW39" s="1232"/>
      <c r="AX39" s="1232"/>
      <c r="AY39" s="1232"/>
      <c r="AZ39" s="1232"/>
      <c r="BA39" s="1232"/>
      <c r="BC39" s="1232"/>
      <c r="BE39" s="1232"/>
      <c r="BF39" s="1232"/>
      <c r="BG39" s="1232"/>
    </row>
    <row r="40" spans="18:59" x14ac:dyDescent="0.35">
      <c r="R40" s="1232"/>
      <c r="S40" s="1232"/>
      <c r="W40" s="1232"/>
      <c r="X40" s="1232"/>
      <c r="AE40" s="1232"/>
      <c r="AF40" s="1232"/>
      <c r="AV40" s="1232"/>
      <c r="AW40" s="1232"/>
      <c r="AX40" s="1232"/>
      <c r="AY40" s="1232"/>
      <c r="AZ40" s="1232"/>
      <c r="BA40" s="1232"/>
      <c r="BC40" s="1232"/>
      <c r="BE40" s="1232"/>
      <c r="BF40" s="1232"/>
      <c r="BG40" s="1232"/>
    </row>
    <row r="41" spans="18:59" x14ac:dyDescent="0.35">
      <c r="R41" s="1232"/>
      <c r="S41" s="1232"/>
      <c r="W41" s="1232"/>
      <c r="X41" s="1232"/>
      <c r="AE41" s="1232"/>
      <c r="AF41" s="1232"/>
      <c r="AV41" s="1232"/>
      <c r="AW41" s="1232"/>
      <c r="AX41" s="1232"/>
      <c r="AY41" s="1232"/>
      <c r="AZ41" s="1232"/>
      <c r="BA41" s="1232"/>
      <c r="BC41" s="1232"/>
      <c r="BE41" s="1232"/>
      <c r="BF41" s="1232"/>
      <c r="BG41" s="1232"/>
    </row>
    <row r="42" spans="18:59" x14ac:dyDescent="0.35">
      <c r="R42" s="1232"/>
      <c r="S42" s="1232"/>
      <c r="W42" s="1232"/>
      <c r="X42" s="1232"/>
      <c r="AE42" s="1232"/>
      <c r="AF42" s="1232"/>
      <c r="AV42" s="1232"/>
      <c r="AW42" s="1232"/>
      <c r="AX42" s="1232"/>
      <c r="AY42" s="1232"/>
      <c r="AZ42" s="1232"/>
      <c r="BA42" s="1232"/>
      <c r="BC42" s="1232"/>
      <c r="BE42" s="1232"/>
      <c r="BF42" s="1232"/>
      <c r="BG42" s="1232"/>
    </row>
    <row r="43" spans="18:59" x14ac:dyDescent="0.35">
      <c r="R43" s="1232"/>
      <c r="S43" s="1232"/>
      <c r="W43" s="1232"/>
      <c r="X43" s="1232"/>
      <c r="AE43" s="1232"/>
      <c r="AF43" s="1232"/>
      <c r="AV43" s="1232"/>
      <c r="AW43" s="1232"/>
      <c r="AX43" s="1232"/>
      <c r="AY43" s="1232"/>
      <c r="AZ43" s="1232"/>
      <c r="BA43" s="1232"/>
      <c r="BC43" s="1232"/>
      <c r="BE43" s="1232"/>
      <c r="BF43" s="1232"/>
      <c r="BG43" s="1232"/>
    </row>
    <row r="44" spans="18:59" x14ac:dyDescent="0.35">
      <c r="R44" s="1232"/>
      <c r="S44" s="1232"/>
      <c r="W44" s="1232"/>
      <c r="X44" s="1232"/>
      <c r="AE44" s="1232"/>
      <c r="AF44" s="1232"/>
      <c r="AV44" s="1232"/>
      <c r="AW44" s="1232"/>
      <c r="AX44" s="1232"/>
      <c r="AY44" s="1232"/>
      <c r="AZ44" s="1232"/>
      <c r="BA44" s="1232"/>
      <c r="BC44" s="1232"/>
      <c r="BE44" s="1232"/>
      <c r="BF44" s="1232"/>
      <c r="BG44" s="1232"/>
    </row>
    <row r="45" spans="18:59" x14ac:dyDescent="0.35">
      <c r="R45" s="1232"/>
      <c r="S45" s="1232"/>
      <c r="W45" s="1232"/>
      <c r="X45" s="1232"/>
      <c r="AE45" s="1232"/>
      <c r="AF45" s="1232"/>
      <c r="AV45" s="1232"/>
      <c r="AW45" s="1232"/>
      <c r="AX45" s="1232"/>
      <c r="AY45" s="1232"/>
      <c r="AZ45" s="1232"/>
      <c r="BA45" s="1232"/>
      <c r="BC45" s="1232"/>
      <c r="BE45" s="1232"/>
      <c r="BF45" s="1232"/>
      <c r="BG45" s="1232"/>
    </row>
    <row r="46" spans="18:59" x14ac:dyDescent="0.35">
      <c r="R46" s="1232"/>
      <c r="S46" s="1232"/>
      <c r="W46" s="1232"/>
      <c r="X46" s="1232"/>
      <c r="AE46" s="1232"/>
      <c r="AF46" s="1232"/>
      <c r="AV46" s="1232"/>
      <c r="AW46" s="1232"/>
      <c r="AX46" s="1232"/>
      <c r="AY46" s="1232"/>
      <c r="AZ46" s="1232"/>
      <c r="BA46" s="1232"/>
      <c r="BC46" s="1232"/>
      <c r="BE46" s="1232"/>
      <c r="BF46" s="1232"/>
      <c r="BG46" s="1232"/>
    </row>
    <row r="47" spans="18:59" x14ac:dyDescent="0.35">
      <c r="R47" s="1232"/>
      <c r="S47" s="1232"/>
      <c r="W47" s="1232"/>
      <c r="X47" s="1232"/>
      <c r="AE47" s="1232"/>
      <c r="AF47" s="1232"/>
      <c r="AV47" s="1232"/>
      <c r="AW47" s="1232"/>
      <c r="AX47" s="1232"/>
      <c r="AY47" s="1232"/>
      <c r="AZ47" s="1232"/>
      <c r="BA47" s="1232"/>
      <c r="BC47" s="1232"/>
      <c r="BE47" s="1232"/>
      <c r="BF47" s="1232"/>
      <c r="BG47" s="1232"/>
    </row>
    <row r="48" spans="18:59" x14ac:dyDescent="0.35">
      <c r="R48" s="1232"/>
      <c r="S48" s="1232"/>
      <c r="W48" s="1232"/>
      <c r="X48" s="1232"/>
      <c r="AE48" s="1232"/>
      <c r="AF48" s="1232"/>
      <c r="AV48" s="1232"/>
      <c r="AW48" s="1232"/>
      <c r="AX48" s="1232"/>
      <c r="AY48" s="1232"/>
      <c r="AZ48" s="1232"/>
      <c r="BA48" s="1232"/>
      <c r="BC48" s="1232"/>
      <c r="BE48" s="1232"/>
      <c r="BF48" s="1232"/>
      <c r="BG48" s="1232"/>
    </row>
    <row r="49" spans="18:59" x14ac:dyDescent="0.35">
      <c r="R49" s="1232"/>
      <c r="S49" s="1232"/>
      <c r="W49" s="1232"/>
      <c r="X49" s="1232"/>
      <c r="AE49" s="1232"/>
      <c r="AF49" s="1232"/>
      <c r="AV49" s="1232"/>
      <c r="AW49" s="1232"/>
      <c r="AX49" s="1232"/>
      <c r="AY49" s="1232"/>
      <c r="AZ49" s="1232"/>
      <c r="BA49" s="1232"/>
      <c r="BC49" s="1232"/>
      <c r="BE49" s="1232"/>
      <c r="BF49" s="1232"/>
      <c r="BG49" s="1232"/>
    </row>
    <row r="50" spans="18:59" x14ac:dyDescent="0.35">
      <c r="R50" s="1232"/>
      <c r="S50" s="1232"/>
      <c r="W50" s="1232"/>
      <c r="X50" s="1232"/>
      <c r="AE50" s="1232"/>
      <c r="AF50" s="1232"/>
      <c r="AV50" s="1232"/>
      <c r="AW50" s="1232"/>
      <c r="AX50" s="1232"/>
      <c r="AY50" s="1232"/>
      <c r="AZ50" s="1232"/>
      <c r="BA50" s="1232"/>
      <c r="BC50" s="1232"/>
      <c r="BE50" s="1232"/>
      <c r="BF50" s="1232"/>
      <c r="BG50" s="1232"/>
    </row>
    <row r="51" spans="18:59" x14ac:dyDescent="0.35">
      <c r="R51" s="1232"/>
      <c r="S51" s="1232"/>
      <c r="W51" s="1232"/>
      <c r="X51" s="1232"/>
      <c r="AE51" s="1232"/>
      <c r="AF51" s="1232"/>
      <c r="AV51" s="1232"/>
      <c r="AW51" s="1232"/>
      <c r="AX51" s="1232"/>
      <c r="AY51" s="1232"/>
      <c r="AZ51" s="1232"/>
      <c r="BA51" s="1232"/>
      <c r="BC51" s="1232"/>
      <c r="BE51" s="1232"/>
      <c r="BF51" s="1232"/>
      <c r="BG51" s="1232"/>
    </row>
    <row r="52" spans="18:59" x14ac:dyDescent="0.35">
      <c r="R52" s="1232"/>
      <c r="S52" s="1232"/>
      <c r="W52" s="1232"/>
      <c r="X52" s="1232"/>
      <c r="AE52" s="1232"/>
      <c r="AF52" s="1232"/>
      <c r="AV52" s="1232"/>
      <c r="AW52" s="1232"/>
      <c r="AX52" s="1232"/>
      <c r="AY52" s="1232"/>
      <c r="AZ52" s="1232"/>
      <c r="BA52" s="1232"/>
      <c r="BC52" s="1232"/>
      <c r="BE52" s="1232"/>
      <c r="BF52" s="1232"/>
      <c r="BG52" s="1232"/>
    </row>
    <row r="53" spans="18:59" x14ac:dyDescent="0.35">
      <c r="R53" s="1232"/>
      <c r="S53" s="1232"/>
      <c r="W53" s="1232"/>
      <c r="X53" s="1232"/>
      <c r="AE53" s="1232"/>
      <c r="AF53" s="1232"/>
      <c r="AV53" s="1232"/>
      <c r="AW53" s="1232"/>
      <c r="AX53" s="1232"/>
      <c r="AY53" s="1232"/>
      <c r="AZ53" s="1232"/>
      <c r="BA53" s="1232"/>
      <c r="BC53" s="1232"/>
      <c r="BE53" s="1232"/>
      <c r="BF53" s="1232"/>
      <c r="BG53" s="1232"/>
    </row>
    <row r="54" spans="18:59" x14ac:dyDescent="0.35">
      <c r="R54" s="1232"/>
      <c r="S54" s="1232"/>
      <c r="W54" s="1232"/>
      <c r="X54" s="1232"/>
      <c r="AE54" s="1232"/>
      <c r="AF54" s="1232"/>
      <c r="AV54" s="1232"/>
      <c r="AW54" s="1232"/>
      <c r="AX54" s="1232"/>
      <c r="AY54" s="1232"/>
      <c r="AZ54" s="1232"/>
      <c r="BA54" s="1232"/>
      <c r="BC54" s="1232"/>
      <c r="BE54" s="1232"/>
      <c r="BF54" s="1232"/>
      <c r="BG54" s="1232"/>
    </row>
    <row r="55" spans="18:59" x14ac:dyDescent="0.35">
      <c r="R55" s="1232"/>
      <c r="S55" s="1232"/>
      <c r="W55" s="1232"/>
      <c r="X55" s="1232"/>
      <c r="AE55" s="1232"/>
      <c r="AF55" s="1232"/>
      <c r="AV55" s="1232"/>
      <c r="AW55" s="1232"/>
      <c r="AX55" s="1232"/>
      <c r="AY55" s="1232"/>
      <c r="AZ55" s="1232"/>
      <c r="BA55" s="1232"/>
      <c r="BC55" s="1232"/>
      <c r="BE55" s="1232"/>
      <c r="BF55" s="1232"/>
      <c r="BG55" s="1232"/>
    </row>
    <row r="56" spans="18:59" x14ac:dyDescent="0.35">
      <c r="R56" s="1232"/>
      <c r="S56" s="1232"/>
      <c r="W56" s="1232"/>
      <c r="X56" s="1232"/>
      <c r="AE56" s="1232"/>
      <c r="AF56" s="1232"/>
      <c r="AV56" s="1232"/>
      <c r="AW56" s="1232"/>
      <c r="AX56" s="1232"/>
      <c r="AY56" s="1232"/>
      <c r="AZ56" s="1232"/>
      <c r="BA56" s="1232"/>
      <c r="BC56" s="1232"/>
      <c r="BE56" s="1232"/>
      <c r="BF56" s="1232"/>
      <c r="BG56" s="1232"/>
    </row>
    <row r="57" spans="18:59" x14ac:dyDescent="0.35">
      <c r="R57" s="1232"/>
      <c r="S57" s="1232"/>
      <c r="W57" s="1232"/>
      <c r="X57" s="1232"/>
      <c r="AE57" s="1232"/>
      <c r="AF57" s="1232"/>
      <c r="AV57" s="1232"/>
      <c r="AW57" s="1232"/>
      <c r="AX57" s="1232"/>
      <c r="AY57" s="1232"/>
      <c r="AZ57" s="1232"/>
      <c r="BA57" s="1232"/>
      <c r="BC57" s="1232"/>
      <c r="BE57" s="1232"/>
      <c r="BF57" s="1232"/>
      <c r="BG57" s="1232"/>
    </row>
    <row r="58" spans="18:59" x14ac:dyDescent="0.35">
      <c r="R58" s="1232"/>
      <c r="S58" s="1232"/>
      <c r="W58" s="1232"/>
      <c r="X58" s="1232"/>
      <c r="AE58" s="1232"/>
      <c r="AF58" s="1232"/>
      <c r="AV58" s="1232"/>
      <c r="AW58" s="1232"/>
      <c r="AX58" s="1232"/>
      <c r="AY58" s="1232"/>
      <c r="AZ58" s="1232"/>
      <c r="BA58" s="1232"/>
      <c r="BC58" s="1232"/>
      <c r="BE58" s="1232"/>
      <c r="BF58" s="1232"/>
      <c r="BG58" s="1232"/>
    </row>
    <row r="59" spans="18:59" x14ac:dyDescent="0.35">
      <c r="R59" s="1232"/>
      <c r="S59" s="1232"/>
      <c r="W59" s="1232"/>
      <c r="X59" s="1232"/>
      <c r="AE59" s="1232"/>
      <c r="AF59" s="1232"/>
      <c r="AV59" s="1232"/>
      <c r="AW59" s="1232"/>
      <c r="AX59" s="1232"/>
      <c r="AY59" s="1232"/>
      <c r="AZ59" s="1232"/>
      <c r="BA59" s="1232"/>
      <c r="BC59" s="1232"/>
      <c r="BE59" s="1232"/>
      <c r="BF59" s="1232"/>
      <c r="BG59" s="1232"/>
    </row>
    <row r="60" spans="18:59" x14ac:dyDescent="0.35">
      <c r="R60" s="1232"/>
      <c r="S60" s="1232"/>
      <c r="W60" s="1232"/>
      <c r="X60" s="1232"/>
      <c r="AE60" s="1232"/>
      <c r="AF60" s="1232"/>
      <c r="AV60" s="1232"/>
      <c r="AW60" s="1232"/>
      <c r="AX60" s="1232"/>
      <c r="AY60" s="1232"/>
      <c r="AZ60" s="1232"/>
      <c r="BA60" s="1232"/>
      <c r="BC60" s="1232"/>
      <c r="BE60" s="1232"/>
      <c r="BF60" s="1232"/>
      <c r="BG60" s="1232"/>
    </row>
    <row r="61" spans="18:59" x14ac:dyDescent="0.35">
      <c r="R61" s="1232"/>
      <c r="S61" s="1232"/>
      <c r="W61" s="1232"/>
      <c r="X61" s="1232"/>
      <c r="AE61" s="1232"/>
      <c r="AF61" s="1232"/>
      <c r="AV61" s="1232"/>
      <c r="AW61" s="1232"/>
      <c r="AX61" s="1232"/>
      <c r="AY61" s="1232"/>
      <c r="AZ61" s="1232"/>
      <c r="BA61" s="1232"/>
      <c r="BC61" s="1232"/>
      <c r="BE61" s="1232"/>
      <c r="BF61" s="1232"/>
      <c r="BG61" s="1232"/>
    </row>
    <row r="62" spans="18:59" x14ac:dyDescent="0.35">
      <c r="R62" s="1232"/>
      <c r="S62" s="1232"/>
      <c r="W62" s="1232"/>
      <c r="X62" s="1232"/>
      <c r="AE62" s="1232"/>
      <c r="AF62" s="1232"/>
      <c r="AV62" s="1232"/>
      <c r="AW62" s="1232"/>
      <c r="AX62" s="1232"/>
      <c r="AY62" s="1232"/>
      <c r="AZ62" s="1232"/>
      <c r="BA62" s="1232"/>
      <c r="BC62" s="1232"/>
      <c r="BE62" s="1232"/>
      <c r="BF62" s="1232"/>
      <c r="BG62" s="1232"/>
    </row>
    <row r="63" spans="18:59" x14ac:dyDescent="0.35">
      <c r="R63" s="1232"/>
      <c r="S63" s="1232"/>
      <c r="W63" s="1232"/>
      <c r="X63" s="1232"/>
      <c r="AE63" s="1232"/>
      <c r="AF63" s="1232"/>
      <c r="AV63" s="1232"/>
      <c r="AW63" s="1232"/>
      <c r="AX63" s="1232"/>
      <c r="AY63" s="1232"/>
      <c r="AZ63" s="1232"/>
      <c r="BA63" s="1232"/>
      <c r="BC63" s="1232"/>
      <c r="BE63" s="1232"/>
      <c r="BF63" s="1232"/>
      <c r="BG63" s="1232"/>
    </row>
    <row r="64" spans="18:59" x14ac:dyDescent="0.35">
      <c r="R64" s="1232"/>
      <c r="S64" s="1232"/>
      <c r="W64" s="1232"/>
      <c r="X64" s="1232"/>
      <c r="AE64" s="1232"/>
      <c r="AF64" s="1232"/>
      <c r="AV64" s="1232"/>
      <c r="AW64" s="1232"/>
      <c r="AX64" s="1232"/>
      <c r="AY64" s="1232"/>
      <c r="AZ64" s="1232"/>
      <c r="BA64" s="1232"/>
      <c r="BC64" s="1232"/>
      <c r="BE64" s="1232"/>
      <c r="BF64" s="1232"/>
      <c r="BG64" s="1232"/>
    </row>
    <row r="65" spans="18:59" x14ac:dyDescent="0.35">
      <c r="R65" s="1232"/>
      <c r="S65" s="1232"/>
      <c r="W65" s="1232"/>
      <c r="X65" s="1232"/>
      <c r="AE65" s="1232"/>
      <c r="AF65" s="1232"/>
      <c r="AV65" s="1232"/>
      <c r="AW65" s="1232"/>
      <c r="AX65" s="1232"/>
      <c r="AY65" s="1232"/>
      <c r="AZ65" s="1232"/>
      <c r="BA65" s="1232"/>
      <c r="BC65" s="1232"/>
      <c r="BE65" s="1232"/>
      <c r="BF65" s="1232"/>
      <c r="BG65" s="1232"/>
    </row>
    <row r="66" spans="18:59" x14ac:dyDescent="0.35">
      <c r="R66" s="1232"/>
      <c r="S66" s="1232"/>
      <c r="W66" s="1232"/>
      <c r="X66" s="1232"/>
      <c r="AE66" s="1232"/>
      <c r="AF66" s="1232"/>
      <c r="AV66" s="1232"/>
      <c r="AW66" s="1232"/>
      <c r="AX66" s="1232"/>
      <c r="AY66" s="1232"/>
      <c r="AZ66" s="1232"/>
      <c r="BA66" s="1232"/>
      <c r="BC66" s="1232"/>
      <c r="BE66" s="1232"/>
      <c r="BF66" s="1232"/>
      <c r="BG66" s="1232"/>
    </row>
    <row r="67" spans="18:59" x14ac:dyDescent="0.35">
      <c r="R67" s="1232"/>
      <c r="S67" s="1232"/>
      <c r="W67" s="1232"/>
      <c r="X67" s="1232"/>
      <c r="AE67" s="1232"/>
      <c r="AF67" s="1232"/>
      <c r="AV67" s="1232"/>
      <c r="AW67" s="1232"/>
      <c r="AX67" s="1232"/>
      <c r="AY67" s="1232"/>
      <c r="AZ67" s="1232"/>
      <c r="BA67" s="1232"/>
      <c r="BC67" s="1232"/>
      <c r="BE67" s="1232"/>
      <c r="BF67" s="1232"/>
      <c r="BG67" s="1232"/>
    </row>
    <row r="68" spans="18:59" x14ac:dyDescent="0.35">
      <c r="R68" s="1232"/>
      <c r="S68" s="1232"/>
      <c r="W68" s="1232"/>
      <c r="X68" s="1232"/>
      <c r="AE68" s="1232"/>
      <c r="AF68" s="1232"/>
      <c r="AV68" s="1232"/>
      <c r="AW68" s="1232"/>
      <c r="AX68" s="1232"/>
      <c r="AY68" s="1232"/>
      <c r="AZ68" s="1232"/>
      <c r="BA68" s="1232"/>
      <c r="BC68" s="1232"/>
      <c r="BE68" s="1232"/>
      <c r="BF68" s="1232"/>
      <c r="BG68" s="1232"/>
    </row>
    <row r="69" spans="18:59" x14ac:dyDescent="0.35">
      <c r="R69" s="1232"/>
      <c r="S69" s="1232"/>
      <c r="W69" s="1232"/>
      <c r="X69" s="1232"/>
      <c r="AE69" s="1232"/>
      <c r="AF69" s="1232"/>
      <c r="AV69" s="1232"/>
      <c r="AW69" s="1232"/>
      <c r="AX69" s="1232"/>
      <c r="AY69" s="1232"/>
      <c r="AZ69" s="1232"/>
      <c r="BA69" s="1232"/>
      <c r="BC69" s="1232"/>
      <c r="BE69" s="1232"/>
      <c r="BF69" s="1232"/>
      <c r="BG69" s="1232"/>
    </row>
    <row r="70" spans="18:59" x14ac:dyDescent="0.35">
      <c r="R70" s="1232"/>
      <c r="S70" s="1232"/>
      <c r="W70" s="1232"/>
      <c r="X70" s="1232"/>
      <c r="AE70" s="1232"/>
      <c r="AF70" s="1232"/>
      <c r="AV70" s="1232"/>
      <c r="AW70" s="1232"/>
      <c r="AX70" s="1232"/>
      <c r="AY70" s="1232"/>
      <c r="AZ70" s="1232"/>
      <c r="BA70" s="1232"/>
      <c r="BC70" s="1232"/>
      <c r="BE70" s="1232"/>
      <c r="BF70" s="1232"/>
      <c r="BG70" s="1232"/>
    </row>
    <row r="71" spans="18:59" x14ac:dyDescent="0.35">
      <c r="R71" s="1232"/>
      <c r="S71" s="1232"/>
      <c r="W71" s="1232"/>
      <c r="X71" s="1232"/>
      <c r="AE71" s="1232"/>
      <c r="AF71" s="1232"/>
      <c r="AV71" s="1232"/>
      <c r="AW71" s="1232"/>
      <c r="AX71" s="1232"/>
      <c r="AY71" s="1232"/>
      <c r="AZ71" s="1232"/>
      <c r="BA71" s="1232"/>
      <c r="BC71" s="1232"/>
      <c r="BE71" s="1232"/>
      <c r="BF71" s="1232"/>
      <c r="BG71" s="1232"/>
    </row>
    <row r="72" spans="18:59" x14ac:dyDescent="0.35">
      <c r="R72" s="1232"/>
      <c r="S72" s="1232"/>
      <c r="W72" s="1232"/>
      <c r="X72" s="1232"/>
      <c r="AE72" s="1232"/>
      <c r="AF72" s="1232"/>
      <c r="AV72" s="1232"/>
      <c r="AW72" s="1232"/>
      <c r="AX72" s="1232"/>
      <c r="AY72" s="1232"/>
      <c r="AZ72" s="1232"/>
      <c r="BA72" s="1232"/>
      <c r="BC72" s="1232"/>
      <c r="BE72" s="1232"/>
      <c r="BF72" s="1232"/>
      <c r="BG72" s="1232"/>
    </row>
    <row r="73" spans="18:59" x14ac:dyDescent="0.35">
      <c r="R73" s="1232"/>
      <c r="S73" s="1232"/>
      <c r="W73" s="1232"/>
      <c r="X73" s="1232"/>
      <c r="AE73" s="1232"/>
      <c r="AF73" s="1232"/>
      <c r="AV73" s="1232"/>
      <c r="AW73" s="1232"/>
      <c r="AX73" s="1232"/>
      <c r="AY73" s="1232"/>
      <c r="AZ73" s="1232"/>
      <c r="BA73" s="1232"/>
      <c r="BC73" s="1232"/>
      <c r="BE73" s="1232"/>
      <c r="BF73" s="1232"/>
      <c r="BG73" s="1232"/>
    </row>
    <row r="74" spans="18:59" x14ac:dyDescent="0.35">
      <c r="R74" s="1232"/>
      <c r="S74" s="1232"/>
      <c r="W74" s="1232"/>
      <c r="X74" s="1232"/>
      <c r="AE74" s="1232"/>
      <c r="AF74" s="1232"/>
      <c r="AV74" s="1232"/>
      <c r="AW74" s="1232"/>
      <c r="AX74" s="1232"/>
      <c r="AY74" s="1232"/>
      <c r="AZ74" s="1232"/>
      <c r="BA74" s="1232"/>
      <c r="BC74" s="1232"/>
      <c r="BE74" s="1232"/>
      <c r="BF74" s="1232"/>
      <c r="BG74" s="1232"/>
    </row>
    <row r="75" spans="18:59" x14ac:dyDescent="0.35">
      <c r="R75" s="1232"/>
      <c r="S75" s="1232"/>
      <c r="W75" s="1232"/>
      <c r="X75" s="1232"/>
      <c r="AE75" s="1232"/>
      <c r="AF75" s="1232"/>
      <c r="AV75" s="1232"/>
      <c r="AW75" s="1232"/>
      <c r="AX75" s="1232"/>
      <c r="AY75" s="1232"/>
      <c r="AZ75" s="1232"/>
      <c r="BA75" s="1232"/>
      <c r="BC75" s="1232"/>
      <c r="BE75" s="1232"/>
      <c r="BF75" s="1232"/>
      <c r="BG75" s="1232"/>
    </row>
    <row r="76" spans="18:59" x14ac:dyDescent="0.35">
      <c r="R76" s="1232"/>
      <c r="S76" s="1232"/>
      <c r="W76" s="1232"/>
      <c r="X76" s="1232"/>
      <c r="AE76" s="1232"/>
      <c r="AF76" s="1232"/>
      <c r="AV76" s="1232"/>
      <c r="AW76" s="1232"/>
      <c r="AX76" s="1232"/>
      <c r="AY76" s="1232"/>
      <c r="AZ76" s="1232"/>
      <c r="BA76" s="1232"/>
      <c r="BC76" s="1232"/>
      <c r="BE76" s="1232"/>
      <c r="BF76" s="1232"/>
      <c r="BG76" s="1232"/>
    </row>
    <row r="77" spans="18:59" x14ac:dyDescent="0.35">
      <c r="R77" s="1232"/>
      <c r="S77" s="1232"/>
      <c r="W77" s="1232"/>
      <c r="X77" s="1232"/>
      <c r="AE77" s="1232"/>
      <c r="AF77" s="1232"/>
      <c r="AV77" s="1232"/>
      <c r="AW77" s="1232"/>
      <c r="AX77" s="1232"/>
      <c r="AY77" s="1232"/>
      <c r="AZ77" s="1232"/>
      <c r="BA77" s="1232"/>
      <c r="BC77" s="1232"/>
      <c r="BE77" s="1232"/>
      <c r="BF77" s="1232"/>
      <c r="BG77" s="1232"/>
    </row>
    <row r="78" spans="18:59" x14ac:dyDescent="0.35">
      <c r="R78" s="1232"/>
      <c r="S78" s="1232"/>
      <c r="W78" s="1232"/>
      <c r="X78" s="1232"/>
      <c r="AE78" s="1232"/>
      <c r="AF78" s="1232"/>
      <c r="AV78" s="1232"/>
      <c r="AW78" s="1232"/>
      <c r="AX78" s="1232"/>
      <c r="AY78" s="1232"/>
      <c r="AZ78" s="1232"/>
      <c r="BA78" s="1232"/>
      <c r="BC78" s="1232"/>
      <c r="BE78" s="1232"/>
      <c r="BF78" s="1232"/>
      <c r="BG78" s="1232"/>
    </row>
    <row r="79" spans="18:59" x14ac:dyDescent="0.35">
      <c r="R79" s="1232"/>
      <c r="S79" s="1232"/>
      <c r="W79" s="1232"/>
      <c r="X79" s="1232"/>
      <c r="AE79" s="1232"/>
      <c r="AF79" s="1232"/>
      <c r="AV79" s="1232"/>
      <c r="AW79" s="1232"/>
      <c r="AX79" s="1232"/>
      <c r="AY79" s="1232"/>
      <c r="AZ79" s="1232"/>
      <c r="BA79" s="1232"/>
      <c r="BC79" s="1232"/>
      <c r="BE79" s="1232"/>
      <c r="BF79" s="1232"/>
      <c r="BG79" s="1232"/>
    </row>
    <row r="80" spans="18:59" x14ac:dyDescent="0.35">
      <c r="R80" s="1232"/>
      <c r="S80" s="1232"/>
      <c r="W80" s="1232"/>
      <c r="X80" s="1232"/>
      <c r="AE80" s="1232"/>
      <c r="AF80" s="1232"/>
      <c r="AV80" s="1232"/>
      <c r="AW80" s="1232"/>
      <c r="AX80" s="1232"/>
      <c r="AY80" s="1232"/>
      <c r="AZ80" s="1232"/>
      <c r="BA80" s="1232"/>
      <c r="BC80" s="1232"/>
      <c r="BE80" s="1232"/>
      <c r="BF80" s="1232"/>
      <c r="BG80" s="1232"/>
    </row>
    <row r="81" spans="18:59" x14ac:dyDescent="0.35">
      <c r="R81" s="1232"/>
      <c r="S81" s="1232"/>
      <c r="W81" s="1232"/>
      <c r="X81" s="1232"/>
      <c r="AE81" s="1232"/>
      <c r="AF81" s="1232"/>
      <c r="AV81" s="1232"/>
      <c r="AW81" s="1232"/>
      <c r="AX81" s="1232"/>
      <c r="AY81" s="1232"/>
      <c r="AZ81" s="1232"/>
      <c r="BA81" s="1232"/>
      <c r="BC81" s="1232"/>
      <c r="BE81" s="1232"/>
      <c r="BF81" s="1232"/>
      <c r="BG81" s="1232"/>
    </row>
    <row r="82" spans="18:59" x14ac:dyDescent="0.35">
      <c r="R82" s="1232"/>
      <c r="S82" s="1232"/>
      <c r="W82" s="1232"/>
      <c r="X82" s="1232"/>
      <c r="AE82" s="1232"/>
      <c r="AF82" s="1232"/>
      <c r="AV82" s="1232"/>
      <c r="AW82" s="1232"/>
      <c r="AX82" s="1232"/>
      <c r="AY82" s="1232"/>
      <c r="AZ82" s="1232"/>
      <c r="BA82" s="1232"/>
      <c r="BC82" s="1232"/>
      <c r="BE82" s="1232"/>
      <c r="BF82" s="1232"/>
      <c r="BG82" s="1232"/>
    </row>
    <row r="83" spans="18:59" x14ac:dyDescent="0.35">
      <c r="R83" s="1232"/>
      <c r="S83" s="1232"/>
      <c r="W83" s="1232"/>
      <c r="X83" s="1232"/>
      <c r="AE83" s="1232"/>
      <c r="AF83" s="1232"/>
      <c r="AV83" s="1232"/>
      <c r="AW83" s="1232"/>
      <c r="AX83" s="1232"/>
      <c r="AY83" s="1232"/>
      <c r="AZ83" s="1232"/>
      <c r="BA83" s="1232"/>
      <c r="BC83" s="1232"/>
      <c r="BE83" s="1232"/>
      <c r="BF83" s="1232"/>
      <c r="BG83" s="1232"/>
    </row>
    <row r="84" spans="18:59" x14ac:dyDescent="0.35">
      <c r="R84" s="1232"/>
      <c r="S84" s="1232"/>
      <c r="W84" s="1232"/>
      <c r="X84" s="1232"/>
      <c r="AE84" s="1232"/>
      <c r="AF84" s="1232"/>
      <c r="AV84" s="1232"/>
      <c r="AW84" s="1232"/>
      <c r="AX84" s="1232"/>
      <c r="AY84" s="1232"/>
      <c r="AZ84" s="1232"/>
      <c r="BA84" s="1232"/>
      <c r="BC84" s="1232"/>
      <c r="BE84" s="1232"/>
      <c r="BF84" s="1232"/>
      <c r="BG84" s="1232"/>
    </row>
    <row r="85" spans="18:59" x14ac:dyDescent="0.35">
      <c r="R85" s="1232"/>
      <c r="S85" s="1232"/>
      <c r="W85" s="1232"/>
      <c r="X85" s="1232"/>
      <c r="AE85" s="1232"/>
      <c r="AF85" s="1232"/>
      <c r="AV85" s="1232"/>
      <c r="AW85" s="1232"/>
      <c r="AX85" s="1232"/>
      <c r="AY85" s="1232"/>
      <c r="AZ85" s="1232"/>
      <c r="BA85" s="1232"/>
      <c r="BC85" s="1232"/>
      <c r="BE85" s="1232"/>
      <c r="BF85" s="1232"/>
      <c r="BG85" s="1232"/>
    </row>
    <row r="86" spans="18:59" x14ac:dyDescent="0.35">
      <c r="R86" s="1232"/>
      <c r="S86" s="1232"/>
      <c r="W86" s="1232"/>
      <c r="X86" s="1232"/>
      <c r="AE86" s="1232"/>
      <c r="AF86" s="1232"/>
      <c r="AV86" s="1232"/>
      <c r="AW86" s="1232"/>
      <c r="AX86" s="1232"/>
      <c r="AY86" s="1232"/>
      <c r="AZ86" s="1232"/>
      <c r="BA86" s="1232"/>
      <c r="BC86" s="1232"/>
      <c r="BE86" s="1232"/>
      <c r="BF86" s="1232"/>
      <c r="BG86" s="1232"/>
    </row>
    <row r="87" spans="18:59" x14ac:dyDescent="0.35">
      <c r="R87" s="1232"/>
      <c r="S87" s="1232"/>
      <c r="W87" s="1232"/>
      <c r="X87" s="1232"/>
      <c r="AE87" s="1232"/>
      <c r="AF87" s="1232"/>
      <c r="AV87" s="1232"/>
      <c r="AW87" s="1232"/>
      <c r="AX87" s="1232"/>
      <c r="AY87" s="1232"/>
      <c r="AZ87" s="1232"/>
      <c r="BA87" s="1232"/>
      <c r="BC87" s="1232"/>
      <c r="BE87" s="1232"/>
      <c r="BF87" s="1232"/>
      <c r="BG87" s="1232"/>
    </row>
    <row r="88" spans="18:59" x14ac:dyDescent="0.35">
      <c r="R88" s="1232"/>
      <c r="S88" s="1232"/>
      <c r="W88" s="1232"/>
      <c r="X88" s="1232"/>
      <c r="AE88" s="1232"/>
      <c r="AF88" s="1232"/>
      <c r="AV88" s="1232"/>
      <c r="AW88" s="1232"/>
      <c r="AX88" s="1232"/>
      <c r="AY88" s="1232"/>
      <c r="AZ88" s="1232"/>
      <c r="BA88" s="1232"/>
      <c r="BC88" s="1232"/>
      <c r="BE88" s="1232"/>
      <c r="BF88" s="1232"/>
      <c r="BG88" s="1232"/>
    </row>
    <row r="89" spans="18:59" x14ac:dyDescent="0.35">
      <c r="R89" s="1232"/>
      <c r="S89" s="1232"/>
      <c r="W89" s="1232"/>
      <c r="X89" s="1232"/>
      <c r="AE89" s="1232"/>
      <c r="AF89" s="1232"/>
      <c r="AV89" s="1232"/>
      <c r="AW89" s="1232"/>
      <c r="AX89" s="1232"/>
      <c r="AY89" s="1232"/>
      <c r="AZ89" s="1232"/>
      <c r="BA89" s="1232"/>
      <c r="BC89" s="1232"/>
      <c r="BE89" s="1232"/>
      <c r="BF89" s="1232"/>
      <c r="BG89" s="1232"/>
    </row>
    <row r="90" spans="18:59" x14ac:dyDescent="0.35">
      <c r="R90" s="1232"/>
      <c r="S90" s="1232"/>
      <c r="W90" s="1232"/>
      <c r="X90" s="1232"/>
      <c r="AE90" s="1232"/>
      <c r="AF90" s="1232"/>
      <c r="AV90" s="1232"/>
      <c r="AW90" s="1232"/>
      <c r="AX90" s="1232"/>
      <c r="AY90" s="1232"/>
      <c r="AZ90" s="1232"/>
      <c r="BA90" s="1232"/>
      <c r="BC90" s="1232"/>
      <c r="BE90" s="1232"/>
      <c r="BF90" s="1232"/>
      <c r="BG90" s="1232"/>
    </row>
    <row r="91" spans="18:59" x14ac:dyDescent="0.35">
      <c r="R91" s="1232"/>
      <c r="S91" s="1232"/>
      <c r="W91" s="1232"/>
      <c r="X91" s="1232"/>
      <c r="AE91" s="1232"/>
      <c r="AF91" s="1232"/>
      <c r="AV91" s="1232"/>
      <c r="AW91" s="1232"/>
      <c r="AX91" s="1232"/>
      <c r="AY91" s="1232"/>
      <c r="AZ91" s="1232"/>
      <c r="BA91" s="1232"/>
      <c r="BC91" s="1232"/>
      <c r="BE91" s="1232"/>
      <c r="BF91" s="1232"/>
      <c r="BG91" s="1232"/>
    </row>
    <row r="92" spans="18:59" x14ac:dyDescent="0.35">
      <c r="R92" s="1232"/>
      <c r="S92" s="1232"/>
      <c r="W92" s="1232"/>
      <c r="X92" s="1232"/>
      <c r="AE92" s="1232"/>
      <c r="AF92" s="1232"/>
      <c r="AV92" s="1232"/>
      <c r="AW92" s="1232"/>
      <c r="AX92" s="1232"/>
      <c r="AY92" s="1232"/>
      <c r="AZ92" s="1232"/>
      <c r="BA92" s="1232"/>
      <c r="BC92" s="1232"/>
      <c r="BE92" s="1232"/>
      <c r="BF92" s="1232"/>
      <c r="BG92" s="1232"/>
    </row>
    <row r="93" spans="18:59" x14ac:dyDescent="0.35">
      <c r="R93" s="1232"/>
      <c r="S93" s="1232"/>
      <c r="W93" s="1232"/>
      <c r="X93" s="1232"/>
      <c r="AE93" s="1232"/>
      <c r="AF93" s="1232"/>
      <c r="AV93" s="1232"/>
      <c r="AW93" s="1232"/>
      <c r="AX93" s="1232"/>
      <c r="AY93" s="1232"/>
      <c r="AZ93" s="1232"/>
      <c r="BA93" s="1232"/>
      <c r="BC93" s="1232"/>
      <c r="BE93" s="1232"/>
      <c r="BF93" s="1232"/>
      <c r="BG93" s="1232"/>
    </row>
    <row r="94" spans="18:59" x14ac:dyDescent="0.35">
      <c r="R94" s="1232"/>
      <c r="S94" s="1232"/>
      <c r="W94" s="1232"/>
      <c r="X94" s="1232"/>
      <c r="AE94" s="1232"/>
      <c r="AF94" s="1232"/>
      <c r="AV94" s="1232"/>
      <c r="AW94" s="1232"/>
      <c r="AX94" s="1232"/>
      <c r="AY94" s="1232"/>
      <c r="AZ94" s="1232"/>
      <c r="BA94" s="1232"/>
      <c r="BC94" s="1232"/>
      <c r="BE94" s="1232"/>
      <c r="BF94" s="1232"/>
      <c r="BG94" s="1232"/>
    </row>
    <row r="95" spans="18:59" x14ac:dyDescent="0.35">
      <c r="R95" s="1232"/>
      <c r="S95" s="1232"/>
      <c r="W95" s="1232"/>
      <c r="X95" s="1232"/>
      <c r="AE95" s="1232"/>
      <c r="AF95" s="1232"/>
      <c r="AV95" s="1232"/>
      <c r="AW95" s="1232"/>
      <c r="AX95" s="1232"/>
      <c r="AY95" s="1232"/>
      <c r="AZ95" s="1232"/>
      <c r="BA95" s="1232"/>
      <c r="BC95" s="1232"/>
      <c r="BE95" s="1232"/>
      <c r="BF95" s="1232"/>
      <c r="BG95" s="1232"/>
    </row>
    <row r="96" spans="18:59" x14ac:dyDescent="0.35">
      <c r="R96" s="1232"/>
      <c r="S96" s="1232"/>
      <c r="W96" s="1232"/>
      <c r="X96" s="1232"/>
      <c r="AE96" s="1232"/>
      <c r="AF96" s="1232"/>
      <c r="AV96" s="1232"/>
      <c r="AW96" s="1232"/>
      <c r="AX96" s="1232"/>
      <c r="AY96" s="1232"/>
      <c r="AZ96" s="1232"/>
      <c r="BA96" s="1232"/>
      <c r="BC96" s="1232"/>
      <c r="BE96" s="1232"/>
      <c r="BF96" s="1232"/>
      <c r="BG96" s="1232"/>
    </row>
    <row r="97" spans="18:59" x14ac:dyDescent="0.35">
      <c r="R97" s="1232"/>
      <c r="S97" s="1232"/>
      <c r="W97" s="1232"/>
      <c r="X97" s="1232"/>
      <c r="AE97" s="1232"/>
      <c r="AF97" s="1232"/>
      <c r="AV97" s="1232"/>
      <c r="AW97" s="1232"/>
      <c r="AX97" s="1232"/>
      <c r="AY97" s="1232"/>
      <c r="AZ97" s="1232"/>
      <c r="BA97" s="1232"/>
      <c r="BC97" s="1232"/>
      <c r="BE97" s="1232"/>
      <c r="BF97" s="1232"/>
      <c r="BG97" s="1232"/>
    </row>
    <row r="98" spans="18:59" x14ac:dyDescent="0.35">
      <c r="R98" s="1232"/>
      <c r="S98" s="1232"/>
      <c r="W98" s="1232"/>
      <c r="X98" s="1232"/>
      <c r="AE98" s="1232"/>
      <c r="AF98" s="1232"/>
      <c r="AV98" s="1232"/>
      <c r="AW98" s="1232"/>
      <c r="AX98" s="1232"/>
      <c r="AY98" s="1232"/>
      <c r="AZ98" s="1232"/>
      <c r="BA98" s="1232"/>
      <c r="BC98" s="1232"/>
      <c r="BE98" s="1232"/>
      <c r="BF98" s="1232"/>
      <c r="BG98" s="1232"/>
    </row>
    <row r="99" spans="18:59" x14ac:dyDescent="0.35">
      <c r="R99" s="1232"/>
      <c r="S99" s="1232"/>
      <c r="W99" s="1232"/>
      <c r="X99" s="1232"/>
      <c r="AE99" s="1232"/>
      <c r="AF99" s="1232"/>
      <c r="AV99" s="1232"/>
      <c r="AW99" s="1232"/>
      <c r="AX99" s="1232"/>
      <c r="AY99" s="1232"/>
      <c r="AZ99" s="1232"/>
      <c r="BA99" s="1232"/>
      <c r="BC99" s="1232"/>
      <c r="BE99" s="1232"/>
      <c r="BF99" s="1232"/>
      <c r="BG99" s="1232"/>
    </row>
    <row r="100" spans="18:59" x14ac:dyDescent="0.35">
      <c r="R100" s="1232"/>
      <c r="S100" s="1232"/>
      <c r="W100" s="1232"/>
      <c r="X100" s="1232"/>
      <c r="AE100" s="1232"/>
      <c r="AF100" s="1232"/>
      <c r="AV100" s="1232"/>
      <c r="AW100" s="1232"/>
      <c r="AX100" s="1232"/>
      <c r="AY100" s="1232"/>
      <c r="AZ100" s="1232"/>
      <c r="BA100" s="1232"/>
      <c r="BC100" s="1232"/>
      <c r="BE100" s="1232"/>
      <c r="BF100" s="1232"/>
      <c r="BG100" s="1232"/>
    </row>
    <row r="101" spans="18:59" x14ac:dyDescent="0.35">
      <c r="R101" s="1232"/>
      <c r="S101" s="1232"/>
      <c r="W101" s="1232"/>
      <c r="X101" s="1232"/>
      <c r="AE101" s="1232"/>
      <c r="AF101" s="1232"/>
      <c r="AV101" s="1232"/>
      <c r="AW101" s="1232"/>
      <c r="AX101" s="1232"/>
      <c r="AY101" s="1232"/>
      <c r="AZ101" s="1232"/>
      <c r="BA101" s="1232"/>
      <c r="BC101" s="1232"/>
      <c r="BE101" s="1232"/>
      <c r="BF101" s="1232"/>
      <c r="BG101" s="1232"/>
    </row>
    <row r="102" spans="18:59" x14ac:dyDescent="0.35">
      <c r="R102" s="1232"/>
      <c r="S102" s="1232"/>
      <c r="W102" s="1232"/>
      <c r="X102" s="1232"/>
      <c r="AE102" s="1232"/>
      <c r="AF102" s="1232"/>
      <c r="AV102" s="1232"/>
      <c r="AW102" s="1232"/>
      <c r="AX102" s="1232"/>
      <c r="AY102" s="1232"/>
      <c r="AZ102" s="1232"/>
      <c r="BA102" s="1232"/>
      <c r="BC102" s="1232"/>
      <c r="BE102" s="1232"/>
      <c r="BF102" s="1232"/>
      <c r="BG102" s="1232"/>
    </row>
    <row r="103" spans="18:59" x14ac:dyDescent="0.35">
      <c r="R103" s="1232"/>
      <c r="S103" s="1232"/>
      <c r="W103" s="1232"/>
      <c r="X103" s="1232"/>
      <c r="AE103" s="1232"/>
      <c r="AF103" s="1232"/>
      <c r="AV103" s="1232"/>
      <c r="AW103" s="1232"/>
      <c r="AX103" s="1232"/>
      <c r="AY103" s="1232"/>
      <c r="AZ103" s="1232"/>
      <c r="BA103" s="1232"/>
      <c r="BC103" s="1232"/>
      <c r="BE103" s="1232"/>
      <c r="BF103" s="1232"/>
      <c r="BG103" s="1232"/>
    </row>
    <row r="104" spans="18:59" x14ac:dyDescent="0.35">
      <c r="R104" s="1232"/>
      <c r="S104" s="1232"/>
      <c r="W104" s="1232"/>
      <c r="X104" s="1232"/>
      <c r="AE104" s="1232"/>
      <c r="AF104" s="1232"/>
      <c r="AV104" s="1232"/>
      <c r="AW104" s="1232"/>
      <c r="AX104" s="1232"/>
      <c r="AY104" s="1232"/>
      <c r="AZ104" s="1232"/>
      <c r="BA104" s="1232"/>
      <c r="BC104" s="1232"/>
      <c r="BE104" s="1232"/>
      <c r="BF104" s="1232"/>
      <c r="BG104" s="1232"/>
    </row>
    <row r="105" spans="18:59" x14ac:dyDescent="0.35">
      <c r="R105" s="1232"/>
      <c r="S105" s="1232"/>
      <c r="W105" s="1232"/>
      <c r="X105" s="1232"/>
      <c r="AE105" s="1232"/>
      <c r="AF105" s="1232"/>
      <c r="AV105" s="1232"/>
      <c r="AW105" s="1232"/>
      <c r="AX105" s="1232"/>
      <c r="AY105" s="1232"/>
      <c r="AZ105" s="1232"/>
      <c r="BA105" s="1232"/>
      <c r="BC105" s="1232"/>
      <c r="BE105" s="1232"/>
      <c r="BF105" s="1232"/>
      <c r="BG105" s="1232"/>
    </row>
    <row r="106" spans="18:59" x14ac:dyDescent="0.35">
      <c r="R106" s="1232"/>
      <c r="S106" s="1232"/>
      <c r="W106" s="1232"/>
      <c r="X106" s="1232"/>
      <c r="AE106" s="1232"/>
      <c r="AF106" s="1232"/>
      <c r="AV106" s="1232"/>
      <c r="AW106" s="1232"/>
      <c r="AX106" s="1232"/>
      <c r="AY106" s="1232"/>
      <c r="AZ106" s="1232"/>
      <c r="BA106" s="1232"/>
      <c r="BC106" s="1232"/>
      <c r="BE106" s="1232"/>
      <c r="BF106" s="1232"/>
      <c r="BG106" s="1232"/>
    </row>
    <row r="107" spans="18:59" x14ac:dyDescent="0.35">
      <c r="R107" s="1232"/>
      <c r="S107" s="1232"/>
      <c r="W107" s="1232"/>
      <c r="X107" s="1232"/>
      <c r="AE107" s="1232"/>
      <c r="AF107" s="1232"/>
      <c r="AV107" s="1232"/>
      <c r="AW107" s="1232"/>
      <c r="AX107" s="1232"/>
      <c r="AY107" s="1232"/>
      <c r="AZ107" s="1232"/>
      <c r="BA107" s="1232"/>
      <c r="BC107" s="1232"/>
      <c r="BE107" s="1232"/>
      <c r="BF107" s="1232"/>
      <c r="BG107" s="1232"/>
    </row>
    <row r="108" spans="18:59" x14ac:dyDescent="0.35">
      <c r="R108" s="1232"/>
      <c r="S108" s="1232"/>
      <c r="W108" s="1232"/>
      <c r="X108" s="1232"/>
      <c r="AE108" s="1232"/>
      <c r="AF108" s="1232"/>
      <c r="AV108" s="1232"/>
      <c r="AW108" s="1232"/>
      <c r="AX108" s="1232"/>
      <c r="AY108" s="1232"/>
      <c r="AZ108" s="1232"/>
      <c r="BA108" s="1232"/>
      <c r="BC108" s="1232"/>
      <c r="BE108" s="1232"/>
      <c r="BF108" s="1232"/>
      <c r="BG108" s="1232"/>
    </row>
    <row r="109" spans="18:59" x14ac:dyDescent="0.35">
      <c r="R109" s="1232"/>
      <c r="S109" s="1232"/>
      <c r="W109" s="1232"/>
      <c r="X109" s="1232"/>
      <c r="AE109" s="1232"/>
      <c r="AF109" s="1232"/>
      <c r="AV109" s="1232"/>
      <c r="AW109" s="1232"/>
      <c r="AX109" s="1232"/>
      <c r="AY109" s="1232"/>
      <c r="AZ109" s="1232"/>
      <c r="BA109" s="1232"/>
      <c r="BC109" s="1232"/>
      <c r="BE109" s="1232"/>
      <c r="BF109" s="1232"/>
      <c r="BG109" s="1232"/>
    </row>
    <row r="110" spans="18:59" x14ac:dyDescent="0.35">
      <c r="R110" s="1232"/>
      <c r="S110" s="1232"/>
      <c r="W110" s="1232"/>
      <c r="X110" s="1232"/>
      <c r="AE110" s="1232"/>
      <c r="AF110" s="1232"/>
      <c r="AV110" s="1232"/>
      <c r="AW110" s="1232"/>
      <c r="AX110" s="1232"/>
      <c r="AY110" s="1232"/>
      <c r="AZ110" s="1232"/>
      <c r="BA110" s="1232"/>
      <c r="BC110" s="1232"/>
      <c r="BE110" s="1232"/>
      <c r="BF110" s="1232"/>
      <c r="BG110" s="1232"/>
    </row>
    <row r="111" spans="18:59" x14ac:dyDescent="0.35">
      <c r="R111" s="1232"/>
      <c r="S111" s="1232"/>
      <c r="W111" s="1232"/>
      <c r="X111" s="1232"/>
      <c r="AE111" s="1232"/>
      <c r="AF111" s="1232"/>
      <c r="AV111" s="1232"/>
      <c r="AW111" s="1232"/>
      <c r="AX111" s="1232"/>
      <c r="AY111" s="1232"/>
      <c r="AZ111" s="1232"/>
      <c r="BA111" s="1232"/>
      <c r="BC111" s="1232"/>
      <c r="BE111" s="1232"/>
      <c r="BF111" s="1232"/>
      <c r="BG111" s="1232"/>
    </row>
    <row r="112" spans="18:59" x14ac:dyDescent="0.35">
      <c r="R112" s="1232"/>
      <c r="S112" s="1232"/>
      <c r="W112" s="1232"/>
      <c r="X112" s="1232"/>
      <c r="AE112" s="1232"/>
      <c r="AF112" s="1232"/>
      <c r="AV112" s="1232"/>
      <c r="AW112" s="1232"/>
      <c r="AX112" s="1232"/>
      <c r="AY112" s="1232"/>
      <c r="AZ112" s="1232"/>
      <c r="BA112" s="1232"/>
      <c r="BC112" s="1232"/>
      <c r="BE112" s="1232"/>
      <c r="BF112" s="1232"/>
      <c r="BG112" s="1232"/>
    </row>
    <row r="113" spans="18:59" x14ac:dyDescent="0.35">
      <c r="R113" s="1232"/>
      <c r="S113" s="1232"/>
      <c r="W113" s="1232"/>
      <c r="X113" s="1232"/>
      <c r="AE113" s="1232"/>
      <c r="AF113" s="1232"/>
      <c r="AV113" s="1232"/>
      <c r="AW113" s="1232"/>
      <c r="AX113" s="1232"/>
      <c r="AY113" s="1232"/>
      <c r="AZ113" s="1232"/>
      <c r="BA113" s="1232"/>
      <c r="BC113" s="1232"/>
      <c r="BE113" s="1232"/>
      <c r="BF113" s="1232"/>
      <c r="BG113" s="1232"/>
    </row>
    <row r="114" spans="18:59" x14ac:dyDescent="0.35">
      <c r="R114" s="1232"/>
      <c r="S114" s="1232"/>
      <c r="W114" s="1232"/>
      <c r="X114" s="1232"/>
      <c r="AE114" s="1232"/>
      <c r="AF114" s="1232"/>
      <c r="AV114" s="1232"/>
      <c r="AW114" s="1232"/>
      <c r="AX114" s="1232"/>
      <c r="AY114" s="1232"/>
      <c r="AZ114" s="1232"/>
      <c r="BA114" s="1232"/>
      <c r="BC114" s="1232"/>
      <c r="BE114" s="1232"/>
      <c r="BF114" s="1232"/>
      <c r="BG114" s="1232"/>
    </row>
    <row r="115" spans="18:59" x14ac:dyDescent="0.35">
      <c r="R115" s="1232"/>
      <c r="S115" s="1232"/>
      <c r="W115" s="1232"/>
      <c r="X115" s="1232"/>
      <c r="AE115" s="1232"/>
      <c r="AF115" s="1232"/>
      <c r="AV115" s="1232"/>
      <c r="AW115" s="1232"/>
      <c r="AX115" s="1232"/>
      <c r="AY115" s="1232"/>
      <c r="AZ115" s="1232"/>
      <c r="BA115" s="1232"/>
      <c r="BC115" s="1232"/>
      <c r="BE115" s="1232"/>
      <c r="BF115" s="1232"/>
      <c r="BG115" s="1232"/>
    </row>
    <row r="116" spans="18:59" x14ac:dyDescent="0.35">
      <c r="R116" s="1232"/>
      <c r="S116" s="1232"/>
      <c r="W116" s="1232"/>
      <c r="X116" s="1232"/>
      <c r="AE116" s="1232"/>
      <c r="AF116" s="1232"/>
      <c r="AV116" s="1232"/>
      <c r="AW116" s="1232"/>
      <c r="AX116" s="1232"/>
      <c r="AY116" s="1232"/>
      <c r="AZ116" s="1232"/>
      <c r="BA116" s="1232"/>
      <c r="BC116" s="1232"/>
      <c r="BE116" s="1232"/>
      <c r="BF116" s="1232"/>
      <c r="BG116" s="1232"/>
    </row>
    <row r="117" spans="18:59" x14ac:dyDescent="0.35">
      <c r="R117" s="1232"/>
      <c r="S117" s="1232"/>
      <c r="W117" s="1232"/>
      <c r="X117" s="1232"/>
      <c r="AE117" s="1232"/>
      <c r="AF117" s="1232"/>
      <c r="AV117" s="1232"/>
      <c r="AW117" s="1232"/>
      <c r="AX117" s="1232"/>
      <c r="AY117" s="1232"/>
      <c r="AZ117" s="1232"/>
      <c r="BA117" s="1232"/>
      <c r="BC117" s="1232"/>
      <c r="BE117" s="1232"/>
      <c r="BF117" s="1232"/>
      <c r="BG117" s="1232"/>
    </row>
    <row r="118" spans="18:59" x14ac:dyDescent="0.35">
      <c r="R118" s="1232"/>
      <c r="S118" s="1232"/>
      <c r="W118" s="1232"/>
      <c r="X118" s="1232"/>
      <c r="AE118" s="1232"/>
      <c r="AF118" s="1232"/>
      <c r="AV118" s="1232"/>
      <c r="AW118" s="1232"/>
      <c r="AX118" s="1232"/>
      <c r="AY118" s="1232"/>
      <c r="AZ118" s="1232"/>
      <c r="BA118" s="1232"/>
      <c r="BC118" s="1232"/>
      <c r="BE118" s="1232"/>
      <c r="BF118" s="1232"/>
      <c r="BG118" s="1232"/>
    </row>
    <row r="119" spans="18:59" x14ac:dyDescent="0.35">
      <c r="R119" s="1232"/>
      <c r="S119" s="1232"/>
      <c r="W119" s="1232"/>
      <c r="X119" s="1232"/>
      <c r="AE119" s="1232"/>
      <c r="AF119" s="1232"/>
      <c r="AV119" s="1232"/>
      <c r="AW119" s="1232"/>
      <c r="AX119" s="1232"/>
      <c r="AY119" s="1232"/>
      <c r="AZ119" s="1232"/>
      <c r="BA119" s="1232"/>
      <c r="BC119" s="1232"/>
      <c r="BE119" s="1232"/>
      <c r="BF119" s="1232"/>
      <c r="BG119" s="1232"/>
    </row>
    <row r="120" spans="18:59" x14ac:dyDescent="0.35">
      <c r="R120" s="1232"/>
      <c r="S120" s="1232"/>
      <c r="W120" s="1232"/>
      <c r="X120" s="1232"/>
      <c r="AE120" s="1232"/>
      <c r="AF120" s="1232"/>
      <c r="AV120" s="1232"/>
      <c r="AW120" s="1232"/>
      <c r="AX120" s="1232"/>
      <c r="AY120" s="1232"/>
      <c r="AZ120" s="1232"/>
      <c r="BA120" s="1232"/>
      <c r="BC120" s="1232"/>
      <c r="BE120" s="1232"/>
      <c r="BF120" s="1232"/>
      <c r="BG120" s="1232"/>
    </row>
    <row r="121" spans="18:59" x14ac:dyDescent="0.35">
      <c r="R121" s="1232"/>
      <c r="S121" s="1232"/>
      <c r="W121" s="1232"/>
      <c r="X121" s="1232"/>
      <c r="AE121" s="1232"/>
      <c r="AF121" s="1232"/>
      <c r="AV121" s="1232"/>
      <c r="AW121" s="1232"/>
      <c r="AX121" s="1232"/>
      <c r="AY121" s="1232"/>
      <c r="AZ121" s="1232"/>
      <c r="BA121" s="1232"/>
      <c r="BC121" s="1232"/>
      <c r="BE121" s="1232"/>
      <c r="BF121" s="1232"/>
      <c r="BG121" s="1232"/>
    </row>
    <row r="122" spans="18:59" x14ac:dyDescent="0.35">
      <c r="R122" s="1232"/>
      <c r="S122" s="1232"/>
      <c r="W122" s="1232"/>
      <c r="X122" s="1232"/>
      <c r="AE122" s="1232"/>
      <c r="AF122" s="1232"/>
      <c r="AV122" s="1232"/>
      <c r="AW122" s="1232"/>
      <c r="AX122" s="1232"/>
      <c r="AY122" s="1232"/>
      <c r="AZ122" s="1232"/>
      <c r="BA122" s="1232"/>
      <c r="BC122" s="1232"/>
      <c r="BE122" s="1232"/>
      <c r="BF122" s="1232"/>
      <c r="BG122" s="1232"/>
    </row>
    <row r="123" spans="18:59" x14ac:dyDescent="0.35">
      <c r="R123" s="1232"/>
      <c r="S123" s="1232"/>
      <c r="W123" s="1232"/>
      <c r="X123" s="1232"/>
      <c r="AE123" s="1232"/>
      <c r="AF123" s="1232"/>
      <c r="AV123" s="1232"/>
      <c r="AW123" s="1232"/>
      <c r="AX123" s="1232"/>
      <c r="AY123" s="1232"/>
      <c r="AZ123" s="1232"/>
      <c r="BA123" s="1232"/>
      <c r="BC123" s="1232"/>
      <c r="BE123" s="1232"/>
      <c r="BF123" s="1232"/>
      <c r="BG123" s="1232"/>
    </row>
    <row r="124" spans="18:59" x14ac:dyDescent="0.35">
      <c r="R124" s="1232"/>
      <c r="S124" s="1232"/>
      <c r="W124" s="1232"/>
      <c r="X124" s="1232"/>
      <c r="AE124" s="1232"/>
      <c r="AF124" s="1232"/>
      <c r="AV124" s="1232"/>
      <c r="AW124" s="1232"/>
      <c r="AX124" s="1232"/>
      <c r="AY124" s="1232"/>
      <c r="AZ124" s="1232"/>
      <c r="BA124" s="1232"/>
      <c r="BC124" s="1232"/>
      <c r="BE124" s="1232"/>
      <c r="BF124" s="1232"/>
      <c r="BG124" s="1232"/>
    </row>
    <row r="125" spans="18:59" x14ac:dyDescent="0.35">
      <c r="R125" s="1232"/>
      <c r="S125" s="1232"/>
      <c r="W125" s="1232"/>
      <c r="X125" s="1232"/>
      <c r="AE125" s="1232"/>
      <c r="AF125" s="1232"/>
      <c r="AV125" s="1232"/>
      <c r="AW125" s="1232"/>
      <c r="AX125" s="1232"/>
      <c r="AY125" s="1232"/>
      <c r="AZ125" s="1232"/>
      <c r="BA125" s="1232"/>
      <c r="BC125" s="1232"/>
      <c r="BE125" s="1232"/>
      <c r="BF125" s="1232"/>
      <c r="BG125" s="1232"/>
    </row>
    <row r="126" spans="18:59" x14ac:dyDescent="0.35">
      <c r="R126" s="1232"/>
      <c r="S126" s="1232"/>
      <c r="W126" s="1232"/>
      <c r="X126" s="1232"/>
      <c r="AE126" s="1232"/>
      <c r="AF126" s="1232"/>
      <c r="AV126" s="1232"/>
      <c r="AW126" s="1232"/>
      <c r="AX126" s="1232"/>
      <c r="AY126" s="1232"/>
      <c r="AZ126" s="1232"/>
      <c r="BA126" s="1232"/>
      <c r="BC126" s="1232"/>
      <c r="BE126" s="1232"/>
      <c r="BF126" s="1232"/>
      <c r="BG126" s="1232"/>
    </row>
    <row r="127" spans="18:59" x14ac:dyDescent="0.35">
      <c r="R127" s="1232"/>
      <c r="S127" s="1232"/>
      <c r="W127" s="1232"/>
      <c r="X127" s="1232"/>
      <c r="AE127" s="1232"/>
      <c r="AF127" s="1232"/>
      <c r="AV127" s="1232"/>
      <c r="AW127" s="1232"/>
      <c r="AX127" s="1232"/>
      <c r="AY127" s="1232"/>
      <c r="AZ127" s="1232"/>
      <c r="BA127" s="1232"/>
      <c r="BC127" s="1232"/>
      <c r="BE127" s="1232"/>
      <c r="BF127" s="1232"/>
      <c r="BG127" s="1232"/>
    </row>
    <row r="128" spans="18:59" x14ac:dyDescent="0.35">
      <c r="R128" s="1232"/>
      <c r="S128" s="1232"/>
      <c r="W128" s="1232"/>
      <c r="X128" s="1232"/>
      <c r="AE128" s="1232"/>
      <c r="AF128" s="1232"/>
      <c r="AV128" s="1232"/>
      <c r="AW128" s="1232"/>
      <c r="AX128" s="1232"/>
      <c r="AY128" s="1232"/>
      <c r="AZ128" s="1232"/>
      <c r="BA128" s="1232"/>
      <c r="BC128" s="1232"/>
      <c r="BE128" s="1232"/>
      <c r="BF128" s="1232"/>
      <c r="BG128" s="1232"/>
    </row>
    <row r="129" spans="18:59" x14ac:dyDescent="0.35">
      <c r="R129" s="1232"/>
      <c r="S129" s="1232"/>
      <c r="W129" s="1232"/>
      <c r="X129" s="1232"/>
      <c r="AE129" s="1232"/>
      <c r="AF129" s="1232"/>
      <c r="AV129" s="1232"/>
      <c r="AW129" s="1232"/>
      <c r="AX129" s="1232"/>
      <c r="AY129" s="1232"/>
      <c r="AZ129" s="1232"/>
      <c r="BA129" s="1232"/>
      <c r="BC129" s="1232"/>
      <c r="BE129" s="1232"/>
      <c r="BF129" s="1232"/>
      <c r="BG129" s="1232"/>
    </row>
    <row r="130" spans="18:59" x14ac:dyDescent="0.35">
      <c r="R130" s="1232"/>
      <c r="S130" s="1232"/>
      <c r="W130" s="1232"/>
      <c r="X130" s="1232"/>
      <c r="AE130" s="1232"/>
      <c r="AF130" s="1232"/>
      <c r="AV130" s="1232"/>
      <c r="AW130" s="1232"/>
      <c r="AX130" s="1232"/>
      <c r="AY130" s="1232"/>
      <c r="AZ130" s="1232"/>
      <c r="BA130" s="1232"/>
      <c r="BC130" s="1232"/>
      <c r="BE130" s="1232"/>
      <c r="BF130" s="1232"/>
      <c r="BG130" s="1232"/>
    </row>
    <row r="131" spans="18:59" x14ac:dyDescent="0.35">
      <c r="R131" s="1232"/>
      <c r="S131" s="1232"/>
      <c r="W131" s="1232"/>
      <c r="X131" s="1232"/>
      <c r="AE131" s="1232"/>
      <c r="AF131" s="1232"/>
      <c r="AV131" s="1232"/>
      <c r="AW131" s="1232"/>
      <c r="AX131" s="1232"/>
      <c r="AY131" s="1232"/>
      <c r="AZ131" s="1232"/>
      <c r="BA131" s="1232"/>
      <c r="BC131" s="1232"/>
      <c r="BE131" s="1232"/>
      <c r="BF131" s="1232"/>
      <c r="BG131" s="1232"/>
    </row>
    <row r="132" spans="18:59" x14ac:dyDescent="0.35">
      <c r="R132" s="1232"/>
      <c r="S132" s="1232"/>
      <c r="W132" s="1232"/>
      <c r="X132" s="1232"/>
      <c r="AE132" s="1232"/>
      <c r="AF132" s="1232"/>
      <c r="AV132" s="1232"/>
      <c r="AW132" s="1232"/>
      <c r="AX132" s="1232"/>
      <c r="AY132" s="1232"/>
      <c r="AZ132" s="1232"/>
      <c r="BA132" s="1232"/>
      <c r="BC132" s="1232"/>
      <c r="BE132" s="1232"/>
      <c r="BF132" s="1232"/>
      <c r="BG132" s="1232"/>
    </row>
    <row r="133" spans="18:59" x14ac:dyDescent="0.35">
      <c r="R133" s="1232"/>
      <c r="S133" s="1232"/>
      <c r="W133" s="1232"/>
      <c r="X133" s="1232"/>
      <c r="AE133" s="1232"/>
      <c r="AF133" s="1232"/>
      <c r="AV133" s="1232"/>
      <c r="AW133" s="1232"/>
      <c r="AX133" s="1232"/>
      <c r="AY133" s="1232"/>
      <c r="AZ133" s="1232"/>
      <c r="BA133" s="1232"/>
      <c r="BC133" s="1232"/>
      <c r="BE133" s="1232"/>
      <c r="BF133" s="1232"/>
      <c r="BG133" s="1232"/>
    </row>
    <row r="134" spans="18:59" x14ac:dyDescent="0.35">
      <c r="R134" s="1232"/>
      <c r="S134" s="1232"/>
      <c r="W134" s="1232"/>
      <c r="X134" s="1232"/>
      <c r="AE134" s="1232"/>
      <c r="AF134" s="1232"/>
      <c r="AV134" s="1232"/>
      <c r="AW134" s="1232"/>
      <c r="AX134" s="1232"/>
      <c r="AY134" s="1232"/>
      <c r="AZ134" s="1232"/>
      <c r="BA134" s="1232"/>
      <c r="BC134" s="1232"/>
      <c r="BE134" s="1232"/>
      <c r="BF134" s="1232"/>
      <c r="BG134" s="1232"/>
    </row>
    <row r="135" spans="18:59" x14ac:dyDescent="0.35">
      <c r="R135" s="1232"/>
      <c r="S135" s="1232"/>
      <c r="W135" s="1232"/>
      <c r="X135" s="1232"/>
      <c r="AE135" s="1232"/>
      <c r="AF135" s="1232"/>
      <c r="AV135" s="1232"/>
      <c r="AW135" s="1232"/>
      <c r="AX135" s="1232"/>
      <c r="AY135" s="1232"/>
      <c r="AZ135" s="1232"/>
      <c r="BA135" s="1232"/>
      <c r="BC135" s="1232"/>
      <c r="BE135" s="1232"/>
      <c r="BF135" s="1232"/>
      <c r="BG135" s="1232"/>
    </row>
    <row r="136" spans="18:59" x14ac:dyDescent="0.35">
      <c r="R136" s="1232"/>
      <c r="S136" s="1232"/>
      <c r="W136" s="1232"/>
      <c r="X136" s="1232"/>
      <c r="AE136" s="1232"/>
      <c r="AF136" s="1232"/>
      <c r="AV136" s="1232"/>
      <c r="AW136" s="1232"/>
      <c r="AX136" s="1232"/>
      <c r="AY136" s="1232"/>
      <c r="AZ136" s="1232"/>
      <c r="BA136" s="1232"/>
      <c r="BC136" s="1232"/>
      <c r="BE136" s="1232"/>
      <c r="BF136" s="1232"/>
      <c r="BG136" s="1232"/>
    </row>
    <row r="137" spans="18:59" x14ac:dyDescent="0.35">
      <c r="R137" s="1232"/>
      <c r="S137" s="1232"/>
      <c r="W137" s="1232"/>
      <c r="X137" s="1232"/>
      <c r="AE137" s="1232"/>
      <c r="AF137" s="1232"/>
      <c r="AV137" s="1232"/>
      <c r="AW137" s="1232"/>
      <c r="AX137" s="1232"/>
      <c r="AY137" s="1232"/>
      <c r="AZ137" s="1232"/>
      <c r="BA137" s="1232"/>
      <c r="BC137" s="1232"/>
      <c r="BE137" s="1232"/>
      <c r="BF137" s="1232"/>
      <c r="BG137" s="1232"/>
    </row>
    <row r="138" spans="18:59" x14ac:dyDescent="0.35">
      <c r="R138" s="1232"/>
      <c r="S138" s="1232"/>
      <c r="W138" s="1232"/>
      <c r="X138" s="1232"/>
      <c r="AE138" s="1232"/>
      <c r="AF138" s="1232"/>
      <c r="AV138" s="1232"/>
      <c r="AW138" s="1232"/>
      <c r="AX138" s="1232"/>
      <c r="AY138" s="1232"/>
      <c r="AZ138" s="1232"/>
      <c r="BA138" s="1232"/>
      <c r="BC138" s="1232"/>
      <c r="BE138" s="1232"/>
      <c r="BF138" s="1232"/>
      <c r="BG138" s="1232"/>
    </row>
    <row r="139" spans="18:59" x14ac:dyDescent="0.35">
      <c r="R139" s="1232"/>
      <c r="S139" s="1232"/>
      <c r="W139" s="1232"/>
      <c r="X139" s="1232"/>
      <c r="AE139" s="1232"/>
      <c r="AF139" s="1232"/>
      <c r="AV139" s="1232"/>
      <c r="AW139" s="1232"/>
      <c r="AX139" s="1232"/>
      <c r="AY139" s="1232"/>
      <c r="AZ139" s="1232"/>
      <c r="BA139" s="1232"/>
      <c r="BC139" s="1232"/>
      <c r="BE139" s="1232"/>
      <c r="BF139" s="1232"/>
      <c r="BG139" s="1232"/>
    </row>
    <row r="140" spans="18:59" x14ac:dyDescent="0.35">
      <c r="R140" s="1232"/>
      <c r="S140" s="1232"/>
      <c r="W140" s="1232"/>
      <c r="X140" s="1232"/>
      <c r="AE140" s="1232"/>
      <c r="AF140" s="1232"/>
      <c r="AV140" s="1232"/>
      <c r="AW140" s="1232"/>
      <c r="AX140" s="1232"/>
      <c r="AY140" s="1232"/>
      <c r="AZ140" s="1232"/>
      <c r="BA140" s="1232"/>
      <c r="BC140" s="1232"/>
      <c r="BE140" s="1232"/>
      <c r="BF140" s="1232"/>
      <c r="BG140" s="1232"/>
    </row>
    <row r="141" spans="18:59" x14ac:dyDescent="0.35">
      <c r="R141" s="1232"/>
      <c r="S141" s="1232"/>
      <c r="W141" s="1232"/>
      <c r="X141" s="1232"/>
      <c r="AE141" s="1232"/>
      <c r="AF141" s="1232"/>
      <c r="AV141" s="1232"/>
      <c r="AW141" s="1232"/>
      <c r="AX141" s="1232"/>
      <c r="AY141" s="1232"/>
      <c r="AZ141" s="1232"/>
      <c r="BA141" s="1232"/>
      <c r="BC141" s="1232"/>
      <c r="BE141" s="1232"/>
      <c r="BF141" s="1232"/>
      <c r="BG141" s="1232"/>
    </row>
    <row r="142" spans="18:59" x14ac:dyDescent="0.35">
      <c r="R142" s="1232"/>
      <c r="S142" s="1232"/>
      <c r="W142" s="1232"/>
      <c r="X142" s="1232"/>
      <c r="AE142" s="1232"/>
      <c r="AF142" s="1232"/>
      <c r="AV142" s="1232"/>
      <c r="AW142" s="1232"/>
      <c r="AX142" s="1232"/>
      <c r="AY142" s="1232"/>
      <c r="AZ142" s="1232"/>
      <c r="BA142" s="1232"/>
      <c r="BC142" s="1232"/>
      <c r="BE142" s="1232"/>
      <c r="BF142" s="1232"/>
      <c r="BG142" s="1232"/>
    </row>
    <row r="143" spans="18:59" x14ac:dyDescent="0.35">
      <c r="R143" s="1232"/>
      <c r="S143" s="1232"/>
      <c r="W143" s="1232"/>
      <c r="X143" s="1232"/>
      <c r="AE143" s="1232"/>
      <c r="AF143" s="1232"/>
      <c r="AV143" s="1232"/>
      <c r="AW143" s="1232"/>
      <c r="AX143" s="1232"/>
      <c r="AY143" s="1232"/>
      <c r="AZ143" s="1232"/>
      <c r="BA143" s="1232"/>
      <c r="BC143" s="1232"/>
      <c r="BE143" s="1232"/>
      <c r="BF143" s="1232"/>
      <c r="BG143" s="1232"/>
    </row>
    <row r="144" spans="18:59" x14ac:dyDescent="0.35">
      <c r="R144" s="1232"/>
      <c r="S144" s="1232"/>
      <c r="W144" s="1232"/>
      <c r="X144" s="1232"/>
      <c r="AE144" s="1232"/>
      <c r="AF144" s="1232"/>
      <c r="AV144" s="1232"/>
      <c r="AW144" s="1232"/>
      <c r="AX144" s="1232"/>
      <c r="AY144" s="1232"/>
      <c r="AZ144" s="1232"/>
      <c r="BA144" s="1232"/>
      <c r="BC144" s="1232"/>
      <c r="BE144" s="1232"/>
      <c r="BF144" s="1232"/>
      <c r="BG144" s="1232"/>
    </row>
    <row r="145" spans="18:59" x14ac:dyDescent="0.35">
      <c r="R145" s="1232"/>
      <c r="S145" s="1232"/>
      <c r="W145" s="1232"/>
      <c r="X145" s="1232"/>
      <c r="AE145" s="1232"/>
      <c r="AF145" s="1232"/>
      <c r="AV145" s="1232"/>
      <c r="AW145" s="1232"/>
      <c r="AX145" s="1232"/>
      <c r="AY145" s="1232"/>
      <c r="AZ145" s="1232"/>
      <c r="BA145" s="1232"/>
      <c r="BC145" s="1232"/>
      <c r="BE145" s="1232"/>
      <c r="BF145" s="1232"/>
      <c r="BG145" s="1232"/>
    </row>
    <row r="146" spans="18:59" x14ac:dyDescent="0.35">
      <c r="R146" s="1232"/>
      <c r="S146" s="1232"/>
      <c r="W146" s="1232"/>
      <c r="X146" s="1232"/>
      <c r="AE146" s="1232"/>
      <c r="AF146" s="1232"/>
      <c r="AV146" s="1232"/>
      <c r="AW146" s="1232"/>
      <c r="AX146" s="1232"/>
      <c r="AY146" s="1232"/>
      <c r="AZ146" s="1232"/>
      <c r="BA146" s="1232"/>
      <c r="BC146" s="1232"/>
      <c r="BE146" s="1232"/>
      <c r="BF146" s="1232"/>
      <c r="BG146" s="1232"/>
    </row>
    <row r="147" spans="18:59" x14ac:dyDescent="0.35">
      <c r="R147" s="1232"/>
      <c r="S147" s="1232"/>
      <c r="W147" s="1232"/>
      <c r="X147" s="1232"/>
      <c r="AE147" s="1232"/>
      <c r="AF147" s="1232"/>
      <c r="AV147" s="1232"/>
      <c r="AW147" s="1232"/>
      <c r="AX147" s="1232"/>
      <c r="AY147" s="1232"/>
      <c r="AZ147" s="1232"/>
      <c r="BA147" s="1232"/>
      <c r="BC147" s="1232"/>
      <c r="BE147" s="1232"/>
      <c r="BF147" s="1232"/>
      <c r="BG147" s="1232"/>
    </row>
    <row r="148" spans="18:59" x14ac:dyDescent="0.35">
      <c r="R148" s="1232"/>
      <c r="S148" s="1232"/>
      <c r="W148" s="1232"/>
      <c r="X148" s="1232"/>
      <c r="AE148" s="1232"/>
      <c r="AF148" s="1232"/>
      <c r="AV148" s="1232"/>
      <c r="AW148" s="1232"/>
      <c r="AX148" s="1232"/>
      <c r="AY148" s="1232"/>
      <c r="AZ148" s="1232"/>
      <c r="BA148" s="1232"/>
      <c r="BC148" s="1232"/>
      <c r="BE148" s="1232"/>
      <c r="BF148" s="1232"/>
      <c r="BG148" s="1232"/>
    </row>
    <row r="149" spans="18:59" x14ac:dyDescent="0.35">
      <c r="R149" s="1232"/>
      <c r="S149" s="1232"/>
      <c r="W149" s="1232"/>
      <c r="X149" s="1232"/>
      <c r="AE149" s="1232"/>
      <c r="AF149" s="1232"/>
      <c r="AV149" s="1232"/>
      <c r="AW149" s="1232"/>
      <c r="AX149" s="1232"/>
      <c r="AY149" s="1232"/>
      <c r="AZ149" s="1232"/>
      <c r="BA149" s="1232"/>
      <c r="BC149" s="1232"/>
      <c r="BE149" s="1232"/>
      <c r="BF149" s="1232"/>
      <c r="BG149" s="1232"/>
    </row>
    <row r="150" spans="18:59" x14ac:dyDescent="0.35">
      <c r="R150" s="1232"/>
      <c r="S150" s="1232"/>
      <c r="W150" s="1232"/>
      <c r="X150" s="1232"/>
      <c r="AE150" s="1232"/>
      <c r="AF150" s="1232"/>
      <c r="AV150" s="1232"/>
      <c r="AW150" s="1232"/>
      <c r="AX150" s="1232"/>
      <c r="AY150" s="1232"/>
      <c r="AZ150" s="1232"/>
      <c r="BA150" s="1232"/>
      <c r="BC150" s="1232"/>
      <c r="BE150" s="1232"/>
      <c r="BF150" s="1232"/>
      <c r="BG150" s="1232"/>
    </row>
    <row r="151" spans="18:59" x14ac:dyDescent="0.35">
      <c r="R151" s="1232"/>
      <c r="S151" s="1232"/>
      <c r="W151" s="1232"/>
      <c r="X151" s="1232"/>
      <c r="AE151" s="1232"/>
      <c r="AF151" s="1232"/>
      <c r="AV151" s="1232"/>
      <c r="AW151" s="1232"/>
      <c r="AX151" s="1232"/>
      <c r="AY151" s="1232"/>
      <c r="AZ151" s="1232"/>
      <c r="BA151" s="1232"/>
      <c r="BC151" s="1232"/>
      <c r="BE151" s="1232"/>
      <c r="BF151" s="1232"/>
      <c r="BG151" s="1232"/>
    </row>
    <row r="152" spans="18:59" x14ac:dyDescent="0.35">
      <c r="R152" s="1232"/>
      <c r="S152" s="1232"/>
      <c r="W152" s="1232"/>
      <c r="X152" s="1232"/>
      <c r="AE152" s="1232"/>
      <c r="AF152" s="1232"/>
      <c r="AV152" s="1232"/>
      <c r="AW152" s="1232"/>
      <c r="AX152" s="1232"/>
      <c r="AY152" s="1232"/>
      <c r="AZ152" s="1232"/>
      <c r="BA152" s="1232"/>
      <c r="BC152" s="1232"/>
      <c r="BE152" s="1232"/>
      <c r="BF152" s="1232"/>
      <c r="BG152" s="1232"/>
    </row>
    <row r="153" spans="18:59" x14ac:dyDescent="0.35">
      <c r="R153" s="1232"/>
      <c r="S153" s="1232"/>
      <c r="W153" s="1232"/>
      <c r="X153" s="1232"/>
      <c r="AE153" s="1232"/>
      <c r="AF153" s="1232"/>
      <c r="AV153" s="1232"/>
      <c r="AW153" s="1232"/>
      <c r="AX153" s="1232"/>
      <c r="AY153" s="1232"/>
      <c r="AZ153" s="1232"/>
      <c r="BA153" s="1232"/>
      <c r="BC153" s="1232"/>
      <c r="BE153" s="1232"/>
      <c r="BF153" s="1232"/>
      <c r="BG153" s="1232"/>
    </row>
    <row r="154" spans="18:59" x14ac:dyDescent="0.35">
      <c r="R154" s="1232"/>
      <c r="S154" s="1232"/>
      <c r="W154" s="1232"/>
      <c r="X154" s="1232"/>
      <c r="AE154" s="1232"/>
      <c r="AF154" s="1232"/>
      <c r="AV154" s="1232"/>
      <c r="AW154" s="1232"/>
      <c r="AX154" s="1232"/>
      <c r="AY154" s="1232"/>
      <c r="AZ154" s="1232"/>
      <c r="BA154" s="1232"/>
      <c r="BC154" s="1232"/>
      <c r="BE154" s="1232"/>
      <c r="BF154" s="1232"/>
      <c r="BG154" s="1232"/>
    </row>
    <row r="155" spans="18:59" x14ac:dyDescent="0.35">
      <c r="R155" s="1232"/>
      <c r="S155" s="1232"/>
      <c r="W155" s="1232"/>
      <c r="X155" s="1232"/>
      <c r="AE155" s="1232"/>
      <c r="AF155" s="1232"/>
      <c r="AV155" s="1232"/>
      <c r="AW155" s="1232"/>
      <c r="AX155" s="1232"/>
      <c r="AY155" s="1232"/>
      <c r="AZ155" s="1232"/>
      <c r="BA155" s="1232"/>
      <c r="BC155" s="1232"/>
      <c r="BE155" s="1232"/>
      <c r="BF155" s="1232"/>
      <c r="BG155" s="1232"/>
    </row>
    <row r="156" spans="18:59" x14ac:dyDescent="0.35">
      <c r="R156" s="1232"/>
      <c r="S156" s="1232"/>
      <c r="W156" s="1232"/>
      <c r="X156" s="1232"/>
      <c r="AE156" s="1232"/>
      <c r="AF156" s="1232"/>
      <c r="AV156" s="1232"/>
      <c r="AW156" s="1232"/>
      <c r="AX156" s="1232"/>
      <c r="AY156" s="1232"/>
      <c r="AZ156" s="1232"/>
      <c r="BA156" s="1232"/>
      <c r="BC156" s="1232"/>
      <c r="BE156" s="1232"/>
      <c r="BF156" s="1232"/>
      <c r="BG156" s="1232"/>
    </row>
    <row r="157" spans="18:59" x14ac:dyDescent="0.35">
      <c r="R157" s="1232"/>
      <c r="S157" s="1232"/>
      <c r="W157" s="1232"/>
      <c r="X157" s="1232"/>
      <c r="AE157" s="1232"/>
      <c r="AF157" s="1232"/>
      <c r="AV157" s="1232"/>
      <c r="AW157" s="1232"/>
      <c r="AX157" s="1232"/>
      <c r="AY157" s="1232"/>
      <c r="AZ157" s="1232"/>
      <c r="BA157" s="1232"/>
      <c r="BC157" s="1232"/>
      <c r="BE157" s="1232"/>
      <c r="BF157" s="1232"/>
      <c r="BG157" s="1232"/>
    </row>
    <row r="158" spans="18:59" x14ac:dyDescent="0.35">
      <c r="R158" s="1232"/>
      <c r="S158" s="1232"/>
      <c r="W158" s="1232"/>
      <c r="X158" s="1232"/>
      <c r="AE158" s="1232"/>
      <c r="AF158" s="1232"/>
      <c r="AV158" s="1232"/>
      <c r="AW158" s="1232"/>
      <c r="AX158" s="1232"/>
      <c r="AY158" s="1232"/>
      <c r="AZ158" s="1232"/>
      <c r="BA158" s="1232"/>
      <c r="BC158" s="1232"/>
      <c r="BE158" s="1232"/>
      <c r="BF158" s="1232"/>
      <c r="BG158" s="1232"/>
    </row>
    <row r="159" spans="18:59" x14ac:dyDescent="0.35">
      <c r="R159" s="1232"/>
      <c r="S159" s="1232"/>
      <c r="W159" s="1232"/>
      <c r="X159" s="1232"/>
      <c r="AE159" s="1232"/>
      <c r="AF159" s="1232"/>
      <c r="AV159" s="1232"/>
      <c r="AW159" s="1232"/>
      <c r="AX159" s="1232"/>
      <c r="AY159" s="1232"/>
      <c r="AZ159" s="1232"/>
      <c r="BA159" s="1232"/>
      <c r="BC159" s="1232"/>
      <c r="BE159" s="1232"/>
      <c r="BF159" s="1232"/>
      <c r="BG159" s="1232"/>
    </row>
    <row r="160" spans="18:59" x14ac:dyDescent="0.35">
      <c r="R160" s="1232"/>
      <c r="S160" s="1232"/>
      <c r="W160" s="1232"/>
      <c r="X160" s="1232"/>
      <c r="AE160" s="1232"/>
      <c r="AF160" s="1232"/>
      <c r="AV160" s="1232"/>
      <c r="AW160" s="1232"/>
      <c r="AX160" s="1232"/>
      <c r="AY160" s="1232"/>
      <c r="AZ160" s="1232"/>
      <c r="BA160" s="1232"/>
      <c r="BC160" s="1232"/>
      <c r="BE160" s="1232"/>
      <c r="BF160" s="1232"/>
      <c r="BG160" s="1232"/>
    </row>
    <row r="161" spans="18:59" x14ac:dyDescent="0.35">
      <c r="R161" s="1232"/>
      <c r="S161" s="1232"/>
      <c r="W161" s="1232"/>
      <c r="X161" s="1232"/>
      <c r="AE161" s="1232"/>
      <c r="AF161" s="1232"/>
      <c r="AV161" s="1232"/>
      <c r="AW161" s="1232"/>
      <c r="AX161" s="1232"/>
      <c r="AY161" s="1232"/>
      <c r="AZ161" s="1232"/>
      <c r="BA161" s="1232"/>
      <c r="BC161" s="1232"/>
      <c r="BE161" s="1232"/>
      <c r="BF161" s="1232"/>
      <c r="BG161" s="1232"/>
    </row>
    <row r="162" spans="18:59" x14ac:dyDescent="0.35">
      <c r="R162" s="1232"/>
      <c r="S162" s="1232"/>
      <c r="W162" s="1232"/>
      <c r="X162" s="1232"/>
      <c r="AE162" s="1232"/>
      <c r="AF162" s="1232"/>
      <c r="AV162" s="1232"/>
      <c r="AW162" s="1232"/>
      <c r="AX162" s="1232"/>
      <c r="AY162" s="1232"/>
      <c r="AZ162" s="1232"/>
      <c r="BA162" s="1232"/>
      <c r="BC162" s="1232"/>
      <c r="BE162" s="1232"/>
      <c r="BF162" s="1232"/>
      <c r="BG162" s="1232"/>
    </row>
    <row r="163" spans="18:59" x14ac:dyDescent="0.35">
      <c r="R163" s="1232"/>
      <c r="S163" s="1232"/>
      <c r="W163" s="1232"/>
      <c r="X163" s="1232"/>
      <c r="AE163" s="1232"/>
      <c r="AF163" s="1232"/>
      <c r="AV163" s="1232"/>
      <c r="AW163" s="1232"/>
      <c r="AX163" s="1232"/>
      <c r="AY163" s="1232"/>
      <c r="AZ163" s="1232"/>
      <c r="BA163" s="1232"/>
      <c r="BC163" s="1232"/>
      <c r="BE163" s="1232"/>
      <c r="BF163" s="1232"/>
      <c r="BG163" s="1232"/>
    </row>
    <row r="164" spans="18:59" x14ac:dyDescent="0.35">
      <c r="R164" s="1232"/>
      <c r="S164" s="1232"/>
      <c r="W164" s="1232"/>
      <c r="X164" s="1232"/>
      <c r="AE164" s="1232"/>
      <c r="AF164" s="1232"/>
      <c r="AV164" s="1232"/>
      <c r="AW164" s="1232"/>
      <c r="AX164" s="1232"/>
      <c r="AY164" s="1232"/>
      <c r="AZ164" s="1232"/>
      <c r="BA164" s="1232"/>
      <c r="BC164" s="1232"/>
      <c r="BE164" s="1232"/>
      <c r="BF164" s="1232"/>
      <c r="BG164" s="1232"/>
    </row>
    <row r="165" spans="18:59" x14ac:dyDescent="0.35">
      <c r="R165" s="1232"/>
      <c r="S165" s="1232"/>
      <c r="W165" s="1232"/>
      <c r="X165" s="1232"/>
      <c r="AE165" s="1232"/>
      <c r="AF165" s="1232"/>
      <c r="AV165" s="1232"/>
      <c r="AW165" s="1232"/>
      <c r="AX165" s="1232"/>
      <c r="AY165" s="1232"/>
      <c r="AZ165" s="1232"/>
      <c r="BA165" s="1232"/>
      <c r="BC165" s="1232"/>
      <c r="BE165" s="1232"/>
      <c r="BF165" s="1232"/>
      <c r="BG165" s="1232"/>
    </row>
    <row r="166" spans="18:59" x14ac:dyDescent="0.35">
      <c r="R166" s="1232"/>
      <c r="S166" s="1232"/>
      <c r="W166" s="1232"/>
      <c r="X166" s="1232"/>
      <c r="AE166" s="1232"/>
      <c r="AF166" s="1232"/>
      <c r="AV166" s="1232"/>
      <c r="AW166" s="1232"/>
      <c r="AX166" s="1232"/>
      <c r="AY166" s="1232"/>
      <c r="AZ166" s="1232"/>
      <c r="BA166" s="1232"/>
      <c r="BC166" s="1232"/>
      <c r="BE166" s="1232"/>
      <c r="BF166" s="1232"/>
      <c r="BG166" s="1232"/>
    </row>
    <row r="167" spans="18:59" x14ac:dyDescent="0.35">
      <c r="R167" s="1232"/>
      <c r="S167" s="1232"/>
      <c r="W167" s="1232"/>
      <c r="X167" s="1232"/>
      <c r="AE167" s="1232"/>
      <c r="AF167" s="1232"/>
      <c r="AV167" s="1232"/>
      <c r="AW167" s="1232"/>
      <c r="AX167" s="1232"/>
      <c r="AY167" s="1232"/>
      <c r="AZ167" s="1232"/>
      <c r="BA167" s="1232"/>
      <c r="BC167" s="1232"/>
      <c r="BE167" s="1232"/>
      <c r="BF167" s="1232"/>
      <c r="BG167" s="1232"/>
    </row>
    <row r="168" spans="18:59" x14ac:dyDescent="0.35">
      <c r="R168" s="1232"/>
      <c r="S168" s="1232"/>
      <c r="W168" s="1232"/>
      <c r="X168" s="1232"/>
      <c r="AE168" s="1232"/>
      <c r="AF168" s="1232"/>
      <c r="AV168" s="1232"/>
      <c r="AW168" s="1232"/>
      <c r="AX168" s="1232"/>
      <c r="AY168" s="1232"/>
      <c r="AZ168" s="1232"/>
      <c r="BA168" s="1232"/>
      <c r="BC168" s="1232"/>
      <c r="BE168" s="1232"/>
      <c r="BF168" s="1232"/>
      <c r="BG168" s="1232"/>
    </row>
    <row r="169" spans="18:59" x14ac:dyDescent="0.35">
      <c r="R169" s="1232"/>
      <c r="S169" s="1232"/>
      <c r="W169" s="1232"/>
      <c r="X169" s="1232"/>
      <c r="AE169" s="1232"/>
      <c r="AF169" s="1232"/>
      <c r="AV169" s="1232"/>
      <c r="AW169" s="1232"/>
      <c r="AX169" s="1232"/>
      <c r="AY169" s="1232"/>
      <c r="AZ169" s="1232"/>
      <c r="BA169" s="1232"/>
      <c r="BC169" s="1232"/>
      <c r="BE169" s="1232"/>
      <c r="BF169" s="1232"/>
      <c r="BG169" s="1232"/>
    </row>
    <row r="170" spans="18:59" x14ac:dyDescent="0.35">
      <c r="R170" s="1232"/>
      <c r="S170" s="1232"/>
      <c r="W170" s="1232"/>
      <c r="X170" s="1232"/>
      <c r="AE170" s="1232"/>
      <c r="AF170" s="1232"/>
      <c r="AV170" s="1232"/>
      <c r="AW170" s="1232"/>
      <c r="AX170" s="1232"/>
      <c r="AY170" s="1232"/>
      <c r="AZ170" s="1232"/>
      <c r="BA170" s="1232"/>
      <c r="BC170" s="1232"/>
      <c r="BE170" s="1232"/>
      <c r="BF170" s="1232"/>
      <c r="BG170" s="1232"/>
    </row>
    <row r="171" spans="18:59" x14ac:dyDescent="0.35">
      <c r="R171" s="1232"/>
      <c r="S171" s="1232"/>
      <c r="W171" s="1232"/>
      <c r="X171" s="1232"/>
      <c r="AE171" s="1232"/>
      <c r="AF171" s="1232"/>
      <c r="AV171" s="1232"/>
      <c r="AW171" s="1232"/>
      <c r="AX171" s="1232"/>
      <c r="AY171" s="1232"/>
      <c r="AZ171" s="1232"/>
      <c r="BA171" s="1232"/>
      <c r="BC171" s="1232"/>
      <c r="BE171" s="1232"/>
      <c r="BF171" s="1232"/>
      <c r="BG171" s="1232"/>
    </row>
    <row r="172" spans="18:59" x14ac:dyDescent="0.35">
      <c r="R172" s="1232"/>
      <c r="S172" s="1232"/>
      <c r="W172" s="1232"/>
      <c r="X172" s="1232"/>
      <c r="AE172" s="1232"/>
      <c r="AF172" s="1232"/>
      <c r="AV172" s="1232"/>
      <c r="AW172" s="1232"/>
      <c r="AX172" s="1232"/>
      <c r="AY172" s="1232"/>
      <c r="AZ172" s="1232"/>
      <c r="BA172" s="1232"/>
      <c r="BC172" s="1232"/>
      <c r="BE172" s="1232"/>
      <c r="BF172" s="1232"/>
      <c r="BG172" s="1232"/>
    </row>
    <row r="173" spans="18:59" x14ac:dyDescent="0.35">
      <c r="R173" s="1232"/>
      <c r="S173" s="1232"/>
      <c r="W173" s="1232"/>
      <c r="X173" s="1232"/>
      <c r="AE173" s="1232"/>
      <c r="AF173" s="1232"/>
      <c r="AV173" s="1232"/>
      <c r="AW173" s="1232"/>
      <c r="AX173" s="1232"/>
      <c r="AY173" s="1232"/>
      <c r="AZ173" s="1232"/>
      <c r="BA173" s="1232"/>
      <c r="BC173" s="1232"/>
      <c r="BE173" s="1232"/>
      <c r="BF173" s="1232"/>
      <c r="BG173" s="1232"/>
    </row>
    <row r="174" spans="18:59" x14ac:dyDescent="0.35">
      <c r="R174" s="1232"/>
      <c r="S174" s="1232"/>
      <c r="W174" s="1232"/>
      <c r="X174" s="1232"/>
      <c r="AE174" s="1232"/>
      <c r="AF174" s="1232"/>
      <c r="AV174" s="1232"/>
      <c r="AW174" s="1232"/>
      <c r="AX174" s="1232"/>
      <c r="AY174" s="1232"/>
      <c r="AZ174" s="1232"/>
      <c r="BA174" s="1232"/>
      <c r="BC174" s="1232"/>
      <c r="BE174" s="1232"/>
      <c r="BF174" s="1232"/>
      <c r="BG174" s="1232"/>
    </row>
    <row r="175" spans="18:59" x14ac:dyDescent="0.35">
      <c r="R175" s="1232"/>
      <c r="S175" s="1232"/>
      <c r="W175" s="1232"/>
      <c r="X175" s="1232"/>
      <c r="AE175" s="1232"/>
      <c r="AF175" s="1232"/>
      <c r="AV175" s="1232"/>
      <c r="AW175" s="1232"/>
      <c r="AX175" s="1232"/>
      <c r="AY175" s="1232"/>
      <c r="AZ175" s="1232"/>
      <c r="BA175" s="1232"/>
      <c r="BC175" s="1232"/>
      <c r="BE175" s="1232"/>
      <c r="BF175" s="1232"/>
      <c r="BG175" s="1232"/>
    </row>
    <row r="176" spans="18:59" x14ac:dyDescent="0.35">
      <c r="R176" s="1232"/>
      <c r="S176" s="1232"/>
      <c r="W176" s="1232"/>
      <c r="X176" s="1232"/>
      <c r="AE176" s="1232"/>
      <c r="AF176" s="1232"/>
      <c r="AV176" s="1232"/>
      <c r="AW176" s="1232"/>
      <c r="AX176" s="1232"/>
      <c r="AY176" s="1232"/>
      <c r="AZ176" s="1232"/>
      <c r="BA176" s="1232"/>
      <c r="BC176" s="1232"/>
      <c r="BE176" s="1232"/>
      <c r="BF176" s="1232"/>
      <c r="BG176" s="1232"/>
    </row>
    <row r="177" spans="18:59" x14ac:dyDescent="0.35">
      <c r="R177" s="1232"/>
      <c r="S177" s="1232"/>
      <c r="W177" s="1232"/>
      <c r="X177" s="1232"/>
      <c r="AE177" s="1232"/>
      <c r="AF177" s="1232"/>
      <c r="AV177" s="1232"/>
      <c r="AW177" s="1232"/>
      <c r="AX177" s="1232"/>
      <c r="AY177" s="1232"/>
      <c r="AZ177" s="1232"/>
      <c r="BA177" s="1232"/>
      <c r="BC177" s="1232"/>
      <c r="BE177" s="1232"/>
      <c r="BF177" s="1232"/>
      <c r="BG177" s="1232"/>
    </row>
    <row r="178" spans="18:59" x14ac:dyDescent="0.35">
      <c r="R178" s="1232"/>
      <c r="S178" s="1232"/>
      <c r="W178" s="1232"/>
      <c r="X178" s="1232"/>
      <c r="AE178" s="1232"/>
      <c r="AF178" s="1232"/>
      <c r="AV178" s="1232"/>
      <c r="AW178" s="1232"/>
      <c r="AX178" s="1232"/>
      <c r="AY178" s="1232"/>
      <c r="AZ178" s="1232"/>
      <c r="BA178" s="1232"/>
      <c r="BC178" s="1232"/>
      <c r="BE178" s="1232"/>
      <c r="BF178" s="1232"/>
      <c r="BG178" s="1232"/>
    </row>
    <row r="179" spans="18:59" x14ac:dyDescent="0.35">
      <c r="R179" s="1232"/>
      <c r="S179" s="1232"/>
      <c r="W179" s="1232"/>
      <c r="X179" s="1232"/>
      <c r="AE179" s="1232"/>
      <c r="AF179" s="1232"/>
      <c r="AV179" s="1232"/>
      <c r="AW179" s="1232"/>
      <c r="AX179" s="1232"/>
      <c r="AY179" s="1232"/>
      <c r="AZ179" s="1232"/>
      <c r="BA179" s="1232"/>
      <c r="BC179" s="1232"/>
      <c r="BE179" s="1232"/>
      <c r="BF179" s="1232"/>
      <c r="BG179" s="1232"/>
    </row>
    <row r="180" spans="18:59" x14ac:dyDescent="0.35">
      <c r="R180" s="1232"/>
      <c r="S180" s="1232"/>
      <c r="W180" s="1232"/>
      <c r="X180" s="1232"/>
      <c r="AE180" s="1232"/>
      <c r="AF180" s="1232"/>
      <c r="AV180" s="1232"/>
      <c r="AW180" s="1232"/>
      <c r="AX180" s="1232"/>
      <c r="AY180" s="1232"/>
      <c r="AZ180" s="1232"/>
      <c r="BA180" s="1232"/>
      <c r="BC180" s="1232"/>
      <c r="BE180" s="1232"/>
      <c r="BF180" s="1232"/>
      <c r="BG180" s="1232"/>
    </row>
    <row r="181" spans="18:59" x14ac:dyDescent="0.35">
      <c r="R181" s="1232"/>
      <c r="S181" s="1232"/>
      <c r="W181" s="1232"/>
      <c r="X181" s="1232"/>
      <c r="AE181" s="1232"/>
      <c r="AF181" s="1232"/>
      <c r="AV181" s="1232"/>
      <c r="AW181" s="1232"/>
      <c r="AX181" s="1232"/>
      <c r="AY181" s="1232"/>
      <c r="AZ181" s="1232"/>
      <c r="BA181" s="1232"/>
      <c r="BC181" s="1232"/>
      <c r="BE181" s="1232"/>
      <c r="BF181" s="1232"/>
      <c r="BG181" s="1232"/>
    </row>
    <row r="182" spans="18:59" x14ac:dyDescent="0.35">
      <c r="R182" s="1232"/>
      <c r="S182" s="1232"/>
      <c r="W182" s="1232"/>
      <c r="X182" s="1232"/>
      <c r="AE182" s="1232"/>
      <c r="AF182" s="1232"/>
      <c r="AV182" s="1232"/>
      <c r="AW182" s="1232"/>
      <c r="AX182" s="1232"/>
      <c r="AY182" s="1232"/>
      <c r="AZ182" s="1232"/>
      <c r="BA182" s="1232"/>
      <c r="BC182" s="1232"/>
      <c r="BE182" s="1232"/>
      <c r="BF182" s="1232"/>
      <c r="BG182" s="1232"/>
    </row>
    <row r="183" spans="18:59" x14ac:dyDescent="0.35">
      <c r="R183" s="1232"/>
      <c r="S183" s="1232"/>
      <c r="W183" s="1232"/>
      <c r="X183" s="1232"/>
      <c r="AE183" s="1232"/>
      <c r="AF183" s="1232"/>
      <c r="AV183" s="1232"/>
      <c r="AW183" s="1232"/>
      <c r="AX183" s="1232"/>
      <c r="AY183" s="1232"/>
      <c r="AZ183" s="1232"/>
      <c r="BA183" s="1232"/>
      <c r="BC183" s="1232"/>
      <c r="BE183" s="1232"/>
      <c r="BF183" s="1232"/>
      <c r="BG183" s="1232"/>
    </row>
    <row r="184" spans="18:59" x14ac:dyDescent="0.35">
      <c r="R184" s="1232"/>
      <c r="S184" s="1232"/>
      <c r="W184" s="1232"/>
      <c r="X184" s="1232"/>
      <c r="AE184" s="1232"/>
      <c r="AF184" s="1232"/>
      <c r="AV184" s="1232"/>
      <c r="AW184" s="1232"/>
      <c r="AX184" s="1232"/>
      <c r="AY184" s="1232"/>
      <c r="AZ184" s="1232"/>
      <c r="BA184" s="1232"/>
      <c r="BC184" s="1232"/>
      <c r="BE184" s="1232"/>
      <c r="BF184" s="1232"/>
      <c r="BG184" s="1232"/>
    </row>
    <row r="185" spans="18:59" x14ac:dyDescent="0.35">
      <c r="R185" s="1232"/>
      <c r="S185" s="1232"/>
      <c r="W185" s="1232"/>
      <c r="X185" s="1232"/>
      <c r="AE185" s="1232"/>
      <c r="AF185" s="1232"/>
      <c r="AV185" s="1232"/>
      <c r="AW185" s="1232"/>
      <c r="AX185" s="1232"/>
      <c r="AY185" s="1232"/>
      <c r="AZ185" s="1232"/>
      <c r="BA185" s="1232"/>
      <c r="BC185" s="1232"/>
      <c r="BE185" s="1232"/>
      <c r="BF185" s="1232"/>
      <c r="BG185" s="1232"/>
    </row>
    <row r="186" spans="18:59" x14ac:dyDescent="0.35">
      <c r="R186" s="1232"/>
      <c r="S186" s="1232"/>
      <c r="W186" s="1232"/>
      <c r="X186" s="1232"/>
      <c r="AE186" s="1232"/>
      <c r="AF186" s="1232"/>
      <c r="AV186" s="1232"/>
      <c r="AW186" s="1232"/>
      <c r="AX186" s="1232"/>
      <c r="AY186" s="1232"/>
      <c r="AZ186" s="1232"/>
      <c r="BA186" s="1232"/>
      <c r="BC186" s="1232"/>
      <c r="BE186" s="1232"/>
      <c r="BF186" s="1232"/>
      <c r="BG186" s="1232"/>
    </row>
    <row r="187" spans="18:59" x14ac:dyDescent="0.35">
      <c r="R187" s="1232"/>
      <c r="S187" s="1232"/>
      <c r="W187" s="1232"/>
      <c r="X187" s="1232"/>
      <c r="AE187" s="1232"/>
      <c r="AF187" s="1232"/>
      <c r="AV187" s="1232"/>
      <c r="AW187" s="1232"/>
      <c r="AX187" s="1232"/>
      <c r="AY187" s="1232"/>
      <c r="AZ187" s="1232"/>
      <c r="BA187" s="1232"/>
      <c r="BC187" s="1232"/>
      <c r="BE187" s="1232"/>
      <c r="BF187" s="1232"/>
      <c r="BG187" s="1232"/>
    </row>
    <row r="188" spans="18:59" x14ac:dyDescent="0.35">
      <c r="R188" s="1232"/>
      <c r="S188" s="1232"/>
      <c r="W188" s="1232"/>
      <c r="X188" s="1232"/>
      <c r="AE188" s="1232"/>
      <c r="AF188" s="1232"/>
      <c r="AV188" s="1232"/>
      <c r="AW188" s="1232"/>
      <c r="AX188" s="1232"/>
      <c r="AY188" s="1232"/>
      <c r="AZ188" s="1232"/>
      <c r="BA188" s="1232"/>
      <c r="BC188" s="1232"/>
      <c r="BE188" s="1232"/>
      <c r="BF188" s="1232"/>
      <c r="BG188" s="1232"/>
    </row>
    <row r="189" spans="18:59" x14ac:dyDescent="0.35">
      <c r="R189" s="1232"/>
      <c r="S189" s="1232"/>
      <c r="W189" s="1232"/>
      <c r="X189" s="1232"/>
      <c r="AE189" s="1232"/>
      <c r="AF189" s="1232"/>
      <c r="AV189" s="1232"/>
      <c r="AW189" s="1232"/>
      <c r="AX189" s="1232"/>
      <c r="AY189" s="1232"/>
      <c r="AZ189" s="1232"/>
      <c r="BA189" s="1232"/>
      <c r="BC189" s="1232"/>
      <c r="BE189" s="1232"/>
      <c r="BF189" s="1232"/>
      <c r="BG189" s="1232"/>
    </row>
    <row r="190" spans="18:59" x14ac:dyDescent="0.35">
      <c r="R190" s="1232"/>
      <c r="S190" s="1232"/>
      <c r="W190" s="1232"/>
      <c r="X190" s="1232"/>
      <c r="AE190" s="1232"/>
      <c r="AF190" s="1232"/>
      <c r="AV190" s="1232"/>
      <c r="AW190" s="1232"/>
      <c r="AX190" s="1232"/>
      <c r="AY190" s="1232"/>
      <c r="AZ190" s="1232"/>
      <c r="BA190" s="1232"/>
      <c r="BC190" s="1232"/>
      <c r="BE190" s="1232"/>
      <c r="BF190" s="1232"/>
      <c r="BG190" s="1232"/>
    </row>
    <row r="191" spans="18:59" x14ac:dyDescent="0.35">
      <c r="R191" s="1232"/>
      <c r="S191" s="1232"/>
      <c r="W191" s="1232"/>
      <c r="X191" s="1232"/>
      <c r="AE191" s="1232"/>
      <c r="AF191" s="1232"/>
      <c r="AV191" s="1232"/>
      <c r="AW191" s="1232"/>
      <c r="AX191" s="1232"/>
      <c r="AY191" s="1232"/>
      <c r="AZ191" s="1232"/>
      <c r="BA191" s="1232"/>
      <c r="BC191" s="1232"/>
      <c r="BE191" s="1232"/>
      <c r="BF191" s="1232"/>
      <c r="BG191" s="1232"/>
    </row>
    <row r="192" spans="18:59" x14ac:dyDescent="0.35">
      <c r="R192" s="1232"/>
      <c r="S192" s="1232"/>
      <c r="W192" s="1232"/>
      <c r="X192" s="1232"/>
      <c r="AE192" s="1232"/>
      <c r="AF192" s="1232"/>
      <c r="AV192" s="1232"/>
      <c r="AW192" s="1232"/>
      <c r="AX192" s="1232"/>
      <c r="AY192" s="1232"/>
      <c r="AZ192" s="1232"/>
      <c r="BA192" s="1232"/>
      <c r="BC192" s="1232"/>
      <c r="BE192" s="1232"/>
      <c r="BF192" s="1232"/>
      <c r="BG192" s="1232"/>
    </row>
    <row r="193" spans="18:59" x14ac:dyDescent="0.35">
      <c r="R193" s="1232"/>
      <c r="S193" s="1232"/>
      <c r="W193" s="1232"/>
      <c r="X193" s="1232"/>
      <c r="AE193" s="1232"/>
      <c r="AF193" s="1232"/>
      <c r="AV193" s="1232"/>
      <c r="AW193" s="1232"/>
      <c r="AX193" s="1232"/>
      <c r="AY193" s="1232"/>
      <c r="AZ193" s="1232"/>
      <c r="BA193" s="1232"/>
      <c r="BC193" s="1232"/>
      <c r="BE193" s="1232"/>
      <c r="BF193" s="1232"/>
      <c r="BG193" s="1232"/>
    </row>
    <row r="194" spans="18:59" x14ac:dyDescent="0.35">
      <c r="R194" s="1232"/>
      <c r="S194" s="1232"/>
      <c r="W194" s="1232"/>
      <c r="X194" s="1232"/>
      <c r="AE194" s="1232"/>
      <c r="AF194" s="1232"/>
      <c r="AV194" s="1232"/>
      <c r="AW194" s="1232"/>
      <c r="AX194" s="1232"/>
      <c r="AY194" s="1232"/>
      <c r="AZ194" s="1232"/>
      <c r="BA194" s="1232"/>
      <c r="BC194" s="1232"/>
      <c r="BE194" s="1232"/>
      <c r="BF194" s="1232"/>
      <c r="BG194" s="1232"/>
    </row>
    <row r="195" spans="18:59" x14ac:dyDescent="0.35">
      <c r="R195" s="1232"/>
      <c r="S195" s="1232"/>
      <c r="W195" s="1232"/>
      <c r="X195" s="1232"/>
      <c r="AE195" s="1232"/>
      <c r="AF195" s="1232"/>
      <c r="AV195" s="1232"/>
      <c r="AW195" s="1232"/>
      <c r="AX195" s="1232"/>
      <c r="AY195" s="1232"/>
      <c r="AZ195" s="1232"/>
      <c r="BA195" s="1232"/>
      <c r="BC195" s="1232"/>
      <c r="BE195" s="1232"/>
      <c r="BF195" s="1232"/>
      <c r="BG195" s="1232"/>
    </row>
    <row r="196" spans="18:59" x14ac:dyDescent="0.35">
      <c r="R196" s="1232"/>
      <c r="S196" s="1232"/>
      <c r="W196" s="1232"/>
      <c r="X196" s="1232"/>
      <c r="AE196" s="1232"/>
      <c r="AF196" s="1232"/>
      <c r="AV196" s="1232"/>
      <c r="AW196" s="1232"/>
      <c r="AX196" s="1232"/>
      <c r="AY196" s="1232"/>
      <c r="AZ196" s="1232"/>
      <c r="BA196" s="1232"/>
      <c r="BC196" s="1232"/>
      <c r="BE196" s="1232"/>
      <c r="BF196" s="1232"/>
      <c r="BG196" s="1232"/>
    </row>
    <row r="197" spans="18:59" x14ac:dyDescent="0.35">
      <c r="R197" s="1232"/>
      <c r="S197" s="1232"/>
      <c r="W197" s="1232"/>
      <c r="X197" s="1232"/>
      <c r="AE197" s="1232"/>
      <c r="AF197" s="1232"/>
      <c r="AV197" s="1232"/>
      <c r="AW197" s="1232"/>
      <c r="AX197" s="1232"/>
      <c r="AY197" s="1232"/>
      <c r="AZ197" s="1232"/>
      <c r="BA197" s="1232"/>
      <c r="BC197" s="1232"/>
      <c r="BE197" s="1232"/>
      <c r="BF197" s="1232"/>
      <c r="BG197" s="1232"/>
    </row>
    <row r="198" spans="18:59" x14ac:dyDescent="0.35">
      <c r="R198" s="1232"/>
      <c r="S198" s="1232"/>
      <c r="W198" s="1232"/>
      <c r="X198" s="1232"/>
      <c r="AE198" s="1232"/>
      <c r="AF198" s="1232"/>
      <c r="AV198" s="1232"/>
      <c r="AW198" s="1232"/>
      <c r="AX198" s="1232"/>
      <c r="AY198" s="1232"/>
      <c r="AZ198" s="1232"/>
      <c r="BA198" s="1232"/>
      <c r="BC198" s="1232"/>
      <c r="BE198" s="1232"/>
      <c r="BF198" s="1232"/>
      <c r="BG198" s="1232"/>
    </row>
    <row r="199" spans="18:59" x14ac:dyDescent="0.35">
      <c r="R199" s="1232"/>
      <c r="S199" s="1232"/>
      <c r="W199" s="1232"/>
      <c r="X199" s="1232"/>
      <c r="AE199" s="1232"/>
      <c r="AF199" s="1232"/>
      <c r="AV199" s="1232"/>
      <c r="AW199" s="1232"/>
      <c r="AX199" s="1232"/>
      <c r="AY199" s="1232"/>
      <c r="AZ199" s="1232"/>
      <c r="BA199" s="1232"/>
      <c r="BC199" s="1232"/>
      <c r="BE199" s="1232"/>
      <c r="BF199" s="1232"/>
      <c r="BG199" s="1232"/>
    </row>
    <row r="200" spans="18:59" x14ac:dyDescent="0.35">
      <c r="R200" s="1232"/>
      <c r="S200" s="1232"/>
      <c r="W200" s="1232"/>
      <c r="X200" s="1232"/>
      <c r="AE200" s="1232"/>
      <c r="AF200" s="1232"/>
      <c r="AV200" s="1232"/>
      <c r="AW200" s="1232"/>
      <c r="AX200" s="1232"/>
      <c r="AY200" s="1232"/>
      <c r="AZ200" s="1232"/>
      <c r="BA200" s="1232"/>
      <c r="BC200" s="1232"/>
      <c r="BE200" s="1232"/>
      <c r="BF200" s="1232"/>
      <c r="BG200" s="1232"/>
    </row>
    <row r="201" spans="18:59" x14ac:dyDescent="0.35">
      <c r="R201" s="1232"/>
      <c r="S201" s="1232"/>
      <c r="W201" s="1232"/>
      <c r="X201" s="1232"/>
      <c r="AE201" s="1232"/>
      <c r="AF201" s="1232"/>
      <c r="AV201" s="1232"/>
      <c r="AW201" s="1232"/>
      <c r="AX201" s="1232"/>
      <c r="AY201" s="1232"/>
      <c r="AZ201" s="1232"/>
      <c r="BA201" s="1232"/>
      <c r="BC201" s="1232"/>
      <c r="BE201" s="1232"/>
      <c r="BF201" s="1232"/>
      <c r="BG201" s="1232"/>
    </row>
    <row r="202" spans="18:59" x14ac:dyDescent="0.35">
      <c r="R202" s="1232"/>
      <c r="S202" s="1232"/>
      <c r="W202" s="1232"/>
      <c r="X202" s="1232"/>
      <c r="AE202" s="1232"/>
      <c r="AF202" s="1232"/>
      <c r="AV202" s="1232"/>
      <c r="AW202" s="1232"/>
      <c r="AX202" s="1232"/>
      <c r="AY202" s="1232"/>
      <c r="AZ202" s="1232"/>
      <c r="BA202" s="1232"/>
      <c r="BC202" s="1232"/>
      <c r="BE202" s="1232"/>
      <c r="BF202" s="1232"/>
      <c r="BG202" s="1232"/>
    </row>
    <row r="203" spans="18:59" x14ac:dyDescent="0.35">
      <c r="R203" s="1232"/>
      <c r="S203" s="1232"/>
      <c r="W203" s="1232"/>
      <c r="X203" s="1232"/>
      <c r="AE203" s="1232"/>
      <c r="AF203" s="1232"/>
      <c r="AV203" s="1232"/>
      <c r="AW203" s="1232"/>
      <c r="AX203" s="1232"/>
      <c r="AY203" s="1232"/>
      <c r="AZ203" s="1232"/>
      <c r="BA203" s="1232"/>
      <c r="BC203" s="1232"/>
      <c r="BE203" s="1232"/>
      <c r="BF203" s="1232"/>
      <c r="BG203" s="1232"/>
    </row>
    <row r="204" spans="18:59" x14ac:dyDescent="0.35">
      <c r="R204" s="1232"/>
      <c r="S204" s="1232"/>
      <c r="W204" s="1232"/>
      <c r="X204" s="1232"/>
      <c r="AE204" s="1232"/>
      <c r="AF204" s="1232"/>
      <c r="AV204" s="1232"/>
      <c r="AW204" s="1232"/>
      <c r="AX204" s="1232"/>
      <c r="AY204" s="1232"/>
      <c r="AZ204" s="1232"/>
      <c r="BA204" s="1232"/>
      <c r="BC204" s="1232"/>
      <c r="BE204" s="1232"/>
      <c r="BF204" s="1232"/>
      <c r="BG204" s="1232"/>
    </row>
    <row r="205" spans="18:59" x14ac:dyDescent="0.35">
      <c r="R205" s="1232"/>
      <c r="S205" s="1232"/>
      <c r="W205" s="1232"/>
      <c r="X205" s="1232"/>
      <c r="AE205" s="1232"/>
      <c r="AF205" s="1232"/>
      <c r="AV205" s="1232"/>
      <c r="AW205" s="1232"/>
      <c r="AX205" s="1232"/>
      <c r="AY205" s="1232"/>
      <c r="AZ205" s="1232"/>
      <c r="BA205" s="1232"/>
      <c r="BC205" s="1232"/>
      <c r="BE205" s="1232"/>
      <c r="BF205" s="1232"/>
      <c r="BG205" s="1232"/>
    </row>
    <row r="206" spans="18:59" x14ac:dyDescent="0.35">
      <c r="R206" s="1232"/>
      <c r="S206" s="1232"/>
      <c r="W206" s="1232"/>
      <c r="X206" s="1232"/>
      <c r="AE206" s="1232"/>
      <c r="AF206" s="1232"/>
      <c r="AV206" s="1232"/>
      <c r="AW206" s="1232"/>
      <c r="AX206" s="1232"/>
      <c r="AY206" s="1232"/>
      <c r="AZ206" s="1232"/>
      <c r="BA206" s="1232"/>
      <c r="BC206" s="1232"/>
      <c r="BE206" s="1232"/>
      <c r="BF206" s="1232"/>
      <c r="BG206" s="1232"/>
    </row>
    <row r="207" spans="18:59" x14ac:dyDescent="0.35">
      <c r="R207" s="1232"/>
      <c r="S207" s="1232"/>
      <c r="W207" s="1232"/>
      <c r="X207" s="1232"/>
      <c r="AE207" s="1232"/>
      <c r="AF207" s="1232"/>
      <c r="AV207" s="1232"/>
      <c r="AW207" s="1232"/>
      <c r="AX207" s="1232"/>
      <c r="AY207" s="1232"/>
      <c r="AZ207" s="1232"/>
      <c r="BA207" s="1232"/>
      <c r="BC207" s="1232"/>
      <c r="BE207" s="1232"/>
      <c r="BF207" s="1232"/>
      <c r="BG207" s="1232"/>
    </row>
    <row r="208" spans="18:59" x14ac:dyDescent="0.35">
      <c r="R208" s="1232"/>
      <c r="S208" s="1232"/>
      <c r="W208" s="1232"/>
      <c r="X208" s="1232"/>
      <c r="AE208" s="1232"/>
      <c r="AF208" s="1232"/>
      <c r="AV208" s="1232"/>
      <c r="AW208" s="1232"/>
      <c r="AX208" s="1232"/>
      <c r="AY208" s="1232"/>
      <c r="AZ208" s="1232"/>
      <c r="BA208" s="1232"/>
      <c r="BC208" s="1232"/>
      <c r="BE208" s="1232"/>
      <c r="BF208" s="1232"/>
      <c r="BG208" s="1232"/>
    </row>
    <row r="209" spans="18:59" x14ac:dyDescent="0.35">
      <c r="R209" s="1232"/>
      <c r="S209" s="1232"/>
      <c r="W209" s="1232"/>
      <c r="X209" s="1232"/>
      <c r="AE209" s="1232"/>
      <c r="AF209" s="1232"/>
      <c r="AV209" s="1232"/>
      <c r="AW209" s="1232"/>
      <c r="AX209" s="1232"/>
      <c r="AY209" s="1232"/>
      <c r="AZ209" s="1232"/>
      <c r="BA209" s="1232"/>
      <c r="BC209" s="1232"/>
      <c r="BE209" s="1232"/>
      <c r="BF209" s="1232"/>
      <c r="BG209" s="1232"/>
    </row>
    <row r="210" spans="18:59" x14ac:dyDescent="0.35">
      <c r="R210" s="1232"/>
      <c r="S210" s="1232"/>
      <c r="W210" s="1232"/>
      <c r="X210" s="1232"/>
      <c r="AE210" s="1232"/>
      <c r="AF210" s="1232"/>
      <c r="AV210" s="1232"/>
      <c r="AW210" s="1232"/>
      <c r="AX210" s="1232"/>
      <c r="AY210" s="1232"/>
      <c r="AZ210" s="1232"/>
      <c r="BA210" s="1232"/>
      <c r="BC210" s="1232"/>
      <c r="BE210" s="1232"/>
      <c r="BF210" s="1232"/>
      <c r="BG210" s="1232"/>
    </row>
    <row r="211" spans="18:59" x14ac:dyDescent="0.35">
      <c r="R211" s="1232"/>
      <c r="S211" s="1232"/>
      <c r="W211" s="1232"/>
      <c r="X211" s="1232"/>
      <c r="AE211" s="1232"/>
      <c r="AF211" s="1232"/>
      <c r="AV211" s="1232"/>
      <c r="AW211" s="1232"/>
      <c r="AX211" s="1232"/>
      <c r="AY211" s="1232"/>
      <c r="AZ211" s="1232"/>
      <c r="BA211" s="1232"/>
      <c r="BC211" s="1232"/>
      <c r="BE211" s="1232"/>
      <c r="BF211" s="1232"/>
      <c r="BG211" s="1232"/>
    </row>
    <row r="212" spans="18:59" x14ac:dyDescent="0.35">
      <c r="R212" s="1232"/>
      <c r="S212" s="1232"/>
      <c r="W212" s="1232"/>
      <c r="X212" s="1232"/>
      <c r="AE212" s="1232"/>
      <c r="AF212" s="1232"/>
      <c r="AV212" s="1232"/>
      <c r="AW212" s="1232"/>
      <c r="AX212" s="1232"/>
      <c r="AY212" s="1232"/>
      <c r="AZ212" s="1232"/>
      <c r="BA212" s="1232"/>
      <c r="BC212" s="1232"/>
      <c r="BE212" s="1232"/>
      <c r="BF212" s="1232"/>
      <c r="BG212" s="1232"/>
    </row>
    <row r="213" spans="18:59" x14ac:dyDescent="0.35">
      <c r="R213" s="1232"/>
      <c r="S213" s="1232"/>
      <c r="W213" s="1232"/>
      <c r="X213" s="1232"/>
      <c r="AE213" s="1232"/>
      <c r="AF213" s="1232"/>
      <c r="AV213" s="1232"/>
      <c r="AW213" s="1232"/>
      <c r="AX213" s="1232"/>
      <c r="AY213" s="1232"/>
      <c r="AZ213" s="1232"/>
      <c r="BA213" s="1232"/>
      <c r="BC213" s="1232"/>
      <c r="BE213" s="1232"/>
      <c r="BF213" s="1232"/>
      <c r="BG213" s="1232"/>
    </row>
    <row r="214" spans="18:59" x14ac:dyDescent="0.35">
      <c r="R214" s="1232"/>
      <c r="S214" s="1232"/>
      <c r="W214" s="1232"/>
      <c r="X214" s="1232"/>
      <c r="AE214" s="1232"/>
      <c r="AF214" s="1232"/>
      <c r="AV214" s="1232"/>
      <c r="AW214" s="1232"/>
      <c r="AX214" s="1232"/>
      <c r="AY214" s="1232"/>
      <c r="AZ214" s="1232"/>
      <c r="BA214" s="1232"/>
      <c r="BC214" s="1232"/>
      <c r="BE214" s="1232"/>
      <c r="BF214" s="1232"/>
      <c r="BG214" s="1232"/>
    </row>
    <row r="215" spans="18:59" x14ac:dyDescent="0.35">
      <c r="R215" s="1232"/>
      <c r="S215" s="1232"/>
      <c r="W215" s="1232"/>
      <c r="X215" s="1232"/>
      <c r="AE215" s="1232"/>
      <c r="AF215" s="1232"/>
      <c r="AV215" s="1232"/>
      <c r="AW215" s="1232"/>
      <c r="AX215" s="1232"/>
      <c r="AY215" s="1232"/>
      <c r="AZ215" s="1232"/>
      <c r="BA215" s="1232"/>
      <c r="BC215" s="1232"/>
      <c r="BE215" s="1232"/>
      <c r="BF215" s="1232"/>
      <c r="BG215" s="1232"/>
    </row>
    <row r="216" spans="18:59" x14ac:dyDescent="0.35">
      <c r="R216" s="1232"/>
      <c r="S216" s="1232"/>
      <c r="W216" s="1232"/>
      <c r="X216" s="1232"/>
      <c r="AE216" s="1232"/>
      <c r="AF216" s="1232"/>
      <c r="AV216" s="1232"/>
      <c r="AW216" s="1232"/>
      <c r="AX216" s="1232"/>
      <c r="AY216" s="1232"/>
      <c r="AZ216" s="1232"/>
      <c r="BA216" s="1232"/>
      <c r="BC216" s="1232"/>
      <c r="BE216" s="1232"/>
      <c r="BF216" s="1232"/>
      <c r="BG216" s="1232"/>
    </row>
    <row r="217" spans="18:59" x14ac:dyDescent="0.35">
      <c r="R217" s="1232"/>
      <c r="S217" s="1232"/>
      <c r="W217" s="1232"/>
      <c r="X217" s="1232"/>
      <c r="AE217" s="1232"/>
      <c r="AF217" s="1232"/>
      <c r="AV217" s="1232"/>
      <c r="AW217" s="1232"/>
      <c r="AX217" s="1232"/>
      <c r="AY217" s="1232"/>
      <c r="AZ217" s="1232"/>
      <c r="BA217" s="1232"/>
      <c r="BC217" s="1232"/>
      <c r="BE217" s="1232"/>
      <c r="BF217" s="1232"/>
      <c r="BG217" s="1232"/>
    </row>
    <row r="218" spans="18:59" x14ac:dyDescent="0.35">
      <c r="R218" s="1232"/>
      <c r="S218" s="1232"/>
      <c r="W218" s="1232"/>
      <c r="X218" s="1232"/>
      <c r="AE218" s="1232"/>
      <c r="AF218" s="1232"/>
      <c r="AV218" s="1232"/>
      <c r="AW218" s="1232"/>
      <c r="AX218" s="1232"/>
      <c r="AY218" s="1232"/>
      <c r="AZ218" s="1232"/>
      <c r="BA218" s="1232"/>
      <c r="BC218" s="1232"/>
      <c r="BE218" s="1232"/>
      <c r="BF218" s="1232"/>
      <c r="BG218" s="1232"/>
    </row>
    <row r="219" spans="18:59" x14ac:dyDescent="0.35">
      <c r="R219" s="1232"/>
      <c r="S219" s="1232"/>
      <c r="W219" s="1232"/>
      <c r="X219" s="1232"/>
      <c r="AE219" s="1232"/>
      <c r="AF219" s="1232"/>
      <c r="AV219" s="1232"/>
      <c r="AW219" s="1232"/>
      <c r="AX219" s="1232"/>
      <c r="AY219" s="1232"/>
      <c r="AZ219" s="1232"/>
      <c r="BA219" s="1232"/>
      <c r="BC219" s="1232"/>
      <c r="BE219" s="1232"/>
      <c r="BF219" s="1232"/>
      <c r="BG219" s="1232"/>
    </row>
    <row r="220" spans="18:59" x14ac:dyDescent="0.35">
      <c r="R220" s="1232"/>
      <c r="S220" s="1232"/>
      <c r="W220" s="1232"/>
      <c r="X220" s="1232"/>
      <c r="AE220" s="1232"/>
      <c r="AF220" s="1232"/>
      <c r="AV220" s="1232"/>
      <c r="AW220" s="1232"/>
      <c r="AX220" s="1232"/>
      <c r="AY220" s="1232"/>
      <c r="AZ220" s="1232"/>
      <c r="BA220" s="1232"/>
      <c r="BC220" s="1232"/>
      <c r="BE220" s="1232"/>
      <c r="BF220" s="1232"/>
      <c r="BG220" s="1232"/>
    </row>
    <row r="221" spans="18:59" x14ac:dyDescent="0.35">
      <c r="R221" s="1232"/>
      <c r="S221" s="1232"/>
      <c r="W221" s="1232"/>
      <c r="X221" s="1232"/>
      <c r="AE221" s="1232"/>
      <c r="AF221" s="1232"/>
      <c r="AV221" s="1232"/>
      <c r="AW221" s="1232"/>
      <c r="AX221" s="1232"/>
      <c r="AY221" s="1232"/>
      <c r="AZ221" s="1232"/>
      <c r="BA221" s="1232"/>
      <c r="BC221" s="1232"/>
      <c r="BE221" s="1232"/>
      <c r="BF221" s="1232"/>
      <c r="BG221" s="1232"/>
    </row>
    <row r="222" spans="18:59" x14ac:dyDescent="0.35">
      <c r="R222" s="1232"/>
      <c r="S222" s="1232"/>
      <c r="W222" s="1232"/>
      <c r="X222" s="1232"/>
      <c r="AE222" s="1232"/>
      <c r="AF222" s="1232"/>
      <c r="AV222" s="1232"/>
      <c r="AW222" s="1232"/>
      <c r="AX222" s="1232"/>
      <c r="AY222" s="1232"/>
      <c r="AZ222" s="1232"/>
      <c r="BA222" s="1232"/>
      <c r="BC222" s="1232"/>
      <c r="BE222" s="1232"/>
      <c r="BF222" s="1232"/>
      <c r="BG222" s="1232"/>
    </row>
    <row r="223" spans="18:59" x14ac:dyDescent="0.35">
      <c r="R223" s="1232"/>
      <c r="S223" s="1232"/>
      <c r="W223" s="1232"/>
      <c r="X223" s="1232"/>
      <c r="AE223" s="1232"/>
      <c r="AF223" s="1232"/>
      <c r="AV223" s="1232"/>
      <c r="AW223" s="1232"/>
      <c r="AX223" s="1232"/>
      <c r="AY223" s="1232"/>
      <c r="AZ223" s="1232"/>
      <c r="BA223" s="1232"/>
      <c r="BC223" s="1232"/>
      <c r="BE223" s="1232"/>
      <c r="BF223" s="1232"/>
      <c r="BG223" s="1232"/>
    </row>
    <row r="224" spans="18:59" x14ac:dyDescent="0.35">
      <c r="R224" s="1232"/>
      <c r="S224" s="1232"/>
      <c r="W224" s="1232"/>
      <c r="X224" s="1232"/>
      <c r="AE224" s="1232"/>
      <c r="AF224" s="1232"/>
      <c r="AV224" s="1232"/>
      <c r="AW224" s="1232"/>
      <c r="AX224" s="1232"/>
      <c r="AY224" s="1232"/>
      <c r="AZ224" s="1232"/>
      <c r="BA224" s="1232"/>
      <c r="BC224" s="1232"/>
      <c r="BE224" s="1232"/>
      <c r="BF224" s="1232"/>
      <c r="BG224" s="1232"/>
    </row>
    <row r="225" spans="18:59" x14ac:dyDescent="0.35">
      <c r="R225" s="1232"/>
      <c r="S225" s="1232"/>
      <c r="W225" s="1232"/>
      <c r="X225" s="1232"/>
      <c r="AE225" s="1232"/>
      <c r="AF225" s="1232"/>
      <c r="AV225" s="1232"/>
      <c r="AW225" s="1232"/>
      <c r="AX225" s="1232"/>
      <c r="AY225" s="1232"/>
      <c r="AZ225" s="1232"/>
      <c r="BA225" s="1232"/>
      <c r="BC225" s="1232"/>
      <c r="BE225" s="1232"/>
      <c r="BF225" s="1232"/>
      <c r="BG225" s="1232"/>
    </row>
    <row r="226" spans="18:59" x14ac:dyDescent="0.35">
      <c r="R226" s="1232"/>
      <c r="S226" s="1232"/>
      <c r="W226" s="1232"/>
      <c r="X226" s="1232"/>
      <c r="AE226" s="1232"/>
      <c r="AF226" s="1232"/>
      <c r="AV226" s="1232"/>
      <c r="AW226" s="1232"/>
      <c r="AX226" s="1232"/>
      <c r="AY226" s="1232"/>
      <c r="AZ226" s="1232"/>
      <c r="BA226" s="1232"/>
      <c r="BC226" s="1232"/>
      <c r="BE226" s="1232"/>
      <c r="BF226" s="1232"/>
      <c r="BG226" s="1232"/>
    </row>
    <row r="227" spans="18:59" x14ac:dyDescent="0.35">
      <c r="R227" s="1232"/>
      <c r="S227" s="1232"/>
      <c r="W227" s="1232"/>
      <c r="X227" s="1232"/>
      <c r="AE227" s="1232"/>
      <c r="AF227" s="1232"/>
      <c r="AV227" s="1232"/>
      <c r="AW227" s="1232"/>
      <c r="AX227" s="1232"/>
      <c r="AY227" s="1232"/>
      <c r="AZ227" s="1232"/>
      <c r="BA227" s="1232"/>
      <c r="BC227" s="1232"/>
      <c r="BE227" s="1232"/>
      <c r="BF227" s="1232"/>
      <c r="BG227" s="1232"/>
    </row>
    <row r="228" spans="18:59" x14ac:dyDescent="0.35">
      <c r="R228" s="1232"/>
      <c r="S228" s="1232"/>
      <c r="W228" s="1232"/>
      <c r="X228" s="1232"/>
      <c r="AE228" s="1232"/>
      <c r="AF228" s="1232"/>
      <c r="AV228" s="1232"/>
      <c r="AW228" s="1232"/>
      <c r="AX228" s="1232"/>
      <c r="AY228" s="1232"/>
      <c r="AZ228" s="1232"/>
      <c r="BA228" s="1232"/>
      <c r="BC228" s="1232"/>
      <c r="BE228" s="1232"/>
      <c r="BF228" s="1232"/>
      <c r="BG228" s="1232"/>
    </row>
    <row r="229" spans="18:59" x14ac:dyDescent="0.35">
      <c r="R229" s="1232"/>
      <c r="S229" s="1232"/>
      <c r="W229" s="1232"/>
      <c r="X229" s="1232"/>
      <c r="AE229" s="1232"/>
      <c r="AF229" s="1232"/>
      <c r="AV229" s="1232"/>
      <c r="AW229" s="1232"/>
      <c r="AX229" s="1232"/>
      <c r="AY229" s="1232"/>
      <c r="AZ229" s="1232"/>
      <c r="BA229" s="1232"/>
      <c r="BC229" s="1232"/>
      <c r="BE229" s="1232"/>
      <c r="BF229" s="1232"/>
      <c r="BG229" s="1232"/>
    </row>
    <row r="230" spans="18:59" x14ac:dyDescent="0.35">
      <c r="R230" s="1232"/>
      <c r="S230" s="1232"/>
      <c r="W230" s="1232"/>
      <c r="X230" s="1232"/>
      <c r="AE230" s="1232"/>
      <c r="AF230" s="1232"/>
      <c r="AV230" s="1232"/>
      <c r="AW230" s="1232"/>
      <c r="AX230" s="1232"/>
      <c r="AY230" s="1232"/>
      <c r="AZ230" s="1232"/>
      <c r="BA230" s="1232"/>
      <c r="BC230" s="1232"/>
      <c r="BE230" s="1232"/>
      <c r="BF230" s="1232"/>
      <c r="BG230" s="1232"/>
    </row>
    <row r="231" spans="18:59" x14ac:dyDescent="0.35">
      <c r="R231" s="1232"/>
      <c r="S231" s="1232"/>
      <c r="W231" s="1232"/>
      <c r="X231" s="1232"/>
      <c r="AE231" s="1232"/>
      <c r="AF231" s="1232"/>
      <c r="AV231" s="1232"/>
      <c r="AW231" s="1232"/>
      <c r="AX231" s="1232"/>
      <c r="AY231" s="1232"/>
      <c r="AZ231" s="1232"/>
      <c r="BA231" s="1232"/>
      <c r="BC231" s="1232"/>
      <c r="BE231" s="1232"/>
      <c r="BF231" s="1232"/>
      <c r="BG231" s="1232"/>
    </row>
    <row r="232" spans="18:59" x14ac:dyDescent="0.35">
      <c r="R232" s="1232"/>
      <c r="S232" s="1232"/>
      <c r="W232" s="1232"/>
      <c r="X232" s="1232"/>
      <c r="AE232" s="1232"/>
      <c r="AF232" s="1232"/>
      <c r="AV232" s="1232"/>
      <c r="AW232" s="1232"/>
      <c r="AX232" s="1232"/>
      <c r="AY232" s="1232"/>
      <c r="AZ232" s="1232"/>
      <c r="BA232" s="1232"/>
      <c r="BC232" s="1232"/>
      <c r="BE232" s="1232"/>
      <c r="BF232" s="1232"/>
      <c r="BG232" s="1232"/>
    </row>
    <row r="233" spans="18:59" x14ac:dyDescent="0.35">
      <c r="R233" s="1232"/>
      <c r="S233" s="1232"/>
      <c r="W233" s="1232"/>
      <c r="X233" s="1232"/>
      <c r="AE233" s="1232"/>
      <c r="AF233" s="1232"/>
      <c r="AV233" s="1232"/>
      <c r="AW233" s="1232"/>
      <c r="AX233" s="1232"/>
      <c r="AY233" s="1232"/>
      <c r="AZ233" s="1232"/>
      <c r="BA233" s="1232"/>
      <c r="BC233" s="1232"/>
      <c r="BE233" s="1232"/>
      <c r="BF233" s="1232"/>
      <c r="BG233" s="1232"/>
    </row>
    <row r="234" spans="18:59" x14ac:dyDescent="0.35">
      <c r="R234" s="1232"/>
      <c r="S234" s="1232"/>
      <c r="W234" s="1232"/>
      <c r="X234" s="1232"/>
      <c r="AE234" s="1232"/>
      <c r="AF234" s="1232"/>
      <c r="AV234" s="1232"/>
      <c r="AW234" s="1232"/>
      <c r="AX234" s="1232"/>
      <c r="AY234" s="1232"/>
      <c r="AZ234" s="1232"/>
      <c r="BA234" s="1232"/>
      <c r="BC234" s="1232"/>
      <c r="BE234" s="1232"/>
      <c r="BF234" s="1232"/>
      <c r="BG234" s="1232"/>
    </row>
    <row r="235" spans="18:59" x14ac:dyDescent="0.35">
      <c r="R235" s="1232"/>
      <c r="S235" s="1232"/>
      <c r="W235" s="1232"/>
      <c r="X235" s="1232"/>
      <c r="AE235" s="1232"/>
      <c r="AF235" s="1232"/>
      <c r="AV235" s="1232"/>
      <c r="AW235" s="1232"/>
      <c r="AX235" s="1232"/>
      <c r="AY235" s="1232"/>
      <c r="AZ235" s="1232"/>
      <c r="BA235" s="1232"/>
      <c r="BC235" s="1232"/>
      <c r="BE235" s="1232"/>
      <c r="BF235" s="1232"/>
      <c r="BG235" s="1232"/>
    </row>
    <row r="236" spans="18:59" x14ac:dyDescent="0.35">
      <c r="R236" s="1232"/>
      <c r="S236" s="1232"/>
      <c r="W236" s="1232"/>
      <c r="X236" s="1232"/>
      <c r="AE236" s="1232"/>
      <c r="AF236" s="1232"/>
      <c r="AV236" s="1232"/>
      <c r="AW236" s="1232"/>
      <c r="AX236" s="1232"/>
      <c r="AY236" s="1232"/>
      <c r="AZ236" s="1232"/>
      <c r="BA236" s="1232"/>
      <c r="BC236" s="1232"/>
      <c r="BE236" s="1232"/>
      <c r="BF236" s="1232"/>
      <c r="BG236" s="1232"/>
    </row>
    <row r="237" spans="18:59" x14ac:dyDescent="0.35">
      <c r="R237" s="1232"/>
      <c r="S237" s="1232"/>
      <c r="W237" s="1232"/>
      <c r="X237" s="1232"/>
      <c r="AE237" s="1232"/>
      <c r="AF237" s="1232"/>
      <c r="AV237" s="1232"/>
      <c r="AW237" s="1232"/>
      <c r="AX237" s="1232"/>
      <c r="AY237" s="1232"/>
      <c r="AZ237" s="1232"/>
      <c r="BA237" s="1232"/>
      <c r="BC237" s="1232"/>
      <c r="BE237" s="1232"/>
      <c r="BF237" s="1232"/>
      <c r="BG237" s="1232"/>
    </row>
    <row r="238" spans="18:59" x14ac:dyDescent="0.35">
      <c r="R238" s="1232"/>
      <c r="S238" s="1232"/>
      <c r="W238" s="1232"/>
      <c r="X238" s="1232"/>
      <c r="AE238" s="1232"/>
      <c r="AF238" s="1232"/>
      <c r="AV238" s="1232"/>
      <c r="AW238" s="1232"/>
      <c r="AX238" s="1232"/>
      <c r="AY238" s="1232"/>
      <c r="AZ238" s="1232"/>
      <c r="BA238" s="1232"/>
      <c r="BC238" s="1232"/>
      <c r="BE238" s="1232"/>
      <c r="BF238" s="1232"/>
      <c r="BG238" s="1232"/>
    </row>
    <row r="239" spans="18:59" x14ac:dyDescent="0.35">
      <c r="R239" s="1232"/>
      <c r="S239" s="1232"/>
      <c r="W239" s="1232"/>
      <c r="X239" s="1232"/>
      <c r="AE239" s="1232"/>
      <c r="AF239" s="1232"/>
      <c r="AV239" s="1232"/>
      <c r="AW239" s="1232"/>
      <c r="AX239" s="1232"/>
      <c r="AY239" s="1232"/>
      <c r="AZ239" s="1232"/>
      <c r="BA239" s="1232"/>
      <c r="BC239" s="1232"/>
      <c r="BE239" s="1232"/>
      <c r="BF239" s="1232"/>
      <c r="BG239" s="1232"/>
    </row>
    <row r="240" spans="18:59" x14ac:dyDescent="0.35">
      <c r="R240" s="1232"/>
      <c r="S240" s="1232"/>
      <c r="W240" s="1232"/>
      <c r="X240" s="1232"/>
      <c r="AE240" s="1232"/>
      <c r="AF240" s="1232"/>
      <c r="AV240" s="1232"/>
      <c r="AW240" s="1232"/>
      <c r="AX240" s="1232"/>
      <c r="AY240" s="1232"/>
      <c r="AZ240" s="1232"/>
      <c r="BA240" s="1232"/>
      <c r="BC240" s="1232"/>
      <c r="BE240" s="1232"/>
      <c r="BF240" s="1232"/>
      <c r="BG240" s="1232"/>
    </row>
    <row r="241" spans="18:59" x14ac:dyDescent="0.35">
      <c r="R241" s="1232"/>
      <c r="S241" s="1232"/>
      <c r="W241" s="1232"/>
      <c r="X241" s="1232"/>
      <c r="AE241" s="1232"/>
      <c r="AF241" s="1232"/>
      <c r="AV241" s="1232"/>
      <c r="AW241" s="1232"/>
      <c r="AX241" s="1232"/>
      <c r="AY241" s="1232"/>
      <c r="AZ241" s="1232"/>
      <c r="BA241" s="1232"/>
      <c r="BC241" s="1232"/>
      <c r="BE241" s="1232"/>
      <c r="BF241" s="1232"/>
      <c r="BG241" s="1232"/>
    </row>
    <row r="242" spans="18:59" x14ac:dyDescent="0.35">
      <c r="R242" s="1232"/>
      <c r="S242" s="1232"/>
      <c r="W242" s="1232"/>
      <c r="X242" s="1232"/>
      <c r="AE242" s="1232"/>
      <c r="AF242" s="1232"/>
      <c r="AV242" s="1232"/>
      <c r="AW242" s="1232"/>
      <c r="AX242" s="1232"/>
      <c r="AY242" s="1232"/>
      <c r="AZ242" s="1232"/>
      <c r="BA242" s="1232"/>
      <c r="BC242" s="1232"/>
      <c r="BE242" s="1232"/>
      <c r="BF242" s="1232"/>
      <c r="BG242" s="1232"/>
    </row>
    <row r="243" spans="18:59" x14ac:dyDescent="0.35">
      <c r="R243" s="1232"/>
      <c r="S243" s="1232"/>
      <c r="W243" s="1232"/>
      <c r="X243" s="1232"/>
      <c r="AE243" s="1232"/>
      <c r="AF243" s="1232"/>
      <c r="AV243" s="1232"/>
      <c r="AW243" s="1232"/>
      <c r="AX243" s="1232"/>
      <c r="AY243" s="1232"/>
      <c r="AZ243" s="1232"/>
      <c r="BA243" s="1232"/>
      <c r="BC243" s="1232"/>
      <c r="BE243" s="1232"/>
      <c r="BF243" s="1232"/>
      <c r="BG243" s="1232"/>
    </row>
    <row r="244" spans="18:59" x14ac:dyDescent="0.35">
      <c r="R244" s="1232"/>
      <c r="S244" s="1232"/>
      <c r="W244" s="1232"/>
      <c r="X244" s="1232"/>
      <c r="AE244" s="1232"/>
      <c r="AF244" s="1232"/>
      <c r="AV244" s="1232"/>
      <c r="AW244" s="1232"/>
      <c r="AX244" s="1232"/>
      <c r="AY244" s="1232"/>
      <c r="AZ244" s="1232"/>
      <c r="BA244" s="1232"/>
      <c r="BC244" s="1232"/>
      <c r="BE244" s="1232"/>
      <c r="BF244" s="1232"/>
      <c r="BG244" s="1232"/>
    </row>
    <row r="245" spans="18:59" x14ac:dyDescent="0.35">
      <c r="R245" s="1232"/>
      <c r="S245" s="1232"/>
      <c r="W245" s="1232"/>
      <c r="X245" s="1232"/>
      <c r="AE245" s="1232"/>
      <c r="AF245" s="1232"/>
      <c r="AV245" s="1232"/>
      <c r="AW245" s="1232"/>
      <c r="AX245" s="1232"/>
      <c r="AY245" s="1232"/>
      <c r="AZ245" s="1232"/>
      <c r="BA245" s="1232"/>
      <c r="BC245" s="1232"/>
      <c r="BE245" s="1232"/>
      <c r="BF245" s="1232"/>
      <c r="BG245" s="1232"/>
    </row>
    <row r="246" spans="18:59" x14ac:dyDescent="0.35">
      <c r="R246" s="1232"/>
      <c r="S246" s="1232"/>
      <c r="W246" s="1232"/>
      <c r="X246" s="1232"/>
      <c r="AE246" s="1232"/>
      <c r="AF246" s="1232"/>
      <c r="AV246" s="1232"/>
      <c r="AW246" s="1232"/>
      <c r="AX246" s="1232"/>
      <c r="AY246" s="1232"/>
      <c r="AZ246" s="1232"/>
      <c r="BA246" s="1232"/>
      <c r="BC246" s="1232"/>
      <c r="BE246" s="1232"/>
      <c r="BF246" s="1232"/>
      <c r="BG246" s="1232"/>
    </row>
    <row r="247" spans="18:59" x14ac:dyDescent="0.35">
      <c r="R247" s="1232"/>
      <c r="S247" s="1232"/>
      <c r="W247" s="1232"/>
      <c r="X247" s="1232"/>
      <c r="AE247" s="1232"/>
      <c r="AF247" s="1232"/>
      <c r="AV247" s="1232"/>
      <c r="AW247" s="1232"/>
      <c r="AX247" s="1232"/>
      <c r="AY247" s="1232"/>
      <c r="AZ247" s="1232"/>
      <c r="BA247" s="1232"/>
      <c r="BC247" s="1232"/>
      <c r="BE247" s="1232"/>
      <c r="BF247" s="1232"/>
      <c r="BG247" s="1232"/>
    </row>
    <row r="248" spans="18:59" x14ac:dyDescent="0.35">
      <c r="R248" s="1232"/>
      <c r="S248" s="1232"/>
      <c r="W248" s="1232"/>
      <c r="X248" s="1232"/>
      <c r="AE248" s="1232"/>
      <c r="AF248" s="1232"/>
      <c r="AV248" s="1232"/>
      <c r="AW248" s="1232"/>
      <c r="AX248" s="1232"/>
      <c r="AY248" s="1232"/>
      <c r="AZ248" s="1232"/>
      <c r="BA248" s="1232"/>
      <c r="BC248" s="1232"/>
      <c r="BE248" s="1232"/>
      <c r="BF248" s="1232"/>
      <c r="BG248" s="1232"/>
    </row>
    <row r="249" spans="18:59" x14ac:dyDescent="0.35">
      <c r="R249" s="1232"/>
      <c r="S249" s="1232"/>
      <c r="W249" s="1232"/>
      <c r="X249" s="1232"/>
      <c r="AE249" s="1232"/>
      <c r="AF249" s="1232"/>
      <c r="AV249" s="1232"/>
      <c r="AW249" s="1232"/>
      <c r="AX249" s="1232"/>
      <c r="AY249" s="1232"/>
      <c r="AZ249" s="1232"/>
      <c r="BA249" s="1232"/>
      <c r="BC249" s="1232"/>
      <c r="BE249" s="1232"/>
      <c r="BF249" s="1232"/>
      <c r="BG249" s="1232"/>
    </row>
    <row r="250" spans="18:59" x14ac:dyDescent="0.35">
      <c r="R250" s="1232"/>
      <c r="S250" s="1232"/>
      <c r="W250" s="1232"/>
      <c r="X250" s="1232"/>
      <c r="AE250" s="1232"/>
      <c r="AF250" s="1232"/>
      <c r="AV250" s="1232"/>
      <c r="AW250" s="1232"/>
      <c r="AX250" s="1232"/>
      <c r="AY250" s="1232"/>
      <c r="AZ250" s="1232"/>
      <c r="BA250" s="1232"/>
      <c r="BC250" s="1232"/>
      <c r="BE250" s="1232"/>
      <c r="BF250" s="1232"/>
      <c r="BG250" s="1232"/>
    </row>
    <row r="251" spans="18:59" x14ac:dyDescent="0.35">
      <c r="R251" s="1232"/>
      <c r="S251" s="1232"/>
      <c r="W251" s="1232"/>
      <c r="X251" s="1232"/>
      <c r="AE251" s="1232"/>
      <c r="AF251" s="1232"/>
      <c r="AV251" s="1232"/>
      <c r="AW251" s="1232"/>
      <c r="AX251" s="1232"/>
      <c r="AY251" s="1232"/>
      <c r="AZ251" s="1232"/>
      <c r="BA251" s="1232"/>
      <c r="BC251" s="1232"/>
      <c r="BE251" s="1232"/>
      <c r="BF251" s="1232"/>
      <c r="BG251" s="1232"/>
    </row>
    <row r="252" spans="18:59" x14ac:dyDescent="0.35">
      <c r="R252" s="1232"/>
      <c r="S252" s="1232"/>
      <c r="W252" s="1232"/>
      <c r="X252" s="1232"/>
      <c r="AE252" s="1232"/>
      <c r="AF252" s="1232"/>
      <c r="AV252" s="1232"/>
      <c r="AW252" s="1232"/>
      <c r="AX252" s="1232"/>
      <c r="AY252" s="1232"/>
      <c r="AZ252" s="1232"/>
      <c r="BA252" s="1232"/>
      <c r="BC252" s="1232"/>
      <c r="BE252" s="1232"/>
      <c r="BF252" s="1232"/>
      <c r="BG252" s="1232"/>
    </row>
    <row r="253" spans="18:59" x14ac:dyDescent="0.35">
      <c r="R253" s="1232"/>
      <c r="S253" s="1232"/>
      <c r="W253" s="1232"/>
      <c r="X253" s="1232"/>
      <c r="AE253" s="1232"/>
      <c r="AF253" s="1232"/>
      <c r="AV253" s="1232"/>
      <c r="AW253" s="1232"/>
      <c r="AX253" s="1232"/>
      <c r="AY253" s="1232"/>
      <c r="AZ253" s="1232"/>
      <c r="BA253" s="1232"/>
      <c r="BC253" s="1232"/>
      <c r="BE253" s="1232"/>
      <c r="BF253" s="1232"/>
      <c r="BG253" s="1232"/>
    </row>
    <row r="254" spans="18:59" x14ac:dyDescent="0.35">
      <c r="R254" s="1232"/>
      <c r="S254" s="1232"/>
      <c r="W254" s="1232"/>
      <c r="X254" s="1232"/>
      <c r="AE254" s="1232"/>
      <c r="AF254" s="1232"/>
      <c r="AV254" s="1232"/>
      <c r="AW254" s="1232"/>
      <c r="AX254" s="1232"/>
      <c r="AY254" s="1232"/>
      <c r="AZ254" s="1232"/>
      <c r="BA254" s="1232"/>
      <c r="BC254" s="1232"/>
      <c r="BE254" s="1232"/>
      <c r="BF254" s="1232"/>
      <c r="BG254" s="1232"/>
    </row>
    <row r="255" spans="18:59" x14ac:dyDescent="0.35">
      <c r="R255" s="1232"/>
      <c r="S255" s="1232"/>
      <c r="W255" s="1232"/>
      <c r="X255" s="1232"/>
      <c r="AE255" s="1232"/>
      <c r="AF255" s="1232"/>
      <c r="AV255" s="1232"/>
      <c r="AW255" s="1232"/>
      <c r="AX255" s="1232"/>
      <c r="AY255" s="1232"/>
      <c r="AZ255" s="1232"/>
      <c r="BA255" s="1232"/>
      <c r="BC255" s="1232"/>
      <c r="BE255" s="1232"/>
      <c r="BF255" s="1232"/>
      <c r="BG255" s="1232"/>
    </row>
    <row r="256" spans="18:59" x14ac:dyDescent="0.35">
      <c r="R256" s="1232"/>
      <c r="S256" s="1232"/>
      <c r="W256" s="1232"/>
      <c r="X256" s="1232"/>
      <c r="AE256" s="1232"/>
      <c r="AF256" s="1232"/>
      <c r="AV256" s="1232"/>
      <c r="AW256" s="1232"/>
      <c r="AX256" s="1232"/>
      <c r="AY256" s="1232"/>
      <c r="AZ256" s="1232"/>
      <c r="BA256" s="1232"/>
      <c r="BC256" s="1232"/>
      <c r="BE256" s="1232"/>
      <c r="BF256" s="1232"/>
      <c r="BG256" s="1232"/>
    </row>
    <row r="257" spans="18:59" x14ac:dyDescent="0.35">
      <c r="R257" s="1232"/>
      <c r="S257" s="1232"/>
      <c r="W257" s="1232"/>
      <c r="X257" s="1232"/>
      <c r="AE257" s="1232"/>
      <c r="AF257" s="1232"/>
      <c r="AV257" s="1232"/>
      <c r="AW257" s="1232"/>
      <c r="AX257" s="1232"/>
      <c r="AY257" s="1232"/>
      <c r="AZ257" s="1232"/>
      <c r="BA257" s="1232"/>
      <c r="BC257" s="1232"/>
      <c r="BE257" s="1232"/>
      <c r="BF257" s="1232"/>
      <c r="BG257" s="1232"/>
    </row>
    <row r="258" spans="18:59" x14ac:dyDescent="0.35">
      <c r="R258" s="1232"/>
      <c r="S258" s="1232"/>
      <c r="W258" s="1232"/>
      <c r="X258" s="1232"/>
      <c r="AE258" s="1232"/>
      <c r="AF258" s="1232"/>
      <c r="AV258" s="1232"/>
      <c r="AW258" s="1232"/>
      <c r="AX258" s="1232"/>
      <c r="AY258" s="1232"/>
      <c r="AZ258" s="1232"/>
      <c r="BA258" s="1232"/>
      <c r="BC258" s="1232"/>
      <c r="BE258" s="1232"/>
      <c r="BF258" s="1232"/>
      <c r="BG258" s="1232"/>
    </row>
    <row r="259" spans="18:59" x14ac:dyDescent="0.35">
      <c r="R259" s="1232"/>
      <c r="S259" s="1232"/>
      <c r="W259" s="1232"/>
      <c r="X259" s="1232"/>
      <c r="AE259" s="1232"/>
      <c r="AF259" s="1232"/>
      <c r="AV259" s="1232"/>
      <c r="AW259" s="1232"/>
      <c r="AX259" s="1232"/>
      <c r="AY259" s="1232"/>
      <c r="AZ259" s="1232"/>
      <c r="BA259" s="1232"/>
      <c r="BC259" s="1232"/>
      <c r="BE259" s="1232"/>
      <c r="BF259" s="1232"/>
      <c r="BG259" s="1232"/>
    </row>
    <row r="260" spans="18:59" x14ac:dyDescent="0.35">
      <c r="R260" s="1232"/>
      <c r="S260" s="1232"/>
      <c r="W260" s="1232"/>
      <c r="X260" s="1232"/>
      <c r="AE260" s="1232"/>
      <c r="AF260" s="1232"/>
      <c r="AV260" s="1232"/>
      <c r="AW260" s="1232"/>
      <c r="AX260" s="1232"/>
      <c r="AY260" s="1232"/>
      <c r="AZ260" s="1232"/>
      <c r="BA260" s="1232"/>
      <c r="BC260" s="1232"/>
      <c r="BE260" s="1232"/>
      <c r="BF260" s="1232"/>
      <c r="BG260" s="1232"/>
    </row>
    <row r="261" spans="18:59" x14ac:dyDescent="0.35">
      <c r="R261" s="1232"/>
      <c r="S261" s="1232"/>
      <c r="W261" s="1232"/>
      <c r="X261" s="1232"/>
      <c r="AE261" s="1232"/>
      <c r="AF261" s="1232"/>
      <c r="AV261" s="1232"/>
      <c r="AW261" s="1232"/>
      <c r="AX261" s="1232"/>
      <c r="AY261" s="1232"/>
      <c r="AZ261" s="1232"/>
      <c r="BA261" s="1232"/>
      <c r="BC261" s="1232"/>
      <c r="BE261" s="1232"/>
      <c r="BF261" s="1232"/>
      <c r="BG261" s="1232"/>
    </row>
    <row r="262" spans="18:59" x14ac:dyDescent="0.35">
      <c r="R262" s="1232"/>
      <c r="S262" s="1232"/>
      <c r="W262" s="1232"/>
      <c r="X262" s="1232"/>
      <c r="AE262" s="1232"/>
      <c r="AF262" s="1232"/>
      <c r="AV262" s="1232"/>
      <c r="AW262" s="1232"/>
      <c r="AX262" s="1232"/>
      <c r="AY262" s="1232"/>
      <c r="AZ262" s="1232"/>
      <c r="BA262" s="1232"/>
      <c r="BC262" s="1232"/>
      <c r="BE262" s="1232"/>
      <c r="BF262" s="1232"/>
      <c r="BG262" s="1232"/>
    </row>
    <row r="263" spans="18:59" x14ac:dyDescent="0.35">
      <c r="R263" s="1232"/>
      <c r="S263" s="1232"/>
      <c r="W263" s="1232"/>
      <c r="X263" s="1232"/>
      <c r="AE263" s="1232"/>
      <c r="AF263" s="1232"/>
      <c r="AV263" s="1232"/>
      <c r="AW263" s="1232"/>
      <c r="AX263" s="1232"/>
      <c r="AY263" s="1232"/>
      <c r="AZ263" s="1232"/>
      <c r="BA263" s="1232"/>
      <c r="BC263" s="1232"/>
      <c r="BE263" s="1232"/>
      <c r="BF263" s="1232"/>
      <c r="BG263" s="1232"/>
    </row>
    <row r="264" spans="18:59" x14ac:dyDescent="0.35">
      <c r="R264" s="1232"/>
      <c r="S264" s="1232"/>
      <c r="W264" s="1232"/>
      <c r="X264" s="1232"/>
      <c r="AE264" s="1232"/>
      <c r="AF264" s="1232"/>
      <c r="AV264" s="1232"/>
      <c r="AW264" s="1232"/>
      <c r="AX264" s="1232"/>
      <c r="AY264" s="1232"/>
      <c r="AZ264" s="1232"/>
      <c r="BA264" s="1232"/>
      <c r="BC264" s="1232"/>
      <c r="BE264" s="1232"/>
      <c r="BF264" s="1232"/>
      <c r="BG264" s="1232"/>
    </row>
    <row r="265" spans="18:59" x14ac:dyDescent="0.35">
      <c r="R265" s="1232"/>
      <c r="S265" s="1232"/>
      <c r="W265" s="1232"/>
      <c r="X265" s="1232"/>
      <c r="AE265" s="1232"/>
      <c r="AF265" s="1232"/>
      <c r="AV265" s="1232"/>
      <c r="AW265" s="1232"/>
      <c r="AX265" s="1232"/>
      <c r="AY265" s="1232"/>
      <c r="AZ265" s="1232"/>
      <c r="BA265" s="1232"/>
      <c r="BC265" s="1232"/>
      <c r="BE265" s="1232"/>
      <c r="BF265" s="1232"/>
      <c r="BG265" s="1232"/>
    </row>
    <row r="266" spans="18:59" x14ac:dyDescent="0.35">
      <c r="R266" s="1232"/>
      <c r="S266" s="1232"/>
      <c r="W266" s="1232"/>
      <c r="X266" s="1232"/>
      <c r="AE266" s="1232"/>
      <c r="AF266" s="1232"/>
      <c r="AV266" s="1232"/>
      <c r="AW266" s="1232"/>
      <c r="AX266" s="1232"/>
      <c r="AY266" s="1232"/>
      <c r="AZ266" s="1232"/>
      <c r="BA266" s="1232"/>
      <c r="BC266" s="1232"/>
      <c r="BE266" s="1232"/>
      <c r="BF266" s="1232"/>
      <c r="BG266" s="1232"/>
    </row>
    <row r="267" spans="18:59" x14ac:dyDescent="0.35">
      <c r="R267" s="1232"/>
      <c r="S267" s="1232"/>
      <c r="W267" s="1232"/>
      <c r="X267" s="1232"/>
      <c r="AE267" s="1232"/>
      <c r="AF267" s="1232"/>
      <c r="AV267" s="1232"/>
      <c r="AW267" s="1232"/>
      <c r="AX267" s="1232"/>
      <c r="AY267" s="1232"/>
      <c r="AZ267" s="1232"/>
      <c r="BA267" s="1232"/>
      <c r="BC267" s="1232"/>
      <c r="BE267" s="1232"/>
      <c r="BF267" s="1232"/>
      <c r="BG267" s="1232"/>
    </row>
    <row r="268" spans="18:59" x14ac:dyDescent="0.35">
      <c r="R268" s="1232"/>
      <c r="S268" s="1232"/>
      <c r="W268" s="1232"/>
      <c r="X268" s="1232"/>
      <c r="AE268" s="1232"/>
      <c r="AF268" s="1232"/>
      <c r="AV268" s="1232"/>
      <c r="AW268" s="1232"/>
      <c r="AX268" s="1232"/>
      <c r="AY268" s="1232"/>
      <c r="AZ268" s="1232"/>
      <c r="BA268" s="1232"/>
      <c r="BC268" s="1232"/>
      <c r="BE268" s="1232"/>
      <c r="BF268" s="1232"/>
      <c r="BG268" s="1232"/>
    </row>
    <row r="269" spans="18:59" x14ac:dyDescent="0.35">
      <c r="R269" s="1232"/>
      <c r="S269" s="1232"/>
      <c r="W269" s="1232"/>
      <c r="X269" s="1232"/>
      <c r="AE269" s="1232"/>
      <c r="AF269" s="1232"/>
      <c r="AV269" s="1232"/>
      <c r="AW269" s="1232"/>
      <c r="AX269" s="1232"/>
      <c r="AY269" s="1232"/>
      <c r="AZ269" s="1232"/>
      <c r="BA269" s="1232"/>
      <c r="BC269" s="1232"/>
      <c r="BE269" s="1232"/>
      <c r="BF269" s="1232"/>
      <c r="BG269" s="1232"/>
    </row>
    <row r="270" spans="18:59" x14ac:dyDescent="0.35">
      <c r="R270" s="1232"/>
      <c r="S270" s="1232"/>
      <c r="W270" s="1232"/>
      <c r="X270" s="1232"/>
      <c r="AE270" s="1232"/>
      <c r="AF270" s="1232"/>
      <c r="AV270" s="1232"/>
      <c r="AW270" s="1232"/>
      <c r="AX270" s="1232"/>
      <c r="AY270" s="1232"/>
      <c r="AZ270" s="1232"/>
      <c r="BA270" s="1232"/>
      <c r="BC270" s="1232"/>
      <c r="BE270" s="1232"/>
      <c r="BF270" s="1232"/>
      <c r="BG270" s="1232"/>
    </row>
    <row r="271" spans="18:59" x14ac:dyDescent="0.35">
      <c r="R271" s="1232"/>
      <c r="S271" s="1232"/>
      <c r="W271" s="1232"/>
      <c r="X271" s="1232"/>
      <c r="AE271" s="1232"/>
      <c r="AF271" s="1232"/>
      <c r="AV271" s="1232"/>
      <c r="AW271" s="1232"/>
      <c r="AX271" s="1232"/>
      <c r="AY271" s="1232"/>
      <c r="AZ271" s="1232"/>
      <c r="BA271" s="1232"/>
      <c r="BC271" s="1232"/>
      <c r="BE271" s="1232"/>
      <c r="BF271" s="1232"/>
      <c r="BG271" s="1232"/>
    </row>
    <row r="272" spans="18:59" x14ac:dyDescent="0.35">
      <c r="R272" s="1232"/>
      <c r="S272" s="1232"/>
      <c r="W272" s="1232"/>
      <c r="X272" s="1232"/>
      <c r="AE272" s="1232"/>
      <c r="AF272" s="1232"/>
      <c r="AV272" s="1232"/>
      <c r="AW272" s="1232"/>
      <c r="AX272" s="1232"/>
      <c r="AY272" s="1232"/>
      <c r="AZ272" s="1232"/>
      <c r="BA272" s="1232"/>
      <c r="BC272" s="1232"/>
      <c r="BE272" s="1232"/>
      <c r="BF272" s="1232"/>
      <c r="BG272" s="1232"/>
    </row>
    <row r="273" spans="18:59" x14ac:dyDescent="0.35">
      <c r="R273" s="1232"/>
      <c r="S273" s="1232"/>
      <c r="W273" s="1232"/>
      <c r="X273" s="1232"/>
      <c r="AE273" s="1232"/>
      <c r="AF273" s="1232"/>
      <c r="AV273" s="1232"/>
      <c r="AW273" s="1232"/>
      <c r="AX273" s="1232"/>
      <c r="AY273" s="1232"/>
      <c r="AZ273" s="1232"/>
      <c r="BA273" s="1232"/>
      <c r="BC273" s="1232"/>
      <c r="BE273" s="1232"/>
      <c r="BF273" s="1232"/>
      <c r="BG273" s="1232"/>
    </row>
    <row r="274" spans="18:59" x14ac:dyDescent="0.35">
      <c r="R274" s="1232"/>
      <c r="S274" s="1232"/>
      <c r="W274" s="1232"/>
      <c r="X274" s="1232"/>
      <c r="AE274" s="1232"/>
      <c r="AF274" s="1232"/>
      <c r="AV274" s="1232"/>
      <c r="AW274" s="1232"/>
      <c r="AX274" s="1232"/>
      <c r="AY274" s="1232"/>
      <c r="AZ274" s="1232"/>
      <c r="BA274" s="1232"/>
      <c r="BC274" s="1232"/>
      <c r="BE274" s="1232"/>
      <c r="BF274" s="1232"/>
      <c r="BG274" s="1232"/>
    </row>
    <row r="275" spans="18:59" x14ac:dyDescent="0.35">
      <c r="R275" s="1232"/>
      <c r="S275" s="1232"/>
      <c r="W275" s="1232"/>
      <c r="X275" s="1232"/>
      <c r="AE275" s="1232"/>
      <c r="AF275" s="1232"/>
      <c r="AV275" s="1232"/>
      <c r="AW275" s="1232"/>
      <c r="AX275" s="1232"/>
      <c r="AY275" s="1232"/>
      <c r="AZ275" s="1232"/>
      <c r="BA275" s="1232"/>
      <c r="BC275" s="1232"/>
      <c r="BE275" s="1232"/>
      <c r="BF275" s="1232"/>
      <c r="BG275" s="1232"/>
    </row>
    <row r="276" spans="18:59" x14ac:dyDescent="0.35">
      <c r="R276" s="1232"/>
      <c r="S276" s="1232"/>
      <c r="W276" s="1232"/>
      <c r="X276" s="1232"/>
      <c r="AE276" s="1232"/>
      <c r="AF276" s="1232"/>
      <c r="AV276" s="1232"/>
      <c r="AW276" s="1232"/>
      <c r="AX276" s="1232"/>
      <c r="AY276" s="1232"/>
      <c r="AZ276" s="1232"/>
      <c r="BA276" s="1232"/>
      <c r="BC276" s="1232"/>
      <c r="BE276" s="1232"/>
      <c r="BF276" s="1232"/>
      <c r="BG276" s="1232"/>
    </row>
    <row r="277" spans="18:59" x14ac:dyDescent="0.35">
      <c r="R277" s="1232"/>
      <c r="S277" s="1232"/>
      <c r="W277" s="1232"/>
      <c r="X277" s="1232"/>
      <c r="AE277" s="1232"/>
      <c r="AF277" s="1232"/>
      <c r="AV277" s="1232"/>
      <c r="AW277" s="1232"/>
      <c r="AX277" s="1232"/>
      <c r="AY277" s="1232"/>
      <c r="AZ277" s="1232"/>
      <c r="BA277" s="1232"/>
      <c r="BC277" s="1232"/>
      <c r="BE277" s="1232"/>
      <c r="BF277" s="1232"/>
      <c r="BG277" s="1232"/>
    </row>
    <row r="278" spans="18:59" x14ac:dyDescent="0.35">
      <c r="R278" s="1232"/>
      <c r="S278" s="1232"/>
      <c r="W278" s="1232"/>
      <c r="X278" s="1232"/>
      <c r="AE278" s="1232"/>
      <c r="AF278" s="1232"/>
      <c r="AV278" s="1232"/>
      <c r="AW278" s="1232"/>
      <c r="AX278" s="1232"/>
      <c r="AY278" s="1232"/>
      <c r="AZ278" s="1232"/>
      <c r="BA278" s="1232"/>
      <c r="BC278" s="1232"/>
      <c r="BE278" s="1232"/>
      <c r="BF278" s="1232"/>
      <c r="BG278" s="1232"/>
    </row>
    <row r="279" spans="18:59" x14ac:dyDescent="0.35">
      <c r="R279" s="1232"/>
      <c r="S279" s="1232"/>
      <c r="W279" s="1232"/>
      <c r="X279" s="1232"/>
      <c r="AE279" s="1232"/>
      <c r="AF279" s="1232"/>
      <c r="AV279" s="1232"/>
      <c r="AW279" s="1232"/>
      <c r="AX279" s="1232"/>
      <c r="AY279" s="1232"/>
      <c r="AZ279" s="1232"/>
      <c r="BA279" s="1232"/>
      <c r="BC279" s="1232"/>
      <c r="BE279" s="1232"/>
      <c r="BF279" s="1232"/>
      <c r="BG279" s="1232"/>
    </row>
    <row r="280" spans="18:59" x14ac:dyDescent="0.35">
      <c r="R280" s="1232"/>
      <c r="S280" s="1232"/>
      <c r="W280" s="1232"/>
      <c r="X280" s="1232"/>
      <c r="AE280" s="1232"/>
      <c r="AF280" s="1232"/>
      <c r="AV280" s="1232"/>
      <c r="AW280" s="1232"/>
      <c r="AX280" s="1232"/>
      <c r="AY280" s="1232"/>
      <c r="AZ280" s="1232"/>
      <c r="BA280" s="1232"/>
      <c r="BC280" s="1232"/>
      <c r="BE280" s="1232"/>
      <c r="BF280" s="1232"/>
      <c r="BG280" s="1232"/>
    </row>
    <row r="281" spans="18:59" x14ac:dyDescent="0.35">
      <c r="R281" s="1232"/>
      <c r="S281" s="1232"/>
      <c r="W281" s="1232"/>
      <c r="X281" s="1232"/>
      <c r="AE281" s="1232"/>
      <c r="AF281" s="1232"/>
      <c r="AV281" s="1232"/>
      <c r="AW281" s="1232"/>
      <c r="AX281" s="1232"/>
      <c r="AY281" s="1232"/>
      <c r="AZ281" s="1232"/>
      <c r="BA281" s="1232"/>
      <c r="BC281" s="1232"/>
      <c r="BE281" s="1232"/>
      <c r="BF281" s="1232"/>
      <c r="BG281" s="1232"/>
    </row>
    <row r="282" spans="18:59" x14ac:dyDescent="0.35">
      <c r="R282" s="1232"/>
      <c r="S282" s="1232"/>
      <c r="W282" s="1232"/>
      <c r="X282" s="1232"/>
      <c r="AE282" s="1232"/>
      <c r="AF282" s="1232"/>
      <c r="AV282" s="1232"/>
      <c r="AW282" s="1232"/>
      <c r="AX282" s="1232"/>
      <c r="AY282" s="1232"/>
      <c r="AZ282" s="1232"/>
      <c r="BA282" s="1232"/>
      <c r="BC282" s="1232"/>
      <c r="BE282" s="1232"/>
      <c r="BF282" s="1232"/>
      <c r="BG282" s="1232"/>
    </row>
    <row r="283" spans="18:59" x14ac:dyDescent="0.35">
      <c r="R283" s="1232"/>
      <c r="S283" s="1232"/>
      <c r="W283" s="1232"/>
      <c r="X283" s="1232"/>
      <c r="AE283" s="1232"/>
      <c r="AF283" s="1232"/>
      <c r="AV283" s="1232"/>
      <c r="AW283" s="1232"/>
      <c r="AX283" s="1232"/>
      <c r="AY283" s="1232"/>
      <c r="AZ283" s="1232"/>
      <c r="BA283" s="1232"/>
      <c r="BC283" s="1232"/>
      <c r="BE283" s="1232"/>
      <c r="BF283" s="1232"/>
      <c r="BG283" s="1232"/>
    </row>
    <row r="284" spans="18:59" x14ac:dyDescent="0.35">
      <c r="R284" s="1232"/>
      <c r="S284" s="1232"/>
      <c r="W284" s="1232"/>
      <c r="X284" s="1232"/>
      <c r="AE284" s="1232"/>
      <c r="AF284" s="1232"/>
      <c r="AV284" s="1232"/>
      <c r="AW284" s="1232"/>
      <c r="AX284" s="1232"/>
      <c r="AY284" s="1232"/>
      <c r="AZ284" s="1232"/>
      <c r="BA284" s="1232"/>
      <c r="BC284" s="1232"/>
      <c r="BE284" s="1232"/>
      <c r="BF284" s="1232"/>
      <c r="BG284" s="1232"/>
    </row>
    <row r="285" spans="18:59" x14ac:dyDescent="0.35">
      <c r="R285" s="1232"/>
      <c r="S285" s="1232"/>
      <c r="W285" s="1232"/>
      <c r="X285" s="1232"/>
      <c r="AE285" s="1232"/>
      <c r="AF285" s="1232"/>
      <c r="AV285" s="1232"/>
      <c r="AW285" s="1232"/>
      <c r="AX285" s="1232"/>
      <c r="AY285" s="1232"/>
      <c r="AZ285" s="1232"/>
      <c r="BA285" s="1232"/>
      <c r="BC285" s="1232"/>
      <c r="BE285" s="1232"/>
      <c r="BF285" s="1232"/>
      <c r="BG285" s="1232"/>
    </row>
    <row r="286" spans="18:59" x14ac:dyDescent="0.35">
      <c r="R286" s="1232"/>
      <c r="S286" s="1232"/>
      <c r="W286" s="1232"/>
      <c r="X286" s="1232"/>
      <c r="AE286" s="1232"/>
      <c r="AF286" s="1232"/>
      <c r="AV286" s="1232"/>
      <c r="AW286" s="1232"/>
      <c r="AX286" s="1232"/>
      <c r="AY286" s="1232"/>
      <c r="AZ286" s="1232"/>
      <c r="BA286" s="1232"/>
      <c r="BC286" s="1232"/>
      <c r="BE286" s="1232"/>
      <c r="BF286" s="1232"/>
      <c r="BG286" s="1232"/>
    </row>
    <row r="287" spans="18:59" x14ac:dyDescent="0.35">
      <c r="R287" s="1232"/>
      <c r="S287" s="1232"/>
      <c r="W287" s="1232"/>
      <c r="X287" s="1232"/>
      <c r="AE287" s="1232"/>
      <c r="AF287" s="1232"/>
      <c r="AV287" s="1232"/>
      <c r="AW287" s="1232"/>
      <c r="AX287" s="1232"/>
      <c r="AY287" s="1232"/>
      <c r="AZ287" s="1232"/>
      <c r="BA287" s="1232"/>
      <c r="BC287" s="1232"/>
      <c r="BE287" s="1232"/>
      <c r="BF287" s="1232"/>
      <c r="BG287" s="1232"/>
    </row>
    <row r="288" spans="18:59" x14ac:dyDescent="0.35">
      <c r="R288" s="1232"/>
      <c r="S288" s="1232"/>
      <c r="W288" s="1232"/>
      <c r="X288" s="1232"/>
      <c r="AE288" s="1232"/>
      <c r="AF288" s="1232"/>
      <c r="AV288" s="1232"/>
      <c r="AW288" s="1232"/>
      <c r="AX288" s="1232"/>
      <c r="AY288" s="1232"/>
      <c r="AZ288" s="1232"/>
      <c r="BA288" s="1232"/>
      <c r="BC288" s="1232"/>
      <c r="BE288" s="1232"/>
      <c r="BF288" s="1232"/>
      <c r="BG288" s="1232"/>
    </row>
    <row r="289" spans="18:59" x14ac:dyDescent="0.35">
      <c r="R289" s="1232"/>
      <c r="S289" s="1232"/>
      <c r="W289" s="1232"/>
      <c r="X289" s="1232"/>
      <c r="AE289" s="1232"/>
      <c r="AF289" s="1232"/>
      <c r="AV289" s="1232"/>
      <c r="AW289" s="1232"/>
      <c r="AX289" s="1232"/>
      <c r="AY289" s="1232"/>
      <c r="AZ289" s="1232"/>
      <c r="BA289" s="1232"/>
      <c r="BC289" s="1232"/>
      <c r="BE289" s="1232"/>
      <c r="BF289" s="1232"/>
      <c r="BG289" s="1232"/>
    </row>
    <row r="290" spans="18:59" x14ac:dyDescent="0.35">
      <c r="R290" s="1232"/>
      <c r="S290" s="1232"/>
      <c r="W290" s="1232"/>
      <c r="X290" s="1232"/>
      <c r="AE290" s="1232"/>
      <c r="AF290" s="1232"/>
      <c r="AV290" s="1232"/>
      <c r="AW290" s="1232"/>
      <c r="AX290" s="1232"/>
      <c r="AY290" s="1232"/>
      <c r="AZ290" s="1232"/>
      <c r="BA290" s="1232"/>
      <c r="BC290" s="1232"/>
      <c r="BE290" s="1232"/>
      <c r="BF290" s="1232"/>
      <c r="BG290" s="1232"/>
    </row>
    <row r="291" spans="18:59" x14ac:dyDescent="0.35">
      <c r="R291" s="1232"/>
      <c r="S291" s="1232"/>
      <c r="W291" s="1232"/>
      <c r="X291" s="1232"/>
      <c r="AE291" s="1232"/>
      <c r="AF291" s="1232"/>
      <c r="AV291" s="1232"/>
      <c r="AW291" s="1232"/>
      <c r="AX291" s="1232"/>
      <c r="AY291" s="1232"/>
      <c r="AZ291" s="1232"/>
      <c r="BA291" s="1232"/>
      <c r="BC291" s="1232"/>
      <c r="BE291" s="1232"/>
      <c r="BF291" s="1232"/>
      <c r="BG291" s="1232"/>
    </row>
    <row r="292" spans="18:59" x14ac:dyDescent="0.35">
      <c r="R292" s="1232"/>
      <c r="S292" s="1232"/>
      <c r="W292" s="1232"/>
      <c r="X292" s="1232"/>
      <c r="AE292" s="1232"/>
      <c r="AF292" s="1232"/>
      <c r="AV292" s="1232"/>
      <c r="AW292" s="1232"/>
      <c r="AX292" s="1232"/>
      <c r="AY292" s="1232"/>
      <c r="AZ292" s="1232"/>
      <c r="BA292" s="1232"/>
      <c r="BC292" s="1232"/>
      <c r="BE292" s="1232"/>
      <c r="BF292" s="1232"/>
      <c r="BG292" s="1232"/>
    </row>
    <row r="293" spans="18:59" x14ac:dyDescent="0.35">
      <c r="R293" s="1232"/>
      <c r="S293" s="1232"/>
      <c r="W293" s="1232"/>
      <c r="X293" s="1232"/>
      <c r="AE293" s="1232"/>
      <c r="AF293" s="1232"/>
      <c r="AV293" s="1232"/>
      <c r="AW293" s="1232"/>
      <c r="AX293" s="1232"/>
      <c r="AY293" s="1232"/>
      <c r="AZ293" s="1232"/>
      <c r="BA293" s="1232"/>
      <c r="BC293" s="1232"/>
      <c r="BE293" s="1232"/>
      <c r="BF293" s="1232"/>
      <c r="BG293" s="1232"/>
    </row>
    <row r="294" spans="18:59" x14ac:dyDescent="0.35">
      <c r="R294" s="1232"/>
      <c r="S294" s="1232"/>
      <c r="W294" s="1232"/>
      <c r="X294" s="1232"/>
      <c r="AE294" s="1232"/>
      <c r="AF294" s="1232"/>
      <c r="AV294" s="1232"/>
      <c r="AW294" s="1232"/>
      <c r="AX294" s="1232"/>
      <c r="AY294" s="1232"/>
      <c r="AZ294" s="1232"/>
      <c r="BA294" s="1232"/>
      <c r="BC294" s="1232"/>
      <c r="BE294" s="1232"/>
      <c r="BF294" s="1232"/>
      <c r="BG294" s="1232"/>
    </row>
    <row r="295" spans="18:59" x14ac:dyDescent="0.35">
      <c r="R295" s="1232"/>
      <c r="S295" s="1232"/>
      <c r="W295" s="1232"/>
      <c r="X295" s="1232"/>
      <c r="AE295" s="1232"/>
      <c r="AF295" s="1232"/>
      <c r="AV295" s="1232"/>
      <c r="AW295" s="1232"/>
      <c r="AX295" s="1232"/>
      <c r="AY295" s="1232"/>
      <c r="AZ295" s="1232"/>
      <c r="BA295" s="1232"/>
      <c r="BC295" s="1232"/>
      <c r="BE295" s="1232"/>
      <c r="BF295" s="1232"/>
      <c r="BG295" s="1232"/>
    </row>
    <row r="296" spans="18:59" x14ac:dyDescent="0.35">
      <c r="R296" s="1232"/>
      <c r="S296" s="1232"/>
      <c r="W296" s="1232"/>
      <c r="X296" s="1232"/>
      <c r="AE296" s="1232"/>
      <c r="AF296" s="1232"/>
      <c r="AV296" s="1232"/>
      <c r="AW296" s="1232"/>
      <c r="AX296" s="1232"/>
      <c r="AY296" s="1232"/>
      <c r="AZ296" s="1232"/>
      <c r="BA296" s="1232"/>
      <c r="BC296" s="1232"/>
      <c r="BE296" s="1232"/>
      <c r="BF296" s="1232"/>
      <c r="BG296" s="1232"/>
    </row>
    <row r="297" spans="18:59" x14ac:dyDescent="0.35">
      <c r="R297" s="1232"/>
      <c r="S297" s="1232"/>
      <c r="W297" s="1232"/>
      <c r="X297" s="1232"/>
      <c r="AE297" s="1232"/>
      <c r="AF297" s="1232"/>
      <c r="AV297" s="1232"/>
      <c r="AW297" s="1232"/>
      <c r="AX297" s="1232"/>
      <c r="AY297" s="1232"/>
      <c r="AZ297" s="1232"/>
      <c r="BA297" s="1232"/>
      <c r="BC297" s="1232"/>
      <c r="BE297" s="1232"/>
      <c r="BF297" s="1232"/>
      <c r="BG297" s="1232"/>
    </row>
    <row r="298" spans="18:59" x14ac:dyDescent="0.35">
      <c r="R298" s="1232"/>
      <c r="S298" s="1232"/>
      <c r="W298" s="1232"/>
      <c r="X298" s="1232"/>
      <c r="AE298" s="1232"/>
      <c r="AF298" s="1232"/>
      <c r="AV298" s="1232"/>
      <c r="AW298" s="1232"/>
      <c r="AX298" s="1232"/>
      <c r="AY298" s="1232"/>
      <c r="AZ298" s="1232"/>
      <c r="BA298" s="1232"/>
      <c r="BC298" s="1232"/>
      <c r="BE298" s="1232"/>
      <c r="BF298" s="1232"/>
      <c r="BG298" s="1232"/>
    </row>
    <row r="299" spans="18:59" x14ac:dyDescent="0.35">
      <c r="R299" s="1232"/>
      <c r="S299" s="1232"/>
      <c r="W299" s="1232"/>
      <c r="X299" s="1232"/>
      <c r="AE299" s="1232"/>
      <c r="AF299" s="1232"/>
      <c r="AV299" s="1232"/>
      <c r="AW299" s="1232"/>
      <c r="AX299" s="1232"/>
      <c r="AY299" s="1232"/>
      <c r="AZ299" s="1232"/>
      <c r="BA299" s="1232"/>
      <c r="BC299" s="1232"/>
      <c r="BE299" s="1232"/>
      <c r="BF299" s="1232"/>
      <c r="BG299" s="1232"/>
    </row>
    <row r="300" spans="18:59" x14ac:dyDescent="0.35">
      <c r="R300" s="1232"/>
      <c r="S300" s="1232"/>
      <c r="W300" s="1232"/>
      <c r="X300" s="1232"/>
      <c r="AE300" s="1232"/>
      <c r="AF300" s="1232"/>
      <c r="AV300" s="1232"/>
      <c r="AW300" s="1232"/>
      <c r="AX300" s="1232"/>
      <c r="AY300" s="1232"/>
      <c r="AZ300" s="1232"/>
      <c r="BA300" s="1232"/>
      <c r="BC300" s="1232"/>
      <c r="BE300" s="1232"/>
      <c r="BF300" s="1232"/>
      <c r="BG300" s="1232"/>
    </row>
    <row r="301" spans="18:59" x14ac:dyDescent="0.35">
      <c r="R301" s="1232"/>
      <c r="S301" s="1232"/>
      <c r="W301" s="1232"/>
      <c r="X301" s="1232"/>
      <c r="AE301" s="1232"/>
      <c r="AF301" s="1232"/>
      <c r="AV301" s="1232"/>
      <c r="AW301" s="1232"/>
      <c r="AX301" s="1232"/>
      <c r="AY301" s="1232"/>
      <c r="AZ301" s="1232"/>
      <c r="BA301" s="1232"/>
      <c r="BC301" s="1232"/>
      <c r="BE301" s="1232"/>
      <c r="BF301" s="1232"/>
      <c r="BG301" s="1232"/>
    </row>
    <row r="302" spans="18:59" x14ac:dyDescent="0.35">
      <c r="R302" s="1232"/>
      <c r="S302" s="1232"/>
      <c r="W302" s="1232"/>
      <c r="X302" s="1232"/>
      <c r="AE302" s="1232"/>
      <c r="AF302" s="1232"/>
      <c r="AV302" s="1232"/>
      <c r="AW302" s="1232"/>
      <c r="AX302" s="1232"/>
      <c r="AY302" s="1232"/>
      <c r="AZ302" s="1232"/>
      <c r="BA302" s="1232"/>
      <c r="BC302" s="1232"/>
      <c r="BE302" s="1232"/>
      <c r="BF302" s="1232"/>
      <c r="BG302" s="1232"/>
    </row>
    <row r="303" spans="18:59" x14ac:dyDescent="0.35">
      <c r="R303" s="1232"/>
      <c r="S303" s="1232"/>
      <c r="W303" s="1232"/>
      <c r="X303" s="1232"/>
      <c r="AE303" s="1232"/>
      <c r="AF303" s="1232"/>
      <c r="AV303" s="1232"/>
      <c r="AW303" s="1232"/>
      <c r="AX303" s="1232"/>
      <c r="AY303" s="1232"/>
      <c r="AZ303" s="1232"/>
      <c r="BA303" s="1232"/>
      <c r="BC303" s="1232"/>
      <c r="BE303" s="1232"/>
      <c r="BF303" s="1232"/>
      <c r="BG303" s="1232"/>
    </row>
    <row r="304" spans="18:59" x14ac:dyDescent="0.35">
      <c r="R304" s="1232"/>
      <c r="S304" s="1232"/>
      <c r="W304" s="1232"/>
      <c r="X304" s="1232"/>
      <c r="AE304" s="1232"/>
      <c r="AF304" s="1232"/>
      <c r="AV304" s="1232"/>
      <c r="AW304" s="1232"/>
      <c r="AX304" s="1232"/>
      <c r="AY304" s="1232"/>
      <c r="AZ304" s="1232"/>
      <c r="BA304" s="1232"/>
      <c r="BC304" s="1232"/>
      <c r="BE304" s="1232"/>
      <c r="BF304" s="1232"/>
      <c r="BG304" s="1232"/>
    </row>
    <row r="305" spans="18:59" x14ac:dyDescent="0.35">
      <c r="R305" s="1232"/>
      <c r="S305" s="1232"/>
      <c r="W305" s="1232"/>
      <c r="X305" s="1232"/>
      <c r="AE305" s="1232"/>
      <c r="AF305" s="1232"/>
      <c r="AV305" s="1232"/>
      <c r="AW305" s="1232"/>
      <c r="AX305" s="1232"/>
      <c r="AY305" s="1232"/>
      <c r="AZ305" s="1232"/>
      <c r="BA305" s="1232"/>
      <c r="BC305" s="1232"/>
      <c r="BE305" s="1232"/>
      <c r="BF305" s="1232"/>
      <c r="BG305" s="1232"/>
    </row>
    <row r="306" spans="18:59" x14ac:dyDescent="0.35">
      <c r="R306" s="1232"/>
      <c r="S306" s="1232"/>
      <c r="W306" s="1232"/>
      <c r="X306" s="1232"/>
      <c r="AE306" s="1232"/>
      <c r="AF306" s="1232"/>
      <c r="AV306" s="1232"/>
      <c r="AW306" s="1232"/>
      <c r="AX306" s="1232"/>
      <c r="AY306" s="1232"/>
      <c r="AZ306" s="1232"/>
      <c r="BA306" s="1232"/>
      <c r="BC306" s="1232"/>
      <c r="BE306" s="1232"/>
      <c r="BF306" s="1232"/>
      <c r="BG306" s="1232"/>
    </row>
    <row r="307" spans="18:59" x14ac:dyDescent="0.35">
      <c r="R307" s="1232"/>
      <c r="S307" s="1232"/>
      <c r="W307" s="1232"/>
      <c r="X307" s="1232"/>
      <c r="AE307" s="1232"/>
      <c r="AF307" s="1232"/>
      <c r="AV307" s="1232"/>
      <c r="AW307" s="1232"/>
      <c r="AX307" s="1232"/>
      <c r="AY307" s="1232"/>
      <c r="AZ307" s="1232"/>
      <c r="BA307" s="1232"/>
      <c r="BC307" s="1232"/>
      <c r="BE307" s="1232"/>
      <c r="BF307" s="1232"/>
      <c r="BG307" s="1232"/>
    </row>
    <row r="308" spans="18:59" x14ac:dyDescent="0.35">
      <c r="R308" s="1232"/>
      <c r="S308" s="1232"/>
      <c r="W308" s="1232"/>
      <c r="X308" s="1232"/>
      <c r="AE308" s="1232"/>
      <c r="AF308" s="1232"/>
      <c r="AV308" s="1232"/>
      <c r="AW308" s="1232"/>
      <c r="AX308" s="1232"/>
      <c r="AY308" s="1232"/>
      <c r="AZ308" s="1232"/>
      <c r="BA308" s="1232"/>
      <c r="BC308" s="1232"/>
      <c r="BE308" s="1232"/>
      <c r="BF308" s="1232"/>
      <c r="BG308" s="1232"/>
    </row>
    <row r="309" spans="18:59" x14ac:dyDescent="0.35">
      <c r="R309" s="1232"/>
      <c r="S309" s="1232"/>
      <c r="W309" s="1232"/>
      <c r="X309" s="1232"/>
      <c r="AE309" s="1232"/>
      <c r="AF309" s="1232"/>
      <c r="AV309" s="1232"/>
      <c r="AW309" s="1232"/>
      <c r="AX309" s="1232"/>
      <c r="AY309" s="1232"/>
      <c r="AZ309" s="1232"/>
      <c r="BA309" s="1232"/>
      <c r="BC309" s="1232"/>
      <c r="BE309" s="1232"/>
      <c r="BF309" s="1232"/>
      <c r="BG309" s="1232"/>
    </row>
    <row r="310" spans="18:59" x14ac:dyDescent="0.35">
      <c r="R310" s="1232"/>
      <c r="S310" s="1232"/>
      <c r="W310" s="1232"/>
      <c r="X310" s="1232"/>
      <c r="AE310" s="1232"/>
      <c r="AF310" s="1232"/>
      <c r="AV310" s="1232"/>
      <c r="AW310" s="1232"/>
      <c r="AX310" s="1232"/>
      <c r="AY310" s="1232"/>
      <c r="AZ310" s="1232"/>
      <c r="BA310" s="1232"/>
      <c r="BC310" s="1232"/>
      <c r="BE310" s="1232"/>
      <c r="BF310" s="1232"/>
      <c r="BG310" s="1232"/>
    </row>
    <row r="311" spans="18:59" x14ac:dyDescent="0.35">
      <c r="R311" s="1232"/>
      <c r="S311" s="1232"/>
      <c r="W311" s="1232"/>
      <c r="X311" s="1232"/>
      <c r="AE311" s="1232"/>
      <c r="AF311" s="1232"/>
      <c r="AV311" s="1232"/>
      <c r="AW311" s="1232"/>
      <c r="AX311" s="1232"/>
      <c r="AY311" s="1232"/>
      <c r="AZ311" s="1232"/>
      <c r="BA311" s="1232"/>
      <c r="BC311" s="1232"/>
      <c r="BE311" s="1232"/>
      <c r="BF311" s="1232"/>
      <c r="BG311" s="1232"/>
    </row>
    <row r="312" spans="18:59" x14ac:dyDescent="0.35">
      <c r="R312" s="1232"/>
      <c r="S312" s="1232"/>
      <c r="W312" s="1232"/>
      <c r="X312" s="1232"/>
      <c r="AE312" s="1232"/>
      <c r="AF312" s="1232"/>
      <c r="AV312" s="1232"/>
      <c r="AW312" s="1232"/>
      <c r="AX312" s="1232"/>
      <c r="AY312" s="1232"/>
      <c r="AZ312" s="1232"/>
      <c r="BA312" s="1232"/>
      <c r="BC312" s="1232"/>
      <c r="BE312" s="1232"/>
      <c r="BF312" s="1232"/>
      <c r="BG312" s="1232"/>
    </row>
    <row r="313" spans="18:59" x14ac:dyDescent="0.35">
      <c r="R313" s="1232"/>
      <c r="S313" s="1232"/>
      <c r="W313" s="1232"/>
      <c r="X313" s="1232"/>
      <c r="AE313" s="1232"/>
      <c r="AF313" s="1232"/>
      <c r="AV313" s="1232"/>
      <c r="AW313" s="1232"/>
      <c r="AX313" s="1232"/>
      <c r="AY313" s="1232"/>
      <c r="AZ313" s="1232"/>
      <c r="BA313" s="1232"/>
      <c r="BC313" s="1232"/>
      <c r="BE313" s="1232"/>
      <c r="BF313" s="1232"/>
      <c r="BG313" s="1232"/>
    </row>
    <row r="314" spans="18:59" x14ac:dyDescent="0.35">
      <c r="R314" s="1232"/>
      <c r="S314" s="1232"/>
      <c r="W314" s="1232"/>
      <c r="X314" s="1232"/>
      <c r="AE314" s="1232"/>
      <c r="AF314" s="1232"/>
      <c r="AV314" s="1232"/>
      <c r="AW314" s="1232"/>
      <c r="AX314" s="1232"/>
      <c r="AY314" s="1232"/>
      <c r="AZ314" s="1232"/>
      <c r="BA314" s="1232"/>
      <c r="BC314" s="1232"/>
      <c r="BE314" s="1232"/>
      <c r="BF314" s="1232"/>
      <c r="BG314" s="1232"/>
    </row>
    <row r="315" spans="18:59" x14ac:dyDescent="0.35">
      <c r="R315" s="1232"/>
      <c r="S315" s="1232"/>
      <c r="W315" s="1232"/>
      <c r="X315" s="1232"/>
      <c r="AE315" s="1232"/>
      <c r="AF315" s="1232"/>
      <c r="AV315" s="1232"/>
      <c r="AW315" s="1232"/>
      <c r="AX315" s="1232"/>
      <c r="AY315" s="1232"/>
      <c r="AZ315" s="1232"/>
      <c r="BA315" s="1232"/>
      <c r="BC315" s="1232"/>
      <c r="BE315" s="1232"/>
      <c r="BF315" s="1232"/>
      <c r="BG315" s="1232"/>
    </row>
    <row r="316" spans="18:59" x14ac:dyDescent="0.35">
      <c r="R316" s="1232"/>
      <c r="S316" s="1232"/>
      <c r="W316" s="1232"/>
      <c r="X316" s="1232"/>
      <c r="AE316" s="1232"/>
      <c r="AF316" s="1232"/>
      <c r="AV316" s="1232"/>
      <c r="AW316" s="1232"/>
      <c r="AX316" s="1232"/>
      <c r="AY316" s="1232"/>
      <c r="AZ316" s="1232"/>
      <c r="BA316" s="1232"/>
      <c r="BC316" s="1232"/>
      <c r="BE316" s="1232"/>
      <c r="BF316" s="1232"/>
      <c r="BG316" s="1232"/>
    </row>
    <row r="317" spans="18:59" x14ac:dyDescent="0.35">
      <c r="R317" s="1232"/>
      <c r="S317" s="1232"/>
      <c r="W317" s="1232"/>
      <c r="X317" s="1232"/>
      <c r="AE317" s="1232"/>
      <c r="AF317" s="1232"/>
      <c r="AV317" s="1232"/>
      <c r="AW317" s="1232"/>
      <c r="AX317" s="1232"/>
      <c r="AY317" s="1232"/>
      <c r="AZ317" s="1232"/>
      <c r="BA317" s="1232"/>
      <c r="BC317" s="1232"/>
      <c r="BE317" s="1232"/>
      <c r="BF317" s="1232"/>
      <c r="BG317" s="1232"/>
    </row>
    <row r="318" spans="18:59" x14ac:dyDescent="0.35">
      <c r="R318" s="1232"/>
      <c r="S318" s="1232"/>
      <c r="W318" s="1232"/>
      <c r="X318" s="1232"/>
      <c r="AE318" s="1232"/>
      <c r="AF318" s="1232"/>
      <c r="AV318" s="1232"/>
      <c r="AW318" s="1232"/>
      <c r="AX318" s="1232"/>
      <c r="AY318" s="1232"/>
      <c r="AZ318" s="1232"/>
      <c r="BA318" s="1232"/>
      <c r="BC318" s="1232"/>
      <c r="BE318" s="1232"/>
      <c r="BF318" s="1232"/>
      <c r="BG318" s="1232"/>
    </row>
    <row r="319" spans="18:59" x14ac:dyDescent="0.35">
      <c r="R319" s="1232"/>
      <c r="S319" s="1232"/>
      <c r="W319" s="1232"/>
      <c r="X319" s="1232"/>
      <c r="AE319" s="1232"/>
      <c r="AF319" s="1232"/>
      <c r="AV319" s="1232"/>
      <c r="AW319" s="1232"/>
      <c r="AX319" s="1232"/>
      <c r="AY319" s="1232"/>
      <c r="AZ319" s="1232"/>
      <c r="BA319" s="1232"/>
      <c r="BC319" s="1232"/>
      <c r="BE319" s="1232"/>
      <c r="BF319" s="1232"/>
      <c r="BG319" s="1232"/>
    </row>
    <row r="320" spans="18:59" x14ac:dyDescent="0.35">
      <c r="R320" s="1232"/>
      <c r="S320" s="1232"/>
      <c r="W320" s="1232"/>
      <c r="X320" s="1232"/>
      <c r="AE320" s="1232"/>
      <c r="AF320" s="1232"/>
      <c r="AV320" s="1232"/>
      <c r="AW320" s="1232"/>
      <c r="AX320" s="1232"/>
      <c r="AY320" s="1232"/>
      <c r="AZ320" s="1232"/>
      <c r="BA320" s="1232"/>
      <c r="BC320" s="1232"/>
      <c r="BE320" s="1232"/>
      <c r="BF320" s="1232"/>
      <c r="BG320" s="1232"/>
    </row>
    <row r="321" spans="18:59" x14ac:dyDescent="0.35">
      <c r="R321" s="1232"/>
      <c r="S321" s="1232"/>
      <c r="W321" s="1232"/>
      <c r="X321" s="1232"/>
      <c r="AE321" s="1232"/>
      <c r="AF321" s="1232"/>
      <c r="AV321" s="1232"/>
      <c r="AW321" s="1232"/>
      <c r="AX321" s="1232"/>
      <c r="AY321" s="1232"/>
      <c r="AZ321" s="1232"/>
      <c r="BA321" s="1232"/>
      <c r="BC321" s="1232"/>
      <c r="BE321" s="1232"/>
      <c r="BF321" s="1232"/>
      <c r="BG321" s="1232"/>
    </row>
    <row r="322" spans="18:59" x14ac:dyDescent="0.35">
      <c r="R322" s="1232"/>
      <c r="S322" s="1232"/>
      <c r="W322" s="1232"/>
      <c r="X322" s="1232"/>
      <c r="AE322" s="1232"/>
      <c r="AF322" s="1232"/>
      <c r="AV322" s="1232"/>
      <c r="AW322" s="1232"/>
      <c r="AX322" s="1232"/>
      <c r="AY322" s="1232"/>
      <c r="AZ322" s="1232"/>
      <c r="BA322" s="1232"/>
      <c r="BC322" s="1232"/>
      <c r="BE322" s="1232"/>
      <c r="BF322" s="1232"/>
      <c r="BG322" s="1232"/>
    </row>
    <row r="323" spans="18:59" x14ac:dyDescent="0.35">
      <c r="R323" s="1232"/>
      <c r="S323" s="1232"/>
      <c r="W323" s="1232"/>
      <c r="X323" s="1232"/>
      <c r="AE323" s="1232"/>
      <c r="AF323" s="1232"/>
      <c r="AV323" s="1232"/>
      <c r="AW323" s="1232"/>
      <c r="AX323" s="1232"/>
      <c r="AY323" s="1232"/>
      <c r="AZ323" s="1232"/>
      <c r="BA323" s="1232"/>
      <c r="BC323" s="1232"/>
      <c r="BE323" s="1232"/>
      <c r="BF323" s="1232"/>
      <c r="BG323" s="1232"/>
    </row>
    <row r="324" spans="18:59" x14ac:dyDescent="0.35">
      <c r="R324" s="1232"/>
      <c r="S324" s="1232"/>
      <c r="W324" s="1232"/>
      <c r="X324" s="1232"/>
      <c r="AE324" s="1232"/>
      <c r="AF324" s="1232"/>
      <c r="AV324" s="1232"/>
      <c r="AW324" s="1232"/>
      <c r="AX324" s="1232"/>
      <c r="AY324" s="1232"/>
      <c r="AZ324" s="1232"/>
      <c r="BA324" s="1232"/>
      <c r="BC324" s="1232"/>
      <c r="BE324" s="1232"/>
      <c r="BF324" s="1232"/>
      <c r="BG324" s="1232"/>
    </row>
    <row r="325" spans="18:59" x14ac:dyDescent="0.35">
      <c r="R325" s="1232"/>
      <c r="S325" s="1232"/>
      <c r="W325" s="1232"/>
      <c r="X325" s="1232"/>
      <c r="AE325" s="1232"/>
      <c r="AF325" s="1232"/>
      <c r="AV325" s="1232"/>
      <c r="AW325" s="1232"/>
      <c r="AX325" s="1232"/>
      <c r="AY325" s="1232"/>
      <c r="AZ325" s="1232"/>
      <c r="BA325" s="1232"/>
      <c r="BC325" s="1232"/>
      <c r="BE325" s="1232"/>
      <c r="BF325" s="1232"/>
      <c r="BG325" s="1232"/>
    </row>
    <row r="326" spans="18:59" x14ac:dyDescent="0.35">
      <c r="R326" s="1232"/>
      <c r="S326" s="1232"/>
      <c r="W326" s="1232"/>
      <c r="X326" s="1232"/>
      <c r="AE326" s="1232"/>
      <c r="AF326" s="1232"/>
      <c r="AV326" s="1232"/>
      <c r="AW326" s="1232"/>
      <c r="AX326" s="1232"/>
      <c r="AY326" s="1232"/>
      <c r="AZ326" s="1232"/>
      <c r="BA326" s="1232"/>
      <c r="BC326" s="1232"/>
      <c r="BE326" s="1232"/>
      <c r="BF326" s="1232"/>
      <c r="BG326" s="1232"/>
    </row>
    <row r="327" spans="18:59" x14ac:dyDescent="0.35">
      <c r="R327" s="1232"/>
      <c r="S327" s="1232"/>
      <c r="W327" s="1232"/>
      <c r="X327" s="1232"/>
      <c r="AE327" s="1232"/>
      <c r="AF327" s="1232"/>
      <c r="AV327" s="1232"/>
      <c r="AW327" s="1232"/>
      <c r="AX327" s="1232"/>
      <c r="AY327" s="1232"/>
      <c r="AZ327" s="1232"/>
      <c r="BA327" s="1232"/>
      <c r="BC327" s="1232"/>
      <c r="BE327" s="1232"/>
      <c r="BF327" s="1232"/>
      <c r="BG327" s="1232"/>
    </row>
    <row r="328" spans="18:59" x14ac:dyDescent="0.35">
      <c r="R328" s="1232"/>
      <c r="S328" s="1232"/>
      <c r="W328" s="1232"/>
      <c r="X328" s="1232"/>
      <c r="AE328" s="1232"/>
      <c r="AF328" s="1232"/>
      <c r="AV328" s="1232"/>
      <c r="AW328" s="1232"/>
      <c r="AX328" s="1232"/>
      <c r="AY328" s="1232"/>
      <c r="AZ328" s="1232"/>
      <c r="BA328" s="1232"/>
      <c r="BC328" s="1232"/>
      <c r="BE328" s="1232"/>
      <c r="BF328" s="1232"/>
      <c r="BG328" s="1232"/>
    </row>
    <row r="329" spans="18:59" x14ac:dyDescent="0.35">
      <c r="R329" s="1232"/>
      <c r="S329" s="1232"/>
      <c r="W329" s="1232"/>
      <c r="X329" s="1232"/>
      <c r="AE329" s="1232"/>
      <c r="AF329" s="1232"/>
      <c r="AV329" s="1232"/>
      <c r="AW329" s="1232"/>
      <c r="AX329" s="1232"/>
      <c r="AY329" s="1232"/>
      <c r="AZ329" s="1232"/>
      <c r="BA329" s="1232"/>
      <c r="BC329" s="1232"/>
      <c r="BE329" s="1232"/>
      <c r="BF329" s="1232"/>
      <c r="BG329" s="1232"/>
    </row>
    <row r="330" spans="18:59" x14ac:dyDescent="0.35">
      <c r="R330" s="1232"/>
      <c r="S330" s="1232"/>
      <c r="W330" s="1232"/>
      <c r="X330" s="1232"/>
      <c r="AE330" s="1232"/>
      <c r="AF330" s="1232"/>
      <c r="AV330" s="1232"/>
      <c r="AW330" s="1232"/>
      <c r="AX330" s="1232"/>
      <c r="AY330" s="1232"/>
      <c r="AZ330" s="1232"/>
      <c r="BA330" s="1232"/>
      <c r="BC330" s="1232"/>
      <c r="BE330" s="1232"/>
      <c r="BF330" s="1232"/>
      <c r="BG330" s="1232"/>
    </row>
    <row r="331" spans="18:59" x14ac:dyDescent="0.35">
      <c r="R331" s="1232"/>
      <c r="S331" s="1232"/>
      <c r="W331" s="1232"/>
      <c r="X331" s="1232"/>
      <c r="AE331" s="1232"/>
      <c r="AF331" s="1232"/>
      <c r="AV331" s="1232"/>
      <c r="AW331" s="1232"/>
      <c r="AX331" s="1232"/>
      <c r="AY331" s="1232"/>
      <c r="AZ331" s="1232"/>
      <c r="BA331" s="1232"/>
      <c r="BC331" s="1232"/>
      <c r="BE331" s="1232"/>
      <c r="BF331" s="1232"/>
      <c r="BG331" s="1232"/>
    </row>
    <row r="332" spans="18:59" x14ac:dyDescent="0.35">
      <c r="R332" s="1232"/>
      <c r="S332" s="1232"/>
      <c r="W332" s="1232"/>
      <c r="X332" s="1232"/>
      <c r="AE332" s="1232"/>
      <c r="AF332" s="1232"/>
      <c r="AV332" s="1232"/>
      <c r="AW332" s="1232"/>
      <c r="AX332" s="1232"/>
      <c r="AY332" s="1232"/>
      <c r="AZ332" s="1232"/>
      <c r="BA332" s="1232"/>
      <c r="BC332" s="1232"/>
      <c r="BE332" s="1232"/>
      <c r="BF332" s="1232"/>
      <c r="BG332" s="1232"/>
    </row>
    <row r="333" spans="18:59" x14ac:dyDescent="0.35">
      <c r="R333" s="1232"/>
      <c r="S333" s="1232"/>
      <c r="W333" s="1232"/>
      <c r="X333" s="1232"/>
      <c r="AE333" s="1232"/>
      <c r="AF333" s="1232"/>
      <c r="AV333" s="1232"/>
      <c r="AW333" s="1232"/>
      <c r="AX333" s="1232"/>
      <c r="AY333" s="1232"/>
      <c r="AZ333" s="1232"/>
      <c r="BA333" s="1232"/>
      <c r="BC333" s="1232"/>
      <c r="BE333" s="1232"/>
      <c r="BF333" s="1232"/>
      <c r="BG333" s="1232"/>
    </row>
    <row r="334" spans="18:59" x14ac:dyDescent="0.35">
      <c r="R334" s="1232"/>
      <c r="S334" s="1232"/>
      <c r="W334" s="1232"/>
      <c r="X334" s="1232"/>
      <c r="AE334" s="1232"/>
      <c r="AF334" s="1232"/>
      <c r="AV334" s="1232"/>
      <c r="AW334" s="1232"/>
      <c r="AX334" s="1232"/>
      <c r="AY334" s="1232"/>
      <c r="AZ334" s="1232"/>
      <c r="BA334" s="1232"/>
      <c r="BC334" s="1232"/>
      <c r="BE334" s="1232"/>
      <c r="BF334" s="1232"/>
      <c r="BG334" s="1232"/>
    </row>
    <row r="335" spans="18:59" x14ac:dyDescent="0.35">
      <c r="R335" s="1232"/>
      <c r="S335" s="1232"/>
      <c r="W335" s="1232"/>
      <c r="X335" s="1232"/>
      <c r="AE335" s="1232"/>
      <c r="AF335" s="1232"/>
      <c r="AV335" s="1232"/>
      <c r="AW335" s="1232"/>
      <c r="AX335" s="1232"/>
      <c r="AY335" s="1232"/>
      <c r="AZ335" s="1232"/>
      <c r="BA335" s="1232"/>
      <c r="BC335" s="1232"/>
      <c r="BE335" s="1232"/>
      <c r="BF335" s="1232"/>
      <c r="BG335" s="1232"/>
    </row>
    <row r="336" spans="18:59" x14ac:dyDescent="0.35">
      <c r="R336" s="1232"/>
      <c r="S336" s="1232"/>
      <c r="W336" s="1232"/>
      <c r="X336" s="1232"/>
      <c r="AE336" s="1232"/>
      <c r="AF336" s="1232"/>
      <c r="AV336" s="1232"/>
      <c r="AW336" s="1232"/>
      <c r="AX336" s="1232"/>
      <c r="AY336" s="1232"/>
      <c r="AZ336" s="1232"/>
      <c r="BA336" s="1232"/>
      <c r="BC336" s="1232"/>
      <c r="BE336" s="1232"/>
      <c r="BF336" s="1232"/>
      <c r="BG336" s="1232"/>
    </row>
    <row r="337" spans="18:59" x14ac:dyDescent="0.35">
      <c r="R337" s="1232"/>
      <c r="S337" s="1232"/>
      <c r="W337" s="1232"/>
      <c r="X337" s="1232"/>
      <c r="AE337" s="1232"/>
      <c r="AF337" s="1232"/>
      <c r="AV337" s="1232"/>
      <c r="AW337" s="1232"/>
      <c r="AX337" s="1232"/>
      <c r="AY337" s="1232"/>
      <c r="AZ337" s="1232"/>
      <c r="BA337" s="1232"/>
      <c r="BC337" s="1232"/>
      <c r="BE337" s="1232"/>
      <c r="BF337" s="1232"/>
      <c r="BG337" s="1232"/>
    </row>
    <row r="338" spans="18:59" x14ac:dyDescent="0.35">
      <c r="R338" s="1232"/>
      <c r="S338" s="1232"/>
      <c r="W338" s="1232"/>
      <c r="X338" s="1232"/>
      <c r="AE338" s="1232"/>
      <c r="AF338" s="1232"/>
      <c r="AV338" s="1232"/>
      <c r="AW338" s="1232"/>
      <c r="AX338" s="1232"/>
      <c r="AY338" s="1232"/>
      <c r="AZ338" s="1232"/>
      <c r="BA338" s="1232"/>
      <c r="BC338" s="1232"/>
      <c r="BE338" s="1232"/>
      <c r="BF338" s="1232"/>
      <c r="BG338" s="1232"/>
    </row>
    <row r="339" spans="18:59" x14ac:dyDescent="0.35">
      <c r="R339" s="1232"/>
      <c r="S339" s="1232"/>
      <c r="W339" s="1232"/>
      <c r="X339" s="1232"/>
      <c r="AE339" s="1232"/>
      <c r="AF339" s="1232"/>
      <c r="AV339" s="1232"/>
      <c r="AW339" s="1232"/>
      <c r="AX339" s="1232"/>
      <c r="AY339" s="1232"/>
      <c r="AZ339" s="1232"/>
      <c r="BA339" s="1232"/>
      <c r="BC339" s="1232"/>
      <c r="BE339" s="1232"/>
      <c r="BF339" s="1232"/>
      <c r="BG339" s="1232"/>
    </row>
    <row r="340" spans="18:59" x14ac:dyDescent="0.35">
      <c r="R340" s="1232"/>
      <c r="S340" s="1232"/>
      <c r="W340" s="1232"/>
      <c r="X340" s="1232"/>
      <c r="AE340" s="1232"/>
      <c r="AF340" s="1232"/>
      <c r="AV340" s="1232"/>
      <c r="AW340" s="1232"/>
      <c r="AX340" s="1232"/>
      <c r="AY340" s="1232"/>
      <c r="AZ340" s="1232"/>
      <c r="BA340" s="1232"/>
      <c r="BC340" s="1232"/>
      <c r="BE340" s="1232"/>
      <c r="BF340" s="1232"/>
      <c r="BG340" s="1232"/>
    </row>
    <row r="341" spans="18:59" x14ac:dyDescent="0.35">
      <c r="R341" s="1232"/>
      <c r="S341" s="1232"/>
      <c r="W341" s="1232"/>
      <c r="X341" s="1232"/>
      <c r="AE341" s="1232"/>
      <c r="AF341" s="1232"/>
      <c r="AV341" s="1232"/>
      <c r="AW341" s="1232"/>
      <c r="AX341" s="1232"/>
      <c r="AY341" s="1232"/>
      <c r="AZ341" s="1232"/>
      <c r="BA341" s="1232"/>
      <c r="BC341" s="1232"/>
      <c r="BE341" s="1232"/>
      <c r="BF341" s="1232"/>
      <c r="BG341" s="1232"/>
    </row>
    <row r="342" spans="18:59" x14ac:dyDescent="0.35">
      <c r="R342" s="1232"/>
      <c r="S342" s="1232"/>
      <c r="W342" s="1232"/>
      <c r="X342" s="1232"/>
      <c r="AE342" s="1232"/>
      <c r="AF342" s="1232"/>
      <c r="AV342" s="1232"/>
      <c r="AW342" s="1232"/>
      <c r="AX342" s="1232"/>
      <c r="AY342" s="1232"/>
      <c r="AZ342" s="1232"/>
      <c r="BA342" s="1232"/>
      <c r="BC342" s="1232"/>
      <c r="BE342" s="1232"/>
      <c r="BF342" s="1232"/>
      <c r="BG342" s="1232"/>
    </row>
    <row r="343" spans="18:59" x14ac:dyDescent="0.35">
      <c r="R343" s="1232"/>
      <c r="S343" s="1232"/>
      <c r="W343" s="1232"/>
      <c r="X343" s="1232"/>
      <c r="AE343" s="1232"/>
      <c r="AF343" s="1232"/>
      <c r="AV343" s="1232"/>
      <c r="AW343" s="1232"/>
      <c r="AX343" s="1232"/>
      <c r="AY343" s="1232"/>
      <c r="AZ343" s="1232"/>
      <c r="BA343" s="1232"/>
      <c r="BC343" s="1232"/>
      <c r="BE343" s="1232"/>
      <c r="BF343" s="1232"/>
      <c r="BG343" s="1232"/>
    </row>
    <row r="344" spans="18:59" x14ac:dyDescent="0.35">
      <c r="R344" s="1232"/>
      <c r="S344" s="1232"/>
      <c r="W344" s="1232"/>
      <c r="X344" s="1232"/>
      <c r="AE344" s="1232"/>
      <c r="AF344" s="1232"/>
      <c r="AV344" s="1232"/>
      <c r="AW344" s="1232"/>
      <c r="AX344" s="1232"/>
      <c r="AY344" s="1232"/>
      <c r="AZ344" s="1232"/>
      <c r="BA344" s="1232"/>
      <c r="BC344" s="1232"/>
      <c r="BE344" s="1232"/>
      <c r="BF344" s="1232"/>
      <c r="BG344" s="1232"/>
    </row>
    <row r="345" spans="18:59" x14ac:dyDescent="0.35">
      <c r="R345" s="1232"/>
      <c r="S345" s="1232"/>
      <c r="W345" s="1232"/>
      <c r="X345" s="1232"/>
      <c r="AE345" s="1232"/>
      <c r="AF345" s="1232"/>
      <c r="AV345" s="1232"/>
      <c r="AW345" s="1232"/>
      <c r="AX345" s="1232"/>
      <c r="AY345" s="1232"/>
      <c r="AZ345" s="1232"/>
      <c r="BA345" s="1232"/>
      <c r="BC345" s="1232"/>
      <c r="BE345" s="1232"/>
      <c r="BF345" s="1232"/>
      <c r="BG345" s="1232"/>
    </row>
    <row r="346" spans="18:59" x14ac:dyDescent="0.35">
      <c r="R346" s="1232"/>
      <c r="S346" s="1232"/>
      <c r="W346" s="1232"/>
      <c r="X346" s="1232"/>
      <c r="AE346" s="1232"/>
      <c r="AF346" s="1232"/>
      <c r="AV346" s="1232"/>
      <c r="AW346" s="1232"/>
      <c r="AX346" s="1232"/>
      <c r="AY346" s="1232"/>
      <c r="AZ346" s="1232"/>
      <c r="BA346" s="1232"/>
      <c r="BC346" s="1232"/>
      <c r="BE346" s="1232"/>
      <c r="BF346" s="1232"/>
      <c r="BG346" s="1232"/>
    </row>
    <row r="347" spans="18:59" x14ac:dyDescent="0.35">
      <c r="R347" s="1232"/>
      <c r="S347" s="1232"/>
      <c r="W347" s="1232"/>
      <c r="X347" s="1232"/>
      <c r="AE347" s="1232"/>
      <c r="AF347" s="1232"/>
      <c r="AV347" s="1232"/>
      <c r="AW347" s="1232"/>
      <c r="AX347" s="1232"/>
      <c r="AY347" s="1232"/>
      <c r="AZ347" s="1232"/>
      <c r="BA347" s="1232"/>
      <c r="BC347" s="1232"/>
      <c r="BE347" s="1232"/>
      <c r="BF347" s="1232"/>
      <c r="BG347" s="1232"/>
    </row>
    <row r="348" spans="18:59" x14ac:dyDescent="0.35">
      <c r="R348" s="1232"/>
      <c r="S348" s="1232"/>
      <c r="W348" s="1232"/>
      <c r="X348" s="1232"/>
      <c r="AE348" s="1232"/>
      <c r="AF348" s="1232"/>
      <c r="AV348" s="1232"/>
      <c r="AW348" s="1232"/>
      <c r="AX348" s="1232"/>
      <c r="AY348" s="1232"/>
      <c r="AZ348" s="1232"/>
      <c r="BA348" s="1232"/>
      <c r="BC348" s="1232"/>
      <c r="BE348" s="1232"/>
      <c r="BF348" s="1232"/>
      <c r="BG348" s="1232"/>
    </row>
    <row r="349" spans="18:59" x14ac:dyDescent="0.35">
      <c r="R349" s="1232"/>
      <c r="S349" s="1232"/>
      <c r="W349" s="1232"/>
      <c r="X349" s="1232"/>
      <c r="AE349" s="1232"/>
      <c r="AF349" s="1232"/>
      <c r="AV349" s="1232"/>
      <c r="AW349" s="1232"/>
      <c r="AX349" s="1232"/>
      <c r="AY349" s="1232"/>
      <c r="AZ349" s="1232"/>
      <c r="BA349" s="1232"/>
      <c r="BC349" s="1232"/>
      <c r="BE349" s="1232"/>
      <c r="BF349" s="1232"/>
      <c r="BG349" s="1232"/>
    </row>
    <row r="350" spans="18:59" x14ac:dyDescent="0.35">
      <c r="R350" s="1232"/>
      <c r="S350" s="1232"/>
      <c r="W350" s="1232"/>
      <c r="X350" s="1232"/>
      <c r="AE350" s="1232"/>
      <c r="AF350" s="1232"/>
      <c r="AV350" s="1232"/>
      <c r="AW350" s="1232"/>
      <c r="AX350" s="1232"/>
      <c r="AY350" s="1232"/>
      <c r="AZ350" s="1232"/>
      <c r="BA350" s="1232"/>
      <c r="BC350" s="1232"/>
      <c r="BE350" s="1232"/>
      <c r="BF350" s="1232"/>
      <c r="BG350" s="1232"/>
    </row>
    <row r="351" spans="18:59" x14ac:dyDescent="0.35">
      <c r="R351" s="1232"/>
      <c r="S351" s="1232"/>
      <c r="W351" s="1232"/>
      <c r="X351" s="1232"/>
      <c r="AE351" s="1232"/>
      <c r="AF351" s="1232"/>
      <c r="AV351" s="1232"/>
      <c r="AW351" s="1232"/>
      <c r="AX351" s="1232"/>
      <c r="AY351" s="1232"/>
      <c r="AZ351" s="1232"/>
      <c r="BA351" s="1232"/>
      <c r="BC351" s="1232"/>
      <c r="BE351" s="1232"/>
      <c r="BF351" s="1232"/>
      <c r="BG351" s="1232"/>
    </row>
    <row r="352" spans="18:59" x14ac:dyDescent="0.35">
      <c r="R352" s="1232"/>
      <c r="S352" s="1232"/>
      <c r="W352" s="1232"/>
      <c r="X352" s="1232"/>
      <c r="AE352" s="1232"/>
      <c r="AF352" s="1232"/>
      <c r="AV352" s="1232"/>
      <c r="AW352" s="1232"/>
      <c r="AX352" s="1232"/>
      <c r="AY352" s="1232"/>
      <c r="AZ352" s="1232"/>
      <c r="BA352" s="1232"/>
      <c r="BC352" s="1232"/>
      <c r="BE352" s="1232"/>
      <c r="BF352" s="1232"/>
      <c r="BG352" s="1232"/>
    </row>
    <row r="353" spans="18:59" x14ac:dyDescent="0.35">
      <c r="R353" s="1232"/>
      <c r="S353" s="1232"/>
      <c r="W353" s="1232"/>
      <c r="X353" s="1232"/>
      <c r="AE353" s="1232"/>
      <c r="AF353" s="1232"/>
      <c r="AV353" s="1232"/>
      <c r="AW353" s="1232"/>
      <c r="AX353" s="1232"/>
      <c r="AY353" s="1232"/>
      <c r="AZ353" s="1232"/>
      <c r="BA353" s="1232"/>
      <c r="BC353" s="1232"/>
      <c r="BE353" s="1232"/>
      <c r="BF353" s="1232"/>
      <c r="BG353" s="1232"/>
    </row>
    <row r="354" spans="18:59" x14ac:dyDescent="0.35">
      <c r="R354" s="1232"/>
      <c r="S354" s="1232"/>
      <c r="W354" s="1232"/>
      <c r="X354" s="1232"/>
      <c r="AE354" s="1232"/>
      <c r="AF354" s="1232"/>
      <c r="AV354" s="1232"/>
      <c r="AW354" s="1232"/>
      <c r="AX354" s="1232"/>
      <c r="AY354" s="1232"/>
      <c r="AZ354" s="1232"/>
      <c r="BA354" s="1232"/>
      <c r="BC354" s="1232"/>
      <c r="BE354" s="1232"/>
      <c r="BF354" s="1232"/>
      <c r="BG354" s="1232"/>
    </row>
    <row r="355" spans="18:59" x14ac:dyDescent="0.35">
      <c r="R355" s="1232"/>
      <c r="S355" s="1232"/>
      <c r="W355" s="1232"/>
      <c r="X355" s="1232"/>
      <c r="AE355" s="1232"/>
      <c r="AF355" s="1232"/>
      <c r="AV355" s="1232"/>
      <c r="AW355" s="1232"/>
      <c r="AX355" s="1232"/>
      <c r="AY355" s="1232"/>
      <c r="AZ355" s="1232"/>
      <c r="BA355" s="1232"/>
      <c r="BC355" s="1232"/>
      <c r="BE355" s="1232"/>
      <c r="BF355" s="1232"/>
      <c r="BG355" s="1232"/>
    </row>
    <row r="356" spans="18:59" x14ac:dyDescent="0.35">
      <c r="R356" s="1232"/>
      <c r="S356" s="1232"/>
      <c r="W356" s="1232"/>
      <c r="X356" s="1232"/>
      <c r="AE356" s="1232"/>
      <c r="AF356" s="1232"/>
      <c r="AV356" s="1232"/>
      <c r="AW356" s="1232"/>
      <c r="AX356" s="1232"/>
      <c r="AY356" s="1232"/>
      <c r="AZ356" s="1232"/>
      <c r="BA356" s="1232"/>
      <c r="BC356" s="1232"/>
      <c r="BE356" s="1232"/>
      <c r="BF356" s="1232"/>
      <c r="BG356" s="1232"/>
    </row>
    <row r="357" spans="18:59" x14ac:dyDescent="0.35">
      <c r="R357" s="1232"/>
      <c r="S357" s="1232"/>
      <c r="W357" s="1232"/>
      <c r="X357" s="1232"/>
      <c r="AE357" s="1232"/>
      <c r="AF357" s="1232"/>
      <c r="AV357" s="1232"/>
      <c r="AW357" s="1232"/>
      <c r="AX357" s="1232"/>
      <c r="AY357" s="1232"/>
      <c r="AZ357" s="1232"/>
      <c r="BA357" s="1232"/>
      <c r="BC357" s="1232"/>
      <c r="BE357" s="1232"/>
      <c r="BF357" s="1232"/>
      <c r="BG357" s="1232"/>
    </row>
    <row r="358" spans="18:59" x14ac:dyDescent="0.35">
      <c r="R358" s="1232"/>
      <c r="S358" s="1232"/>
      <c r="W358" s="1232"/>
      <c r="X358" s="1232"/>
      <c r="AE358" s="1232"/>
      <c r="AF358" s="1232"/>
      <c r="AV358" s="1232"/>
      <c r="AW358" s="1232"/>
      <c r="AX358" s="1232"/>
      <c r="AY358" s="1232"/>
      <c r="AZ358" s="1232"/>
      <c r="BA358" s="1232"/>
      <c r="BC358" s="1232"/>
      <c r="BE358" s="1232"/>
      <c r="BF358" s="1232"/>
      <c r="BG358" s="1232"/>
    </row>
    <row r="359" spans="18:59" x14ac:dyDescent="0.35">
      <c r="R359" s="1232"/>
      <c r="S359" s="1232"/>
      <c r="W359" s="1232"/>
      <c r="X359" s="1232"/>
      <c r="AE359" s="1232"/>
      <c r="AF359" s="1232"/>
      <c r="AV359" s="1232"/>
      <c r="AW359" s="1232"/>
      <c r="AX359" s="1232"/>
      <c r="AY359" s="1232"/>
      <c r="AZ359" s="1232"/>
      <c r="BA359" s="1232"/>
      <c r="BC359" s="1232"/>
      <c r="BE359" s="1232"/>
      <c r="BF359" s="1232"/>
      <c r="BG359" s="1232"/>
    </row>
    <row r="360" spans="18:59" x14ac:dyDescent="0.35">
      <c r="R360" s="1232"/>
      <c r="S360" s="1232"/>
      <c r="W360" s="1232"/>
      <c r="X360" s="1232"/>
      <c r="AE360" s="1232"/>
      <c r="AF360" s="1232"/>
      <c r="AV360" s="1232"/>
      <c r="AW360" s="1232"/>
      <c r="AX360" s="1232"/>
      <c r="AY360" s="1232"/>
      <c r="AZ360" s="1232"/>
      <c r="BA360" s="1232"/>
      <c r="BC360" s="1232"/>
      <c r="BE360" s="1232"/>
      <c r="BF360" s="1232"/>
      <c r="BG360" s="1232"/>
    </row>
    <row r="361" spans="18:59" x14ac:dyDescent="0.35">
      <c r="R361" s="1232"/>
      <c r="S361" s="1232"/>
      <c r="W361" s="1232"/>
      <c r="X361" s="1232"/>
      <c r="AE361" s="1232"/>
      <c r="AF361" s="1232"/>
      <c r="AV361" s="1232"/>
      <c r="AW361" s="1232"/>
      <c r="AX361" s="1232"/>
      <c r="AY361" s="1232"/>
      <c r="AZ361" s="1232"/>
      <c r="BA361" s="1232"/>
      <c r="BC361" s="1232"/>
      <c r="BE361" s="1232"/>
      <c r="BF361" s="1232"/>
      <c r="BG361" s="1232"/>
    </row>
    <row r="362" spans="18:59" x14ac:dyDescent="0.35">
      <c r="R362" s="1232"/>
      <c r="S362" s="1232"/>
      <c r="W362" s="1232"/>
      <c r="X362" s="1232"/>
      <c r="AE362" s="1232"/>
      <c r="AF362" s="1232"/>
      <c r="AV362" s="1232"/>
      <c r="AW362" s="1232"/>
      <c r="AX362" s="1232"/>
      <c r="AY362" s="1232"/>
      <c r="AZ362" s="1232"/>
      <c r="BA362" s="1232"/>
      <c r="BC362" s="1232"/>
      <c r="BE362" s="1232"/>
      <c r="BF362" s="1232"/>
      <c r="BG362" s="1232"/>
    </row>
    <row r="363" spans="18:59" x14ac:dyDescent="0.35">
      <c r="R363" s="1232"/>
      <c r="S363" s="1232"/>
      <c r="W363" s="1232"/>
      <c r="X363" s="1232"/>
      <c r="AE363" s="1232"/>
      <c r="AF363" s="1232"/>
      <c r="AV363" s="1232"/>
      <c r="AW363" s="1232"/>
      <c r="AX363" s="1232"/>
      <c r="AY363" s="1232"/>
      <c r="AZ363" s="1232"/>
      <c r="BA363" s="1232"/>
      <c r="BC363" s="1232"/>
      <c r="BE363" s="1232"/>
      <c r="BF363" s="1232"/>
      <c r="BG363" s="1232"/>
    </row>
    <row r="364" spans="18:59" x14ac:dyDescent="0.35">
      <c r="R364" s="1232"/>
      <c r="S364" s="1232"/>
      <c r="W364" s="1232"/>
      <c r="X364" s="1232"/>
      <c r="AE364" s="1232"/>
      <c r="AF364" s="1232"/>
      <c r="AV364" s="1232"/>
      <c r="AW364" s="1232"/>
      <c r="AX364" s="1232"/>
      <c r="AY364" s="1232"/>
      <c r="AZ364" s="1232"/>
      <c r="BA364" s="1232"/>
      <c r="BC364" s="1232"/>
      <c r="BE364" s="1232"/>
      <c r="BF364" s="1232"/>
      <c r="BG364" s="1232"/>
    </row>
    <row r="365" spans="18:59" x14ac:dyDescent="0.35">
      <c r="R365" s="1232"/>
      <c r="S365" s="1232"/>
      <c r="W365" s="1232"/>
      <c r="X365" s="1232"/>
      <c r="AE365" s="1232"/>
      <c r="AF365" s="1232"/>
      <c r="AV365" s="1232"/>
      <c r="AW365" s="1232"/>
      <c r="AX365" s="1232"/>
      <c r="AY365" s="1232"/>
      <c r="AZ365" s="1232"/>
      <c r="BA365" s="1232"/>
      <c r="BC365" s="1232"/>
      <c r="BE365" s="1232"/>
      <c r="BF365" s="1232"/>
      <c r="BG365" s="1232"/>
    </row>
    <row r="366" spans="18:59" x14ac:dyDescent="0.35">
      <c r="R366" s="1232"/>
      <c r="S366" s="1232"/>
      <c r="W366" s="1232"/>
      <c r="X366" s="1232"/>
      <c r="AE366" s="1232"/>
      <c r="AF366" s="1232"/>
      <c r="AV366" s="1232"/>
      <c r="AW366" s="1232"/>
      <c r="AX366" s="1232"/>
      <c r="AY366" s="1232"/>
      <c r="AZ366" s="1232"/>
      <c r="BA366" s="1232"/>
      <c r="BC366" s="1232"/>
      <c r="BE366" s="1232"/>
      <c r="BF366" s="1232"/>
      <c r="BG366" s="1232"/>
    </row>
    <row r="367" spans="18:59" x14ac:dyDescent="0.35">
      <c r="R367" s="1232"/>
      <c r="S367" s="1232"/>
      <c r="W367" s="1232"/>
      <c r="X367" s="1232"/>
      <c r="AE367" s="1232"/>
      <c r="AF367" s="1232"/>
      <c r="AV367" s="1232"/>
      <c r="AW367" s="1232"/>
      <c r="AX367" s="1232"/>
      <c r="AY367" s="1232"/>
      <c r="AZ367" s="1232"/>
      <c r="BA367" s="1232"/>
      <c r="BC367" s="1232"/>
      <c r="BE367" s="1232"/>
      <c r="BF367" s="1232"/>
      <c r="BG367" s="1232"/>
    </row>
    <row r="368" spans="18:59" x14ac:dyDescent="0.35">
      <c r="R368" s="1232"/>
      <c r="S368" s="1232"/>
      <c r="W368" s="1232"/>
      <c r="X368" s="1232"/>
      <c r="AE368" s="1232"/>
      <c r="AF368" s="1232"/>
      <c r="AV368" s="1232"/>
      <c r="AW368" s="1232"/>
      <c r="AX368" s="1232"/>
      <c r="AY368" s="1232"/>
      <c r="AZ368" s="1232"/>
      <c r="BA368" s="1232"/>
      <c r="BC368" s="1232"/>
      <c r="BE368" s="1232"/>
      <c r="BF368" s="1232"/>
      <c r="BG368" s="1232"/>
    </row>
    <row r="369" spans="18:59" x14ac:dyDescent="0.35">
      <c r="R369" s="1232"/>
      <c r="S369" s="1232"/>
      <c r="W369" s="1232"/>
      <c r="X369" s="1232"/>
      <c r="AE369" s="1232"/>
      <c r="AF369" s="1232"/>
      <c r="AV369" s="1232"/>
      <c r="AW369" s="1232"/>
      <c r="AX369" s="1232"/>
      <c r="AY369" s="1232"/>
      <c r="AZ369" s="1232"/>
      <c r="BA369" s="1232"/>
      <c r="BC369" s="1232"/>
      <c r="BE369" s="1232"/>
      <c r="BF369" s="1232"/>
      <c r="BG369" s="1232"/>
    </row>
    <row r="370" spans="18:59" x14ac:dyDescent="0.35">
      <c r="R370" s="1232"/>
      <c r="S370" s="1232"/>
      <c r="W370" s="1232"/>
      <c r="X370" s="1232"/>
      <c r="AE370" s="1232"/>
      <c r="AF370" s="1232"/>
      <c r="AV370" s="1232"/>
      <c r="AW370" s="1232"/>
      <c r="AX370" s="1232"/>
      <c r="AY370" s="1232"/>
      <c r="AZ370" s="1232"/>
      <c r="BA370" s="1232"/>
      <c r="BC370" s="1232"/>
      <c r="BE370" s="1232"/>
      <c r="BF370" s="1232"/>
      <c r="BG370" s="1232"/>
    </row>
    <row r="371" spans="18:59" x14ac:dyDescent="0.35">
      <c r="R371" s="1232"/>
      <c r="S371" s="1232"/>
      <c r="W371" s="1232"/>
      <c r="X371" s="1232"/>
      <c r="AE371" s="1232"/>
      <c r="AF371" s="1232"/>
      <c r="AV371" s="1232"/>
      <c r="AW371" s="1232"/>
      <c r="AX371" s="1232"/>
      <c r="AY371" s="1232"/>
      <c r="AZ371" s="1232"/>
      <c r="BA371" s="1232"/>
      <c r="BC371" s="1232"/>
      <c r="BE371" s="1232"/>
      <c r="BF371" s="1232"/>
      <c r="BG371" s="1232"/>
    </row>
    <row r="372" spans="18:59" x14ac:dyDescent="0.35">
      <c r="R372" s="1232"/>
      <c r="S372" s="1232"/>
      <c r="W372" s="1232"/>
      <c r="X372" s="1232"/>
      <c r="AE372" s="1232"/>
      <c r="AF372" s="1232"/>
      <c r="AV372" s="1232"/>
      <c r="AW372" s="1232"/>
      <c r="AX372" s="1232"/>
      <c r="AY372" s="1232"/>
      <c r="AZ372" s="1232"/>
      <c r="BA372" s="1232"/>
      <c r="BC372" s="1232"/>
      <c r="BE372" s="1232"/>
      <c r="BF372" s="1232"/>
      <c r="BG372" s="1232"/>
    </row>
    <row r="373" spans="18:59" x14ac:dyDescent="0.35">
      <c r="R373" s="1232"/>
      <c r="S373" s="1232"/>
      <c r="W373" s="1232"/>
      <c r="X373" s="1232"/>
      <c r="AE373" s="1232"/>
      <c r="AF373" s="1232"/>
      <c r="AV373" s="1232"/>
      <c r="AW373" s="1232"/>
      <c r="AX373" s="1232"/>
      <c r="AY373" s="1232"/>
      <c r="AZ373" s="1232"/>
      <c r="BA373" s="1232"/>
      <c r="BC373" s="1232"/>
      <c r="BE373" s="1232"/>
      <c r="BF373" s="1232"/>
      <c r="BG373" s="1232"/>
    </row>
    <row r="374" spans="18:59" x14ac:dyDescent="0.35">
      <c r="R374" s="1232"/>
      <c r="S374" s="1232"/>
      <c r="W374" s="1232"/>
      <c r="X374" s="1232"/>
      <c r="AE374" s="1232"/>
      <c r="AF374" s="1232"/>
      <c r="AV374" s="1232"/>
      <c r="AW374" s="1232"/>
      <c r="AX374" s="1232"/>
      <c r="AY374" s="1232"/>
      <c r="AZ374" s="1232"/>
      <c r="BA374" s="1232"/>
      <c r="BC374" s="1232"/>
      <c r="BE374" s="1232"/>
      <c r="BF374" s="1232"/>
      <c r="BG374" s="1232"/>
    </row>
    <row r="375" spans="18:59" x14ac:dyDescent="0.35">
      <c r="R375" s="1232"/>
      <c r="S375" s="1232"/>
      <c r="W375" s="1232"/>
      <c r="X375" s="1232"/>
      <c r="AE375" s="1232"/>
      <c r="AF375" s="1232"/>
      <c r="AV375" s="1232"/>
      <c r="AW375" s="1232"/>
      <c r="AX375" s="1232"/>
      <c r="AY375" s="1232"/>
      <c r="AZ375" s="1232"/>
      <c r="BA375" s="1232"/>
      <c r="BC375" s="1232"/>
      <c r="BE375" s="1232"/>
      <c r="BF375" s="1232"/>
      <c r="BG375" s="1232"/>
    </row>
    <row r="376" spans="18:59" x14ac:dyDescent="0.35">
      <c r="R376" s="1232"/>
      <c r="S376" s="1232"/>
      <c r="W376" s="1232"/>
      <c r="X376" s="1232"/>
      <c r="AE376" s="1232"/>
      <c r="AF376" s="1232"/>
      <c r="AV376" s="1232"/>
      <c r="AW376" s="1232"/>
      <c r="AX376" s="1232"/>
      <c r="AY376" s="1232"/>
      <c r="AZ376" s="1232"/>
      <c r="BA376" s="1232"/>
      <c r="BC376" s="1232"/>
      <c r="BE376" s="1232"/>
      <c r="BF376" s="1232"/>
      <c r="BG376" s="1232"/>
    </row>
    <row r="377" spans="18:59" x14ac:dyDescent="0.35">
      <c r="R377" s="1232"/>
      <c r="S377" s="1232"/>
      <c r="W377" s="1232"/>
      <c r="X377" s="1232"/>
      <c r="AE377" s="1232"/>
      <c r="AF377" s="1232"/>
      <c r="AV377" s="1232"/>
      <c r="AW377" s="1232"/>
      <c r="AX377" s="1232"/>
      <c r="AY377" s="1232"/>
      <c r="AZ377" s="1232"/>
      <c r="BA377" s="1232"/>
      <c r="BC377" s="1232"/>
      <c r="BE377" s="1232"/>
      <c r="BF377" s="1232"/>
      <c r="BG377" s="1232"/>
    </row>
    <row r="378" spans="18:59" x14ac:dyDescent="0.35">
      <c r="R378" s="1232"/>
      <c r="S378" s="1232"/>
      <c r="W378" s="1232"/>
      <c r="X378" s="1232"/>
      <c r="AE378" s="1232"/>
      <c r="AF378" s="1232"/>
      <c r="AV378" s="1232"/>
      <c r="AW378" s="1232"/>
      <c r="AX378" s="1232"/>
      <c r="AY378" s="1232"/>
      <c r="AZ378" s="1232"/>
      <c r="BA378" s="1232"/>
      <c r="BC378" s="1232"/>
      <c r="BE378" s="1232"/>
      <c r="BF378" s="1232"/>
      <c r="BG378" s="1232"/>
    </row>
    <row r="379" spans="18:59" x14ac:dyDescent="0.35">
      <c r="R379" s="1232"/>
      <c r="S379" s="1232"/>
      <c r="W379" s="1232"/>
      <c r="X379" s="1232"/>
      <c r="AE379" s="1232"/>
      <c r="AF379" s="1232"/>
      <c r="AV379" s="1232"/>
      <c r="AW379" s="1232"/>
      <c r="AX379" s="1232"/>
      <c r="AY379" s="1232"/>
      <c r="AZ379" s="1232"/>
      <c r="BA379" s="1232"/>
      <c r="BC379" s="1232"/>
      <c r="BE379" s="1232"/>
      <c r="BF379" s="1232"/>
      <c r="BG379" s="1232"/>
    </row>
    <row r="380" spans="18:59" x14ac:dyDescent="0.35">
      <c r="R380" s="1232"/>
      <c r="S380" s="1232"/>
      <c r="W380" s="1232"/>
      <c r="X380" s="1232"/>
      <c r="AE380" s="1232"/>
      <c r="AF380" s="1232"/>
      <c r="AV380" s="1232"/>
      <c r="AW380" s="1232"/>
      <c r="AX380" s="1232"/>
      <c r="AY380" s="1232"/>
      <c r="AZ380" s="1232"/>
      <c r="BA380" s="1232"/>
      <c r="BC380" s="1232"/>
      <c r="BE380" s="1232"/>
      <c r="BF380" s="1232"/>
      <c r="BG380" s="1232"/>
    </row>
    <row r="381" spans="18:59" x14ac:dyDescent="0.35">
      <c r="R381" s="1232"/>
      <c r="S381" s="1232"/>
      <c r="W381" s="1232"/>
      <c r="X381" s="1232"/>
      <c r="AE381" s="1232"/>
      <c r="AF381" s="1232"/>
      <c r="AV381" s="1232"/>
      <c r="AW381" s="1232"/>
      <c r="AX381" s="1232"/>
      <c r="AY381" s="1232"/>
      <c r="AZ381" s="1232"/>
      <c r="BA381" s="1232"/>
      <c r="BC381" s="1232"/>
      <c r="BE381" s="1232"/>
      <c r="BF381" s="1232"/>
      <c r="BG381" s="1232"/>
    </row>
    <row r="382" spans="18:59" x14ac:dyDescent="0.35">
      <c r="R382" s="1232"/>
      <c r="S382" s="1232"/>
      <c r="W382" s="1232"/>
      <c r="X382" s="1232"/>
      <c r="AE382" s="1232"/>
      <c r="AF382" s="1232"/>
      <c r="AV382" s="1232"/>
      <c r="AW382" s="1232"/>
      <c r="AX382" s="1232"/>
      <c r="AY382" s="1232"/>
      <c r="AZ382" s="1232"/>
      <c r="BA382" s="1232"/>
      <c r="BC382" s="1232"/>
      <c r="BE382" s="1232"/>
      <c r="BF382" s="1232"/>
      <c r="BG382" s="1232"/>
    </row>
    <row r="383" spans="18:59" x14ac:dyDescent="0.35">
      <c r="R383" s="1232"/>
      <c r="S383" s="1232"/>
      <c r="W383" s="1232"/>
      <c r="X383" s="1232"/>
      <c r="AE383" s="1232"/>
      <c r="AF383" s="1232"/>
      <c r="AV383" s="1232"/>
      <c r="AW383" s="1232"/>
      <c r="AX383" s="1232"/>
      <c r="AY383" s="1232"/>
      <c r="AZ383" s="1232"/>
      <c r="BA383" s="1232"/>
      <c r="BC383" s="1232"/>
      <c r="BE383" s="1232"/>
      <c r="BF383" s="1232"/>
      <c r="BG383" s="1232"/>
    </row>
    <row r="384" spans="18:59" x14ac:dyDescent="0.35">
      <c r="R384" s="1232"/>
      <c r="S384" s="1232"/>
      <c r="W384" s="1232"/>
      <c r="X384" s="1232"/>
      <c r="AE384" s="1232"/>
      <c r="AF384" s="1232"/>
      <c r="AV384" s="1232"/>
      <c r="AW384" s="1232"/>
      <c r="AX384" s="1232"/>
      <c r="AY384" s="1232"/>
      <c r="AZ384" s="1232"/>
      <c r="BA384" s="1232"/>
      <c r="BC384" s="1232"/>
      <c r="BE384" s="1232"/>
      <c r="BF384" s="1232"/>
      <c r="BG384" s="1232"/>
    </row>
    <row r="385" spans="18:59" x14ac:dyDescent="0.35">
      <c r="R385" s="1232"/>
      <c r="S385" s="1232"/>
      <c r="W385" s="1232"/>
      <c r="X385" s="1232"/>
      <c r="AE385" s="1232"/>
      <c r="AF385" s="1232"/>
      <c r="AV385" s="1232"/>
      <c r="AW385" s="1232"/>
      <c r="AX385" s="1232"/>
      <c r="AY385" s="1232"/>
      <c r="AZ385" s="1232"/>
      <c r="BA385" s="1232"/>
      <c r="BC385" s="1232"/>
      <c r="BE385" s="1232"/>
      <c r="BF385" s="1232"/>
      <c r="BG385" s="1232"/>
    </row>
    <row r="386" spans="18:59" x14ac:dyDescent="0.35">
      <c r="R386" s="1232"/>
      <c r="S386" s="1232"/>
      <c r="W386" s="1232"/>
      <c r="X386" s="1232"/>
      <c r="AE386" s="1232"/>
      <c r="AF386" s="1232"/>
      <c r="AV386" s="1232"/>
      <c r="AW386" s="1232"/>
      <c r="AX386" s="1232"/>
      <c r="AY386" s="1232"/>
      <c r="AZ386" s="1232"/>
      <c r="BA386" s="1232"/>
      <c r="BC386" s="1232"/>
      <c r="BE386" s="1232"/>
      <c r="BF386" s="1232"/>
      <c r="BG386" s="1232"/>
    </row>
    <row r="387" spans="18:59" x14ac:dyDescent="0.35">
      <c r="R387" s="1232"/>
      <c r="S387" s="1232"/>
      <c r="W387" s="1232"/>
      <c r="X387" s="1232"/>
      <c r="AE387" s="1232"/>
      <c r="AF387" s="1232"/>
      <c r="AV387" s="1232"/>
      <c r="AW387" s="1232"/>
      <c r="AX387" s="1232"/>
      <c r="AY387" s="1232"/>
      <c r="AZ387" s="1232"/>
      <c r="BA387" s="1232"/>
      <c r="BC387" s="1232"/>
      <c r="BE387" s="1232"/>
      <c r="BF387" s="1232"/>
      <c r="BG387" s="1232"/>
    </row>
    <row r="388" spans="18:59" x14ac:dyDescent="0.35">
      <c r="R388" s="1232"/>
      <c r="S388" s="1232"/>
      <c r="W388" s="1232"/>
      <c r="X388" s="1232"/>
      <c r="AE388" s="1232"/>
      <c r="AF388" s="1232"/>
      <c r="AV388" s="1232"/>
      <c r="AW388" s="1232"/>
      <c r="AX388" s="1232"/>
      <c r="AY388" s="1232"/>
      <c r="AZ388" s="1232"/>
      <c r="BA388" s="1232"/>
      <c r="BC388" s="1232"/>
      <c r="BE388" s="1232"/>
      <c r="BF388" s="1232"/>
      <c r="BG388" s="1232"/>
    </row>
    <row r="389" spans="18:59" x14ac:dyDescent="0.35">
      <c r="R389" s="1232"/>
      <c r="S389" s="1232"/>
      <c r="W389" s="1232"/>
      <c r="X389" s="1232"/>
      <c r="AE389" s="1232"/>
      <c r="AF389" s="1232"/>
      <c r="AV389" s="1232"/>
      <c r="AW389" s="1232"/>
      <c r="AX389" s="1232"/>
      <c r="AY389" s="1232"/>
      <c r="AZ389" s="1232"/>
      <c r="BA389" s="1232"/>
      <c r="BC389" s="1232"/>
      <c r="BE389" s="1232"/>
      <c r="BF389" s="1232"/>
      <c r="BG389" s="1232"/>
    </row>
    <row r="390" spans="18:59" x14ac:dyDescent="0.35">
      <c r="R390" s="1232"/>
      <c r="S390" s="1232"/>
      <c r="W390" s="1232"/>
      <c r="X390" s="1232"/>
      <c r="AE390" s="1232"/>
      <c r="AF390" s="1232"/>
      <c r="AV390" s="1232"/>
      <c r="AW390" s="1232"/>
      <c r="AX390" s="1232"/>
      <c r="AY390" s="1232"/>
      <c r="AZ390" s="1232"/>
      <c r="BA390" s="1232"/>
      <c r="BC390" s="1232"/>
      <c r="BE390" s="1232"/>
      <c r="BF390" s="1232"/>
      <c r="BG390" s="1232"/>
    </row>
    <row r="391" spans="18:59" x14ac:dyDescent="0.35">
      <c r="R391" s="1232"/>
      <c r="S391" s="1232"/>
      <c r="W391" s="1232"/>
      <c r="X391" s="1232"/>
      <c r="AE391" s="1232"/>
      <c r="AF391" s="1232"/>
      <c r="AV391" s="1232"/>
      <c r="AW391" s="1232"/>
      <c r="AX391" s="1232"/>
      <c r="AY391" s="1232"/>
      <c r="AZ391" s="1232"/>
      <c r="BA391" s="1232"/>
      <c r="BC391" s="1232"/>
      <c r="BE391" s="1232"/>
      <c r="BF391" s="1232"/>
      <c r="BG391" s="1232"/>
    </row>
    <row r="392" spans="18:59" x14ac:dyDescent="0.35">
      <c r="R392" s="1232"/>
      <c r="S392" s="1232"/>
      <c r="W392" s="1232"/>
      <c r="X392" s="1232"/>
      <c r="AE392" s="1232"/>
      <c r="AF392" s="1232"/>
      <c r="AV392" s="1232"/>
      <c r="AW392" s="1232"/>
      <c r="AX392" s="1232"/>
      <c r="AY392" s="1232"/>
      <c r="AZ392" s="1232"/>
      <c r="BA392" s="1232"/>
      <c r="BC392" s="1232"/>
      <c r="BE392" s="1232"/>
      <c r="BF392" s="1232"/>
      <c r="BG392" s="1232"/>
    </row>
    <row r="393" spans="18:59" x14ac:dyDescent="0.35">
      <c r="R393" s="1232"/>
      <c r="S393" s="1232"/>
      <c r="W393" s="1232"/>
      <c r="X393" s="1232"/>
      <c r="AE393" s="1232"/>
      <c r="AF393" s="1232"/>
      <c r="AV393" s="1232"/>
      <c r="AW393" s="1232"/>
      <c r="AX393" s="1232"/>
      <c r="AY393" s="1232"/>
      <c r="AZ393" s="1232"/>
      <c r="BA393" s="1232"/>
      <c r="BC393" s="1232"/>
      <c r="BE393" s="1232"/>
      <c r="BF393" s="1232"/>
      <c r="BG393" s="1232"/>
    </row>
    <row r="394" spans="18:59" x14ac:dyDescent="0.35">
      <c r="R394" s="1232"/>
      <c r="S394" s="1232"/>
      <c r="W394" s="1232"/>
      <c r="X394" s="1232"/>
      <c r="AE394" s="1232"/>
      <c r="AF394" s="1232"/>
      <c r="AV394" s="1232"/>
      <c r="AW394" s="1232"/>
      <c r="AX394" s="1232"/>
      <c r="AY394" s="1232"/>
      <c r="AZ394" s="1232"/>
      <c r="BA394" s="1232"/>
      <c r="BC394" s="1232"/>
      <c r="BE394" s="1232"/>
      <c r="BF394" s="1232"/>
      <c r="BG394" s="1232"/>
    </row>
    <row r="395" spans="18:59" x14ac:dyDescent="0.35">
      <c r="R395" s="1232"/>
      <c r="S395" s="1232"/>
      <c r="W395" s="1232"/>
      <c r="X395" s="1232"/>
      <c r="AE395" s="1232"/>
      <c r="AF395" s="1232"/>
      <c r="AV395" s="1232"/>
      <c r="AW395" s="1232"/>
      <c r="AX395" s="1232"/>
      <c r="AY395" s="1232"/>
      <c r="AZ395" s="1232"/>
      <c r="BA395" s="1232"/>
      <c r="BC395" s="1232"/>
      <c r="BE395" s="1232"/>
      <c r="BF395" s="1232"/>
      <c r="BG395" s="1232"/>
    </row>
    <row r="396" spans="18:59" x14ac:dyDescent="0.35">
      <c r="R396" s="1232"/>
      <c r="S396" s="1232"/>
      <c r="W396" s="1232"/>
      <c r="X396" s="1232"/>
      <c r="AE396" s="1232"/>
      <c r="AF396" s="1232"/>
      <c r="AV396" s="1232"/>
      <c r="AW396" s="1232"/>
      <c r="AX396" s="1232"/>
      <c r="AY396" s="1232"/>
      <c r="AZ396" s="1232"/>
      <c r="BA396" s="1232"/>
      <c r="BC396" s="1232"/>
      <c r="BE396" s="1232"/>
      <c r="BF396" s="1232"/>
      <c r="BG396" s="1232"/>
    </row>
    <row r="397" spans="18:59" x14ac:dyDescent="0.35">
      <c r="R397" s="1232"/>
      <c r="S397" s="1232"/>
      <c r="W397" s="1232"/>
      <c r="X397" s="1232"/>
      <c r="AE397" s="1232"/>
      <c r="AF397" s="1232"/>
      <c r="AV397" s="1232"/>
      <c r="AW397" s="1232"/>
      <c r="AX397" s="1232"/>
      <c r="AY397" s="1232"/>
      <c r="AZ397" s="1232"/>
      <c r="BA397" s="1232"/>
      <c r="BC397" s="1232"/>
      <c r="BE397" s="1232"/>
      <c r="BF397" s="1232"/>
      <c r="BG397" s="1232"/>
    </row>
    <row r="398" spans="18:59" x14ac:dyDescent="0.35">
      <c r="R398" s="1232"/>
      <c r="S398" s="1232"/>
      <c r="W398" s="1232"/>
      <c r="X398" s="1232"/>
      <c r="AE398" s="1232"/>
      <c r="AF398" s="1232"/>
      <c r="AV398" s="1232"/>
      <c r="AW398" s="1232"/>
      <c r="AX398" s="1232"/>
      <c r="AY398" s="1232"/>
      <c r="AZ398" s="1232"/>
      <c r="BA398" s="1232"/>
      <c r="BC398" s="1232"/>
      <c r="BE398" s="1232"/>
      <c r="BF398" s="1232"/>
      <c r="BG398" s="1232"/>
    </row>
    <row r="399" spans="18:59" x14ac:dyDescent="0.35">
      <c r="R399" s="1232"/>
      <c r="S399" s="1232"/>
      <c r="W399" s="1232"/>
      <c r="X399" s="1232"/>
      <c r="AE399" s="1232"/>
      <c r="AF399" s="1232"/>
      <c r="AV399" s="1232"/>
      <c r="AW399" s="1232"/>
      <c r="AX399" s="1232"/>
      <c r="AY399" s="1232"/>
      <c r="AZ399" s="1232"/>
      <c r="BA399" s="1232"/>
      <c r="BC399" s="1232"/>
      <c r="BE399" s="1232"/>
      <c r="BF399" s="1232"/>
      <c r="BG399" s="1232"/>
    </row>
    <row r="400" spans="18:59" x14ac:dyDescent="0.35">
      <c r="R400" s="1232"/>
      <c r="S400" s="1232"/>
      <c r="W400" s="1232"/>
      <c r="X400" s="1232"/>
      <c r="AE400" s="1232"/>
      <c r="AF400" s="1232"/>
      <c r="AV400" s="1232"/>
      <c r="AW400" s="1232"/>
      <c r="AX400" s="1232"/>
      <c r="AY400" s="1232"/>
      <c r="AZ400" s="1232"/>
      <c r="BA400" s="1232"/>
      <c r="BC400" s="1232"/>
      <c r="BE400" s="1232"/>
      <c r="BF400" s="1232"/>
      <c r="BG400" s="1232"/>
    </row>
    <row r="401" spans="18:59" x14ac:dyDescent="0.35">
      <c r="R401" s="1232"/>
      <c r="S401" s="1232"/>
      <c r="W401" s="1232"/>
      <c r="X401" s="1232"/>
      <c r="AE401" s="1232"/>
      <c r="AF401" s="1232"/>
      <c r="AV401" s="1232"/>
      <c r="AW401" s="1232"/>
      <c r="AX401" s="1232"/>
      <c r="AY401" s="1232"/>
      <c r="AZ401" s="1232"/>
      <c r="BA401" s="1232"/>
      <c r="BC401" s="1232"/>
      <c r="BE401" s="1232"/>
      <c r="BF401" s="1232"/>
      <c r="BG401" s="1232"/>
    </row>
    <row r="402" spans="18:59" x14ac:dyDescent="0.35">
      <c r="R402" s="1232"/>
      <c r="S402" s="1232"/>
      <c r="W402" s="1232"/>
      <c r="X402" s="1232"/>
      <c r="AE402" s="1232"/>
      <c r="AF402" s="1232"/>
      <c r="AV402" s="1232"/>
      <c r="AW402" s="1232"/>
      <c r="AX402" s="1232"/>
      <c r="AY402" s="1232"/>
      <c r="AZ402" s="1232"/>
      <c r="BA402" s="1232"/>
      <c r="BC402" s="1232"/>
      <c r="BE402" s="1232"/>
      <c r="BF402" s="1232"/>
      <c r="BG402" s="1232"/>
    </row>
    <row r="403" spans="18:59" x14ac:dyDescent="0.35">
      <c r="R403" s="1232"/>
      <c r="S403" s="1232"/>
      <c r="W403" s="1232"/>
      <c r="X403" s="1232"/>
      <c r="AE403" s="1232"/>
      <c r="AF403" s="1232"/>
      <c r="AV403" s="1232"/>
      <c r="AW403" s="1232"/>
      <c r="AX403" s="1232"/>
      <c r="AY403" s="1232"/>
      <c r="AZ403" s="1232"/>
      <c r="BA403" s="1232"/>
      <c r="BC403" s="1232"/>
      <c r="BE403" s="1232"/>
      <c r="BF403" s="1232"/>
      <c r="BG403" s="1232"/>
    </row>
    <row r="404" spans="18:59" x14ac:dyDescent="0.35">
      <c r="R404" s="1232"/>
      <c r="S404" s="1232"/>
      <c r="W404" s="1232"/>
      <c r="X404" s="1232"/>
      <c r="AE404" s="1232"/>
      <c r="AF404" s="1232"/>
      <c r="AV404" s="1232"/>
      <c r="AW404" s="1232"/>
      <c r="AX404" s="1232"/>
      <c r="AY404" s="1232"/>
      <c r="AZ404" s="1232"/>
      <c r="BA404" s="1232"/>
      <c r="BC404" s="1232"/>
      <c r="BE404" s="1232"/>
      <c r="BF404" s="1232"/>
      <c r="BG404" s="1232"/>
    </row>
    <row r="405" spans="18:59" x14ac:dyDescent="0.35">
      <c r="R405" s="1232"/>
      <c r="S405" s="1232"/>
      <c r="W405" s="1232"/>
      <c r="X405" s="1232"/>
      <c r="AE405" s="1232"/>
      <c r="AF405" s="1232"/>
      <c r="AV405" s="1232"/>
      <c r="AW405" s="1232"/>
      <c r="AX405" s="1232"/>
      <c r="AY405" s="1232"/>
      <c r="AZ405" s="1232"/>
      <c r="BA405" s="1232"/>
      <c r="BC405" s="1232"/>
      <c r="BE405" s="1232"/>
      <c r="BF405" s="1232"/>
      <c r="BG405" s="1232"/>
    </row>
    <row r="406" spans="18:59" x14ac:dyDescent="0.35">
      <c r="R406" s="1232"/>
      <c r="S406" s="1232"/>
      <c r="W406" s="1232"/>
      <c r="X406" s="1232"/>
      <c r="AE406" s="1232"/>
      <c r="AF406" s="1232"/>
      <c r="AV406" s="1232"/>
      <c r="AW406" s="1232"/>
      <c r="AX406" s="1232"/>
      <c r="AY406" s="1232"/>
      <c r="AZ406" s="1232"/>
      <c r="BA406" s="1232"/>
      <c r="BC406" s="1232"/>
      <c r="BE406" s="1232"/>
      <c r="BF406" s="1232"/>
      <c r="BG406" s="1232"/>
    </row>
    <row r="407" spans="18:59" x14ac:dyDescent="0.35">
      <c r="R407" s="1232"/>
      <c r="S407" s="1232"/>
      <c r="W407" s="1232"/>
      <c r="X407" s="1232"/>
      <c r="AE407" s="1232"/>
      <c r="AF407" s="1232"/>
      <c r="AV407" s="1232"/>
      <c r="AW407" s="1232"/>
      <c r="AX407" s="1232"/>
      <c r="AY407" s="1232"/>
      <c r="AZ407" s="1232"/>
      <c r="BA407" s="1232"/>
      <c r="BC407" s="1232"/>
      <c r="BE407" s="1232"/>
      <c r="BF407" s="1232"/>
      <c r="BG407" s="1232"/>
    </row>
    <row r="408" spans="18:59" x14ac:dyDescent="0.35">
      <c r="R408" s="1232"/>
      <c r="S408" s="1232"/>
      <c r="W408" s="1232"/>
      <c r="X408" s="1232"/>
      <c r="AE408" s="1232"/>
      <c r="AF408" s="1232"/>
      <c r="AV408" s="1232"/>
      <c r="AW408" s="1232"/>
      <c r="AX408" s="1232"/>
      <c r="AY408" s="1232"/>
      <c r="AZ408" s="1232"/>
      <c r="BA408" s="1232"/>
      <c r="BC408" s="1232"/>
      <c r="BE408" s="1232"/>
      <c r="BF408" s="1232"/>
      <c r="BG408" s="1232"/>
    </row>
    <row r="409" spans="18:59" x14ac:dyDescent="0.35">
      <c r="R409" s="1232"/>
      <c r="S409" s="1232"/>
      <c r="W409" s="1232"/>
      <c r="X409" s="1232"/>
      <c r="AE409" s="1232"/>
      <c r="AF409" s="1232"/>
      <c r="AV409" s="1232"/>
      <c r="AW409" s="1232"/>
      <c r="AX409" s="1232"/>
      <c r="AY409" s="1232"/>
      <c r="AZ409" s="1232"/>
      <c r="BA409" s="1232"/>
      <c r="BC409" s="1232"/>
      <c r="BE409" s="1232"/>
      <c r="BF409" s="1232"/>
      <c r="BG409" s="1232"/>
    </row>
    <row r="410" spans="18:59" x14ac:dyDescent="0.35">
      <c r="R410" s="1232"/>
      <c r="S410" s="1232"/>
      <c r="W410" s="1232"/>
      <c r="X410" s="1232"/>
      <c r="AE410" s="1232"/>
      <c r="AF410" s="1232"/>
      <c r="AV410" s="1232"/>
      <c r="AW410" s="1232"/>
      <c r="AX410" s="1232"/>
      <c r="AY410" s="1232"/>
      <c r="AZ410" s="1232"/>
      <c r="BA410" s="1232"/>
      <c r="BC410" s="1232"/>
      <c r="BE410" s="1232"/>
      <c r="BF410" s="1232"/>
      <c r="BG410" s="1232"/>
    </row>
    <row r="411" spans="18:59" x14ac:dyDescent="0.35">
      <c r="R411" s="1232"/>
      <c r="S411" s="1232"/>
      <c r="W411" s="1232"/>
      <c r="X411" s="1232"/>
      <c r="AE411" s="1232"/>
      <c r="AF411" s="1232"/>
      <c r="AV411" s="1232"/>
      <c r="AW411" s="1232"/>
      <c r="AX411" s="1232"/>
      <c r="AY411" s="1232"/>
      <c r="AZ411" s="1232"/>
      <c r="BA411" s="1232"/>
      <c r="BC411" s="1232"/>
      <c r="BE411" s="1232"/>
      <c r="BF411" s="1232"/>
      <c r="BG411" s="1232"/>
    </row>
    <row r="412" spans="18:59" x14ac:dyDescent="0.35">
      <c r="R412" s="1232"/>
      <c r="S412" s="1232"/>
      <c r="W412" s="1232"/>
      <c r="X412" s="1232"/>
      <c r="AE412" s="1232"/>
      <c r="AF412" s="1232"/>
      <c r="AV412" s="1232"/>
      <c r="AW412" s="1232"/>
      <c r="AX412" s="1232"/>
      <c r="AY412" s="1232"/>
      <c r="AZ412" s="1232"/>
      <c r="BA412" s="1232"/>
      <c r="BC412" s="1232"/>
      <c r="BE412" s="1232"/>
      <c r="BF412" s="1232"/>
      <c r="BG412" s="1232"/>
    </row>
    <row r="413" spans="18:59" x14ac:dyDescent="0.35">
      <c r="R413" s="1232"/>
      <c r="S413" s="1232"/>
      <c r="W413" s="1232"/>
      <c r="X413" s="1232"/>
      <c r="AE413" s="1232"/>
      <c r="AF413" s="1232"/>
      <c r="AV413" s="1232"/>
      <c r="AW413" s="1232"/>
      <c r="AX413" s="1232"/>
      <c r="AY413" s="1232"/>
      <c r="AZ413" s="1232"/>
      <c r="BA413" s="1232"/>
      <c r="BC413" s="1232"/>
      <c r="BE413" s="1232"/>
      <c r="BF413" s="1232"/>
      <c r="BG413" s="1232"/>
    </row>
    <row r="414" spans="18:59" x14ac:dyDescent="0.35">
      <c r="R414" s="1232"/>
      <c r="S414" s="1232"/>
      <c r="W414" s="1232"/>
      <c r="X414" s="1232"/>
      <c r="AE414" s="1232"/>
      <c r="AF414" s="1232"/>
      <c r="AV414" s="1232"/>
      <c r="AW414" s="1232"/>
      <c r="AX414" s="1232"/>
      <c r="AY414" s="1232"/>
      <c r="AZ414" s="1232"/>
      <c r="BA414" s="1232"/>
      <c r="BC414" s="1232"/>
      <c r="BE414" s="1232"/>
      <c r="BF414" s="1232"/>
      <c r="BG414" s="1232"/>
    </row>
    <row r="415" spans="18:59" x14ac:dyDescent="0.35">
      <c r="R415" s="1232"/>
      <c r="S415" s="1232"/>
      <c r="W415" s="1232"/>
      <c r="X415" s="1232"/>
      <c r="AE415" s="1232"/>
      <c r="AF415" s="1232"/>
      <c r="AV415" s="1232"/>
      <c r="AW415" s="1232"/>
      <c r="AX415" s="1232"/>
      <c r="AY415" s="1232"/>
      <c r="AZ415" s="1232"/>
      <c r="BA415" s="1232"/>
      <c r="BC415" s="1232"/>
      <c r="BE415" s="1232"/>
      <c r="BF415" s="1232"/>
      <c r="BG415" s="1232"/>
    </row>
    <row r="416" spans="18:59" x14ac:dyDescent="0.35">
      <c r="R416" s="1232"/>
      <c r="S416" s="1232"/>
      <c r="W416" s="1232"/>
      <c r="X416" s="1232"/>
      <c r="AE416" s="1232"/>
      <c r="AF416" s="1232"/>
      <c r="AV416" s="1232"/>
      <c r="AW416" s="1232"/>
      <c r="AX416" s="1232"/>
      <c r="AY416" s="1232"/>
      <c r="AZ416" s="1232"/>
      <c r="BA416" s="1232"/>
      <c r="BC416" s="1232"/>
      <c r="BE416" s="1232"/>
      <c r="BF416" s="1232"/>
      <c r="BG416" s="1232"/>
    </row>
    <row r="417" spans="18:59" x14ac:dyDescent="0.35">
      <c r="R417" s="1232"/>
      <c r="S417" s="1232"/>
      <c r="W417" s="1232"/>
      <c r="X417" s="1232"/>
      <c r="AE417" s="1232"/>
      <c r="AF417" s="1232"/>
      <c r="AV417" s="1232"/>
      <c r="AW417" s="1232"/>
      <c r="AX417" s="1232"/>
      <c r="AY417" s="1232"/>
      <c r="AZ417" s="1232"/>
      <c r="BA417" s="1232"/>
      <c r="BC417" s="1232"/>
      <c r="BE417" s="1232"/>
      <c r="BF417" s="1232"/>
      <c r="BG417" s="1232"/>
    </row>
    <row r="418" spans="18:59" x14ac:dyDescent="0.35">
      <c r="R418" s="1232"/>
      <c r="S418" s="1232"/>
      <c r="W418" s="1232"/>
      <c r="X418" s="1232"/>
      <c r="AE418" s="1232"/>
      <c r="AF418" s="1232"/>
      <c r="AV418" s="1232"/>
      <c r="AW418" s="1232"/>
      <c r="AX418" s="1232"/>
      <c r="AY418" s="1232"/>
      <c r="AZ418" s="1232"/>
      <c r="BA418" s="1232"/>
      <c r="BC418" s="1232"/>
      <c r="BE418" s="1232"/>
      <c r="BF418" s="1232"/>
      <c r="BG418" s="1232"/>
    </row>
    <row r="419" spans="18:59" x14ac:dyDescent="0.35">
      <c r="R419" s="1232"/>
      <c r="S419" s="1232"/>
      <c r="W419" s="1232"/>
      <c r="X419" s="1232"/>
      <c r="AE419" s="1232"/>
      <c r="AF419" s="1232"/>
      <c r="AV419" s="1232"/>
      <c r="AW419" s="1232"/>
      <c r="AX419" s="1232"/>
      <c r="AY419" s="1232"/>
      <c r="AZ419" s="1232"/>
      <c r="BA419" s="1232"/>
      <c r="BC419" s="1232"/>
      <c r="BE419" s="1232"/>
      <c r="BF419" s="1232"/>
      <c r="BG419" s="1232"/>
    </row>
    <row r="420" spans="18:59" x14ac:dyDescent="0.35">
      <c r="R420" s="1232"/>
      <c r="S420" s="1232"/>
      <c r="W420" s="1232"/>
      <c r="X420" s="1232"/>
      <c r="AE420" s="1232"/>
      <c r="AF420" s="1232"/>
      <c r="AV420" s="1232"/>
      <c r="AW420" s="1232"/>
      <c r="AX420" s="1232"/>
      <c r="AY420" s="1232"/>
      <c r="AZ420" s="1232"/>
      <c r="BA420" s="1232"/>
      <c r="BC420" s="1232"/>
      <c r="BE420" s="1232"/>
      <c r="BF420" s="1232"/>
      <c r="BG420" s="1232"/>
    </row>
    <row r="421" spans="18:59" x14ac:dyDescent="0.35">
      <c r="R421" s="1232"/>
      <c r="S421" s="1232"/>
      <c r="W421" s="1232"/>
      <c r="X421" s="1232"/>
      <c r="AE421" s="1232"/>
      <c r="AF421" s="1232"/>
      <c r="AV421" s="1232"/>
      <c r="AW421" s="1232"/>
      <c r="AX421" s="1232"/>
      <c r="AY421" s="1232"/>
      <c r="AZ421" s="1232"/>
      <c r="BA421" s="1232"/>
      <c r="BC421" s="1232"/>
      <c r="BE421" s="1232"/>
      <c r="BF421" s="1232"/>
      <c r="BG421" s="1232"/>
    </row>
    <row r="422" spans="18:59" x14ac:dyDescent="0.35">
      <c r="R422" s="1232"/>
      <c r="S422" s="1232"/>
      <c r="W422" s="1232"/>
      <c r="X422" s="1232"/>
      <c r="AE422" s="1232"/>
      <c r="AF422" s="1232"/>
      <c r="AV422" s="1232"/>
      <c r="AW422" s="1232"/>
      <c r="AX422" s="1232"/>
      <c r="AY422" s="1232"/>
      <c r="AZ422" s="1232"/>
      <c r="BA422" s="1232"/>
      <c r="BC422" s="1232"/>
      <c r="BE422" s="1232"/>
      <c r="BF422" s="1232"/>
      <c r="BG422" s="1232"/>
    </row>
    <row r="423" spans="18:59" x14ac:dyDescent="0.35">
      <c r="R423" s="1232"/>
      <c r="S423" s="1232"/>
      <c r="W423" s="1232"/>
      <c r="X423" s="1232"/>
      <c r="AE423" s="1232"/>
      <c r="AF423" s="1232"/>
      <c r="AV423" s="1232"/>
      <c r="AW423" s="1232"/>
      <c r="AX423" s="1232"/>
      <c r="AY423" s="1232"/>
      <c r="AZ423" s="1232"/>
      <c r="BA423" s="1232"/>
      <c r="BC423" s="1232"/>
      <c r="BE423" s="1232"/>
      <c r="BF423" s="1232"/>
      <c r="BG423" s="1232"/>
    </row>
    <row r="424" spans="18:59" x14ac:dyDescent="0.35">
      <c r="R424" s="1232"/>
      <c r="S424" s="1232"/>
      <c r="W424" s="1232"/>
      <c r="X424" s="1232"/>
      <c r="AE424" s="1232"/>
      <c r="AF424" s="1232"/>
      <c r="AV424" s="1232"/>
      <c r="AW424" s="1232"/>
      <c r="AX424" s="1232"/>
      <c r="AY424" s="1232"/>
      <c r="AZ424" s="1232"/>
      <c r="BA424" s="1232"/>
      <c r="BC424" s="1232"/>
      <c r="BE424" s="1232"/>
      <c r="BF424" s="1232"/>
      <c r="BG424" s="1232"/>
    </row>
    <row r="425" spans="18:59" x14ac:dyDescent="0.35">
      <c r="R425" s="1232"/>
      <c r="S425" s="1232"/>
      <c r="W425" s="1232"/>
      <c r="X425" s="1232"/>
      <c r="AE425" s="1232"/>
      <c r="AF425" s="1232"/>
      <c r="AV425" s="1232"/>
      <c r="AW425" s="1232"/>
      <c r="AX425" s="1232"/>
      <c r="AY425" s="1232"/>
      <c r="AZ425" s="1232"/>
      <c r="BA425" s="1232"/>
      <c r="BC425" s="1232"/>
      <c r="BE425" s="1232"/>
      <c r="BF425" s="1232"/>
      <c r="BG425" s="1232"/>
    </row>
    <row r="426" spans="18:59" x14ac:dyDescent="0.35">
      <c r="R426" s="1232"/>
      <c r="S426" s="1232"/>
      <c r="W426" s="1232"/>
      <c r="X426" s="1232"/>
      <c r="AE426" s="1232"/>
      <c r="AF426" s="1232"/>
      <c r="AV426" s="1232"/>
      <c r="AW426" s="1232"/>
      <c r="AX426" s="1232"/>
      <c r="AY426" s="1232"/>
      <c r="AZ426" s="1232"/>
      <c r="BA426" s="1232"/>
      <c r="BC426" s="1232"/>
      <c r="BE426" s="1232"/>
      <c r="BF426" s="1232"/>
      <c r="BG426" s="1232"/>
    </row>
    <row r="427" spans="18:59" x14ac:dyDescent="0.35">
      <c r="R427" s="1232"/>
      <c r="S427" s="1232"/>
      <c r="W427" s="1232"/>
      <c r="X427" s="1232"/>
      <c r="AE427" s="1232"/>
      <c r="AF427" s="1232"/>
      <c r="AV427" s="1232"/>
      <c r="AW427" s="1232"/>
      <c r="AX427" s="1232"/>
      <c r="AY427" s="1232"/>
      <c r="AZ427" s="1232"/>
      <c r="BA427" s="1232"/>
      <c r="BC427" s="1232"/>
      <c r="BE427" s="1232"/>
      <c r="BF427" s="1232"/>
      <c r="BG427" s="1232"/>
    </row>
    <row r="428" spans="18:59" x14ac:dyDescent="0.35">
      <c r="R428" s="1232"/>
      <c r="S428" s="1232"/>
      <c r="W428" s="1232"/>
      <c r="X428" s="1232"/>
      <c r="AE428" s="1232"/>
      <c r="AF428" s="1232"/>
      <c r="AV428" s="1232"/>
      <c r="AW428" s="1232"/>
      <c r="AX428" s="1232"/>
      <c r="AY428" s="1232"/>
      <c r="AZ428" s="1232"/>
      <c r="BA428" s="1232"/>
      <c r="BC428" s="1232"/>
      <c r="BE428" s="1232"/>
      <c r="BF428" s="1232"/>
      <c r="BG428" s="1232"/>
    </row>
    <row r="429" spans="18:59" x14ac:dyDescent="0.35">
      <c r="R429" s="1232"/>
      <c r="S429" s="1232"/>
      <c r="W429" s="1232"/>
      <c r="X429" s="1232"/>
      <c r="AE429" s="1232"/>
      <c r="AF429" s="1232"/>
      <c r="AV429" s="1232"/>
      <c r="AW429" s="1232"/>
      <c r="AX429" s="1232"/>
      <c r="AY429" s="1232"/>
      <c r="AZ429" s="1232"/>
      <c r="BA429" s="1232"/>
      <c r="BC429" s="1232"/>
      <c r="BE429" s="1232"/>
      <c r="BF429" s="1232"/>
      <c r="BG429" s="1232"/>
    </row>
    <row r="430" spans="18:59" x14ac:dyDescent="0.35">
      <c r="R430" s="1232"/>
      <c r="S430" s="1232"/>
      <c r="W430" s="1232"/>
      <c r="X430" s="1232"/>
      <c r="AE430" s="1232"/>
      <c r="AF430" s="1232"/>
      <c r="AV430" s="1232"/>
      <c r="AW430" s="1232"/>
      <c r="AX430" s="1232"/>
      <c r="AY430" s="1232"/>
      <c r="AZ430" s="1232"/>
      <c r="BA430" s="1232"/>
      <c r="BC430" s="1232"/>
      <c r="BE430" s="1232"/>
      <c r="BF430" s="1232"/>
      <c r="BG430" s="1232"/>
    </row>
    <row r="431" spans="18:59" x14ac:dyDescent="0.35">
      <c r="R431" s="1232"/>
      <c r="S431" s="1232"/>
      <c r="W431" s="1232"/>
      <c r="X431" s="1232"/>
      <c r="AE431" s="1232"/>
      <c r="AF431" s="1232"/>
      <c r="AV431" s="1232"/>
      <c r="AW431" s="1232"/>
      <c r="AX431" s="1232"/>
      <c r="AY431" s="1232"/>
      <c r="AZ431" s="1232"/>
      <c r="BA431" s="1232"/>
      <c r="BC431" s="1232"/>
      <c r="BE431" s="1232"/>
      <c r="BF431" s="1232"/>
      <c r="BG431" s="1232"/>
    </row>
    <row r="432" spans="18:59" x14ac:dyDescent="0.35">
      <c r="R432" s="1232"/>
      <c r="S432" s="1232"/>
      <c r="W432" s="1232"/>
      <c r="X432" s="1232"/>
      <c r="AE432" s="1232"/>
      <c r="AF432" s="1232"/>
      <c r="AV432" s="1232"/>
      <c r="AW432" s="1232"/>
      <c r="AX432" s="1232"/>
      <c r="AY432" s="1232"/>
      <c r="AZ432" s="1232"/>
      <c r="BA432" s="1232"/>
      <c r="BC432" s="1232"/>
      <c r="BE432" s="1232"/>
      <c r="BF432" s="1232"/>
      <c r="BG432" s="1232"/>
    </row>
    <row r="433" spans="18:59" x14ac:dyDescent="0.35">
      <c r="R433" s="1232"/>
      <c r="S433" s="1232"/>
      <c r="W433" s="1232"/>
      <c r="X433" s="1232"/>
      <c r="AE433" s="1232"/>
      <c r="AF433" s="1232"/>
      <c r="AV433" s="1232"/>
      <c r="AW433" s="1232"/>
      <c r="AX433" s="1232"/>
      <c r="AY433" s="1232"/>
      <c r="AZ433" s="1232"/>
      <c r="BA433" s="1232"/>
      <c r="BC433" s="1232"/>
      <c r="BE433" s="1232"/>
      <c r="BF433" s="1232"/>
      <c r="BG433" s="1232"/>
    </row>
    <row r="434" spans="18:59" x14ac:dyDescent="0.35">
      <c r="R434" s="1232"/>
      <c r="S434" s="1232"/>
      <c r="W434" s="1232"/>
      <c r="X434" s="1232"/>
      <c r="AE434" s="1232"/>
      <c r="AF434" s="1232"/>
      <c r="AV434" s="1232"/>
      <c r="AW434" s="1232"/>
      <c r="AX434" s="1232"/>
      <c r="AY434" s="1232"/>
      <c r="AZ434" s="1232"/>
      <c r="BA434" s="1232"/>
      <c r="BC434" s="1232"/>
      <c r="BE434" s="1232"/>
      <c r="BF434" s="1232"/>
      <c r="BG434" s="1232"/>
    </row>
    <row r="435" spans="18:59" x14ac:dyDescent="0.35">
      <c r="R435" s="1232"/>
      <c r="S435" s="1232"/>
      <c r="W435" s="1232"/>
      <c r="X435" s="1232"/>
      <c r="AE435" s="1232"/>
      <c r="AF435" s="1232"/>
      <c r="AV435" s="1232"/>
      <c r="AW435" s="1232"/>
      <c r="AX435" s="1232"/>
      <c r="AY435" s="1232"/>
      <c r="AZ435" s="1232"/>
      <c r="BA435" s="1232"/>
      <c r="BC435" s="1232"/>
      <c r="BE435" s="1232"/>
      <c r="BF435" s="1232"/>
      <c r="BG435" s="1232"/>
    </row>
    <row r="436" spans="18:59" x14ac:dyDescent="0.35">
      <c r="R436" s="1232"/>
      <c r="S436" s="1232"/>
      <c r="W436" s="1232"/>
      <c r="X436" s="1232"/>
      <c r="AE436" s="1232"/>
      <c r="AF436" s="1232"/>
      <c r="AV436" s="1232"/>
      <c r="AW436" s="1232"/>
      <c r="AX436" s="1232"/>
      <c r="AY436" s="1232"/>
      <c r="AZ436" s="1232"/>
      <c r="BA436" s="1232"/>
      <c r="BC436" s="1232"/>
      <c r="BE436" s="1232"/>
      <c r="BF436" s="1232"/>
      <c r="BG436" s="1232"/>
    </row>
    <row r="437" spans="18:59" x14ac:dyDescent="0.35">
      <c r="R437" s="1232"/>
      <c r="S437" s="1232"/>
      <c r="W437" s="1232"/>
      <c r="X437" s="1232"/>
      <c r="AE437" s="1232"/>
      <c r="AF437" s="1232"/>
      <c r="AV437" s="1232"/>
      <c r="AW437" s="1232"/>
      <c r="AX437" s="1232"/>
      <c r="AY437" s="1232"/>
      <c r="AZ437" s="1232"/>
      <c r="BA437" s="1232"/>
      <c r="BC437" s="1232"/>
      <c r="BE437" s="1232"/>
      <c r="BF437" s="1232"/>
      <c r="BG437" s="1232"/>
    </row>
    <row r="438" spans="18:59" x14ac:dyDescent="0.35">
      <c r="R438" s="1232"/>
      <c r="S438" s="1232"/>
      <c r="W438" s="1232"/>
      <c r="X438" s="1232"/>
      <c r="AE438" s="1232"/>
      <c r="AF438" s="1232"/>
      <c r="AV438" s="1232"/>
      <c r="AW438" s="1232"/>
      <c r="AX438" s="1232"/>
      <c r="AY438" s="1232"/>
      <c r="AZ438" s="1232"/>
      <c r="BA438" s="1232"/>
      <c r="BC438" s="1232"/>
      <c r="BE438" s="1232"/>
      <c r="BF438" s="1232"/>
      <c r="BG438" s="1232"/>
    </row>
    <row r="439" spans="18:59" x14ac:dyDescent="0.35">
      <c r="R439" s="1232"/>
      <c r="S439" s="1232"/>
      <c r="W439" s="1232"/>
      <c r="X439" s="1232"/>
      <c r="AE439" s="1232"/>
      <c r="AF439" s="1232"/>
      <c r="AV439" s="1232"/>
      <c r="AW439" s="1232"/>
      <c r="AX439" s="1232"/>
      <c r="AY439" s="1232"/>
      <c r="AZ439" s="1232"/>
      <c r="BA439" s="1232"/>
      <c r="BC439" s="1232"/>
      <c r="BE439" s="1232"/>
      <c r="BF439" s="1232"/>
      <c r="BG439" s="1232"/>
    </row>
    <row r="440" spans="18:59" x14ac:dyDescent="0.35">
      <c r="R440" s="1232"/>
      <c r="S440" s="1232"/>
      <c r="W440" s="1232"/>
      <c r="X440" s="1232"/>
      <c r="AE440" s="1232"/>
      <c r="AF440" s="1232"/>
      <c r="AV440" s="1232"/>
      <c r="AW440" s="1232"/>
      <c r="AX440" s="1232"/>
      <c r="AY440" s="1232"/>
      <c r="AZ440" s="1232"/>
      <c r="BA440" s="1232"/>
      <c r="BC440" s="1232"/>
      <c r="BE440" s="1232"/>
      <c r="BF440" s="1232"/>
      <c r="BG440" s="1232"/>
    </row>
    <row r="441" spans="18:59" x14ac:dyDescent="0.35">
      <c r="R441" s="1232"/>
      <c r="S441" s="1232"/>
      <c r="W441" s="1232"/>
      <c r="X441" s="1232"/>
      <c r="AE441" s="1232"/>
      <c r="AF441" s="1232"/>
      <c r="AV441" s="1232"/>
      <c r="AW441" s="1232"/>
      <c r="AX441" s="1232"/>
      <c r="AY441" s="1232"/>
      <c r="AZ441" s="1232"/>
      <c r="BA441" s="1232"/>
      <c r="BC441" s="1232"/>
      <c r="BE441" s="1232"/>
      <c r="BF441" s="1232"/>
      <c r="BG441" s="1232"/>
    </row>
    <row r="442" spans="18:59" x14ac:dyDescent="0.35">
      <c r="R442" s="1232"/>
      <c r="S442" s="1232"/>
      <c r="W442" s="1232"/>
      <c r="X442" s="1232"/>
      <c r="AE442" s="1232"/>
      <c r="AF442" s="1232"/>
      <c r="AV442" s="1232"/>
      <c r="AW442" s="1232"/>
      <c r="AX442" s="1232"/>
      <c r="AY442" s="1232"/>
      <c r="AZ442" s="1232"/>
      <c r="BA442" s="1232"/>
      <c r="BC442" s="1232"/>
      <c r="BE442" s="1232"/>
      <c r="BF442" s="1232"/>
      <c r="BG442" s="1232"/>
    </row>
    <row r="443" spans="18:59" x14ac:dyDescent="0.35">
      <c r="R443" s="1232"/>
      <c r="S443" s="1232"/>
      <c r="W443" s="1232"/>
      <c r="X443" s="1232"/>
      <c r="AE443" s="1232"/>
      <c r="AF443" s="1232"/>
      <c r="AV443" s="1232"/>
      <c r="AW443" s="1232"/>
      <c r="AX443" s="1232"/>
      <c r="AY443" s="1232"/>
      <c r="AZ443" s="1232"/>
      <c r="BA443" s="1232"/>
      <c r="BC443" s="1232"/>
      <c r="BE443" s="1232"/>
      <c r="BF443" s="1232"/>
      <c r="BG443" s="1232"/>
    </row>
    <row r="444" spans="18:59" x14ac:dyDescent="0.35">
      <c r="R444" s="1232"/>
      <c r="S444" s="1232"/>
      <c r="W444" s="1232"/>
      <c r="X444" s="1232"/>
      <c r="AE444" s="1232"/>
      <c r="AF444" s="1232"/>
      <c r="AV444" s="1232"/>
      <c r="AW444" s="1232"/>
      <c r="AX444" s="1232"/>
      <c r="AY444" s="1232"/>
      <c r="AZ444" s="1232"/>
      <c r="BA444" s="1232"/>
      <c r="BC444" s="1232"/>
      <c r="BE444" s="1232"/>
      <c r="BF444" s="1232"/>
      <c r="BG444" s="1232"/>
    </row>
    <row r="445" spans="18:59" x14ac:dyDescent="0.35">
      <c r="R445" s="1232"/>
      <c r="S445" s="1232"/>
      <c r="W445" s="1232"/>
      <c r="X445" s="1232"/>
      <c r="AE445" s="1232"/>
      <c r="AF445" s="1232"/>
      <c r="AV445" s="1232"/>
      <c r="AW445" s="1232"/>
      <c r="AX445" s="1232"/>
      <c r="AY445" s="1232"/>
      <c r="AZ445" s="1232"/>
      <c r="BA445" s="1232"/>
      <c r="BC445" s="1232"/>
      <c r="BE445" s="1232"/>
      <c r="BF445" s="1232"/>
      <c r="BG445" s="1232"/>
    </row>
    <row r="446" spans="18:59" x14ac:dyDescent="0.35">
      <c r="R446" s="1232"/>
      <c r="S446" s="1232"/>
      <c r="W446" s="1232"/>
      <c r="X446" s="1232"/>
      <c r="AE446" s="1232"/>
      <c r="AF446" s="1232"/>
      <c r="AV446" s="1232"/>
      <c r="AW446" s="1232"/>
      <c r="AX446" s="1232"/>
      <c r="AY446" s="1232"/>
      <c r="AZ446" s="1232"/>
      <c r="BA446" s="1232"/>
      <c r="BC446" s="1232"/>
      <c r="BE446" s="1232"/>
      <c r="BF446" s="1232"/>
      <c r="BG446" s="1232"/>
    </row>
    <row r="447" spans="18:59" x14ac:dyDescent="0.35">
      <c r="R447" s="1232"/>
      <c r="S447" s="1232"/>
      <c r="W447" s="1232"/>
      <c r="X447" s="1232"/>
      <c r="AE447" s="1232"/>
      <c r="AF447" s="1232"/>
      <c r="AV447" s="1232"/>
      <c r="AW447" s="1232"/>
      <c r="AX447" s="1232"/>
      <c r="AY447" s="1232"/>
      <c r="AZ447" s="1232"/>
      <c r="BA447" s="1232"/>
      <c r="BC447" s="1232"/>
      <c r="BE447" s="1232"/>
      <c r="BF447" s="1232"/>
      <c r="BG447" s="1232"/>
    </row>
    <row r="448" spans="18:59" x14ac:dyDescent="0.35">
      <c r="R448" s="1232"/>
      <c r="S448" s="1232"/>
      <c r="W448" s="1232"/>
      <c r="X448" s="1232"/>
      <c r="AE448" s="1232"/>
      <c r="AF448" s="1232"/>
      <c r="AV448" s="1232"/>
      <c r="AW448" s="1232"/>
      <c r="AX448" s="1232"/>
      <c r="AY448" s="1232"/>
      <c r="AZ448" s="1232"/>
      <c r="BA448" s="1232"/>
      <c r="BC448" s="1232"/>
      <c r="BE448" s="1232"/>
      <c r="BF448" s="1232"/>
      <c r="BG448" s="1232"/>
    </row>
    <row r="449" spans="18:59" x14ac:dyDescent="0.35">
      <c r="R449" s="1232"/>
      <c r="S449" s="1232"/>
      <c r="W449" s="1232"/>
      <c r="X449" s="1232"/>
      <c r="AE449" s="1232"/>
      <c r="AF449" s="1232"/>
      <c r="AV449" s="1232"/>
      <c r="AW449" s="1232"/>
      <c r="AX449" s="1232"/>
      <c r="AY449" s="1232"/>
      <c r="AZ449" s="1232"/>
      <c r="BA449" s="1232"/>
      <c r="BC449" s="1232"/>
      <c r="BE449" s="1232"/>
      <c r="BF449" s="1232"/>
      <c r="BG449" s="1232"/>
    </row>
    <row r="450" spans="18:59" x14ac:dyDescent="0.35">
      <c r="R450" s="1232"/>
      <c r="S450" s="1232"/>
      <c r="W450" s="1232"/>
      <c r="X450" s="1232"/>
      <c r="AE450" s="1232"/>
      <c r="AF450" s="1232"/>
      <c r="AV450" s="1232"/>
      <c r="AW450" s="1232"/>
      <c r="AX450" s="1232"/>
      <c r="AY450" s="1232"/>
      <c r="AZ450" s="1232"/>
      <c r="BA450" s="1232"/>
      <c r="BC450" s="1232"/>
      <c r="BE450" s="1232"/>
      <c r="BF450" s="1232"/>
      <c r="BG450" s="1232"/>
    </row>
    <row r="451" spans="18:59" x14ac:dyDescent="0.35">
      <c r="R451" s="1232"/>
      <c r="S451" s="1232"/>
      <c r="W451" s="1232"/>
      <c r="X451" s="1232"/>
      <c r="AE451" s="1232"/>
      <c r="AF451" s="1232"/>
      <c r="AV451" s="1232"/>
      <c r="AW451" s="1232"/>
      <c r="AX451" s="1232"/>
      <c r="AY451" s="1232"/>
      <c r="AZ451" s="1232"/>
      <c r="BA451" s="1232"/>
      <c r="BC451" s="1232"/>
      <c r="BE451" s="1232"/>
      <c r="BF451" s="1232"/>
      <c r="BG451" s="1232"/>
    </row>
    <row r="452" spans="18:59" x14ac:dyDescent="0.35">
      <c r="R452" s="1232"/>
      <c r="S452" s="1232"/>
      <c r="W452" s="1232"/>
      <c r="X452" s="1232"/>
      <c r="AE452" s="1232"/>
      <c r="AF452" s="1232"/>
      <c r="AV452" s="1232"/>
      <c r="AW452" s="1232"/>
      <c r="AX452" s="1232"/>
      <c r="AY452" s="1232"/>
      <c r="AZ452" s="1232"/>
      <c r="BA452" s="1232"/>
      <c r="BC452" s="1232"/>
      <c r="BE452" s="1232"/>
      <c r="BF452" s="1232"/>
      <c r="BG452" s="1232"/>
    </row>
    <row r="453" spans="18:59" x14ac:dyDescent="0.35">
      <c r="R453" s="1232"/>
      <c r="S453" s="1232"/>
      <c r="W453" s="1232"/>
      <c r="X453" s="1232"/>
      <c r="AE453" s="1232"/>
      <c r="AF453" s="1232"/>
      <c r="AV453" s="1232"/>
      <c r="AW453" s="1232"/>
      <c r="AX453" s="1232"/>
      <c r="AY453" s="1232"/>
      <c r="AZ453" s="1232"/>
      <c r="BA453" s="1232"/>
      <c r="BC453" s="1232"/>
      <c r="BE453" s="1232"/>
      <c r="BF453" s="1232"/>
      <c r="BG453" s="1232"/>
    </row>
    <row r="454" spans="18:59" x14ac:dyDescent="0.35">
      <c r="R454" s="1232"/>
      <c r="S454" s="1232"/>
      <c r="W454" s="1232"/>
      <c r="X454" s="1232"/>
      <c r="AE454" s="1232"/>
      <c r="AF454" s="1232"/>
      <c r="AV454" s="1232"/>
      <c r="AW454" s="1232"/>
      <c r="AX454" s="1232"/>
      <c r="AY454" s="1232"/>
      <c r="AZ454" s="1232"/>
      <c r="BA454" s="1232"/>
      <c r="BC454" s="1232"/>
      <c r="BE454" s="1232"/>
      <c r="BF454" s="1232"/>
      <c r="BG454" s="1232"/>
    </row>
    <row r="455" spans="18:59" x14ac:dyDescent="0.35">
      <c r="R455" s="1232"/>
      <c r="S455" s="1232"/>
      <c r="W455" s="1232"/>
      <c r="X455" s="1232"/>
      <c r="AE455" s="1232"/>
      <c r="AF455" s="1232"/>
      <c r="AV455" s="1232"/>
      <c r="AW455" s="1232"/>
      <c r="AX455" s="1232"/>
      <c r="AY455" s="1232"/>
      <c r="AZ455" s="1232"/>
      <c r="BA455" s="1232"/>
      <c r="BC455" s="1232"/>
      <c r="BE455" s="1232"/>
      <c r="BF455" s="1232"/>
      <c r="BG455" s="1232"/>
    </row>
    <row r="456" spans="18:59" x14ac:dyDescent="0.35">
      <c r="R456" s="1232"/>
      <c r="S456" s="1232"/>
      <c r="W456" s="1232"/>
      <c r="X456" s="1232"/>
      <c r="AE456" s="1232"/>
      <c r="AF456" s="1232"/>
      <c r="AV456" s="1232"/>
      <c r="AW456" s="1232"/>
      <c r="AX456" s="1232"/>
      <c r="AY456" s="1232"/>
      <c r="AZ456" s="1232"/>
      <c r="BA456" s="1232"/>
      <c r="BC456" s="1232"/>
      <c r="BE456" s="1232"/>
      <c r="BF456" s="1232"/>
      <c r="BG456" s="1232"/>
    </row>
    <row r="457" spans="18:59" x14ac:dyDescent="0.35">
      <c r="R457" s="1232"/>
      <c r="S457" s="1232"/>
      <c r="W457" s="1232"/>
      <c r="X457" s="1232"/>
      <c r="AE457" s="1232"/>
      <c r="AF457" s="1232"/>
      <c r="AV457" s="1232"/>
      <c r="AW457" s="1232"/>
      <c r="AX457" s="1232"/>
      <c r="AY457" s="1232"/>
      <c r="AZ457" s="1232"/>
      <c r="BA457" s="1232"/>
      <c r="BC457" s="1232"/>
      <c r="BE457" s="1232"/>
      <c r="BF457" s="1232"/>
      <c r="BG457" s="1232"/>
    </row>
    <row r="458" spans="18:59" x14ac:dyDescent="0.35">
      <c r="R458" s="1232"/>
      <c r="S458" s="1232"/>
      <c r="W458" s="1232"/>
      <c r="X458" s="1232"/>
      <c r="AE458" s="1232"/>
      <c r="AF458" s="1232"/>
      <c r="AV458" s="1232"/>
      <c r="AW458" s="1232"/>
      <c r="AX458" s="1232"/>
      <c r="AY458" s="1232"/>
      <c r="AZ458" s="1232"/>
      <c r="BA458" s="1232"/>
      <c r="BC458" s="1232"/>
      <c r="BE458" s="1232"/>
      <c r="BF458" s="1232"/>
      <c r="BG458" s="1232"/>
    </row>
    <row r="459" spans="18:59" x14ac:dyDescent="0.35">
      <c r="R459" s="1232"/>
      <c r="S459" s="1232"/>
      <c r="W459" s="1232"/>
      <c r="X459" s="1232"/>
      <c r="AE459" s="1232"/>
      <c r="AF459" s="1232"/>
      <c r="AV459" s="1232"/>
      <c r="AW459" s="1232"/>
      <c r="AX459" s="1232"/>
      <c r="AY459" s="1232"/>
      <c r="AZ459" s="1232"/>
      <c r="BA459" s="1232"/>
      <c r="BC459" s="1232"/>
      <c r="BE459" s="1232"/>
      <c r="BF459" s="1232"/>
      <c r="BG459" s="1232"/>
    </row>
    <row r="460" spans="18:59" x14ac:dyDescent="0.35">
      <c r="R460" s="1232"/>
      <c r="S460" s="1232"/>
      <c r="W460" s="1232"/>
      <c r="X460" s="1232"/>
      <c r="AE460" s="1232"/>
      <c r="AF460" s="1232"/>
      <c r="AV460" s="1232"/>
      <c r="AW460" s="1232"/>
      <c r="AX460" s="1232"/>
      <c r="AY460" s="1232"/>
      <c r="AZ460" s="1232"/>
      <c r="BA460" s="1232"/>
      <c r="BC460" s="1232"/>
      <c r="BE460" s="1232"/>
      <c r="BF460" s="1232"/>
      <c r="BG460" s="1232"/>
    </row>
    <row r="461" spans="18:59" x14ac:dyDescent="0.35">
      <c r="R461" s="1232"/>
      <c r="S461" s="1232"/>
      <c r="W461" s="1232"/>
      <c r="X461" s="1232"/>
      <c r="AE461" s="1232"/>
      <c r="AF461" s="1232"/>
      <c r="AV461" s="1232"/>
      <c r="AW461" s="1232"/>
      <c r="AX461" s="1232"/>
      <c r="AY461" s="1232"/>
      <c r="AZ461" s="1232"/>
      <c r="BA461" s="1232"/>
      <c r="BC461" s="1232"/>
      <c r="BE461" s="1232"/>
      <c r="BF461" s="1232"/>
      <c r="BG461" s="1232"/>
    </row>
    <row r="462" spans="18:59" x14ac:dyDescent="0.35">
      <c r="R462" s="1232"/>
      <c r="S462" s="1232"/>
      <c r="W462" s="1232"/>
      <c r="X462" s="1232"/>
      <c r="AE462" s="1232"/>
      <c r="AF462" s="1232"/>
      <c r="AV462" s="1232"/>
      <c r="AW462" s="1232"/>
      <c r="AX462" s="1232"/>
      <c r="AY462" s="1232"/>
      <c r="AZ462" s="1232"/>
      <c r="BA462" s="1232"/>
      <c r="BC462" s="1232"/>
      <c r="BE462" s="1232"/>
      <c r="BF462" s="1232"/>
      <c r="BG462" s="1232"/>
    </row>
    <row r="463" spans="18:59" x14ac:dyDescent="0.35">
      <c r="R463" s="1232"/>
      <c r="S463" s="1232"/>
      <c r="W463" s="1232"/>
      <c r="X463" s="1232"/>
      <c r="AE463" s="1232"/>
      <c r="AF463" s="1232"/>
      <c r="AV463" s="1232"/>
      <c r="AW463" s="1232"/>
      <c r="AX463" s="1232"/>
      <c r="AY463" s="1232"/>
      <c r="AZ463" s="1232"/>
      <c r="BA463" s="1232"/>
      <c r="BC463" s="1232"/>
      <c r="BE463" s="1232"/>
      <c r="BF463" s="1232"/>
      <c r="BG463" s="1232"/>
    </row>
    <row r="464" spans="18:59" x14ac:dyDescent="0.35">
      <c r="R464" s="1232"/>
      <c r="S464" s="1232"/>
      <c r="W464" s="1232"/>
      <c r="X464" s="1232"/>
      <c r="AE464" s="1232"/>
      <c r="AF464" s="1232"/>
      <c r="AV464" s="1232"/>
      <c r="AW464" s="1232"/>
      <c r="AX464" s="1232"/>
      <c r="AY464" s="1232"/>
      <c r="AZ464" s="1232"/>
      <c r="BA464" s="1232"/>
      <c r="BC464" s="1232"/>
      <c r="BE464" s="1232"/>
      <c r="BF464" s="1232"/>
      <c r="BG464" s="1232"/>
    </row>
    <row r="465" spans="18:59" x14ac:dyDescent="0.35">
      <c r="R465" s="1232"/>
      <c r="S465" s="1232"/>
      <c r="W465" s="1232"/>
      <c r="X465" s="1232"/>
      <c r="AE465" s="1232"/>
      <c r="AF465" s="1232"/>
      <c r="AV465" s="1232"/>
      <c r="AW465" s="1232"/>
      <c r="AX465" s="1232"/>
      <c r="AY465" s="1232"/>
      <c r="AZ465" s="1232"/>
      <c r="BA465" s="1232"/>
      <c r="BC465" s="1232"/>
      <c r="BE465" s="1232"/>
      <c r="BF465" s="1232"/>
      <c r="BG465" s="1232"/>
    </row>
    <row r="466" spans="18:59" x14ac:dyDescent="0.35">
      <c r="R466" s="1232"/>
      <c r="S466" s="1232"/>
      <c r="W466" s="1232"/>
      <c r="X466" s="1232"/>
      <c r="AE466" s="1232"/>
      <c r="AF466" s="1232"/>
      <c r="AV466" s="1232"/>
      <c r="AW466" s="1232"/>
      <c r="AX466" s="1232"/>
      <c r="AY466" s="1232"/>
      <c r="AZ466" s="1232"/>
      <c r="BA466" s="1232"/>
      <c r="BC466" s="1232"/>
      <c r="BE466" s="1232"/>
      <c r="BF466" s="1232"/>
      <c r="BG466" s="1232"/>
    </row>
    <row r="467" spans="18:59" x14ac:dyDescent="0.35">
      <c r="R467" s="1232"/>
      <c r="S467" s="1232"/>
      <c r="W467" s="1232"/>
      <c r="X467" s="1232"/>
      <c r="AE467" s="1232"/>
      <c r="AF467" s="1232"/>
      <c r="AV467" s="1232"/>
      <c r="AW467" s="1232"/>
      <c r="AX467" s="1232"/>
      <c r="AY467" s="1232"/>
      <c r="AZ467" s="1232"/>
      <c r="BA467" s="1232"/>
      <c r="BC467" s="1232"/>
      <c r="BE467" s="1232"/>
      <c r="BF467" s="1232"/>
      <c r="BG467" s="1232"/>
    </row>
    <row r="468" spans="18:59" x14ac:dyDescent="0.35">
      <c r="R468" s="1232"/>
      <c r="S468" s="1232"/>
      <c r="W468" s="1232"/>
      <c r="X468" s="1232"/>
      <c r="AE468" s="1232"/>
      <c r="AF468" s="1232"/>
      <c r="AV468" s="1232"/>
      <c r="AW468" s="1232"/>
      <c r="AX468" s="1232"/>
      <c r="AY468" s="1232"/>
      <c r="AZ468" s="1232"/>
      <c r="BA468" s="1232"/>
      <c r="BC468" s="1232"/>
      <c r="BE468" s="1232"/>
      <c r="BF468" s="1232"/>
      <c r="BG468" s="1232"/>
    </row>
    <row r="469" spans="18:59" x14ac:dyDescent="0.35">
      <c r="R469" s="1232"/>
      <c r="S469" s="1232"/>
      <c r="W469" s="1232"/>
      <c r="X469" s="1232"/>
      <c r="AE469" s="1232"/>
      <c r="AF469" s="1232"/>
      <c r="AV469" s="1232"/>
      <c r="AW469" s="1232"/>
      <c r="AX469" s="1232"/>
      <c r="AY469" s="1232"/>
      <c r="AZ469" s="1232"/>
      <c r="BA469" s="1232"/>
      <c r="BC469" s="1232"/>
      <c r="BE469" s="1232"/>
      <c r="BF469" s="1232"/>
      <c r="BG469" s="1232"/>
    </row>
    <row r="470" spans="18:59" x14ac:dyDescent="0.35">
      <c r="R470" s="1232"/>
      <c r="S470" s="1232"/>
      <c r="W470" s="1232"/>
      <c r="X470" s="1232"/>
      <c r="AE470" s="1232"/>
      <c r="AF470" s="1232"/>
      <c r="AV470" s="1232"/>
      <c r="AW470" s="1232"/>
      <c r="AX470" s="1232"/>
      <c r="AY470" s="1232"/>
      <c r="AZ470" s="1232"/>
      <c r="BA470" s="1232"/>
      <c r="BC470" s="1232"/>
      <c r="BE470" s="1232"/>
      <c r="BF470" s="1232"/>
      <c r="BG470" s="1232"/>
    </row>
    <row r="471" spans="18:59" x14ac:dyDescent="0.35">
      <c r="R471" s="1232"/>
      <c r="S471" s="1232"/>
      <c r="W471" s="1232"/>
      <c r="X471" s="1232"/>
      <c r="AE471" s="1232"/>
      <c r="AF471" s="1232"/>
      <c r="AV471" s="1232"/>
      <c r="AW471" s="1232"/>
      <c r="AX471" s="1232"/>
      <c r="AY471" s="1232"/>
      <c r="AZ471" s="1232"/>
      <c r="BA471" s="1232"/>
      <c r="BC471" s="1232"/>
      <c r="BE471" s="1232"/>
      <c r="BF471" s="1232"/>
      <c r="BG471" s="1232"/>
    </row>
    <row r="472" spans="18:59" x14ac:dyDescent="0.35">
      <c r="R472" s="1232"/>
      <c r="S472" s="1232"/>
      <c r="W472" s="1232"/>
      <c r="X472" s="1232"/>
      <c r="AE472" s="1232"/>
      <c r="AF472" s="1232"/>
      <c r="AV472" s="1232"/>
      <c r="AW472" s="1232"/>
      <c r="AX472" s="1232"/>
      <c r="AY472" s="1232"/>
      <c r="AZ472" s="1232"/>
      <c r="BA472" s="1232"/>
      <c r="BC472" s="1232"/>
      <c r="BE472" s="1232"/>
      <c r="BF472" s="1232"/>
      <c r="BG472" s="1232"/>
    </row>
    <row r="473" spans="18:59" x14ac:dyDescent="0.35">
      <c r="R473" s="1232"/>
      <c r="S473" s="1232"/>
      <c r="W473" s="1232"/>
      <c r="X473" s="1232"/>
      <c r="AE473" s="1232"/>
      <c r="AF473" s="1232"/>
      <c r="AV473" s="1232"/>
      <c r="AW473" s="1232"/>
      <c r="AX473" s="1232"/>
      <c r="AY473" s="1232"/>
      <c r="AZ473" s="1232"/>
      <c r="BA473" s="1232"/>
      <c r="BC473" s="1232"/>
      <c r="BE473" s="1232"/>
      <c r="BF473" s="1232"/>
      <c r="BG473" s="1232"/>
    </row>
    <row r="474" spans="18:59" x14ac:dyDescent="0.35">
      <c r="R474" s="1232"/>
      <c r="S474" s="1232"/>
      <c r="W474" s="1232"/>
      <c r="X474" s="1232"/>
      <c r="AE474" s="1232"/>
      <c r="AF474" s="1232"/>
      <c r="AV474" s="1232"/>
      <c r="AW474" s="1232"/>
      <c r="AX474" s="1232"/>
      <c r="AY474" s="1232"/>
      <c r="AZ474" s="1232"/>
      <c r="BA474" s="1232"/>
      <c r="BC474" s="1232"/>
      <c r="BE474" s="1232"/>
      <c r="BF474" s="1232"/>
      <c r="BG474" s="1232"/>
    </row>
    <row r="475" spans="18:59" x14ac:dyDescent="0.35">
      <c r="R475" s="1232"/>
      <c r="S475" s="1232"/>
      <c r="W475" s="1232"/>
      <c r="X475" s="1232"/>
      <c r="AE475" s="1232"/>
      <c r="AF475" s="1232"/>
      <c r="AV475" s="1232"/>
      <c r="AW475" s="1232"/>
      <c r="AX475" s="1232"/>
      <c r="AY475" s="1232"/>
      <c r="AZ475" s="1232"/>
      <c r="BA475" s="1232"/>
      <c r="BC475" s="1232"/>
      <c r="BE475" s="1232"/>
      <c r="BF475" s="1232"/>
      <c r="BG475" s="1232"/>
    </row>
    <row r="476" spans="18:59" x14ac:dyDescent="0.35">
      <c r="R476" s="1232"/>
      <c r="S476" s="1232"/>
      <c r="W476" s="1232"/>
      <c r="X476" s="1232"/>
      <c r="AE476" s="1232"/>
      <c r="AF476" s="1232"/>
      <c r="AV476" s="1232"/>
      <c r="AW476" s="1232"/>
      <c r="AX476" s="1232"/>
      <c r="AY476" s="1232"/>
      <c r="AZ476" s="1232"/>
      <c r="BA476" s="1232"/>
      <c r="BC476" s="1232"/>
      <c r="BE476" s="1232"/>
      <c r="BF476" s="1232"/>
      <c r="BG476" s="1232"/>
    </row>
    <row r="477" spans="18:59" x14ac:dyDescent="0.35">
      <c r="R477" s="1232"/>
      <c r="S477" s="1232"/>
      <c r="W477" s="1232"/>
      <c r="X477" s="1232"/>
      <c r="AE477" s="1232"/>
      <c r="AF477" s="1232"/>
      <c r="AV477" s="1232"/>
      <c r="AW477" s="1232"/>
      <c r="AX477" s="1232"/>
      <c r="AY477" s="1232"/>
      <c r="AZ477" s="1232"/>
      <c r="BA477" s="1232"/>
      <c r="BC477" s="1232"/>
      <c r="BE477" s="1232"/>
      <c r="BF477" s="1232"/>
      <c r="BG477" s="1232"/>
    </row>
    <row r="478" spans="18:59" x14ac:dyDescent="0.35">
      <c r="R478" s="1232"/>
      <c r="S478" s="1232"/>
      <c r="W478" s="1232"/>
      <c r="X478" s="1232"/>
      <c r="AE478" s="1232"/>
      <c r="AF478" s="1232"/>
      <c r="AV478" s="1232"/>
      <c r="AW478" s="1232"/>
      <c r="AX478" s="1232"/>
      <c r="AY478" s="1232"/>
      <c r="AZ478" s="1232"/>
      <c r="BA478" s="1232"/>
      <c r="BC478" s="1232"/>
      <c r="BE478" s="1232"/>
      <c r="BF478" s="1232"/>
      <c r="BG478" s="1232"/>
    </row>
    <row r="479" spans="18:59" x14ac:dyDescent="0.35">
      <c r="R479" s="1232"/>
      <c r="S479" s="1232"/>
      <c r="W479" s="1232"/>
      <c r="X479" s="1232"/>
      <c r="AE479" s="1232"/>
      <c r="AF479" s="1232"/>
      <c r="AV479" s="1232"/>
      <c r="AW479" s="1232"/>
      <c r="AX479" s="1232"/>
      <c r="AY479" s="1232"/>
      <c r="AZ479" s="1232"/>
      <c r="BA479" s="1232"/>
      <c r="BC479" s="1232"/>
      <c r="BE479" s="1232"/>
      <c r="BF479" s="1232"/>
      <c r="BG479" s="1232"/>
    </row>
    <row r="480" spans="18:59" x14ac:dyDescent="0.35">
      <c r="R480" s="1232"/>
      <c r="S480" s="1232"/>
      <c r="W480" s="1232"/>
      <c r="X480" s="1232"/>
      <c r="AE480" s="1232"/>
      <c r="AF480" s="1232"/>
      <c r="AV480" s="1232"/>
      <c r="AW480" s="1232"/>
      <c r="AX480" s="1232"/>
      <c r="AY480" s="1232"/>
      <c r="AZ480" s="1232"/>
      <c r="BA480" s="1232"/>
      <c r="BC480" s="1232"/>
      <c r="BE480" s="1232"/>
      <c r="BF480" s="1232"/>
      <c r="BG480" s="1232"/>
    </row>
    <row r="481" spans="18:59" x14ac:dyDescent="0.35">
      <c r="R481" s="1232"/>
      <c r="S481" s="1232"/>
      <c r="W481" s="1232"/>
      <c r="X481" s="1232"/>
      <c r="AE481" s="1232"/>
      <c r="AF481" s="1232"/>
      <c r="AV481" s="1232"/>
      <c r="AW481" s="1232"/>
      <c r="AX481" s="1232"/>
      <c r="AY481" s="1232"/>
      <c r="AZ481" s="1232"/>
      <c r="BA481" s="1232"/>
      <c r="BC481" s="1232"/>
      <c r="BE481" s="1232"/>
      <c r="BF481" s="1232"/>
      <c r="BG481" s="1232"/>
    </row>
    <row r="482" spans="18:59" x14ac:dyDescent="0.35">
      <c r="R482" s="1232"/>
      <c r="S482" s="1232"/>
      <c r="W482" s="1232"/>
      <c r="X482" s="1232"/>
      <c r="AE482" s="1232"/>
      <c r="AF482" s="1232"/>
      <c r="AV482" s="1232"/>
      <c r="AW482" s="1232"/>
      <c r="AX482" s="1232"/>
      <c r="AY482" s="1232"/>
      <c r="AZ482" s="1232"/>
      <c r="BA482" s="1232"/>
      <c r="BC482" s="1232"/>
      <c r="BE482" s="1232"/>
      <c r="BF482" s="1232"/>
      <c r="BG482" s="1232"/>
    </row>
    <row r="483" spans="18:59" x14ac:dyDescent="0.35">
      <c r="R483" s="1232"/>
      <c r="S483" s="1232"/>
      <c r="W483" s="1232"/>
      <c r="X483" s="1232"/>
      <c r="AE483" s="1232"/>
      <c r="AF483" s="1232"/>
      <c r="AV483" s="1232"/>
      <c r="AW483" s="1232"/>
      <c r="AX483" s="1232"/>
      <c r="AY483" s="1232"/>
      <c r="AZ483" s="1232"/>
      <c r="BA483" s="1232"/>
      <c r="BC483" s="1232"/>
      <c r="BE483" s="1232"/>
      <c r="BF483" s="1232"/>
      <c r="BG483" s="1232"/>
    </row>
    <row r="484" spans="18:59" x14ac:dyDescent="0.35">
      <c r="R484" s="1232"/>
      <c r="S484" s="1232"/>
      <c r="W484" s="1232"/>
      <c r="X484" s="1232"/>
      <c r="AE484" s="1232"/>
      <c r="AF484" s="1232"/>
      <c r="AV484" s="1232"/>
      <c r="AW484" s="1232"/>
      <c r="AX484" s="1232"/>
      <c r="AY484" s="1232"/>
      <c r="AZ484" s="1232"/>
      <c r="BA484" s="1232"/>
      <c r="BC484" s="1232"/>
      <c r="BE484" s="1232"/>
      <c r="BF484" s="1232"/>
      <c r="BG484" s="1232"/>
    </row>
    <row r="485" spans="18:59" x14ac:dyDescent="0.35">
      <c r="R485" s="1232"/>
      <c r="S485" s="1232"/>
      <c r="W485" s="1232"/>
      <c r="X485" s="1232"/>
      <c r="AE485" s="1232"/>
      <c r="AF485" s="1232"/>
      <c r="AV485" s="1232"/>
      <c r="AW485" s="1232"/>
      <c r="AX485" s="1232"/>
      <c r="AY485" s="1232"/>
      <c r="AZ485" s="1232"/>
      <c r="BA485" s="1232"/>
      <c r="BC485" s="1232"/>
      <c r="BE485" s="1232"/>
      <c r="BF485" s="1232"/>
      <c r="BG485" s="1232"/>
    </row>
    <row r="486" spans="18:59" x14ac:dyDescent="0.35">
      <c r="R486" s="1232"/>
      <c r="S486" s="1232"/>
      <c r="W486" s="1232"/>
      <c r="X486" s="1232"/>
      <c r="AE486" s="1232"/>
      <c r="AF486" s="1232"/>
      <c r="AV486" s="1232"/>
      <c r="AW486" s="1232"/>
      <c r="AX486" s="1232"/>
      <c r="AY486" s="1232"/>
      <c r="AZ486" s="1232"/>
      <c r="BA486" s="1232"/>
      <c r="BC486" s="1232"/>
      <c r="BE486" s="1232"/>
      <c r="BF486" s="1232"/>
      <c r="BG486" s="1232"/>
    </row>
    <row r="487" spans="18:59" x14ac:dyDescent="0.35">
      <c r="R487" s="1232"/>
      <c r="S487" s="1232"/>
      <c r="W487" s="1232"/>
      <c r="X487" s="1232"/>
      <c r="AE487" s="1232"/>
      <c r="AF487" s="1232"/>
      <c r="AV487" s="1232"/>
      <c r="AW487" s="1232"/>
      <c r="AX487" s="1232"/>
      <c r="AY487" s="1232"/>
      <c r="AZ487" s="1232"/>
      <c r="BA487" s="1232"/>
      <c r="BC487" s="1232"/>
      <c r="BE487" s="1232"/>
      <c r="BF487" s="1232"/>
      <c r="BG487" s="1232"/>
    </row>
    <row r="488" spans="18:59" x14ac:dyDescent="0.35">
      <c r="R488" s="1232"/>
      <c r="S488" s="1232"/>
      <c r="W488" s="1232"/>
      <c r="X488" s="1232"/>
      <c r="AE488" s="1232"/>
      <c r="AF488" s="1232"/>
      <c r="AV488" s="1232"/>
      <c r="AW488" s="1232"/>
      <c r="AX488" s="1232"/>
      <c r="AY488" s="1232"/>
      <c r="AZ488" s="1232"/>
      <c r="BA488" s="1232"/>
      <c r="BC488" s="1232"/>
      <c r="BE488" s="1232"/>
      <c r="BF488" s="1232"/>
      <c r="BG488" s="1232"/>
    </row>
    <row r="489" spans="18:59" x14ac:dyDescent="0.35">
      <c r="R489" s="1232"/>
      <c r="S489" s="1232"/>
      <c r="W489" s="1232"/>
      <c r="X489" s="1232"/>
      <c r="AE489" s="1232"/>
      <c r="AF489" s="1232"/>
      <c r="AV489" s="1232"/>
      <c r="AW489" s="1232"/>
      <c r="AX489" s="1232"/>
      <c r="AY489" s="1232"/>
      <c r="AZ489" s="1232"/>
      <c r="BA489" s="1232"/>
      <c r="BC489" s="1232"/>
      <c r="BE489" s="1232"/>
      <c r="BF489" s="1232"/>
      <c r="BG489" s="1232"/>
    </row>
    <row r="490" spans="18:59" x14ac:dyDescent="0.35">
      <c r="R490" s="1232"/>
      <c r="S490" s="1232"/>
      <c r="W490" s="1232"/>
      <c r="X490" s="1232"/>
      <c r="AE490" s="1232"/>
      <c r="AF490" s="1232"/>
      <c r="AV490" s="1232"/>
      <c r="AW490" s="1232"/>
      <c r="AX490" s="1232"/>
      <c r="AY490" s="1232"/>
      <c r="AZ490" s="1232"/>
      <c r="BA490" s="1232"/>
      <c r="BC490" s="1232"/>
      <c r="BE490" s="1232"/>
      <c r="BF490" s="1232"/>
      <c r="BG490" s="1232"/>
    </row>
    <row r="491" spans="18:59" x14ac:dyDescent="0.35">
      <c r="R491" s="1232"/>
      <c r="S491" s="1232"/>
      <c r="W491" s="1232"/>
      <c r="X491" s="1232"/>
      <c r="AE491" s="1232"/>
      <c r="AF491" s="1232"/>
      <c r="AV491" s="1232"/>
      <c r="AW491" s="1232"/>
      <c r="AX491" s="1232"/>
      <c r="AY491" s="1232"/>
      <c r="AZ491" s="1232"/>
      <c r="BA491" s="1232"/>
      <c r="BC491" s="1232"/>
      <c r="BE491" s="1232"/>
      <c r="BF491" s="1232"/>
      <c r="BG491" s="1232"/>
    </row>
    <row r="492" spans="18:59" x14ac:dyDescent="0.35">
      <c r="R492" s="1232"/>
      <c r="S492" s="1232"/>
      <c r="W492" s="1232"/>
      <c r="X492" s="1232"/>
      <c r="AE492" s="1232"/>
      <c r="AF492" s="1232"/>
      <c r="AV492" s="1232"/>
      <c r="AW492" s="1232"/>
      <c r="AX492" s="1232"/>
      <c r="AY492" s="1232"/>
      <c r="AZ492" s="1232"/>
      <c r="BA492" s="1232"/>
      <c r="BC492" s="1232"/>
      <c r="BE492" s="1232"/>
      <c r="BF492" s="1232"/>
      <c r="BG492" s="1232"/>
    </row>
    <row r="493" spans="18:59" x14ac:dyDescent="0.35">
      <c r="R493" s="1232"/>
      <c r="S493" s="1232"/>
      <c r="W493" s="1232"/>
      <c r="X493" s="1232"/>
      <c r="AE493" s="1232"/>
      <c r="AF493" s="1232"/>
      <c r="AV493" s="1232"/>
      <c r="AW493" s="1232"/>
      <c r="AX493" s="1232"/>
      <c r="AY493" s="1232"/>
      <c r="AZ493" s="1232"/>
      <c r="BA493" s="1232"/>
      <c r="BC493" s="1232"/>
      <c r="BE493" s="1232"/>
      <c r="BF493" s="1232"/>
      <c r="BG493" s="1232"/>
    </row>
    <row r="494" spans="18:59" x14ac:dyDescent="0.35">
      <c r="R494" s="1232"/>
      <c r="S494" s="1232"/>
      <c r="W494" s="1232"/>
      <c r="X494" s="1232"/>
      <c r="AE494" s="1232"/>
      <c r="AF494" s="1232"/>
      <c r="AV494" s="1232"/>
      <c r="AW494" s="1232"/>
      <c r="AX494" s="1232"/>
      <c r="AY494" s="1232"/>
      <c r="AZ494" s="1232"/>
      <c r="BA494" s="1232"/>
      <c r="BC494" s="1232"/>
      <c r="BE494" s="1232"/>
      <c r="BF494" s="1232"/>
      <c r="BG494" s="1232"/>
    </row>
    <row r="495" spans="18:59" x14ac:dyDescent="0.35">
      <c r="R495" s="1232"/>
      <c r="S495" s="1232"/>
      <c r="W495" s="1232"/>
      <c r="X495" s="1232"/>
      <c r="AE495" s="1232"/>
      <c r="AF495" s="1232"/>
      <c r="AV495" s="1232"/>
      <c r="AW495" s="1232"/>
      <c r="AX495" s="1232"/>
      <c r="AY495" s="1232"/>
      <c r="AZ495" s="1232"/>
      <c r="BA495" s="1232"/>
      <c r="BC495" s="1232"/>
      <c r="BE495" s="1232"/>
      <c r="BF495" s="1232"/>
      <c r="BG495" s="1232"/>
    </row>
    <row r="496" spans="18:59" x14ac:dyDescent="0.35">
      <c r="R496" s="1232"/>
      <c r="S496" s="1232"/>
      <c r="W496" s="1232"/>
      <c r="X496" s="1232"/>
      <c r="AE496" s="1232"/>
      <c r="AF496" s="1232"/>
      <c r="AV496" s="1232"/>
      <c r="AW496" s="1232"/>
      <c r="AX496" s="1232"/>
      <c r="AY496" s="1232"/>
      <c r="AZ496" s="1232"/>
      <c r="BA496" s="1232"/>
      <c r="BC496" s="1232"/>
      <c r="BE496" s="1232"/>
      <c r="BF496" s="1232"/>
      <c r="BG496" s="1232"/>
    </row>
    <row r="497" spans="18:59" x14ac:dyDescent="0.35">
      <c r="R497" s="1232"/>
      <c r="S497" s="1232"/>
      <c r="W497" s="1232"/>
      <c r="X497" s="1232"/>
      <c r="AE497" s="1232"/>
      <c r="AF497" s="1232"/>
      <c r="AV497" s="1232"/>
      <c r="AW497" s="1232"/>
      <c r="AX497" s="1232"/>
      <c r="AY497" s="1232"/>
      <c r="AZ497" s="1232"/>
      <c r="BA497" s="1232"/>
      <c r="BC497" s="1232"/>
      <c r="BE497" s="1232"/>
      <c r="BF497" s="1232"/>
      <c r="BG497" s="1232"/>
    </row>
    <row r="498" spans="18:59" x14ac:dyDescent="0.35">
      <c r="R498" s="1232"/>
      <c r="S498" s="1232"/>
      <c r="W498" s="1232"/>
      <c r="X498" s="1232"/>
      <c r="AE498" s="1232"/>
      <c r="AF498" s="1232"/>
      <c r="AV498" s="1232"/>
      <c r="AW498" s="1232"/>
      <c r="AX498" s="1232"/>
      <c r="AY498" s="1232"/>
      <c r="AZ498" s="1232"/>
      <c r="BA498" s="1232"/>
      <c r="BC498" s="1232"/>
      <c r="BE498" s="1232"/>
      <c r="BF498" s="1232"/>
      <c r="BG498" s="1232"/>
    </row>
    <row r="499" spans="18:59" x14ac:dyDescent="0.35">
      <c r="R499" s="1232"/>
      <c r="S499" s="1232"/>
      <c r="W499" s="1232"/>
      <c r="X499" s="1232"/>
      <c r="AE499" s="1232"/>
      <c r="AF499" s="1232"/>
      <c r="AV499" s="1232"/>
      <c r="AW499" s="1232"/>
      <c r="AX499" s="1232"/>
      <c r="AY499" s="1232"/>
      <c r="AZ499" s="1232"/>
      <c r="BA499" s="1232"/>
      <c r="BC499" s="1232"/>
      <c r="BE499" s="1232"/>
      <c r="BF499" s="1232"/>
      <c r="BG499" s="1232"/>
    </row>
    <row r="500" spans="18:59" x14ac:dyDescent="0.35">
      <c r="R500" s="1232"/>
      <c r="S500" s="1232"/>
      <c r="W500" s="1232"/>
      <c r="X500" s="1232"/>
      <c r="AE500" s="1232"/>
      <c r="AF500" s="1232"/>
      <c r="AV500" s="1232"/>
      <c r="AW500" s="1232"/>
      <c r="AX500" s="1232"/>
      <c r="AY500" s="1232"/>
      <c r="AZ500" s="1232"/>
      <c r="BA500" s="1232"/>
      <c r="BC500" s="1232"/>
      <c r="BE500" s="1232"/>
      <c r="BF500" s="1232"/>
      <c r="BG500" s="1232"/>
    </row>
    <row r="501" spans="18:59" x14ac:dyDescent="0.35">
      <c r="R501" s="1232"/>
      <c r="S501" s="1232"/>
      <c r="W501" s="1232"/>
      <c r="X501" s="1232"/>
      <c r="AE501" s="1232"/>
      <c r="AF501" s="1232"/>
      <c r="AV501" s="1232"/>
      <c r="AW501" s="1232"/>
      <c r="AX501" s="1232"/>
      <c r="AY501" s="1232"/>
      <c r="AZ501" s="1232"/>
      <c r="BA501" s="1232"/>
      <c r="BC501" s="1232"/>
      <c r="BE501" s="1232"/>
      <c r="BF501" s="1232"/>
      <c r="BG501" s="1232"/>
    </row>
    <row r="502" spans="18:59" x14ac:dyDescent="0.35">
      <c r="R502" s="1232"/>
      <c r="S502" s="1232"/>
      <c r="W502" s="1232"/>
      <c r="X502" s="1232"/>
      <c r="AE502" s="1232"/>
      <c r="AF502" s="1232"/>
      <c r="AV502" s="1232"/>
      <c r="AW502" s="1232"/>
      <c r="AX502" s="1232"/>
      <c r="AY502" s="1232"/>
      <c r="AZ502" s="1232"/>
      <c r="BA502" s="1232"/>
      <c r="BC502" s="1232"/>
      <c r="BE502" s="1232"/>
      <c r="BF502" s="1232"/>
      <c r="BG502" s="1232"/>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37" t="s">
        <v>730</v>
      </c>
      <c r="B1" s="1237"/>
      <c r="C1" s="1237"/>
      <c r="D1" s="1237"/>
    </row>
    <row r="2" spans="1:22" x14ac:dyDescent="0.35">
      <c r="A2" t="s">
        <v>731</v>
      </c>
      <c r="B2" s="136">
        <v>2021</v>
      </c>
      <c r="C2" s="136">
        <v>2021</v>
      </c>
      <c r="D2" s="136">
        <v>2021</v>
      </c>
      <c r="E2" s="136">
        <v>2022</v>
      </c>
      <c r="F2" s="136">
        <v>2022</v>
      </c>
      <c r="G2" s="136">
        <v>2022</v>
      </c>
      <c r="H2" s="136">
        <v>2022</v>
      </c>
      <c r="I2" s="136">
        <v>2023</v>
      </c>
      <c r="J2" s="136">
        <v>2023</v>
      </c>
      <c r="K2" s="136">
        <v>2023</v>
      </c>
      <c r="L2" s="136">
        <v>2023</v>
      </c>
      <c r="M2" s="136">
        <v>2024</v>
      </c>
      <c r="N2" s="136">
        <v>2024</v>
      </c>
      <c r="O2" s="136">
        <v>2024</v>
      </c>
      <c r="P2" s="136">
        <v>2024</v>
      </c>
      <c r="Q2" s="136">
        <v>2025</v>
      </c>
      <c r="R2" s="136">
        <v>2025</v>
      </c>
      <c r="S2" s="136">
        <v>2025</v>
      </c>
      <c r="T2" s="136">
        <v>2025</v>
      </c>
      <c r="U2" s="136">
        <v>2026</v>
      </c>
    </row>
    <row r="3" spans="1:22" x14ac:dyDescent="0.35">
      <c r="A3" s="979" t="s">
        <v>732</v>
      </c>
      <c r="B3" s="1238" t="s">
        <v>733</v>
      </c>
      <c r="C3" s="1238" t="s">
        <v>734</v>
      </c>
      <c r="D3" s="1238" t="s">
        <v>735</v>
      </c>
      <c r="E3" s="1238" t="s">
        <v>736</v>
      </c>
      <c r="F3" s="1238" t="s">
        <v>737</v>
      </c>
      <c r="G3" s="1238" t="s">
        <v>738</v>
      </c>
      <c r="H3" s="1238" t="s">
        <v>739</v>
      </c>
      <c r="I3" s="1238" t="s">
        <v>740</v>
      </c>
      <c r="J3" s="1238" t="s">
        <v>741</v>
      </c>
      <c r="K3" s="1238" t="s">
        <v>742</v>
      </c>
      <c r="L3" s="1238" t="s">
        <v>743</v>
      </c>
      <c r="M3" s="1238" t="s">
        <v>744</v>
      </c>
      <c r="N3" s="1238" t="s">
        <v>745</v>
      </c>
      <c r="O3" s="1238" t="s">
        <v>746</v>
      </c>
      <c r="P3" s="1238" t="s">
        <v>747</v>
      </c>
      <c r="Q3" s="1238" t="s">
        <v>748</v>
      </c>
      <c r="R3" s="1238" t="s">
        <v>749</v>
      </c>
      <c r="S3" s="1238" t="s">
        <v>750</v>
      </c>
      <c r="T3" s="1238" t="s">
        <v>751</v>
      </c>
      <c r="U3" s="1238" t="s">
        <v>752</v>
      </c>
    </row>
    <row r="4" spans="1:22" x14ac:dyDescent="0.35">
      <c r="A4" s="979" t="s">
        <v>753</v>
      </c>
      <c r="B4" s="1238"/>
      <c r="C4" s="1238"/>
      <c r="D4" s="1238">
        <v>0</v>
      </c>
      <c r="E4" s="1238">
        <v>0</v>
      </c>
      <c r="F4" s="1238">
        <v>0.5</v>
      </c>
      <c r="G4" s="1238">
        <v>0.5</v>
      </c>
      <c r="H4" s="1238">
        <v>0</v>
      </c>
      <c r="I4" s="1238">
        <v>0</v>
      </c>
      <c r="J4" s="1238">
        <v>0</v>
      </c>
      <c r="K4" s="1238">
        <v>0</v>
      </c>
      <c r="L4" s="1238">
        <v>0</v>
      </c>
      <c r="M4" s="1238">
        <v>0</v>
      </c>
      <c r="N4" s="1238">
        <v>0</v>
      </c>
      <c r="O4" s="1238">
        <v>0</v>
      </c>
      <c r="P4" s="1238">
        <v>0</v>
      </c>
      <c r="Q4" s="1238">
        <v>0</v>
      </c>
      <c r="R4" s="1238">
        <v>0</v>
      </c>
      <c r="S4" s="1238">
        <v>0</v>
      </c>
      <c r="T4" s="1238">
        <v>0</v>
      </c>
      <c r="U4" s="1238">
        <v>0</v>
      </c>
    </row>
    <row r="5" spans="1:22" x14ac:dyDescent="0.35">
      <c r="A5" s="979" t="s">
        <v>754</v>
      </c>
      <c r="B5" s="1238">
        <v>0.04</v>
      </c>
      <c r="C5" s="1238">
        <v>0.48</v>
      </c>
      <c r="D5" s="1238">
        <v>0.48</v>
      </c>
      <c r="E5" s="1238">
        <v>0</v>
      </c>
      <c r="F5" s="1238">
        <v>0</v>
      </c>
      <c r="G5" s="1238">
        <v>0</v>
      </c>
      <c r="H5" s="1238">
        <v>0</v>
      </c>
      <c r="I5" s="1238">
        <v>0</v>
      </c>
      <c r="J5" s="1238">
        <v>0</v>
      </c>
      <c r="K5" s="1238">
        <v>0</v>
      </c>
      <c r="L5" s="1238">
        <v>0</v>
      </c>
      <c r="M5" s="1238">
        <v>0</v>
      </c>
      <c r="N5" s="1238">
        <v>0</v>
      </c>
      <c r="O5" s="1238">
        <v>0</v>
      </c>
      <c r="P5" s="1238">
        <v>0</v>
      </c>
      <c r="Q5" s="1238">
        <v>0</v>
      </c>
      <c r="R5" s="1238">
        <v>0</v>
      </c>
      <c r="S5" s="1238">
        <v>0</v>
      </c>
      <c r="T5" s="1238">
        <v>0</v>
      </c>
      <c r="U5" s="1238">
        <v>0</v>
      </c>
    </row>
    <row r="6" spans="1:22" x14ac:dyDescent="0.35">
      <c r="A6" s="979" t="s">
        <v>755</v>
      </c>
      <c r="B6" s="1238">
        <f>B8</f>
        <v>0</v>
      </c>
      <c r="C6" s="1238">
        <f>C8</f>
        <v>0.43</v>
      </c>
      <c r="D6" s="1238">
        <f t="shared" ref="D6:U6" si="0">D8</f>
        <v>0.56999999999999995</v>
      </c>
      <c r="E6" s="1238">
        <f t="shared" si="0"/>
        <v>0.25</v>
      </c>
      <c r="F6" s="1238">
        <f t="shared" si="0"/>
        <v>0.25</v>
      </c>
      <c r="G6" s="1238">
        <f t="shared" si="0"/>
        <v>0.25</v>
      </c>
      <c r="H6" s="1238">
        <f t="shared" si="0"/>
        <v>0.25</v>
      </c>
      <c r="I6" s="1238">
        <f t="shared" si="0"/>
        <v>0.25</v>
      </c>
      <c r="J6" s="1238">
        <f t="shared" si="0"/>
        <v>0.25</v>
      </c>
      <c r="K6" s="1238">
        <f t="shared" si="0"/>
        <v>0.25</v>
      </c>
      <c r="L6" s="1238">
        <f t="shared" si="0"/>
        <v>0.25</v>
      </c>
      <c r="M6" s="1238">
        <f t="shared" si="0"/>
        <v>0.25</v>
      </c>
      <c r="N6" s="1238">
        <f t="shared" si="0"/>
        <v>0.25</v>
      </c>
      <c r="O6" s="1238">
        <f t="shared" si="0"/>
        <v>0.25</v>
      </c>
      <c r="P6" s="1238">
        <f t="shared" si="0"/>
        <v>0.25</v>
      </c>
      <c r="Q6" s="1238">
        <f t="shared" si="0"/>
        <v>0.25</v>
      </c>
      <c r="R6" s="1238">
        <f t="shared" si="0"/>
        <v>0.25</v>
      </c>
      <c r="S6" s="1238">
        <f t="shared" si="0"/>
        <v>0.25</v>
      </c>
      <c r="T6" s="1238">
        <f t="shared" si="0"/>
        <v>0.25</v>
      </c>
      <c r="U6" s="1238">
        <f t="shared" si="0"/>
        <v>0.25</v>
      </c>
    </row>
    <row r="7" spans="1:22" x14ac:dyDescent="0.35">
      <c r="A7" s="979" t="s">
        <v>756</v>
      </c>
      <c r="B7" s="1238">
        <v>0</v>
      </c>
      <c r="C7" s="1238">
        <v>0</v>
      </c>
      <c r="D7" s="1238">
        <v>1</v>
      </c>
      <c r="E7" s="1238">
        <v>0.25</v>
      </c>
      <c r="F7" s="1238">
        <v>0.25</v>
      </c>
      <c r="G7" s="1238">
        <v>0.25</v>
      </c>
      <c r="H7" s="1238">
        <v>0.25</v>
      </c>
      <c r="I7" s="1238">
        <v>0.25</v>
      </c>
      <c r="J7" s="1238">
        <v>0.25</v>
      </c>
      <c r="K7" s="1238">
        <v>0.25</v>
      </c>
      <c r="L7" s="1238">
        <v>0.25</v>
      </c>
      <c r="M7" s="1238">
        <v>0.25</v>
      </c>
      <c r="N7" s="1238">
        <v>0.25</v>
      </c>
      <c r="O7" s="1238">
        <v>0.25</v>
      </c>
      <c r="P7" s="1238">
        <v>0.25</v>
      </c>
      <c r="Q7" s="1238">
        <v>0.25</v>
      </c>
      <c r="R7" s="1238">
        <v>0.25</v>
      </c>
      <c r="S7" s="1238">
        <v>0.25</v>
      </c>
      <c r="T7" s="1238">
        <v>0.25</v>
      </c>
      <c r="U7" s="1238">
        <v>0.25</v>
      </c>
    </row>
    <row r="8" spans="1:22" x14ac:dyDescent="0.35">
      <c r="A8" s="979" t="s">
        <v>757</v>
      </c>
      <c r="B8" s="1238">
        <v>0</v>
      </c>
      <c r="C8" s="1238">
        <v>0.43</v>
      </c>
      <c r="D8" s="1238">
        <v>0.56999999999999995</v>
      </c>
      <c r="E8" s="1238">
        <v>0.25</v>
      </c>
      <c r="F8" s="1238">
        <v>0.25</v>
      </c>
      <c r="G8" s="1238">
        <v>0.25</v>
      </c>
      <c r="H8" s="1238">
        <v>0.25</v>
      </c>
      <c r="I8" s="1238">
        <v>0.25</v>
      </c>
      <c r="J8" s="1238">
        <v>0.25</v>
      </c>
      <c r="K8" s="1238">
        <v>0.25</v>
      </c>
      <c r="L8" s="1238">
        <v>0.25</v>
      </c>
      <c r="M8" s="1238">
        <v>0.25</v>
      </c>
      <c r="N8" s="1238">
        <v>0.25</v>
      </c>
      <c r="O8" s="1238">
        <v>0.25</v>
      </c>
      <c r="P8" s="1238">
        <v>0.25</v>
      </c>
      <c r="Q8" s="1238">
        <v>0.25</v>
      </c>
      <c r="R8" s="1238">
        <v>0.25</v>
      </c>
      <c r="S8" s="1238">
        <v>0.25</v>
      </c>
      <c r="T8" s="1238">
        <v>0.25</v>
      </c>
      <c r="U8" s="1238">
        <v>0.25</v>
      </c>
    </row>
    <row r="9" spans="1:22" ht="27" customHeight="1" x14ac:dyDescent="0.35">
      <c r="A9" s="979" t="s">
        <v>758</v>
      </c>
      <c r="B9" s="1238">
        <v>0</v>
      </c>
      <c r="C9" s="1238">
        <f>0.18</f>
        <v>0.18</v>
      </c>
      <c r="D9" s="1238">
        <f>1-C9</f>
        <v>0.82000000000000006</v>
      </c>
      <c r="E9" s="1238">
        <v>0.25</v>
      </c>
      <c r="F9" s="1238">
        <v>0.25</v>
      </c>
      <c r="G9" s="1238">
        <v>0.25</v>
      </c>
      <c r="H9" s="1238">
        <v>0.25</v>
      </c>
      <c r="I9" s="1238">
        <v>0.25</v>
      </c>
      <c r="J9" s="1238">
        <v>0.25</v>
      </c>
      <c r="K9" s="1238">
        <v>0.25</v>
      </c>
      <c r="L9" s="1238">
        <v>0.25</v>
      </c>
      <c r="M9" s="1238">
        <v>0.25</v>
      </c>
      <c r="N9" s="1238">
        <v>0.25</v>
      </c>
      <c r="O9" s="1238">
        <v>0.25</v>
      </c>
      <c r="P9" s="1238">
        <v>0.25</v>
      </c>
      <c r="Q9" s="1238">
        <v>0.25</v>
      </c>
      <c r="R9" s="1238">
        <v>0.25</v>
      </c>
      <c r="S9" s="1238">
        <v>0.25</v>
      </c>
      <c r="T9" s="1238">
        <v>0.25</v>
      </c>
      <c r="U9" s="1238">
        <v>0.25</v>
      </c>
    </row>
    <row r="10" spans="1:22" x14ac:dyDescent="0.35">
      <c r="A10" s="979" t="s">
        <v>759</v>
      </c>
      <c r="B10" s="1238">
        <v>0</v>
      </c>
      <c r="C10" s="1238">
        <v>0.5</v>
      </c>
      <c r="D10" s="1238">
        <v>0.5</v>
      </c>
      <c r="E10" s="1238">
        <v>0.25</v>
      </c>
      <c r="F10" s="1238">
        <v>0.25</v>
      </c>
      <c r="G10" s="1238">
        <v>0.25</v>
      </c>
      <c r="H10" s="1238">
        <v>0.25</v>
      </c>
      <c r="I10" s="1238">
        <v>0.25</v>
      </c>
      <c r="J10" s="1238">
        <v>0.25</v>
      </c>
      <c r="K10" s="1238">
        <v>0.25</v>
      </c>
      <c r="L10" s="1238">
        <v>0.25</v>
      </c>
      <c r="M10" s="1238">
        <v>0.25</v>
      </c>
      <c r="N10" s="1238">
        <v>0.25</v>
      </c>
      <c r="O10" s="1238">
        <v>0.25</v>
      </c>
      <c r="P10" s="1238">
        <v>0.25</v>
      </c>
      <c r="Q10" s="1238">
        <v>0.25</v>
      </c>
      <c r="R10" s="1238">
        <v>0.25</v>
      </c>
      <c r="S10" s="1238">
        <v>0.25</v>
      </c>
      <c r="T10" s="1238">
        <v>0.25</v>
      </c>
      <c r="U10" s="1238">
        <v>0.25</v>
      </c>
    </row>
    <row r="11" spans="1:22" x14ac:dyDescent="0.35">
      <c r="A11" s="979" t="s">
        <v>760</v>
      </c>
      <c r="B11" s="1238">
        <v>0</v>
      </c>
      <c r="C11" s="1238">
        <v>0.5</v>
      </c>
      <c r="D11" s="1238">
        <v>0.5</v>
      </c>
      <c r="E11" s="1238">
        <v>0.25</v>
      </c>
      <c r="F11" s="1238">
        <v>0.25</v>
      </c>
      <c r="G11" s="1238">
        <v>0.25</v>
      </c>
      <c r="H11" s="1238">
        <v>0.25</v>
      </c>
      <c r="I11" s="1238">
        <v>0.25</v>
      </c>
      <c r="J11" s="1238">
        <v>0.25</v>
      </c>
      <c r="K11" s="1238">
        <v>0.25</v>
      </c>
      <c r="L11" s="1238">
        <v>0.25</v>
      </c>
      <c r="M11" s="1238">
        <v>0.25</v>
      </c>
      <c r="N11" s="1238">
        <v>0.25</v>
      </c>
      <c r="O11" s="1238">
        <v>0.25</v>
      </c>
      <c r="P11" s="1238">
        <v>0.25</v>
      </c>
      <c r="Q11" s="1238">
        <v>0.25</v>
      </c>
      <c r="R11" s="1238">
        <v>0.25</v>
      </c>
      <c r="S11" s="1238">
        <v>0.25</v>
      </c>
      <c r="T11" s="1238">
        <v>0.25</v>
      </c>
      <c r="U11" s="1238">
        <v>0.25</v>
      </c>
    </row>
    <row r="12" spans="1:22" ht="14.25" customHeight="1" x14ac:dyDescent="0.35">
      <c r="A12" s="979" t="s">
        <v>761</v>
      </c>
      <c r="B12" s="1238">
        <v>1</v>
      </c>
      <c r="C12" s="1238"/>
      <c r="D12" s="1238"/>
      <c r="E12" s="1238"/>
      <c r="F12" s="1238"/>
      <c r="G12" s="1238"/>
      <c r="H12" s="1238"/>
      <c r="I12" s="1238"/>
      <c r="J12" s="1238"/>
      <c r="K12" s="1238"/>
      <c r="L12" s="1238"/>
      <c r="M12" s="1238"/>
      <c r="N12" s="1238"/>
      <c r="O12" s="1238"/>
      <c r="P12" s="1238"/>
      <c r="Q12" s="1238"/>
      <c r="R12" s="1238"/>
      <c r="S12" s="1238"/>
      <c r="T12" s="1238"/>
      <c r="U12" s="1238"/>
    </row>
    <row r="13" spans="1:22" x14ac:dyDescent="0.35">
      <c r="A13" s="979" t="s">
        <v>762</v>
      </c>
      <c r="B13" s="1238">
        <v>0</v>
      </c>
      <c r="C13" s="1238">
        <v>0.4</v>
      </c>
      <c r="D13" s="1238">
        <v>0.6</v>
      </c>
      <c r="E13" s="1238">
        <v>0.4</v>
      </c>
      <c r="F13" s="1238">
        <v>0.3</v>
      </c>
      <c r="G13" s="1238">
        <v>0.2</v>
      </c>
      <c r="H13" s="1238">
        <v>0.1</v>
      </c>
      <c r="I13" s="1238">
        <v>0.25</v>
      </c>
      <c r="J13" s="1238">
        <v>0.25</v>
      </c>
      <c r="K13" s="1238">
        <v>0.25</v>
      </c>
      <c r="L13" s="1238">
        <v>0.25</v>
      </c>
      <c r="M13" s="1238">
        <v>0.25</v>
      </c>
      <c r="N13" s="1238">
        <v>0.25</v>
      </c>
      <c r="O13" s="1238">
        <v>0.25</v>
      </c>
      <c r="P13" s="1238">
        <v>0.25</v>
      </c>
      <c r="Q13" s="1238">
        <v>0.25</v>
      </c>
      <c r="R13" s="1238">
        <v>0.25</v>
      </c>
      <c r="S13" s="1238">
        <v>0.25</v>
      </c>
      <c r="T13" s="1238">
        <v>0.25</v>
      </c>
      <c r="U13" s="1238">
        <v>0.25</v>
      </c>
    </row>
    <row r="14" spans="1:22" x14ac:dyDescent="0.35">
      <c r="A14" s="979"/>
      <c r="B14" s="1238"/>
      <c r="C14" s="1238"/>
      <c r="D14" s="1238"/>
      <c r="E14" s="1238"/>
      <c r="F14" s="1238"/>
      <c r="G14" s="1238"/>
      <c r="H14" s="1238"/>
      <c r="I14" s="1238"/>
      <c r="J14" s="1238"/>
      <c r="K14" s="1238"/>
      <c r="L14" s="1238"/>
      <c r="M14" s="1238"/>
      <c r="N14" s="1238"/>
      <c r="O14" s="1238"/>
      <c r="P14" s="1238"/>
      <c r="Q14" s="1238"/>
      <c r="R14" s="1238"/>
      <c r="S14" s="1238"/>
      <c r="T14" s="1238"/>
      <c r="U14" s="1238"/>
    </row>
    <row r="15" spans="1:22" ht="27" customHeight="1" x14ac:dyDescent="0.35">
      <c r="A15" s="1236" t="s">
        <v>763</v>
      </c>
      <c r="B15" s="1238">
        <v>1</v>
      </c>
      <c r="C15" s="1238">
        <v>2</v>
      </c>
      <c r="D15" s="1238">
        <v>3</v>
      </c>
      <c r="E15" s="1238">
        <v>4</v>
      </c>
      <c r="F15" s="1238">
        <v>5</v>
      </c>
      <c r="G15" s="1238">
        <v>6</v>
      </c>
      <c r="H15" s="1238">
        <v>7</v>
      </c>
      <c r="I15" s="1238">
        <v>8</v>
      </c>
      <c r="J15" s="1238">
        <v>9</v>
      </c>
      <c r="K15" s="1238">
        <v>10</v>
      </c>
      <c r="L15" s="1238">
        <v>11</v>
      </c>
      <c r="M15" s="1238">
        <v>12</v>
      </c>
      <c r="N15" s="1238">
        <v>13</v>
      </c>
      <c r="O15" s="1238">
        <v>14</v>
      </c>
      <c r="P15" s="1238">
        <v>15</v>
      </c>
      <c r="Q15" s="1238">
        <v>16</v>
      </c>
      <c r="R15" s="1238">
        <v>17</v>
      </c>
      <c r="S15" s="1238">
        <v>18</v>
      </c>
      <c r="T15" s="1238">
        <v>19</v>
      </c>
      <c r="U15" s="1238">
        <v>20</v>
      </c>
    </row>
    <row r="16" spans="1:22" x14ac:dyDescent="0.35">
      <c r="A16" s="979" t="s">
        <v>764</v>
      </c>
      <c r="B16" s="1238">
        <v>7.0000000000000007E-2</v>
      </c>
      <c r="C16" s="1238">
        <v>7.0000000000000007E-2</v>
      </c>
      <c r="D16" s="1238">
        <v>4.9000000000000002E-2</v>
      </c>
      <c r="E16" s="1238">
        <v>4.9000000000000002E-2</v>
      </c>
      <c r="F16" s="1238">
        <v>4.9000000000000002E-2</v>
      </c>
      <c r="G16" s="1238">
        <v>4.9000000000000002E-2</v>
      </c>
      <c r="H16" s="1238">
        <v>4.9000000000000002E-2</v>
      </c>
      <c r="I16" s="1238">
        <v>4.9000000000000002E-2</v>
      </c>
      <c r="J16" s="1238">
        <v>4.9000000000000002E-2</v>
      </c>
      <c r="K16" s="1238">
        <v>4.9000000000000002E-2</v>
      </c>
      <c r="L16" s="1238">
        <v>4.9000000000000002E-2</v>
      </c>
      <c r="M16" s="1238">
        <v>4.9000000000000002E-2</v>
      </c>
      <c r="N16" s="1238">
        <f t="shared" ref="N16:T16" si="1">0.0475</f>
        <v>4.7500000000000001E-2</v>
      </c>
      <c r="O16" s="1238">
        <f t="shared" si="1"/>
        <v>4.7500000000000001E-2</v>
      </c>
      <c r="P16" s="1238">
        <f t="shared" si="1"/>
        <v>4.7500000000000001E-2</v>
      </c>
      <c r="Q16" s="1238">
        <f t="shared" si="1"/>
        <v>4.7500000000000001E-2</v>
      </c>
      <c r="R16" s="1238">
        <f t="shared" si="1"/>
        <v>4.7500000000000001E-2</v>
      </c>
      <c r="S16" s="1238">
        <f t="shared" si="1"/>
        <v>4.7500000000000001E-2</v>
      </c>
      <c r="T16" s="1238">
        <f t="shared" si="1"/>
        <v>4.7500000000000001E-2</v>
      </c>
      <c r="U16" s="1238">
        <f>0.0375</f>
        <v>3.7499999999999999E-2</v>
      </c>
      <c r="V16" s="1238">
        <f>SUM(B16:U16)</f>
        <v>0.99999999999999989</v>
      </c>
    </row>
    <row r="17" spans="1:23" ht="27" customHeight="1" x14ac:dyDescent="0.35">
      <c r="A17" s="979"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38">
        <f>SUM(B17:U17)</f>
        <v>0.94000000000000006</v>
      </c>
      <c r="W17" t="s">
        <v>766</v>
      </c>
    </row>
    <row r="19" spans="1:23" x14ac:dyDescent="0.35">
      <c r="B19" s="1235" t="e">
        <f>'Federal and State Purchases'!#REF!</f>
        <v>#REF!</v>
      </c>
      <c r="C19" s="1235"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1196" t="s">
        <v>767</v>
      </c>
      <c r="B1" s="1196" t="s">
        <v>677</v>
      </c>
      <c r="C1" s="1239">
        <v>2021</v>
      </c>
      <c r="D1" s="1239">
        <f>C1</f>
        <v>2021</v>
      </c>
      <c r="E1" s="1239">
        <f>D1</f>
        <v>2021</v>
      </c>
      <c r="F1" s="1239">
        <v>2022</v>
      </c>
      <c r="G1" s="1239">
        <v>2022</v>
      </c>
      <c r="H1" s="1239">
        <v>2022</v>
      </c>
      <c r="I1" s="1239">
        <v>2022</v>
      </c>
      <c r="J1" s="1239">
        <v>2023</v>
      </c>
      <c r="K1" s="1239">
        <v>2023</v>
      </c>
      <c r="L1" s="1239">
        <v>2023</v>
      </c>
      <c r="M1" s="1239">
        <v>2023</v>
      </c>
      <c r="N1" s="1239">
        <v>2024</v>
      </c>
      <c r="O1" s="1239">
        <v>2024</v>
      </c>
      <c r="P1" s="1239">
        <v>2024</v>
      </c>
      <c r="Q1" s="1239">
        <v>2024</v>
      </c>
      <c r="R1" s="1239">
        <v>2025</v>
      </c>
      <c r="S1" s="1239">
        <v>2025</v>
      </c>
      <c r="T1" s="1239">
        <v>2025</v>
      </c>
      <c r="U1" s="1239">
        <v>2025</v>
      </c>
      <c r="V1" s="1239">
        <v>2026</v>
      </c>
    </row>
    <row r="2" spans="1:23" x14ac:dyDescent="0.35">
      <c r="B2" s="1196" t="s">
        <v>768</v>
      </c>
      <c r="C2" s="136" t="s">
        <v>250</v>
      </c>
      <c r="D2" s="136" t="s">
        <v>251</v>
      </c>
      <c r="E2" s="136" t="s">
        <v>180</v>
      </c>
      <c r="F2" s="136" t="s">
        <v>181</v>
      </c>
      <c r="G2" s="136" t="s">
        <v>182</v>
      </c>
      <c r="H2" s="136" t="s">
        <v>183</v>
      </c>
      <c r="I2" s="136" t="s">
        <v>184</v>
      </c>
      <c r="J2" s="136" t="s">
        <v>185</v>
      </c>
      <c r="K2" s="136" t="s">
        <v>186</v>
      </c>
      <c r="L2" s="136" t="s">
        <v>187</v>
      </c>
      <c r="M2" s="136" t="s">
        <v>188</v>
      </c>
      <c r="N2" s="136" t="s">
        <v>189</v>
      </c>
      <c r="O2" s="136" t="s">
        <v>190</v>
      </c>
      <c r="P2" s="136" t="s">
        <v>191</v>
      </c>
      <c r="Q2" s="136" t="s">
        <v>175</v>
      </c>
      <c r="R2" s="136" t="s">
        <v>176</v>
      </c>
      <c r="S2" s="136" t="s">
        <v>177</v>
      </c>
      <c r="T2" s="136" t="s">
        <v>769</v>
      </c>
      <c r="U2" s="136" t="s">
        <v>770</v>
      </c>
      <c r="V2" s="136" t="s">
        <v>771</v>
      </c>
    </row>
    <row r="3" spans="1:23" x14ac:dyDescent="0.35">
      <c r="A3" s="1196">
        <v>3</v>
      </c>
      <c r="B3" s="1196" t="s">
        <v>532</v>
      </c>
      <c r="C3" s="1240">
        <f>4*'ARP Timing'!B6*VLOOKUP(C$1,'ARP Score'!$A$5:$M14,$A3)</f>
        <v>0</v>
      </c>
      <c r="D3" s="1240">
        <f>4*'ARP Timing'!C6*VLOOKUP(D$1,'ARP Score'!$A$5:$M14,$A3)</f>
        <v>336.60399999999998</v>
      </c>
      <c r="E3" s="1240">
        <f>4*'ARP Timing'!D6*VLOOKUP(E$1,'ARP Score'!$A$5:$M14,$A3)</f>
        <v>446.19599999999991</v>
      </c>
      <c r="F3" s="1240">
        <f>4*'ARP Timing'!E6*VLOOKUP(F$1,'ARP Score'!$A$5:$M14,$A3)</f>
        <v>10.1</v>
      </c>
      <c r="G3" s="1240">
        <f>4*'ARP Timing'!F6*VLOOKUP(G$1,'ARP Score'!$A$5:$M14,$A3)</f>
        <v>10.1</v>
      </c>
      <c r="H3" s="1240">
        <f>4*'ARP Timing'!G6*VLOOKUP(H$1,'ARP Score'!$A$5:$M14,$A3)</f>
        <v>10.1</v>
      </c>
      <c r="I3" s="1240">
        <f>4*'ARP Timing'!H6*VLOOKUP(I$1,'ARP Score'!$A$5:$M14,$A3)</f>
        <v>10.1</v>
      </c>
      <c r="J3" s="1240">
        <f>4*'ARP Timing'!I6*VLOOKUP(J$1,'ARP Score'!$A$5:$M14,$A3)</f>
        <v>0</v>
      </c>
      <c r="K3" s="1240">
        <f>4*'ARP Timing'!J6*VLOOKUP(K$1,'ARP Score'!$A$5:$M14,$A3)</f>
        <v>0</v>
      </c>
      <c r="L3" s="1240">
        <f>4*'ARP Timing'!K6*VLOOKUP(L$1,'ARP Score'!$A$5:$M14,$A3)</f>
        <v>0</v>
      </c>
      <c r="M3" s="1240">
        <f>4*'ARP Timing'!L6*VLOOKUP(M$1,'ARP Score'!$A$5:$M14,$A3)</f>
        <v>0</v>
      </c>
      <c r="N3" s="1240">
        <f>4*'ARP Timing'!M6*VLOOKUP(N$1,'ARP Score'!$A$5:$M14,$A3)</f>
        <v>0</v>
      </c>
      <c r="O3" s="1240">
        <f>4*'ARP Timing'!N6*VLOOKUP(O$1,'ARP Score'!$A$5:$M14,$A3)</f>
        <v>0</v>
      </c>
      <c r="P3" s="1240">
        <f>4*'ARP Timing'!O6*VLOOKUP(P$1,'ARP Score'!$A$5:$M14,$A3)</f>
        <v>0</v>
      </c>
      <c r="Q3" s="1240">
        <f>4*'ARP Timing'!P6*VLOOKUP(Q$1,'ARP Score'!$A$5:$M14,$A3)</f>
        <v>0</v>
      </c>
      <c r="R3" s="1240">
        <f>4*'ARP Timing'!Q6*VLOOKUP(R$1,'ARP Score'!$A$5:$M14,$A3)</f>
        <v>0</v>
      </c>
      <c r="S3" s="1240">
        <f>4*'ARP Timing'!R6*VLOOKUP(S$1,'ARP Score'!$A$5:$M14,$A3)</f>
        <v>0</v>
      </c>
      <c r="T3" s="1240">
        <f>4*'ARP Timing'!S6*VLOOKUP(T$1,'ARP Score'!$A$5:$M14,$A3)</f>
        <v>0</v>
      </c>
      <c r="U3" s="1240">
        <f>4*'ARP Timing'!T6*VLOOKUP(U$1,'ARP Score'!$A$5:$M14,$A3)</f>
        <v>0</v>
      </c>
      <c r="V3" s="1240">
        <f>4*'ARP Timing'!U6*VLOOKUP(V$1,'ARP Score'!$A$5:$M14,$A3)</f>
        <v>0</v>
      </c>
      <c r="W3" s="1240">
        <f>SUM(C3:U3)/4</f>
        <v>205.8</v>
      </c>
    </row>
    <row r="4" spans="1:23" x14ac:dyDescent="0.35">
      <c r="A4" s="1196">
        <v>5</v>
      </c>
      <c r="B4" s="33" t="s">
        <v>679</v>
      </c>
      <c r="C4" s="1240">
        <f>4*'ARP Timing'!B7*VLOOKUP(C$1,'ARP Score'!$A$5:$M15,$A4)</f>
        <v>0</v>
      </c>
      <c r="D4" s="1240">
        <f>4*'ARP Timing'!C7*VLOOKUP(D$1,'ARP Score'!$A$5:$M15,$A4)</f>
        <v>0</v>
      </c>
      <c r="E4" s="1240">
        <f>4*'ARP Timing'!D7*VLOOKUP(E$1,'ARP Score'!$A$5:$M15,$A4)</f>
        <v>3.1040000000000418</v>
      </c>
      <c r="F4" s="1240">
        <f>4*'ARP Timing'!E7*VLOOKUP(F$1,'ARP Score'!$A$5:$M15,$A4)</f>
        <v>19.719000000000005</v>
      </c>
      <c r="G4" s="1240">
        <f>4*'ARP Timing'!F7*VLOOKUP(G$1,'ARP Score'!$A$5:$M15,$A4)</f>
        <v>19.719000000000005</v>
      </c>
      <c r="H4" s="1240">
        <f>4*'ARP Timing'!G7*VLOOKUP(H$1,'ARP Score'!$A$5:$M15,$A4)</f>
        <v>19.719000000000005</v>
      </c>
      <c r="I4" s="1240">
        <f>4*'ARP Timing'!H7*VLOOKUP(I$1,'ARP Score'!$A$5:$M15,$A4)</f>
        <v>19.719000000000005</v>
      </c>
      <c r="J4" s="1240">
        <f>4*'ARP Timing'!I7*VLOOKUP(J$1,'ARP Score'!$A$5:$M15,$A4)</f>
        <v>1.4159999999999999</v>
      </c>
      <c r="K4" s="1240">
        <f>4*'ARP Timing'!J7*VLOOKUP(K$1,'ARP Score'!$A$5:$M15,$A4)</f>
        <v>1.4159999999999999</v>
      </c>
      <c r="L4" s="1240">
        <f>4*'ARP Timing'!K7*VLOOKUP(L$1,'ARP Score'!$A$5:$M15,$A4)</f>
        <v>1.4159999999999999</v>
      </c>
      <c r="M4" s="1240">
        <f>4*'ARP Timing'!L7*VLOOKUP(M$1,'ARP Score'!$A$5:$M15,$A4)</f>
        <v>1.4159999999999999</v>
      </c>
      <c r="N4" s="1240">
        <f>4*'ARP Timing'!M7*VLOOKUP(N$1,'ARP Score'!$A$5:$M15,$A4)</f>
        <v>1.4790000000000001</v>
      </c>
      <c r="O4" s="1240">
        <f>4*'ARP Timing'!N7*VLOOKUP(O$1,'ARP Score'!$A$5:$M15,$A4)</f>
        <v>1.4790000000000001</v>
      </c>
      <c r="P4" s="1240">
        <f>4*'ARP Timing'!O7*VLOOKUP(P$1,'ARP Score'!$A$5:$M15,$A4)</f>
        <v>1.4790000000000001</v>
      </c>
      <c r="Q4" s="1240">
        <f>4*'ARP Timing'!P7*VLOOKUP(Q$1,'ARP Score'!$A$5:$M15,$A4)</f>
        <v>1.4790000000000001</v>
      </c>
      <c r="R4" s="1240">
        <f>4*'ARP Timing'!Q7*VLOOKUP(R$1,'ARP Score'!$A$5:$M15,$A4)</f>
        <v>1.63</v>
      </c>
      <c r="S4" s="1240">
        <f>4*'ARP Timing'!R7*VLOOKUP(S$1,'ARP Score'!$A$5:$M15,$A4)</f>
        <v>1.63</v>
      </c>
      <c r="T4" s="1240">
        <f>4*'ARP Timing'!S7*VLOOKUP(T$1,'ARP Score'!$A$5:$M15,$A4)</f>
        <v>1.63</v>
      </c>
      <c r="U4" s="1240">
        <f>4*'ARP Timing'!T7*VLOOKUP(U$1,'ARP Score'!$A$5:$M15,$A4)</f>
        <v>1.63</v>
      </c>
      <c r="V4" s="1240">
        <f>4*'ARP Timing'!U7*VLOOKUP(V$1,'ARP Score'!$A$5:$M15,$A4)</f>
        <v>1.671</v>
      </c>
      <c r="W4" s="1240">
        <f>SUM(C4:U4)/4</f>
        <v>25.020000000000007</v>
      </c>
    </row>
    <row r="5" spans="1:23" x14ac:dyDescent="0.35">
      <c r="A5" s="1196">
        <v>6</v>
      </c>
      <c r="B5" s="33" t="s">
        <v>680</v>
      </c>
      <c r="C5" s="1240">
        <f>4*'ARP Timing'!B8*VLOOKUP(C$1,'ARP Score'!$A$5:$M16,$A5)</f>
        <v>0</v>
      </c>
      <c r="D5" s="1240">
        <f>4*'ARP Timing'!C8*VLOOKUP(D$1,'ARP Score'!$A$5:$M16,$A5)</f>
        <v>33.921840000000024</v>
      </c>
      <c r="E5" s="1240">
        <f>4*'ARP Timing'!D8*VLOOKUP(E$1,'ARP Score'!$A$5:$M16,$A5)</f>
        <v>44.966160000000031</v>
      </c>
      <c r="F5" s="1240">
        <f>4*'ARP Timing'!E8*VLOOKUP(F$1,'ARP Score'!$A$5:$M16,$A5)</f>
        <v>52.756999999999998</v>
      </c>
      <c r="G5" s="1240">
        <f>4*'ARP Timing'!F8*VLOOKUP(G$1,'ARP Score'!$A$5:$M16,$A5)</f>
        <v>52.756999999999998</v>
      </c>
      <c r="H5" s="1240">
        <f>4*'ARP Timing'!G8*VLOOKUP(H$1,'ARP Score'!$A$5:$M16,$A5)</f>
        <v>52.756999999999998</v>
      </c>
      <c r="I5" s="1240">
        <f>4*'ARP Timing'!H8*VLOOKUP(I$1,'ARP Score'!$A$5:$M16,$A5)</f>
        <v>52.756999999999998</v>
      </c>
      <c r="J5" s="1240">
        <f>4*'ARP Timing'!I8*VLOOKUP(J$1,'ARP Score'!$A$5:$M16,$A5)</f>
        <v>12</v>
      </c>
      <c r="K5" s="1240">
        <f>4*'ARP Timing'!J8*VLOOKUP(K$1,'ARP Score'!$A$5:$M16,$A5)</f>
        <v>12</v>
      </c>
      <c r="L5" s="1240">
        <f>4*'ARP Timing'!K8*VLOOKUP(L$1,'ARP Score'!$A$5:$M16,$A5)</f>
        <v>12</v>
      </c>
      <c r="M5" s="1240">
        <f>4*'ARP Timing'!L8*VLOOKUP(M$1,'ARP Score'!$A$5:$M16,$A5)</f>
        <v>12</v>
      </c>
      <c r="N5" s="1240">
        <f>4*'ARP Timing'!M8*VLOOKUP(N$1,'ARP Score'!$A$5:$M16,$A5)</f>
        <v>4.2219999999999995</v>
      </c>
      <c r="O5" s="1240">
        <f>4*'ARP Timing'!N8*VLOOKUP(O$1,'ARP Score'!$A$5:$M16,$A5)</f>
        <v>4.2219999999999995</v>
      </c>
      <c r="P5" s="1240">
        <f>4*'ARP Timing'!O8*VLOOKUP(P$1,'ARP Score'!$A$5:$M16,$A5)</f>
        <v>4.2219999999999995</v>
      </c>
      <c r="Q5" s="1240">
        <f>4*'ARP Timing'!P8*VLOOKUP(Q$1,'ARP Score'!$A$5:$M16,$A5)</f>
        <v>4.2219999999999995</v>
      </c>
      <c r="R5" s="1240">
        <f>4*'ARP Timing'!Q8*VLOOKUP(R$1,'ARP Score'!$A$5:$M16,$A5)</f>
        <v>2.3719999999999999</v>
      </c>
      <c r="S5" s="1240">
        <f>4*'ARP Timing'!R8*VLOOKUP(S$1,'ARP Score'!$A$5:$M16,$A5)</f>
        <v>2.3719999999999999</v>
      </c>
      <c r="T5" s="1240">
        <f>4*'ARP Timing'!S8*VLOOKUP(T$1,'ARP Score'!$A$5:$M16,$A5)</f>
        <v>2.3719999999999999</v>
      </c>
      <c r="U5" s="1240">
        <f>4*'ARP Timing'!T8*VLOOKUP(U$1,'ARP Score'!$A$5:$M16,$A5)</f>
        <v>2.3719999999999999</v>
      </c>
      <c r="V5" s="1240">
        <f>4*'ARP Timing'!U8*VLOOKUP(V$1,'ARP Score'!$A$5:$M16,$A5)</f>
        <v>0.49</v>
      </c>
      <c r="W5" s="1240">
        <f t="shared" ref="W5:W15" si="0">SUM(C5:U5)/4</f>
        <v>91.073000000000008</v>
      </c>
    </row>
    <row r="6" spans="1:23" x14ac:dyDescent="0.35">
      <c r="A6" s="1196">
        <v>7</v>
      </c>
      <c r="B6" s="33" t="s">
        <v>772</v>
      </c>
      <c r="C6" s="1240">
        <f>4*'ARP Timing'!B9*VLOOKUP(C$1,'ARP Score'!$A$5:$M17,$A6)</f>
        <v>0</v>
      </c>
      <c r="D6" s="1240">
        <f>4*'ARP Timing'!C9*VLOOKUP(D$1,'ARP Score'!$A$5:$M17,$A6)</f>
        <v>58.782959999999989</v>
      </c>
      <c r="E6" s="1240">
        <f>4*'ARP Timing'!D9*VLOOKUP(E$1,'ARP Score'!$A$5:$M17,$A6)</f>
        <v>267.78904</v>
      </c>
      <c r="F6" s="1240">
        <f>4*'ARP Timing'!E9*VLOOKUP(F$1,'ARP Score'!$A$5:$M17,$A6)</f>
        <v>110.24799999999999</v>
      </c>
      <c r="G6" s="1240">
        <f>4*'ARP Timing'!F9*VLOOKUP(G$1,'ARP Score'!$A$5:$M17,$A6)</f>
        <v>110.24799999999999</v>
      </c>
      <c r="H6" s="1240">
        <f>4*'ARP Timing'!G9*VLOOKUP(H$1,'ARP Score'!$A$5:$M17,$A6)</f>
        <v>110.24799999999999</v>
      </c>
      <c r="I6" s="1240">
        <f>4*'ARP Timing'!H9*VLOOKUP(I$1,'ARP Score'!$A$5:$M17,$A6)</f>
        <v>110.24799999999999</v>
      </c>
      <c r="J6" s="1240">
        <f>4*'ARP Timing'!I9*VLOOKUP(J$1,'ARP Score'!$A$5:$M17,$A6)</f>
        <v>12.726000000000001</v>
      </c>
      <c r="K6" s="1240">
        <f>4*'ARP Timing'!J9*VLOOKUP(K$1,'ARP Score'!$A$5:$M17,$A6)</f>
        <v>12.726000000000001</v>
      </c>
      <c r="L6" s="1240">
        <f>4*'ARP Timing'!K9*VLOOKUP(L$1,'ARP Score'!$A$5:$M17,$A6)</f>
        <v>12.726000000000001</v>
      </c>
      <c r="M6" s="1240">
        <f>4*'ARP Timing'!L9*VLOOKUP(M$1,'ARP Score'!$A$5:$M17,$A6)</f>
        <v>12.726000000000001</v>
      </c>
      <c r="N6" s="1240">
        <f>4*'ARP Timing'!M9*VLOOKUP(N$1,'ARP Score'!$A$5:$M17,$A6)</f>
        <v>1.365</v>
      </c>
      <c r="O6" s="1240">
        <f>4*'ARP Timing'!N9*VLOOKUP(O$1,'ARP Score'!$A$5:$M17,$A6)</f>
        <v>1.365</v>
      </c>
      <c r="P6" s="1240">
        <f>4*'ARP Timing'!O9*VLOOKUP(P$1,'ARP Score'!$A$5:$M17,$A6)</f>
        <v>1.365</v>
      </c>
      <c r="Q6" s="1240">
        <f>4*'ARP Timing'!P9*VLOOKUP(Q$1,'ARP Score'!$A$5:$M17,$A6)</f>
        <v>1.365</v>
      </c>
      <c r="R6" s="1240">
        <f>4*'ARP Timing'!Q9*VLOOKUP(R$1,'ARP Score'!$A$5:$M17,$A6)</f>
        <v>-0.90100000000000025</v>
      </c>
      <c r="S6" s="1240">
        <f>4*'ARP Timing'!R9*VLOOKUP(S$1,'ARP Score'!$A$5:$M17,$A6)</f>
        <v>-0.90100000000000025</v>
      </c>
      <c r="T6" s="1240">
        <f>4*'ARP Timing'!S9*VLOOKUP(T$1,'ARP Score'!$A$5:$M17,$A6)</f>
        <v>-0.90100000000000025</v>
      </c>
      <c r="U6" s="1240">
        <f>4*'ARP Timing'!T9*VLOOKUP(U$1,'ARP Score'!$A$5:$M17,$A6)</f>
        <v>-0.90100000000000025</v>
      </c>
      <c r="V6" s="1240">
        <f>4*'ARP Timing'!U9*VLOOKUP(V$1,'ARP Score'!$A$5:$M17,$A6)</f>
        <v>-2.1500000000000004</v>
      </c>
      <c r="W6" s="1240">
        <f t="shared" si="0"/>
        <v>205.08100000000007</v>
      </c>
    </row>
    <row r="7" spans="1:23" x14ac:dyDescent="0.35">
      <c r="A7" s="1196">
        <v>8</v>
      </c>
      <c r="B7" s="33" t="s">
        <v>131</v>
      </c>
      <c r="C7" s="1240">
        <f>4*'ARP Timing'!B10*VLOOKUP(C$1,'ARP Score'!$A$5:$M18,$A7)</f>
        <v>0</v>
      </c>
      <c r="D7" s="1240">
        <f>4*'ARP Timing'!C10*VLOOKUP(D$1,'ARP Score'!$A$5:$M18,$A7)</f>
        <v>15.596</v>
      </c>
      <c r="E7" s="1240">
        <f>4*'ARP Timing'!D10*VLOOKUP(E$1,'ARP Score'!$A$5:$M18,$A7)</f>
        <v>15.596</v>
      </c>
      <c r="F7" s="1240">
        <f>4*'ARP Timing'!E10*VLOOKUP(F$1,'ARP Score'!$A$5:$M18,$A7)</f>
        <v>7.9489999999999998</v>
      </c>
      <c r="G7" s="1240">
        <f>4*'ARP Timing'!F10*VLOOKUP(G$1,'ARP Score'!$A$5:$M18,$A7)</f>
        <v>7.9489999999999998</v>
      </c>
      <c r="H7" s="1240">
        <f>4*'ARP Timing'!G10*VLOOKUP(H$1,'ARP Score'!$A$5:$M18,$A7)</f>
        <v>7.9489999999999998</v>
      </c>
      <c r="I7" s="1240">
        <f>4*'ARP Timing'!H10*VLOOKUP(I$1,'ARP Score'!$A$5:$M18,$A7)</f>
        <v>7.9489999999999998</v>
      </c>
      <c r="J7" s="1240">
        <f>4*'ARP Timing'!I10*VLOOKUP(J$1,'ARP Score'!$A$5:$M18,$A7)</f>
        <v>4.7519999999999998</v>
      </c>
      <c r="K7" s="1240">
        <f>4*'ARP Timing'!J10*VLOOKUP(K$1,'ARP Score'!$A$5:$M18,$A7)</f>
        <v>4.7519999999999998</v>
      </c>
      <c r="L7" s="1240">
        <f>4*'ARP Timing'!K10*VLOOKUP(L$1,'ARP Score'!$A$5:$M18,$A7)</f>
        <v>4.7519999999999998</v>
      </c>
      <c r="M7" s="1240">
        <f>4*'ARP Timing'!L10*VLOOKUP(M$1,'ARP Score'!$A$5:$M18,$A7)</f>
        <v>4.7519999999999998</v>
      </c>
      <c r="N7" s="1240">
        <f>4*'ARP Timing'!M10*VLOOKUP(N$1,'ARP Score'!$A$5:$M18,$A7)</f>
        <v>4.637999999999999</v>
      </c>
      <c r="O7" s="1240">
        <f>4*'ARP Timing'!N10*VLOOKUP(O$1,'ARP Score'!$A$5:$M18,$A7)</f>
        <v>4.637999999999999</v>
      </c>
      <c r="P7" s="1240">
        <f>4*'ARP Timing'!O10*VLOOKUP(P$1,'ARP Score'!$A$5:$M18,$A7)</f>
        <v>4.637999999999999</v>
      </c>
      <c r="Q7" s="1240">
        <f>4*'ARP Timing'!P10*VLOOKUP(Q$1,'ARP Score'!$A$5:$M18,$A7)</f>
        <v>4.637999999999999</v>
      </c>
      <c r="R7" s="1240">
        <f>4*'ARP Timing'!Q10*VLOOKUP(R$1,'ARP Score'!$A$5:$M18,$A7)</f>
        <v>1.8800000000000001</v>
      </c>
      <c r="S7" s="1240">
        <f>4*'ARP Timing'!R10*VLOOKUP(S$1,'ARP Score'!$A$5:$M18,$A7)</f>
        <v>1.8800000000000001</v>
      </c>
      <c r="T7" s="1240">
        <f>4*'ARP Timing'!S10*VLOOKUP(T$1,'ARP Score'!$A$5:$M18,$A7)</f>
        <v>1.8800000000000001</v>
      </c>
      <c r="U7" s="1240">
        <f>4*'ARP Timing'!T10*VLOOKUP(U$1,'ARP Score'!$A$5:$M18,$A7)</f>
        <v>1.8800000000000001</v>
      </c>
      <c r="V7" s="1240">
        <f>4*'ARP Timing'!U10*VLOOKUP(V$1,'ARP Score'!$A$5:$M18,$A7)</f>
        <v>1.446</v>
      </c>
      <c r="W7" s="1240">
        <f t="shared" si="0"/>
        <v>27.016999999999996</v>
      </c>
    </row>
    <row r="8" spans="1:23" x14ac:dyDescent="0.35">
      <c r="A8" s="1196">
        <v>9</v>
      </c>
      <c r="B8" s="1242" t="s">
        <v>348</v>
      </c>
      <c r="C8" s="1240">
        <f>4*'ARP Timing'!B$11*VLOOKUP(C$1,'ARP Score'!$A$5:$M19,$A8)</f>
        <v>0</v>
      </c>
      <c r="D8" s="1240">
        <f>0.6*SUM('ARP Score'!B5:B7)*4</f>
        <v>989.16719999999987</v>
      </c>
      <c r="E8" s="1239">
        <v>0</v>
      </c>
      <c r="F8" s="1240">
        <v>0</v>
      </c>
      <c r="G8" s="1240">
        <v>0</v>
      </c>
      <c r="H8" s="1240">
        <f>D8*0.4/0.6</f>
        <v>659.44479999999999</v>
      </c>
      <c r="I8" s="1240">
        <v>0</v>
      </c>
      <c r="J8" s="1196">
        <v>0</v>
      </c>
      <c r="K8" s="1240">
        <v>0</v>
      </c>
      <c r="L8" s="1240">
        <v>0</v>
      </c>
      <c r="M8" s="1240">
        <v>0</v>
      </c>
      <c r="N8" s="1240">
        <v>0</v>
      </c>
      <c r="O8" s="1240">
        <v>0</v>
      </c>
      <c r="P8" s="1240">
        <v>0</v>
      </c>
      <c r="Q8" s="1240">
        <v>0</v>
      </c>
      <c r="R8" s="1240">
        <v>0</v>
      </c>
      <c r="S8" s="1240">
        <v>0</v>
      </c>
      <c r="T8" s="1240">
        <v>0</v>
      </c>
      <c r="U8" s="1240">
        <v>0</v>
      </c>
      <c r="V8" s="1240">
        <v>0</v>
      </c>
      <c r="W8" s="1240">
        <f t="shared" si="0"/>
        <v>412.15299999999996</v>
      </c>
    </row>
    <row r="9" spans="1:23" x14ac:dyDescent="0.35">
      <c r="A9" s="1196">
        <v>10</v>
      </c>
      <c r="B9" s="1242" t="s">
        <v>150</v>
      </c>
      <c r="C9" s="1240">
        <f>4*'ARP Timing'!B$11*VLOOKUP(C$1,'ARP Score'!$A$5:$M20,$A9)</f>
        <v>0</v>
      </c>
      <c r="D9" s="1240">
        <f>4*'ARP Timing'!C$11*VLOOKUP(D$1,'ARP Score'!$A$5:$M20,$A9)</f>
        <v>24.693999999999999</v>
      </c>
      <c r="E9" s="1240">
        <f>4*'ARP Timing'!D$11*VLOOKUP(E$1,'ARP Score'!$A$5:$M20,$A9)</f>
        <v>24.693999999999999</v>
      </c>
      <c r="F9" s="1240">
        <f>4*'ARP Timing'!E$11*VLOOKUP(F$1,'ARP Score'!$A$5:$M20,$A9)</f>
        <v>46.79</v>
      </c>
      <c r="G9" s="1240">
        <f>4*'ARP Timing'!F$11*VLOOKUP(G$1,'ARP Score'!$A$5:$M20,$A9)</f>
        <v>46.79</v>
      </c>
      <c r="H9" s="1240">
        <f>4*'ARP Timing'!G$11*VLOOKUP(H$1,'ARP Score'!$A$5:$M20,$A9)</f>
        <v>46.79</v>
      </c>
      <c r="I9" s="1240">
        <f>4*'ARP Timing'!H$11*VLOOKUP(I$1,'ARP Score'!$A$5:$M20,$A9)</f>
        <v>46.79</v>
      </c>
      <c r="J9" s="1240">
        <f>4*'ARP Timing'!I$11*VLOOKUP(J$1,'ARP Score'!$A$5:$M20,$A9)</f>
        <v>38.595999999999997</v>
      </c>
      <c r="K9" s="1240">
        <f>4*'ARP Timing'!J$11*VLOOKUP(K$1,'ARP Score'!$A$5:$M20,$A9)</f>
        <v>38.595999999999997</v>
      </c>
      <c r="L9" s="1240">
        <f>4*'ARP Timing'!K$11*VLOOKUP(L$1,'ARP Score'!$A$5:$M20,$A9)</f>
        <v>38.595999999999997</v>
      </c>
      <c r="M9" s="1240">
        <f>4*'ARP Timing'!L$11*VLOOKUP(M$1,'ARP Score'!$A$5:$M20,$A9)</f>
        <v>38.595999999999997</v>
      </c>
      <c r="N9" s="1240">
        <f>4*'ARP Timing'!M$11*VLOOKUP(N$1,'ARP Score'!$A$5:$M20,$A9)</f>
        <v>31.911000000000001</v>
      </c>
      <c r="O9" s="1240">
        <f>4*'ARP Timing'!N$11*VLOOKUP(O$1,'ARP Score'!$A$5:$M20,$A9)</f>
        <v>31.911000000000001</v>
      </c>
      <c r="P9" s="1240">
        <f>4*'ARP Timing'!O$11*VLOOKUP(P$1,'ARP Score'!$A$5:$M20,$A9)</f>
        <v>31.911000000000001</v>
      </c>
      <c r="Q9" s="1240">
        <f>4*'ARP Timing'!P$11*VLOOKUP(Q$1,'ARP Score'!$A$5:$M20,$A9)</f>
        <v>31.911000000000001</v>
      </c>
      <c r="R9" s="1240">
        <f>4*'ARP Timing'!Q$11*VLOOKUP(R$1,'ARP Score'!$A$5:$M20,$A9)</f>
        <v>23.099</v>
      </c>
      <c r="S9" s="1240">
        <f>4*'ARP Timing'!R$11*VLOOKUP(S$1,'ARP Score'!$A$5:$M20,$A9)</f>
        <v>23.099</v>
      </c>
      <c r="T9" s="1240">
        <f>4*'ARP Timing'!S$11*VLOOKUP(T$1,'ARP Score'!$A$5:$M20,$A9)</f>
        <v>23.099</v>
      </c>
      <c r="U9" s="1240">
        <f>4*'ARP Timing'!T$11*VLOOKUP(U$1,'ARP Score'!$A$5:$M20,$A9)</f>
        <v>23.099</v>
      </c>
      <c r="V9" s="1240">
        <f>4*'ARP Timing'!U$11*VLOOKUP(V$1,'ARP Score'!$A$5:$M20,$A9)</f>
        <v>10.766999999999999</v>
      </c>
      <c r="W9" s="1240">
        <f t="shared" si="0"/>
        <v>152.74300000000005</v>
      </c>
    </row>
    <row r="10" spans="1:23" x14ac:dyDescent="0.35">
      <c r="A10" s="1246">
        <v>11</v>
      </c>
      <c r="B10" s="1242" t="s">
        <v>364</v>
      </c>
      <c r="C10" s="1240">
        <f>4*'ARP Timing'!B$11*VLOOKUP(C$1,'ARP Score'!$A$5:$M22,$A10)</f>
        <v>0</v>
      </c>
      <c r="D10" s="1240">
        <f>4*'ARP Timing'!C$11*VLOOKUP(D$1,'ARP Score'!$A$5:$M22,$A10)</f>
        <v>59.256</v>
      </c>
      <c r="E10" s="1240">
        <f>4*'ARP Timing'!D$11*VLOOKUP(E$1,'ARP Score'!$A$5:$M22,$A10)</f>
        <v>59.256</v>
      </c>
      <c r="F10" s="1240">
        <f>4*'ARP Timing'!E$11*VLOOKUP(F$1,'ARP Score'!$A$5:$M22,$A10)</f>
        <v>35.671000000000006</v>
      </c>
      <c r="G10" s="1240">
        <f>4*'ARP Timing'!F$11*VLOOKUP(G$1,'ARP Score'!$A$5:$M22,$A10)</f>
        <v>35.671000000000006</v>
      </c>
      <c r="H10" s="1240">
        <f>4*'ARP Timing'!G$11*VLOOKUP(H$1,'ARP Score'!$A$5:$M22,$A10)</f>
        <v>35.671000000000006</v>
      </c>
      <c r="I10" s="1240">
        <f>4*'ARP Timing'!H$11*VLOOKUP(I$1,'ARP Score'!$A$5:$M22,$A10)</f>
        <v>35.671000000000006</v>
      </c>
      <c r="J10" s="1240">
        <f>4*'ARP Timing'!I$11*VLOOKUP(J$1,'ARP Score'!$A$5:$M22,$A10)</f>
        <v>24.216000000000001</v>
      </c>
      <c r="K10" s="1240">
        <f>4*'ARP Timing'!J$11*VLOOKUP(K$1,'ARP Score'!$A$5:$M22,$A10)</f>
        <v>24.216000000000001</v>
      </c>
      <c r="L10" s="1240">
        <f>4*'ARP Timing'!K$11*VLOOKUP(L$1,'ARP Score'!$A$5:$M22,$A10)</f>
        <v>24.216000000000001</v>
      </c>
      <c r="M10" s="1240">
        <f>4*'ARP Timing'!L$11*VLOOKUP(M$1,'ARP Score'!$A$5:$M22,$A10)</f>
        <v>24.216000000000001</v>
      </c>
      <c r="N10" s="1240">
        <f>4*'ARP Timing'!M$11*VLOOKUP(N$1,'ARP Score'!$A$5:$M22,$A10)</f>
        <v>9.6430000000000007</v>
      </c>
      <c r="O10" s="1240">
        <f>4*'ARP Timing'!N$11*VLOOKUP(O$1,'ARP Score'!$A$5:$M22,$A10)</f>
        <v>9.6430000000000007</v>
      </c>
      <c r="P10" s="1240">
        <f>4*'ARP Timing'!O$11*VLOOKUP(P$1,'ARP Score'!$A$5:$M22,$A10)</f>
        <v>9.6430000000000007</v>
      </c>
      <c r="Q10" s="1240">
        <f>4*'ARP Timing'!P$11*VLOOKUP(Q$1,'ARP Score'!$A$5:$M22,$A10)</f>
        <v>9.6430000000000007</v>
      </c>
      <c r="R10" s="1240">
        <f>4*'ARP Timing'!Q$11*VLOOKUP(R$1,'ARP Score'!$A$5:$M22,$A10)</f>
        <v>4.5789999999999997</v>
      </c>
      <c r="S10" s="1240">
        <f>4*'ARP Timing'!R$11*VLOOKUP(S$1,'ARP Score'!$A$5:$M22,$A10)</f>
        <v>4.5789999999999997</v>
      </c>
      <c r="T10" s="1240">
        <f>4*'ARP Timing'!S$11*VLOOKUP(T$1,'ARP Score'!$A$5:$M22,$A10)</f>
        <v>4.5789999999999997</v>
      </c>
      <c r="U10" s="1240">
        <f>4*'ARP Timing'!T$11*VLOOKUP(U$1,'ARP Score'!$A$5:$M22,$A10)</f>
        <v>4.5789999999999997</v>
      </c>
      <c r="V10" s="1240">
        <f>4*'ARP Timing'!U$11*VLOOKUP(V$1,'ARP Score'!$A$5:$M22,$A10)</f>
        <v>2.9130000000000003</v>
      </c>
      <c r="W10" s="1240">
        <f t="shared" si="0"/>
        <v>103.73700000000002</v>
      </c>
    </row>
    <row r="11" spans="1:23" x14ac:dyDescent="0.35">
      <c r="A11" s="1196">
        <v>12</v>
      </c>
      <c r="B11" s="14" t="s">
        <v>159</v>
      </c>
      <c r="C11" s="1240">
        <f>4*'ARP Timing'!B12*VLOOKUP(C$1,'ARP Score'!$A$5:$M20,$A11)</f>
        <v>103</v>
      </c>
      <c r="D11" s="1240">
        <f>4*'ARP Timing'!C12*VLOOKUP(D$1,'ARP Score'!$A$5:$M20,$A11)</f>
        <v>0</v>
      </c>
      <c r="E11" s="1240">
        <f>4*'ARP Timing'!D12*VLOOKUP(E$1,'ARP Score'!$A$5:$M20,$A11)</f>
        <v>0</v>
      </c>
      <c r="F11" s="1240">
        <f>4*'ARP Timing'!E12*VLOOKUP(F$1,'ARP Score'!$A$5:$M20,$A11)</f>
        <v>0</v>
      </c>
      <c r="G11" s="1240">
        <f>4*'ARP Timing'!F12*VLOOKUP(G$1,'ARP Score'!$A$5:$M20,$A11)</f>
        <v>0</v>
      </c>
      <c r="H11" s="1240">
        <f>4*'ARP Timing'!G12*VLOOKUP(H$1,'ARP Score'!$A$5:$M20,$A11)</f>
        <v>0</v>
      </c>
      <c r="I11" s="1240">
        <f>4*'ARP Timing'!H12*VLOOKUP(I$1,'ARP Score'!$A$5:$M20,$A11)</f>
        <v>0</v>
      </c>
      <c r="J11" s="1240">
        <f>4*'ARP Timing'!I12*VLOOKUP(J$1,'ARP Score'!$A$5:$M20,$A11)</f>
        <v>0</v>
      </c>
      <c r="K11" s="1240">
        <f>4*'ARP Timing'!J12*VLOOKUP(K$1,'ARP Score'!$A$5:$M20,$A11)</f>
        <v>0</v>
      </c>
      <c r="L11" s="1240">
        <f>4*'ARP Timing'!K12*VLOOKUP(L$1,'ARP Score'!$A$5:$M20,$A11)</f>
        <v>0</v>
      </c>
      <c r="M11" s="1240">
        <f>4*'ARP Timing'!L12*VLOOKUP(M$1,'ARP Score'!$A$5:$M20,$A11)</f>
        <v>0</v>
      </c>
      <c r="N11" s="1240">
        <f>4*'ARP Timing'!M12*VLOOKUP(N$1,'ARP Score'!$A$5:$M20,$A11)</f>
        <v>0</v>
      </c>
      <c r="O11" s="1240">
        <f>4*'ARP Timing'!N12*VLOOKUP(O$1,'ARP Score'!$A$5:$M20,$A11)</f>
        <v>0</v>
      </c>
      <c r="P11" s="1240">
        <f>4*'ARP Timing'!O12*VLOOKUP(P$1,'ARP Score'!$A$5:$M20,$A11)</f>
        <v>0</v>
      </c>
      <c r="Q11" s="1240">
        <f>4*'ARP Timing'!P12*VLOOKUP(Q$1,'ARP Score'!$A$5:$M20,$A11)</f>
        <v>0</v>
      </c>
      <c r="R11" s="1240">
        <f>4*'ARP Timing'!Q12*VLOOKUP(R$1,'ARP Score'!$A$5:$M20,$A11)</f>
        <v>0</v>
      </c>
      <c r="S11" s="1240">
        <f>4*'ARP Timing'!R12*VLOOKUP(S$1,'ARP Score'!$A$5:$M20,$A11)</f>
        <v>0</v>
      </c>
      <c r="T11" s="1240">
        <f>4*'ARP Timing'!S12*VLOOKUP(T$1,'ARP Score'!$A$5:$M20,$A11)</f>
        <v>0</v>
      </c>
      <c r="U11" s="1240">
        <f>4*'ARP Timing'!T12*VLOOKUP(U$1,'ARP Score'!$A$5:$M20,$A11)</f>
        <v>0</v>
      </c>
      <c r="V11" s="1240">
        <f>4*'ARP Timing'!U12*VLOOKUP(V$1,'ARP Score'!$A$5:$M20,$A11)</f>
        <v>0</v>
      </c>
      <c r="W11" s="1240">
        <f t="shared" si="0"/>
        <v>25.75</v>
      </c>
    </row>
    <row r="12" spans="1:23" x14ac:dyDescent="0.35">
      <c r="A12" s="1196">
        <v>13</v>
      </c>
      <c r="B12" s="33" t="s">
        <v>109</v>
      </c>
      <c r="C12" s="1240">
        <f>4*'ARP Timing'!B13*VLOOKUP(C$1,'ARP Score'!$A$5:$M21,$A12)</f>
        <v>0</v>
      </c>
      <c r="D12" s="1240">
        <f>4*'ARP Timing'!C13*VLOOKUP(D$1,'ARP Score'!$A$5:$M21,$A12)</f>
        <v>51.102400000000003</v>
      </c>
      <c r="E12" s="1240">
        <f>4*'ARP Timing'!D13*VLOOKUP(E$1,'ARP Score'!$A$5:$M21,$A12)</f>
        <v>76.653599999999997</v>
      </c>
      <c r="F12" s="1240">
        <f>4*'ARP Timing'!E13*VLOOKUP(F$1,'ARP Score'!$A$5:$M21,$A12)</f>
        <v>90.260800000000003</v>
      </c>
      <c r="G12" s="1240">
        <f>4*'ARP Timing'!F13*VLOOKUP(G$1,'ARP Score'!$A$5:$M21,$A12)</f>
        <v>67.695599999999999</v>
      </c>
      <c r="H12" s="1240">
        <f>4*'ARP Timing'!G13*VLOOKUP(H$1,'ARP Score'!$A$5:$M21,$A12)</f>
        <v>45.130400000000002</v>
      </c>
      <c r="I12" s="1240">
        <f>4*'ARP Timing'!H13*VLOOKUP(I$1,'ARP Score'!$A$5:$M21,$A12)</f>
        <v>22.565200000000001</v>
      </c>
      <c r="J12" s="1240">
        <f>4*'ARP Timing'!I13*VLOOKUP(J$1,'ARP Score'!$A$5:$M21,$A12)</f>
        <v>15.652999999999999</v>
      </c>
      <c r="K12" s="1240">
        <f>4*'ARP Timing'!J13*VLOOKUP(K$1,'ARP Score'!$A$5:$M21,$A12)</f>
        <v>15.652999999999999</v>
      </c>
      <c r="L12" s="1240">
        <f>4*'ARP Timing'!K13*VLOOKUP(L$1,'ARP Score'!$A$5:$M21,$A12)</f>
        <v>15.652999999999999</v>
      </c>
      <c r="M12" s="1240">
        <f>4*'ARP Timing'!L13*VLOOKUP(M$1,'ARP Score'!$A$5:$M21,$A12)</f>
        <v>15.652999999999999</v>
      </c>
      <c r="N12" s="1240">
        <f>4*'ARP Timing'!M13*VLOOKUP(N$1,'ARP Score'!$A$5:$M21,$A12)</f>
        <v>3.9320000000000004</v>
      </c>
      <c r="O12" s="1240">
        <f>4*'ARP Timing'!N13*VLOOKUP(O$1,'ARP Score'!$A$5:$M21,$A12)</f>
        <v>3.9320000000000004</v>
      </c>
      <c r="P12" s="1240">
        <f>4*'ARP Timing'!O13*VLOOKUP(P$1,'ARP Score'!$A$5:$M21,$A12)</f>
        <v>3.9320000000000004</v>
      </c>
      <c r="Q12" s="1240">
        <f>4*'ARP Timing'!P13*VLOOKUP(Q$1,'ARP Score'!$A$5:$M21,$A12)</f>
        <v>3.9320000000000004</v>
      </c>
      <c r="R12" s="1240">
        <f>4*'ARP Timing'!Q13*VLOOKUP(R$1,'ARP Score'!$A$5:$M21,$A12)</f>
        <v>-0.74299999999999988</v>
      </c>
      <c r="S12" s="1240">
        <f>4*'ARP Timing'!R13*VLOOKUP(S$1,'ARP Score'!$A$5:$M21,$A12)</f>
        <v>-0.74299999999999988</v>
      </c>
      <c r="T12" s="1240">
        <f>4*'ARP Timing'!S13*VLOOKUP(T$1,'ARP Score'!$A$5:$M21,$A12)</f>
        <v>-0.74299999999999988</v>
      </c>
      <c r="U12" s="1240">
        <f>4*'ARP Timing'!T13*VLOOKUP(U$1,'ARP Score'!$A$5:$M21,$A12)</f>
        <v>-0.74299999999999988</v>
      </c>
      <c r="V12" s="1240">
        <f>4*'ARP Timing'!U13*VLOOKUP(V$1,'ARP Score'!$A$5:$M21,$A12)</f>
        <v>-21.606000000000002</v>
      </c>
      <c r="W12" s="1240">
        <f t="shared" si="0"/>
        <v>107.19400000000005</v>
      </c>
    </row>
    <row r="13" spans="1:23" x14ac:dyDescent="0.35">
      <c r="A13" s="1196">
        <v>15</v>
      </c>
      <c r="B13" s="1196" t="s">
        <v>773</v>
      </c>
      <c r="C13" s="1240">
        <f>0.3*'ARP Score'!$N5*4*'ARP Timing'!B6</f>
        <v>0</v>
      </c>
      <c r="D13" s="1240">
        <f>0.3*'ARP Score'!$N5*4*'ARP Timing'!C6</f>
        <v>1.7544</v>
      </c>
      <c r="E13" s="1240">
        <f>0.3*'ARP Score'!$N5*4*'ARP Timing'!D6</f>
        <v>2.3255999999999997</v>
      </c>
      <c r="F13" s="1240">
        <f>0.3*'ARP Score'!$N6*4*'ARP Timing'!E6</f>
        <v>1.5299999999999998</v>
      </c>
      <c r="G13" s="1240">
        <f>0.3*'ARP Score'!$N6*4*'ARP Timing'!F6</f>
        <v>1.5299999999999998</v>
      </c>
      <c r="H13" s="1240">
        <f>0.3*'ARP Score'!$N6*4*'ARP Timing'!G6</f>
        <v>1.5299999999999998</v>
      </c>
      <c r="I13" s="1240">
        <f>0.3*'ARP Score'!$N6*4*'ARP Timing'!H6</f>
        <v>1.5299999999999998</v>
      </c>
      <c r="J13" s="1240">
        <f>0.3*'ARP Score'!$N7*4*'ARP Timing'!I6</f>
        <v>0</v>
      </c>
      <c r="K13" s="1240">
        <f>0.3*'ARP Score'!$N7*4*'ARP Timing'!J6</f>
        <v>0</v>
      </c>
      <c r="L13" s="1240">
        <f>0.3*'ARP Score'!$N7*4*'ARP Timing'!K6</f>
        <v>0</v>
      </c>
      <c r="M13" s="1240">
        <f>0.3*'ARP Score'!$N7*4*'ARP Timing'!L6</f>
        <v>0</v>
      </c>
      <c r="N13" s="1240">
        <f>0.3*'ARP Score'!$N7*4*'ARP Timing'!M6</f>
        <v>0</v>
      </c>
      <c r="O13" s="1240">
        <f>0.3*'ARP Score'!$N7*4*'ARP Timing'!N6</f>
        <v>0</v>
      </c>
      <c r="P13" s="1240">
        <f>0.3*'ARP Score'!$N7*4*'ARP Timing'!O6</f>
        <v>0</v>
      </c>
      <c r="Q13" s="1240">
        <f>0.3*'ARP Score'!$N7*4*'ARP Timing'!P6</f>
        <v>0</v>
      </c>
      <c r="R13" s="1240">
        <f>0.3*'ARP Score'!$N7*4*'ARP Timing'!Q6</f>
        <v>0</v>
      </c>
      <c r="S13" s="1240">
        <f>0.3*'ARP Score'!$N7*4*'ARP Timing'!R6</f>
        <v>0</v>
      </c>
      <c r="T13" s="1240">
        <f>0.3*'ARP Score'!$N7*4*'ARP Timing'!S6</f>
        <v>0</v>
      </c>
      <c r="U13" s="1240">
        <f>0.3*'ARP Score'!$N7*4*'ARP Timing'!T6</f>
        <v>0</v>
      </c>
      <c r="V13" s="1240">
        <f>0.3*'ARP Score'!$N7*4*'ARP Timing'!U6</f>
        <v>0</v>
      </c>
      <c r="W13" s="1240">
        <f t="shared" si="0"/>
        <v>2.5499999999999994</v>
      </c>
    </row>
    <row r="14" spans="1:23" x14ac:dyDescent="0.35">
      <c r="A14" s="1196">
        <v>14</v>
      </c>
      <c r="B14" s="1196" t="s">
        <v>774</v>
      </c>
      <c r="C14" s="1240">
        <f>C13/0.3*0.2</f>
        <v>0</v>
      </c>
      <c r="D14" s="1240">
        <f t="shared" ref="D14:F14" si="1">D13/0.3*0.2</f>
        <v>1.1696</v>
      </c>
      <c r="E14" s="1240">
        <f t="shared" si="1"/>
        <v>1.5503999999999998</v>
      </c>
      <c r="F14" s="1240">
        <f t="shared" si="1"/>
        <v>1.02</v>
      </c>
      <c r="G14" s="1240">
        <f t="shared" ref="G14" si="2">G13/0.3*0.2</f>
        <v>1.02</v>
      </c>
      <c r="H14" s="1240">
        <f t="shared" ref="H14" si="3">H13/0.3*0.2</f>
        <v>1.02</v>
      </c>
      <c r="I14" s="1240">
        <f t="shared" ref="I14" si="4">I13/0.3*0.2</f>
        <v>1.02</v>
      </c>
      <c r="J14" s="1240">
        <f t="shared" ref="J14" si="5">J13/0.3*0.2</f>
        <v>0</v>
      </c>
      <c r="K14" s="1240">
        <f t="shared" ref="K14" si="6">K13/0.3*0.2</f>
        <v>0</v>
      </c>
      <c r="L14" s="1240">
        <f t="shared" ref="L14" si="7">L13/0.3*0.2</f>
        <v>0</v>
      </c>
      <c r="M14" s="1240">
        <f t="shared" ref="M14" si="8">M13/0.3*0.2</f>
        <v>0</v>
      </c>
      <c r="N14" s="1240">
        <f t="shared" ref="N14" si="9">N13/0.3*0.2</f>
        <v>0</v>
      </c>
      <c r="O14" s="1240">
        <f t="shared" ref="O14" si="10">O13/0.3*0.2</f>
        <v>0</v>
      </c>
      <c r="P14" s="1240">
        <f t="shared" ref="P14" si="11">P13/0.3*0.2</f>
        <v>0</v>
      </c>
      <c r="Q14" s="1240">
        <f t="shared" ref="Q14" si="12">Q13/0.3*0.2</f>
        <v>0</v>
      </c>
      <c r="R14" s="1240">
        <f t="shared" ref="R14" si="13">R13/0.3*0.2</f>
        <v>0</v>
      </c>
      <c r="S14" s="1240">
        <f t="shared" ref="S14" si="14">S13/0.3*0.2</f>
        <v>0</v>
      </c>
      <c r="T14" s="1240">
        <f t="shared" ref="T14" si="15">T13/0.3*0.2</f>
        <v>0</v>
      </c>
      <c r="U14" s="1240">
        <f t="shared" ref="U14" si="16">U13/0.3*0.2</f>
        <v>0</v>
      </c>
      <c r="V14" s="1240">
        <f t="shared" ref="V14" si="17">V13/0.3*0.2</f>
        <v>0</v>
      </c>
      <c r="W14" s="1240">
        <f t="shared" si="0"/>
        <v>1.6999999999999997</v>
      </c>
    </row>
    <row r="15" spans="1:23" x14ac:dyDescent="0.35">
      <c r="A15" s="1196">
        <v>14</v>
      </c>
      <c r="B15" s="1196" t="s">
        <v>472</v>
      </c>
      <c r="C15" s="1240">
        <f>C14/0.2*0.5</f>
        <v>0</v>
      </c>
      <c r="D15" s="1240">
        <f t="shared" ref="D15:F15" si="18">D14/0.2*0.5</f>
        <v>2.9239999999999999</v>
      </c>
      <c r="E15" s="1240">
        <f t="shared" si="18"/>
        <v>3.8759999999999994</v>
      </c>
      <c r="F15" s="1240">
        <f t="shared" si="18"/>
        <v>2.5499999999999998</v>
      </c>
      <c r="G15" s="1240">
        <f t="shared" ref="G15" si="19">G14/0.2*0.5</f>
        <v>2.5499999999999998</v>
      </c>
      <c r="H15" s="1240">
        <f t="shared" ref="H15" si="20">H14/0.2*0.5</f>
        <v>2.5499999999999998</v>
      </c>
      <c r="I15" s="1240">
        <f t="shared" ref="I15" si="21">I14/0.2*0.5</f>
        <v>2.5499999999999998</v>
      </c>
      <c r="J15" s="1240">
        <f t="shared" ref="J15" si="22">J14/0.2*0.5</f>
        <v>0</v>
      </c>
      <c r="K15" s="1240">
        <f t="shared" ref="K15" si="23">K14/0.2*0.5</f>
        <v>0</v>
      </c>
      <c r="L15" s="1240">
        <f t="shared" ref="L15" si="24">L14/0.2*0.5</f>
        <v>0</v>
      </c>
      <c r="M15" s="1240">
        <f t="shared" ref="M15" si="25">M14/0.2*0.5</f>
        <v>0</v>
      </c>
      <c r="N15" s="1240">
        <f t="shared" ref="N15" si="26">N14/0.2*0.5</f>
        <v>0</v>
      </c>
      <c r="O15" s="1240">
        <f t="shared" ref="O15" si="27">O14/0.2*0.5</f>
        <v>0</v>
      </c>
      <c r="P15" s="1240">
        <f t="shared" ref="P15" si="28">P14/0.2*0.5</f>
        <v>0</v>
      </c>
      <c r="Q15" s="1240">
        <f t="shared" ref="Q15" si="29">Q14/0.2*0.5</f>
        <v>0</v>
      </c>
      <c r="R15" s="1240">
        <f t="shared" ref="R15" si="30">R14/0.2*0.5</f>
        <v>0</v>
      </c>
      <c r="S15" s="1240">
        <f t="shared" ref="S15" si="31">S14/0.2*0.5</f>
        <v>0</v>
      </c>
      <c r="T15" s="1240">
        <f t="shared" ref="T15" si="32">T14/0.2*0.5</f>
        <v>0</v>
      </c>
      <c r="U15" s="1240">
        <f t="shared" ref="U15" si="33">U14/0.2*0.5</f>
        <v>0</v>
      </c>
      <c r="V15" s="1240">
        <f t="shared" ref="V15" si="34">V14/0.2*0.5</f>
        <v>0</v>
      </c>
      <c r="W15" s="1240">
        <f t="shared" si="0"/>
        <v>4.25</v>
      </c>
    </row>
    <row r="16" spans="1:23" x14ac:dyDescent="0.35">
      <c r="C16" s="1240"/>
      <c r="D16" s="1240"/>
      <c r="E16" s="1240"/>
      <c r="F16" s="1240"/>
      <c r="G16" s="1240"/>
      <c r="H16" s="1240"/>
      <c r="I16" s="1240"/>
      <c r="J16" s="1240"/>
      <c r="K16" s="1240"/>
      <c r="L16" s="1240"/>
      <c r="M16" s="1240"/>
      <c r="N16" s="1240"/>
      <c r="O16" s="1240"/>
      <c r="P16" s="1240"/>
      <c r="Q16" s="1240"/>
      <c r="R16" s="1240"/>
      <c r="S16" s="1240"/>
      <c r="T16" s="1240"/>
      <c r="U16" s="1240"/>
      <c r="V16" s="1240"/>
      <c r="W16" s="1240"/>
    </row>
    <row r="17" spans="1:23" x14ac:dyDescent="0.35">
      <c r="A17" s="1196" t="s">
        <v>775</v>
      </c>
      <c r="C17" s="1240"/>
      <c r="D17" s="1240"/>
      <c r="E17" s="1240"/>
      <c r="F17" s="1240"/>
      <c r="G17" s="1240"/>
      <c r="H17" s="1240"/>
      <c r="I17" s="1240"/>
      <c r="J17" s="1240"/>
      <c r="K17" s="1240"/>
      <c r="L17" s="1240"/>
      <c r="M17" s="1240"/>
      <c r="N17" s="1240"/>
      <c r="O17" s="1240"/>
      <c r="P17" s="1240"/>
      <c r="Q17" s="1240"/>
      <c r="R17" s="1240"/>
      <c r="S17" s="1240"/>
      <c r="T17" s="1240"/>
      <c r="U17" s="1240"/>
      <c r="V17" s="1240"/>
      <c r="W17" s="1240"/>
    </row>
    <row r="18" spans="1:23" x14ac:dyDescent="0.35">
      <c r="B18" s="499" t="s">
        <v>143</v>
      </c>
      <c r="C18" s="1240">
        <f>'ARP Score'!$BG5/'ARP Score'!$G5*C6</f>
        <v>0</v>
      </c>
      <c r="D18" s="1240">
        <f>'ARP Score'!$BG5/'ARP Score'!$G5*D6</f>
        <v>2.2132800000000001</v>
      </c>
      <c r="E18" s="1240">
        <f>'ARP Score'!$BG5/'ARP Score'!$G5*E6</f>
        <v>10.082720000000002</v>
      </c>
      <c r="F18" s="1240">
        <f>'ARP Score'!$BG6/'ARP Score'!$G6*F6</f>
        <v>7.1439999999999992</v>
      </c>
      <c r="G18" s="1240">
        <f>'ARP Score'!$BG6/'ARP Score'!$G6*G6</f>
        <v>7.1439999999999992</v>
      </c>
      <c r="H18" s="1240">
        <f>'ARP Score'!$BG6/'ARP Score'!$G6*H6</f>
        <v>7.1439999999999992</v>
      </c>
      <c r="I18" s="1240">
        <f>'ARP Score'!$BG6/'ARP Score'!$G6*I6</f>
        <v>7.1439999999999992</v>
      </c>
      <c r="J18" s="1240">
        <f>'ARP Score'!$BG7/'ARP Score'!$G7*J6</f>
        <v>0</v>
      </c>
      <c r="K18" s="1240">
        <f>'ARP Score'!$BG7/'ARP Score'!$G7*K6</f>
        <v>0</v>
      </c>
      <c r="L18" s="1240">
        <f>'ARP Score'!$BG7/'ARP Score'!$G7*L6</f>
        <v>0</v>
      </c>
      <c r="M18" s="1240">
        <f>'ARP Score'!$BG7/'ARP Score'!$G7*M6</f>
        <v>0</v>
      </c>
      <c r="N18" s="1240"/>
      <c r="O18" s="1240"/>
      <c r="P18" s="1240"/>
      <c r="Q18" s="1240"/>
      <c r="R18" s="1240"/>
      <c r="S18" s="1240"/>
      <c r="T18" s="1240"/>
      <c r="U18" s="1240"/>
      <c r="V18" s="1240"/>
      <c r="W18" s="1240"/>
    </row>
    <row r="19" spans="1:23" x14ac:dyDescent="0.35">
      <c r="B19" s="499" t="s">
        <v>776</v>
      </c>
      <c r="C19" s="1240">
        <f>'ARP Score'!$BI5/'ARP Score'!$G5*C6</f>
        <v>0</v>
      </c>
      <c r="D19" s="1240">
        <f>'ARP Score'!$BI5/'ARP Score'!$G5*D6</f>
        <v>15.128640000000001</v>
      </c>
      <c r="E19" s="1240">
        <f>'ARP Score'!$BI5/'ARP Score'!$G5*E6</f>
        <v>68.919360000000012</v>
      </c>
      <c r="F19" s="1240">
        <f>'ARP Score'!$BI6/'ARP Score'!$G6*F6</f>
        <v>5.6120000000000001</v>
      </c>
      <c r="G19" s="1240">
        <f>'ARP Score'!$BI6/'ARP Score'!$G6*G6</f>
        <v>5.6120000000000001</v>
      </c>
      <c r="H19" s="1240">
        <f>'ARP Score'!$BI6/'ARP Score'!$G6*H6</f>
        <v>5.6120000000000001</v>
      </c>
      <c r="I19" s="1240">
        <f>'ARP Score'!$BI6/'ARP Score'!$G6*I6</f>
        <v>5.6120000000000001</v>
      </c>
      <c r="J19" s="1240">
        <f>'ARP Score'!$B7/'ARP Score'!$G7*J6</f>
        <v>0.48599999999999993</v>
      </c>
      <c r="K19" s="1240">
        <f>'ARP Score'!$B7/'ARP Score'!$G7*K6</f>
        <v>0.48599999999999993</v>
      </c>
      <c r="L19" s="1240">
        <f>'ARP Score'!$B7/'ARP Score'!$G7*L6</f>
        <v>0.48599999999999993</v>
      </c>
      <c r="M19" s="1240">
        <f>'ARP Score'!$B7/'ARP Score'!$G7*M6</f>
        <v>0.48599999999999993</v>
      </c>
      <c r="N19" s="1240">
        <f>'ARP Score'!$B8/'ARP Score'!$G8*N6</f>
        <v>0</v>
      </c>
      <c r="O19" s="1240"/>
      <c r="P19" s="1240"/>
      <c r="Q19" s="1240"/>
      <c r="R19" s="1240"/>
      <c r="S19" s="1240"/>
      <c r="T19" s="1240"/>
      <c r="U19" s="1240"/>
      <c r="V19" s="1240"/>
      <c r="W19" s="1240"/>
    </row>
    <row r="20" spans="1:23" x14ac:dyDescent="0.35">
      <c r="B20" s="499" t="s">
        <v>148</v>
      </c>
      <c r="C20" s="1240">
        <f>'ARP Score'!$BF5/'ARP Score'!$G5*C6</f>
        <v>0</v>
      </c>
      <c r="D20" s="1240">
        <f>'ARP Score'!$BF5/'ARP Score'!$G5*D6</f>
        <v>3.2479199999999997</v>
      </c>
      <c r="E20" s="1240">
        <f>'ARP Score'!$BF5/'ARP Score'!$G5*E6</f>
        <v>14.796080000000002</v>
      </c>
      <c r="F20" s="1240">
        <f>'ARP Score'!$BF6/'ARP Score'!$G6*F6</f>
        <v>1.7329999999999999</v>
      </c>
      <c r="G20" s="1240">
        <f>'ARP Score'!$BF6/'ARP Score'!$G6*G6</f>
        <v>1.7329999999999999</v>
      </c>
      <c r="H20" s="1240">
        <f>'ARP Score'!$BF6/'ARP Score'!$G6*H6</f>
        <v>1.7329999999999999</v>
      </c>
      <c r="I20" s="1240">
        <f>'ARP Score'!$BF6/'ARP Score'!$G6*I6</f>
        <v>1.7329999999999999</v>
      </c>
      <c r="J20" s="1240">
        <f>'ARP Score'!$BF7/'ARP Score'!$G7*J6</f>
        <v>0</v>
      </c>
      <c r="K20" s="1240">
        <f>'ARP Score'!$BF7/'ARP Score'!$G7*K6</f>
        <v>0</v>
      </c>
      <c r="L20" s="1240">
        <f>'ARP Score'!$BF7/'ARP Score'!$G7*L6</f>
        <v>0</v>
      </c>
      <c r="M20" s="1240">
        <f>'ARP Score'!$BF7/'ARP Score'!$G7*M6</f>
        <v>0</v>
      </c>
      <c r="N20" s="1240"/>
      <c r="O20" s="1240"/>
      <c r="P20" s="1240"/>
      <c r="Q20" s="1240"/>
      <c r="R20" s="1240"/>
      <c r="S20" s="1240"/>
      <c r="T20" s="1240"/>
      <c r="U20" s="1240"/>
      <c r="V20" s="1240"/>
      <c r="W20" s="1240"/>
    </row>
    <row r="21" spans="1:23" x14ac:dyDescent="0.35">
      <c r="B21" s="1247" t="s">
        <v>415</v>
      </c>
      <c r="C21" s="1240">
        <f>15/40*(C6*'ARP Score'!$BD5/'ARP Score'!$G5)</f>
        <v>0</v>
      </c>
      <c r="D21" s="1240">
        <f>15/40*(D6*('ARP Score'!$BD5+'ARP Score'!$BE5)/'ARP Score'!$G5)</f>
        <v>13.2921</v>
      </c>
      <c r="E21" s="1240">
        <f>15/40*(E6*('ARP Score'!$BD5+'ARP Score'!$BE5)/'ARP Score'!$G5)</f>
        <v>60.552900000000008</v>
      </c>
      <c r="F21" s="1240">
        <f>15/40*(F6*('ARP Score'!$BD6+'ARP Score'!$BE6)/'ARP Score'!$G6)</f>
        <v>1.0687500000000001</v>
      </c>
      <c r="G21" s="1240">
        <f>15/40*(G6*('ARP Score'!$BD6+'ARP Score'!$BE6)/'ARP Score'!$G6)</f>
        <v>1.0687500000000001</v>
      </c>
      <c r="H21" s="1240">
        <f>15/40*(H6*('ARP Score'!$BD6+'ARP Score'!$BE6)/'ARP Score'!$G6)</f>
        <v>1.0687500000000001</v>
      </c>
      <c r="I21" s="1240">
        <f>15/40*(I6*('ARP Score'!$BD6+'ARP Score'!$BE6)/'ARP Score'!$G6)</f>
        <v>1.0687500000000001</v>
      </c>
      <c r="J21" s="1240">
        <f>15/40*(J6*('ARP Score'!$BD7+'ARP Score'!$BE7)/'ARP Score'!$G7)</f>
        <v>0.78750000000000009</v>
      </c>
      <c r="K21" s="1240">
        <f>15/40*(K6*('ARP Score'!$BD7+'ARP Score'!$BE7)/'ARP Score'!$G7)</f>
        <v>0.78750000000000009</v>
      </c>
      <c r="L21" s="1240">
        <f>15/40*(L6*('ARP Score'!$BD7+'ARP Score'!$BE7)/'ARP Score'!$G7)</f>
        <v>0.78750000000000009</v>
      </c>
      <c r="M21" s="1240">
        <f>15/40*(M6*('ARP Score'!$BD7+'ARP Score'!$BE7)/'ARP Score'!$G7)</f>
        <v>0.78750000000000009</v>
      </c>
      <c r="N21" s="1240"/>
      <c r="O21" s="1240"/>
      <c r="P21" s="1240"/>
      <c r="Q21" s="1240"/>
      <c r="R21" s="1240"/>
      <c r="S21" s="1240"/>
      <c r="T21" s="1240"/>
      <c r="U21" s="1240"/>
      <c r="V21" s="1240"/>
      <c r="W21" s="1240"/>
    </row>
    <row r="22" spans="1:23" x14ac:dyDescent="0.35">
      <c r="B22" s="1247" t="s">
        <v>777</v>
      </c>
      <c r="C22" s="1240"/>
      <c r="D22" s="1240">
        <f>D21/15*25</f>
        <v>22.153499999999998</v>
      </c>
      <c r="E22" s="1240">
        <f>E21/15*25</f>
        <v>100.92150000000002</v>
      </c>
      <c r="F22" s="1240">
        <f>F21/15*25</f>
        <v>1.7812500000000002</v>
      </c>
      <c r="G22" s="1240">
        <f>G21/15*25</f>
        <v>1.7812500000000002</v>
      </c>
      <c r="H22" s="1240">
        <f t="shared" ref="H22:J22" si="35">H21/15*25</f>
        <v>1.7812500000000002</v>
      </c>
      <c r="I22" s="1240">
        <f t="shared" si="35"/>
        <v>1.7812500000000002</v>
      </c>
      <c r="J22" s="1240">
        <f t="shared" si="35"/>
        <v>1.3125000000000002</v>
      </c>
      <c r="K22" s="1240">
        <f t="shared" ref="K22" si="36">K21/15*25</f>
        <v>1.3125000000000002</v>
      </c>
      <c r="L22" s="1240">
        <f t="shared" ref="L22" si="37">L21/15*25</f>
        <v>1.3125000000000002</v>
      </c>
      <c r="M22" s="1240">
        <f t="shared" ref="M22" si="38">M21/15*25</f>
        <v>1.3125000000000002</v>
      </c>
      <c r="N22" s="1240"/>
      <c r="O22" s="1240"/>
      <c r="P22" s="1240"/>
      <c r="Q22" s="1240"/>
      <c r="R22" s="1240"/>
      <c r="S22" s="1240"/>
      <c r="T22" s="1240"/>
      <c r="U22" s="1240"/>
      <c r="V22" s="1240"/>
      <c r="W22" s="1240"/>
    </row>
    <row r="23" spans="1:23" x14ac:dyDescent="0.35">
      <c r="B23" s="499" t="s">
        <v>427</v>
      </c>
      <c r="C23" s="1240">
        <f>'ARP Score'!$BB5/'ARP Score'!$G5*C6</f>
        <v>0</v>
      </c>
      <c r="D23" s="1240">
        <f>'ARP Score'!$BB5/'ARP Score'!$G5*D6</f>
        <v>2.9519999999999995</v>
      </c>
      <c r="E23" s="1240">
        <f>'ARP Score'!$BB5/'ARP Score'!$G5*E6</f>
        <v>13.448</v>
      </c>
      <c r="F23" s="1240">
        <f>'ARP Score'!$BB6/'ARP Score'!$G6*F6</f>
        <v>11.3</v>
      </c>
      <c r="G23" s="1240">
        <f>'ARP Score'!$BB6/'ARP Score'!$G6*G6</f>
        <v>11.3</v>
      </c>
      <c r="H23" s="1240">
        <f>'ARP Score'!$BB6/'ARP Score'!$G6*H6</f>
        <v>11.3</v>
      </c>
      <c r="I23" s="1240">
        <f>'ARP Score'!$BB6/'ARP Score'!$G6*I6</f>
        <v>11.3</v>
      </c>
      <c r="J23" s="1240">
        <f>'ARP Score'!$BB7/'ARP Score'!$G7*J6</f>
        <v>8.4</v>
      </c>
      <c r="K23" s="1240">
        <f>'ARP Score'!$BB7/'ARP Score'!$G7*K6</f>
        <v>8.4</v>
      </c>
      <c r="L23" s="1240">
        <f>'ARP Score'!$BB7/'ARP Score'!$G7*L6</f>
        <v>8.4</v>
      </c>
      <c r="M23" s="1240">
        <f>'ARP Score'!$BB7/'ARP Score'!$G7*M6</f>
        <v>8.4</v>
      </c>
      <c r="N23" s="1240">
        <f>'ARP Score'!$BB8/'ARP Score'!$G8*N6</f>
        <v>0.2</v>
      </c>
      <c r="O23" s="1240">
        <f>'ARP Score'!$BB8/'ARP Score'!$G8*O6</f>
        <v>0.2</v>
      </c>
      <c r="P23" s="1240">
        <f>'ARP Score'!$BB8/'ARP Score'!$G8*P6</f>
        <v>0.2</v>
      </c>
      <c r="Q23" s="1240">
        <f>'ARP Score'!$BB8/'ARP Score'!$G8*Q6</f>
        <v>0.2</v>
      </c>
      <c r="R23" s="1240"/>
      <c r="S23" s="1240"/>
      <c r="T23" s="1240"/>
      <c r="U23" s="1240"/>
      <c r="V23" s="1240"/>
      <c r="W23" s="1240"/>
    </row>
    <row r="24" spans="1:23" x14ac:dyDescent="0.35">
      <c r="B24" s="499" t="s">
        <v>428</v>
      </c>
      <c r="C24" s="1240">
        <f>'ARP Score'!$BH5/'ARP Score'!$G5*C6</f>
        <v>0</v>
      </c>
      <c r="D24" s="1240">
        <f>'ARP Score'!$BH5/'ARP Score'!$G5*D6</f>
        <v>-0.20447999999999997</v>
      </c>
      <c r="E24" s="1240">
        <f>'ARP Score'!$BH5/'ARP Score'!$G5*E6</f>
        <v>-0.93152000000000001</v>
      </c>
      <c r="F24" s="1240">
        <f>'ARP Score'!$BH6/'ARP Score'!$G6*F6</f>
        <v>81.608999999999995</v>
      </c>
      <c r="G24" s="1240">
        <f>'ARP Score'!$BH6/'ARP Score'!$G6*G6</f>
        <v>81.608999999999995</v>
      </c>
      <c r="H24" s="1240">
        <f>'ARP Score'!$BH6/'ARP Score'!$G6*H6</f>
        <v>81.608999999999995</v>
      </c>
      <c r="I24" s="1240">
        <f>'ARP Score'!$BH6/'ARP Score'!$G6*I6</f>
        <v>81.608999999999995</v>
      </c>
      <c r="J24" s="1240">
        <f>'ARP Score'!$BH7/'ARP Score'!$G7*J6</f>
        <v>1.3759999999999999</v>
      </c>
      <c r="K24" s="1240">
        <f>'ARP Score'!$BH7/'ARP Score'!$G7*K6</f>
        <v>1.3759999999999999</v>
      </c>
      <c r="L24" s="1240">
        <f>'ARP Score'!$BH7/'ARP Score'!$G7*L6</f>
        <v>1.3759999999999999</v>
      </c>
      <c r="M24" s="1240">
        <f>'ARP Score'!$BH7/'ARP Score'!$G7*M6</f>
        <v>1.3759999999999999</v>
      </c>
      <c r="N24" s="1240">
        <f>'ARP Score'!$BH8/'ARP Score'!$G8*N6</f>
        <v>-0.87500000000000011</v>
      </c>
      <c r="O24" s="1240">
        <f>'ARP Score'!$BH8/'ARP Score'!$G8*O6</f>
        <v>-0.87500000000000011</v>
      </c>
      <c r="P24" s="1240">
        <f>'ARP Score'!$BH8/'ARP Score'!$G8*P6</f>
        <v>-0.87500000000000011</v>
      </c>
      <c r="Q24" s="1240">
        <f>'ARP Score'!$BH8/'ARP Score'!$G8*Q6</f>
        <v>-0.87500000000000011</v>
      </c>
      <c r="R24" s="1240"/>
      <c r="S24" s="1240"/>
      <c r="T24" s="1240"/>
      <c r="U24" s="1240"/>
      <c r="V24" s="1240"/>
      <c r="W24" s="1240"/>
    </row>
    <row r="25" spans="1:23" x14ac:dyDescent="0.35">
      <c r="B25" s="499" t="s">
        <v>312</v>
      </c>
      <c r="C25" s="1240">
        <f>SUM(C18:C24)</f>
        <v>0</v>
      </c>
      <c r="D25" s="1240">
        <f t="shared" ref="D25:Q25" si="39">SUM(D18:D24)</f>
        <v>58.782959999999996</v>
      </c>
      <c r="E25" s="1240">
        <f t="shared" si="39"/>
        <v>267.78904000000006</v>
      </c>
      <c r="F25" s="1240">
        <f t="shared" si="39"/>
        <v>110.24799999999999</v>
      </c>
      <c r="G25" s="1240">
        <f t="shared" si="39"/>
        <v>110.24799999999999</v>
      </c>
      <c r="H25" s="1240">
        <f t="shared" si="39"/>
        <v>110.24799999999999</v>
      </c>
      <c r="I25" s="1240">
        <f t="shared" si="39"/>
        <v>110.24799999999999</v>
      </c>
      <c r="J25" s="1240">
        <f t="shared" si="39"/>
        <v>12.362</v>
      </c>
      <c r="K25" s="1240">
        <f t="shared" si="39"/>
        <v>12.362</v>
      </c>
      <c r="L25" s="1240">
        <f t="shared" si="39"/>
        <v>12.362</v>
      </c>
      <c r="M25" s="1240">
        <f t="shared" si="39"/>
        <v>12.362</v>
      </c>
      <c r="N25" s="1240">
        <f t="shared" si="39"/>
        <v>-0.67500000000000004</v>
      </c>
      <c r="O25" s="1240">
        <f t="shared" si="39"/>
        <v>-0.67500000000000004</v>
      </c>
      <c r="P25" s="1240">
        <f t="shared" si="39"/>
        <v>-0.67500000000000004</v>
      </c>
      <c r="Q25" s="1240">
        <f t="shared" si="39"/>
        <v>-0.67500000000000004</v>
      </c>
      <c r="R25" s="1240"/>
      <c r="S25" s="1240"/>
      <c r="T25" s="1240"/>
      <c r="U25" s="1240"/>
      <c r="V25" s="1240"/>
      <c r="W25" s="1240"/>
    </row>
    <row r="26" spans="1:23" x14ac:dyDescent="0.35">
      <c r="D26" s="1241">
        <f>D6-D25</f>
        <v>0</v>
      </c>
      <c r="E26" s="1241">
        <f t="shared" ref="E26:M26" si="40">E6-E25</f>
        <v>0</v>
      </c>
      <c r="F26" s="1241">
        <f t="shared" si="40"/>
        <v>0</v>
      </c>
      <c r="G26" s="1241">
        <f t="shared" si="40"/>
        <v>0</v>
      </c>
      <c r="H26" s="1241">
        <f t="shared" si="40"/>
        <v>0</v>
      </c>
      <c r="I26" s="1241">
        <f t="shared" si="40"/>
        <v>0</v>
      </c>
      <c r="J26" s="1241">
        <f t="shared" si="40"/>
        <v>0.36400000000000077</v>
      </c>
      <c r="K26" s="1241">
        <f t="shared" si="40"/>
        <v>0.36400000000000077</v>
      </c>
      <c r="L26" s="1241">
        <f t="shared" si="40"/>
        <v>0.36400000000000077</v>
      </c>
      <c r="M26" s="1241">
        <f t="shared" si="40"/>
        <v>0.36400000000000077</v>
      </c>
    </row>
    <row r="27" spans="1:23" x14ac:dyDescent="0.35">
      <c r="B27" s="1196" t="s">
        <v>778</v>
      </c>
      <c r="D27" s="136" t="s">
        <v>251</v>
      </c>
      <c r="E27" s="136" t="s">
        <v>180</v>
      </c>
      <c r="F27" s="136" t="s">
        <v>181</v>
      </c>
      <c r="G27" s="136" t="s">
        <v>182</v>
      </c>
      <c r="H27" s="136" t="s">
        <v>183</v>
      </c>
      <c r="I27" s="136" t="s">
        <v>184</v>
      </c>
      <c r="J27" s="136" t="s">
        <v>185</v>
      </c>
      <c r="K27" s="136" t="s">
        <v>186</v>
      </c>
      <c r="L27" s="136" t="s">
        <v>187</v>
      </c>
      <c r="M27" s="136" t="s">
        <v>188</v>
      </c>
      <c r="N27" s="136" t="s">
        <v>189</v>
      </c>
      <c r="O27" s="136" t="s">
        <v>190</v>
      </c>
      <c r="P27" s="136" t="s">
        <v>191</v>
      </c>
      <c r="Q27" s="136" t="s">
        <v>175</v>
      </c>
      <c r="R27" s="136" t="s">
        <v>176</v>
      </c>
      <c r="S27" s="136" t="s">
        <v>177</v>
      </c>
      <c r="T27" s="136" t="s">
        <v>769</v>
      </c>
      <c r="U27" s="136" t="s">
        <v>770</v>
      </c>
      <c r="V27" s="136" t="s">
        <v>771</v>
      </c>
    </row>
    <row r="28" spans="1:23" x14ac:dyDescent="0.35">
      <c r="B28" s="33"/>
      <c r="C28" s="1241" t="s">
        <v>312</v>
      </c>
      <c r="D28" s="1243">
        <f>SUM(D29:D43)</f>
        <v>5.8765000000000009</v>
      </c>
      <c r="E28" s="1243">
        <f t="shared" ref="E28:V28" si="41">SUM(E29:E43)</f>
        <v>11.753000000000002</v>
      </c>
      <c r="F28" s="1243">
        <f t="shared" si="41"/>
        <v>15.762320000000003</v>
      </c>
      <c r="G28" s="1243">
        <f t="shared" si="41"/>
        <v>19.771640000000005</v>
      </c>
      <c r="H28" s="1243">
        <f t="shared" si="41"/>
        <v>23.812229000000006</v>
      </c>
      <c r="I28" s="1243">
        <f t="shared" si="41"/>
        <v>27.852818000000006</v>
      </c>
      <c r="J28" s="1243">
        <f t="shared" si="41"/>
        <v>30.517977000000005</v>
      </c>
      <c r="K28" s="1243">
        <f t="shared" si="41"/>
        <v>33.183136000000005</v>
      </c>
      <c r="L28" s="1243">
        <f t="shared" si="41"/>
        <v>36.260924000000003</v>
      </c>
      <c r="M28" s="1243">
        <f t="shared" si="41"/>
        <v>39.338711999999994</v>
      </c>
      <c r="N28" s="1243">
        <f t="shared" si="41"/>
        <v>40.928439999999995</v>
      </c>
      <c r="O28" s="1243">
        <f t="shared" si="41"/>
        <v>42.518167999999996</v>
      </c>
      <c r="P28" s="1243">
        <f t="shared" si="41"/>
        <v>44.428388999999996</v>
      </c>
      <c r="Q28" s="1243">
        <f t="shared" si="41"/>
        <v>46.338610000000003</v>
      </c>
      <c r="R28" s="1243">
        <f t="shared" si="41"/>
        <v>47.279744500000007</v>
      </c>
      <c r="S28" s="1243">
        <f t="shared" si="41"/>
        <v>46.283419000000009</v>
      </c>
      <c r="T28" s="1243">
        <f t="shared" si="41"/>
        <v>45.578489500000011</v>
      </c>
      <c r="U28" s="1243">
        <f t="shared" si="41"/>
        <v>45.454798000000011</v>
      </c>
      <c r="V28" s="1243">
        <f t="shared" si="41"/>
        <v>45.360580000000013</v>
      </c>
    </row>
    <row r="29" spans="1:23" x14ac:dyDescent="0.35">
      <c r="A29" s="1196">
        <v>2021</v>
      </c>
      <c r="B29" s="33" t="s">
        <v>779</v>
      </c>
      <c r="C29" s="1241"/>
      <c r="D29" s="1196">
        <f>($D$9+$D$10)*'ARP Timing'!B$16</f>
        <v>5.8765000000000009</v>
      </c>
      <c r="E29" s="1196">
        <f>($D$9+$D$10)*'ARP Timing'!C$16</f>
        <v>5.8765000000000009</v>
      </c>
      <c r="F29" s="1196">
        <f>($D$9+$D$10)*'ARP Timing'!D$16</f>
        <v>4.11355</v>
      </c>
      <c r="G29" s="1196">
        <f>($D$9+$D$10)*'ARP Timing'!E$16</f>
        <v>4.11355</v>
      </c>
      <c r="H29" s="1196">
        <f>($D$9+$D$10)*'ARP Timing'!F$16</f>
        <v>4.11355</v>
      </c>
      <c r="I29" s="1196">
        <f>($D$9+$D$10)*'ARP Timing'!G$16</f>
        <v>4.11355</v>
      </c>
      <c r="J29" s="1196">
        <f>($D$9+$D$10)*'ARP Timing'!H$16</f>
        <v>4.11355</v>
      </c>
      <c r="K29" s="1196">
        <f>($D$9+$D$10)*'ARP Timing'!I$16</f>
        <v>4.11355</v>
      </c>
      <c r="L29" s="1196">
        <f>($D$9+$D$10)*'ARP Timing'!J$16</f>
        <v>4.11355</v>
      </c>
      <c r="M29" s="1196">
        <f>($D$9+$D$10)*'ARP Timing'!K$16</f>
        <v>4.11355</v>
      </c>
      <c r="N29" s="1196">
        <f>($D$9+$D$10)*'ARP Timing'!L$16</f>
        <v>4.11355</v>
      </c>
      <c r="O29" s="1196">
        <f>($D$9+$D$10)*'ARP Timing'!M$16</f>
        <v>4.11355</v>
      </c>
      <c r="P29" s="1196">
        <f>($D$9+$D$10)*'ARP Timing'!N$16</f>
        <v>3.987625</v>
      </c>
      <c r="Q29" s="1196">
        <f>($D$9+$D$10)*'ARP Timing'!O$16</f>
        <v>3.987625</v>
      </c>
      <c r="R29" s="1196">
        <f>($D$9+$D$10)*'ARP Timing'!P$16</f>
        <v>3.987625</v>
      </c>
      <c r="S29" s="1196">
        <f>($D$9+$D$10)*'ARP Timing'!Q$16</f>
        <v>3.987625</v>
      </c>
      <c r="T29" s="1196">
        <f>($D$9+$D$10)*'ARP Timing'!R$16</f>
        <v>3.987625</v>
      </c>
      <c r="U29" s="1196">
        <f>($D$9+$D$10)*'ARP Timing'!S$16</f>
        <v>3.987625</v>
      </c>
      <c r="V29" s="1196">
        <f>($D$9+$D$10)*'ARP Timing'!T$16</f>
        <v>3.987625</v>
      </c>
    </row>
    <row r="30" spans="1:23" x14ac:dyDescent="0.35">
      <c r="B30" s="33" t="s">
        <v>331</v>
      </c>
      <c r="C30" s="1241"/>
      <c r="E30" s="1196">
        <f>($E$9+$E$10)*'ARP Timing'!B$16</f>
        <v>5.8765000000000009</v>
      </c>
      <c r="F30" s="1196">
        <f>($E$9+$E$10)*'ARP Timing'!C$16</f>
        <v>5.8765000000000009</v>
      </c>
      <c r="G30" s="1196">
        <f>($E$9+$E$10)*'ARP Timing'!D$16</f>
        <v>4.11355</v>
      </c>
      <c r="H30" s="1196">
        <f>($E$9+$E$10)*'ARP Timing'!E$16</f>
        <v>4.11355</v>
      </c>
      <c r="I30" s="1196">
        <f>($E$9+$E$10)*'ARP Timing'!F$16</f>
        <v>4.11355</v>
      </c>
      <c r="J30" s="1196">
        <f>($E$9+$E$10)*'ARP Timing'!G$16</f>
        <v>4.11355</v>
      </c>
      <c r="K30" s="1196">
        <f>($E$9+$E$10)*'ARP Timing'!H$16</f>
        <v>4.11355</v>
      </c>
      <c r="L30" s="1196">
        <f>($E$9+$E$10)*'ARP Timing'!I$16</f>
        <v>4.11355</v>
      </c>
      <c r="M30" s="1196">
        <f>($E$9+$E$10)*'ARP Timing'!J$16</f>
        <v>4.11355</v>
      </c>
      <c r="N30" s="1196">
        <f>($E$9+$E$10)*'ARP Timing'!K$16</f>
        <v>4.11355</v>
      </c>
      <c r="O30" s="1196">
        <f>($E$9+$E$10)*'ARP Timing'!L$16</f>
        <v>4.11355</v>
      </c>
      <c r="P30" s="1196">
        <f>($E$9+$E$10)*'ARP Timing'!M$16</f>
        <v>4.11355</v>
      </c>
      <c r="Q30" s="1196">
        <f>($E$9+$E$10)*'ARP Timing'!N$16</f>
        <v>3.987625</v>
      </c>
      <c r="R30" s="1196">
        <f>($E$9+$E$10)*'ARP Timing'!O$16</f>
        <v>3.987625</v>
      </c>
      <c r="S30" s="1196">
        <f>($E$9+$E$10)*'ARP Timing'!P$16</f>
        <v>3.987625</v>
      </c>
      <c r="T30" s="1196">
        <f>($E$9+$E$10)*'ARP Timing'!Q$16</f>
        <v>3.987625</v>
      </c>
      <c r="U30" s="1196">
        <f>($E$9+$E$10)*'ARP Timing'!R$16</f>
        <v>3.987625</v>
      </c>
      <c r="V30" s="1196">
        <f>($E$9+$E$10)*'ARP Timing'!S$16</f>
        <v>3.987625</v>
      </c>
    </row>
    <row r="31" spans="1:23" x14ac:dyDescent="0.35">
      <c r="B31" s="33" t="s">
        <v>780</v>
      </c>
      <c r="C31" s="1241"/>
      <c r="F31" s="1196">
        <f>($F$9+$F$10)*'ARP Timing'!B$16</f>
        <v>5.7722700000000016</v>
      </c>
      <c r="G31" s="1196">
        <f>($F$9+$F$10)*'ARP Timing'!C$16</f>
        <v>5.7722700000000016</v>
      </c>
      <c r="H31" s="1196">
        <f>($F$9+$F$10)*'ARP Timing'!D$16</f>
        <v>4.0405890000000007</v>
      </c>
      <c r="I31" s="1196">
        <f>($F$9+$F$10)*'ARP Timing'!E$16</f>
        <v>4.0405890000000007</v>
      </c>
      <c r="J31" s="1196">
        <f>($F$9+$F$10)*'ARP Timing'!F$16</f>
        <v>4.0405890000000007</v>
      </c>
      <c r="K31" s="1196">
        <f>($F$9+$F$10)*'ARP Timing'!G$16</f>
        <v>4.0405890000000007</v>
      </c>
      <c r="L31" s="1196">
        <f>($F$9+$F$10)*'ARP Timing'!H$16</f>
        <v>4.0405890000000007</v>
      </c>
      <c r="M31" s="1196">
        <f>($F$9+$F$10)*'ARP Timing'!I$16</f>
        <v>4.0405890000000007</v>
      </c>
      <c r="N31" s="1196">
        <f>($F$9+$F$10)*'ARP Timing'!J$16</f>
        <v>4.0405890000000007</v>
      </c>
      <c r="O31" s="1196">
        <f>($F$9+$F$10)*'ARP Timing'!K$16</f>
        <v>4.0405890000000007</v>
      </c>
      <c r="P31" s="1196">
        <f>($F$9+$F$10)*'ARP Timing'!L$16</f>
        <v>4.0405890000000007</v>
      </c>
      <c r="Q31" s="1196">
        <f>($F$9+$F$10)*'ARP Timing'!M$16</f>
        <v>4.0405890000000007</v>
      </c>
      <c r="R31" s="1196">
        <f>($F$9+$F$10)*'ARP Timing'!N$16</f>
        <v>3.9168975000000006</v>
      </c>
      <c r="S31" s="1196">
        <f>($F$9+$F$10)*'ARP Timing'!O$16</f>
        <v>3.9168975000000006</v>
      </c>
      <c r="T31" s="1196">
        <f>($F$9+$F$10)*'ARP Timing'!P$16</f>
        <v>3.9168975000000006</v>
      </c>
      <c r="U31" s="1196">
        <f>($F$9+$F$10)*'ARP Timing'!Q$16</f>
        <v>3.9168975000000006</v>
      </c>
      <c r="V31" s="1196">
        <f>($F$9+$F$10)*'ARP Timing'!R$16</f>
        <v>3.9168975000000006</v>
      </c>
    </row>
    <row r="32" spans="1:23" x14ac:dyDescent="0.35">
      <c r="A32" s="1196">
        <v>2022</v>
      </c>
      <c r="B32" s="33" t="s">
        <v>240</v>
      </c>
      <c r="C32" s="1241"/>
      <c r="G32" s="1196">
        <f>($G$9+$G$10)*'ARP Timing'!B$16</f>
        <v>5.7722700000000016</v>
      </c>
      <c r="H32" s="1196">
        <f>($G$9+$G$10)*'ARP Timing'!C$16</f>
        <v>5.7722700000000016</v>
      </c>
      <c r="I32" s="1196">
        <f>($G$9+$G$10)*'ARP Timing'!D$16</f>
        <v>4.0405890000000007</v>
      </c>
      <c r="J32" s="1196">
        <f>($G$9+$G$10)*'ARP Timing'!E$16</f>
        <v>4.0405890000000007</v>
      </c>
      <c r="K32" s="1196">
        <f>($G$9+$G$10)*'ARP Timing'!F$16</f>
        <v>4.0405890000000007</v>
      </c>
      <c r="L32" s="1196">
        <f>($G$9+$G$10)*'ARP Timing'!G$16</f>
        <v>4.0405890000000007</v>
      </c>
      <c r="M32" s="1196">
        <f>($G$9+$G$10)*'ARP Timing'!H$16</f>
        <v>4.0405890000000007</v>
      </c>
      <c r="N32" s="1196">
        <f>($G$9+$G$10)*'ARP Timing'!I$16</f>
        <v>4.0405890000000007</v>
      </c>
      <c r="O32" s="1196">
        <f>($G$9+$G$10)*'ARP Timing'!J$16</f>
        <v>4.0405890000000007</v>
      </c>
      <c r="P32" s="1196">
        <f>($G$9+$G$10)*'ARP Timing'!K$16</f>
        <v>4.0405890000000007</v>
      </c>
      <c r="Q32" s="1196">
        <f>($G$9+$G$10)*'ARP Timing'!L$16</f>
        <v>4.0405890000000007</v>
      </c>
      <c r="R32" s="1196">
        <f>($G$9+$G$10)*'ARP Timing'!M$16</f>
        <v>4.0405890000000007</v>
      </c>
      <c r="S32" s="1196">
        <f>($G$9+$G$10)*'ARP Timing'!N$16</f>
        <v>3.9168975000000006</v>
      </c>
      <c r="T32" s="1196">
        <f>($G$9+$G$10)*'ARP Timing'!O$16</f>
        <v>3.9168975000000006</v>
      </c>
      <c r="U32" s="1196">
        <f>($G$9+$G$10)*'ARP Timing'!P$16</f>
        <v>3.9168975000000006</v>
      </c>
      <c r="V32" s="1196">
        <f>($G$9+$G$10)*'ARP Timing'!Q$16</f>
        <v>3.9168975000000006</v>
      </c>
    </row>
    <row r="33" spans="1:23" x14ac:dyDescent="0.35">
      <c r="B33" s="33" t="s">
        <v>241</v>
      </c>
      <c r="C33" s="1241"/>
      <c r="H33" s="1196">
        <f>($H$9+$H$10)*'ARP Timing'!B$16</f>
        <v>5.7722700000000016</v>
      </c>
      <c r="I33" s="1196">
        <f>($H$9+$H$10)*'ARP Timing'!C$16</f>
        <v>5.7722700000000016</v>
      </c>
      <c r="J33" s="1196">
        <f>($H$9+$H$10)*'ARP Timing'!D$16</f>
        <v>4.0405890000000007</v>
      </c>
      <c r="K33" s="1196">
        <f>($H$9+$H$10)*'ARP Timing'!E$16</f>
        <v>4.0405890000000007</v>
      </c>
      <c r="L33" s="1196">
        <f>($H$9+$H$10)*'ARP Timing'!F$16</f>
        <v>4.0405890000000007</v>
      </c>
      <c r="M33" s="1196">
        <f>($H$9+$H$10)*'ARP Timing'!G$16</f>
        <v>4.0405890000000007</v>
      </c>
      <c r="N33" s="1196">
        <f>($H$9+$H$10)*'ARP Timing'!H$16</f>
        <v>4.0405890000000007</v>
      </c>
      <c r="O33" s="1196">
        <f>($H$9+$H$10)*'ARP Timing'!I$16</f>
        <v>4.0405890000000007</v>
      </c>
      <c r="P33" s="1196">
        <f>($H$9+$H$10)*'ARP Timing'!J$16</f>
        <v>4.0405890000000007</v>
      </c>
      <c r="Q33" s="1196">
        <f>($H$9+$H$10)*'ARP Timing'!K$16</f>
        <v>4.0405890000000007</v>
      </c>
      <c r="R33" s="1196">
        <f>($H$9+$H$10)*'ARP Timing'!L$16</f>
        <v>4.0405890000000007</v>
      </c>
      <c r="S33" s="1196">
        <f>($H$9+$H$10)*'ARP Timing'!M$16</f>
        <v>4.0405890000000007</v>
      </c>
      <c r="T33" s="1196">
        <f>($H$9+$H$10)*'ARP Timing'!N$16</f>
        <v>3.9168975000000006</v>
      </c>
      <c r="U33" s="1196">
        <f>($H$9+$H$10)*'ARP Timing'!O$16</f>
        <v>3.9168975000000006</v>
      </c>
      <c r="V33" s="1196">
        <f>($H$9+$H$10)*'ARP Timing'!P$16</f>
        <v>3.9168975000000006</v>
      </c>
    </row>
    <row r="34" spans="1:23" x14ac:dyDescent="0.35">
      <c r="B34" s="33" t="s">
        <v>331</v>
      </c>
      <c r="C34" s="1241"/>
      <c r="H34" s="1241"/>
      <c r="I34" s="1196">
        <f>($I$9+$I10)*'ARP Timing'!B$16</f>
        <v>5.7722700000000016</v>
      </c>
      <c r="J34" s="1196">
        <f>($I$9+$I10)*'ARP Timing'!C$16</f>
        <v>5.7722700000000016</v>
      </c>
      <c r="K34" s="1196">
        <f>($I$9+$I10)*'ARP Timing'!D$16</f>
        <v>4.0405890000000007</v>
      </c>
      <c r="L34" s="1196">
        <f>($I$9+$I10)*'ARP Timing'!E$16</f>
        <v>4.0405890000000007</v>
      </c>
      <c r="M34" s="1196">
        <f>($I$9+$I10)*'ARP Timing'!F$16</f>
        <v>4.0405890000000007</v>
      </c>
      <c r="N34" s="1196">
        <f>($I$9+$I10)*'ARP Timing'!G$16</f>
        <v>4.0405890000000007</v>
      </c>
      <c r="O34" s="1196">
        <f>($I$9+$I10)*'ARP Timing'!H$16</f>
        <v>4.0405890000000007</v>
      </c>
      <c r="P34" s="1196">
        <f>($I$9+$I10)*'ARP Timing'!I$16</f>
        <v>4.0405890000000007</v>
      </c>
      <c r="Q34" s="1196">
        <f>($I$9+$I10)*'ARP Timing'!J$16</f>
        <v>4.0405890000000007</v>
      </c>
      <c r="R34" s="1196">
        <f>($I$9+$I10)*'ARP Timing'!K$16</f>
        <v>4.0405890000000007</v>
      </c>
      <c r="S34" s="1196">
        <f>($I$9+$I10)*'ARP Timing'!L$16</f>
        <v>4.0405890000000007</v>
      </c>
      <c r="T34" s="1196">
        <f>($I$9+$I10)*'ARP Timing'!M$16</f>
        <v>4.0405890000000007</v>
      </c>
      <c r="U34" s="1196">
        <f>($I$9+$I10)*'ARP Timing'!N$16</f>
        <v>3.9168975000000006</v>
      </c>
      <c r="V34" s="1196">
        <f>($I$9+$I10)*'ARP Timing'!O$16</f>
        <v>3.9168975000000006</v>
      </c>
    </row>
    <row r="35" spans="1:23" x14ac:dyDescent="0.35">
      <c r="B35" s="33" t="s">
        <v>780</v>
      </c>
      <c r="C35" s="1241"/>
      <c r="H35" s="1241"/>
      <c r="J35" s="1196">
        <f>($J$9+$J$10)*'ARP Timing'!B$16</f>
        <v>4.3968400000000001</v>
      </c>
      <c r="K35" s="1196">
        <f>($J$9+$J$10)*'ARP Timing'!C$16</f>
        <v>4.3968400000000001</v>
      </c>
      <c r="L35" s="1196">
        <f>($J$9+$J$10)*'ARP Timing'!D$16</f>
        <v>3.077788</v>
      </c>
      <c r="M35" s="1196">
        <f>($J$9+$J$10)*'ARP Timing'!E$16</f>
        <v>3.077788</v>
      </c>
      <c r="N35" s="1196">
        <f>($J$9+$J$10)*'ARP Timing'!F$16</f>
        <v>3.077788</v>
      </c>
      <c r="O35" s="1196">
        <f>($J$9+$J$10)*'ARP Timing'!G$16</f>
        <v>3.077788</v>
      </c>
      <c r="P35" s="1196">
        <f>($J$9+$J$10)*'ARP Timing'!H$16</f>
        <v>3.077788</v>
      </c>
      <c r="Q35" s="1196">
        <f>($J$9+$J$10)*'ARP Timing'!I$16</f>
        <v>3.077788</v>
      </c>
      <c r="R35" s="1196">
        <f>($J$9+$J$10)*'ARP Timing'!J$16</f>
        <v>3.077788</v>
      </c>
      <c r="S35" s="1196">
        <f>($J$9+$J$10)*'ARP Timing'!K$16</f>
        <v>3.077788</v>
      </c>
      <c r="T35" s="1196">
        <f>($J$9+$J$10)*'ARP Timing'!L$16</f>
        <v>3.077788</v>
      </c>
      <c r="U35" s="1196">
        <f>($J$9+$J$10)*'ARP Timing'!M$16</f>
        <v>3.077788</v>
      </c>
      <c r="V35" s="1196">
        <f>($J$9+$J$10)*'ARP Timing'!N$16</f>
        <v>2.9835699999999998</v>
      </c>
    </row>
    <row r="36" spans="1:23" x14ac:dyDescent="0.35">
      <c r="A36" s="1196">
        <v>2023</v>
      </c>
      <c r="B36" s="33" t="s">
        <v>240</v>
      </c>
      <c r="C36" s="1241"/>
      <c r="H36" s="1241"/>
      <c r="K36" s="1196">
        <f>($K$9+$K$10)*'ARP Timing'!B$16</f>
        <v>4.3968400000000001</v>
      </c>
      <c r="L36" s="1196">
        <f>($K$9+$K$10)*'ARP Timing'!C$16</f>
        <v>4.3968400000000001</v>
      </c>
      <c r="M36" s="1196">
        <f>($K$9+$K$10)*'ARP Timing'!D$16</f>
        <v>3.077788</v>
      </c>
      <c r="N36" s="1196">
        <f>($K$9+$K$10)*'ARP Timing'!E$16</f>
        <v>3.077788</v>
      </c>
      <c r="O36" s="1196">
        <f>($K$9+$K$10)*'ARP Timing'!F$16</f>
        <v>3.077788</v>
      </c>
      <c r="P36" s="1196">
        <f>($K$9+$K$10)*'ARP Timing'!G$16</f>
        <v>3.077788</v>
      </c>
      <c r="Q36" s="1196">
        <f>($K$9+$K$10)*'ARP Timing'!H$16</f>
        <v>3.077788</v>
      </c>
      <c r="R36" s="1196">
        <f>($K$9+$K$10)*'ARP Timing'!I$16</f>
        <v>3.077788</v>
      </c>
      <c r="S36" s="1196">
        <f>($K$9+$K$10)*'ARP Timing'!J$16</f>
        <v>3.077788</v>
      </c>
      <c r="T36" s="1196">
        <f>($K$9+$K$10)*'ARP Timing'!K$16</f>
        <v>3.077788</v>
      </c>
      <c r="U36" s="1196">
        <f>($K$9+$K$10)*'ARP Timing'!L$16</f>
        <v>3.077788</v>
      </c>
      <c r="V36" s="1196">
        <f>($K$9+$K$10)*'ARP Timing'!M$16</f>
        <v>3.077788</v>
      </c>
    </row>
    <row r="37" spans="1:23" x14ac:dyDescent="0.35">
      <c r="B37" s="33" t="s">
        <v>241</v>
      </c>
      <c r="C37" s="1241"/>
      <c r="H37" s="1241"/>
      <c r="L37" s="1196">
        <f>($L$9+$L$10)*'ARP Timing'!B$16</f>
        <v>4.3968400000000001</v>
      </c>
      <c r="M37" s="1196">
        <f>($L$9+$L$10)*'ARP Timing'!C$16</f>
        <v>4.3968400000000001</v>
      </c>
      <c r="N37" s="1196">
        <f>($L$9+$L$10)*'ARP Timing'!D$16</f>
        <v>3.077788</v>
      </c>
      <c r="O37" s="1196">
        <f>($L$9+$L$10)*'ARP Timing'!E$16</f>
        <v>3.077788</v>
      </c>
      <c r="P37" s="1196">
        <f>($L$9+$L$10)*'ARP Timing'!F$16</f>
        <v>3.077788</v>
      </c>
      <c r="Q37" s="1196">
        <f>($L$9+$L$10)*'ARP Timing'!G$16</f>
        <v>3.077788</v>
      </c>
      <c r="R37" s="1196">
        <f>($L$9+$L$10)*'ARP Timing'!H$16</f>
        <v>3.077788</v>
      </c>
      <c r="S37" s="1196">
        <f>($L$9+$L$10)*'ARP Timing'!I$16</f>
        <v>3.077788</v>
      </c>
      <c r="T37" s="1196">
        <f>($L$9+$L$10)*'ARP Timing'!J$16</f>
        <v>3.077788</v>
      </c>
      <c r="U37" s="1196">
        <f>($L$9+$L$10)*'ARP Timing'!K$16</f>
        <v>3.077788</v>
      </c>
      <c r="V37" s="1196">
        <f>($L$9+$L$10)*'ARP Timing'!L$16</f>
        <v>3.077788</v>
      </c>
    </row>
    <row r="38" spans="1:23" x14ac:dyDescent="0.35">
      <c r="B38" s="33" t="s">
        <v>331</v>
      </c>
      <c r="C38" s="1241"/>
      <c r="H38" s="1241"/>
      <c r="M38" s="1196">
        <f>($M$9+$M$10)*'ARP Timing'!B$16</f>
        <v>4.3968400000000001</v>
      </c>
      <c r="N38" s="1196">
        <f>($M$9+$M$10)*'ARP Timing'!C$16</f>
        <v>4.3968400000000001</v>
      </c>
      <c r="O38" s="1196">
        <f>($M$9+$M$10)*'ARP Timing'!D$16</f>
        <v>3.077788</v>
      </c>
      <c r="P38" s="1196">
        <f>($M$9+$M$10)*'ARP Timing'!E$16</f>
        <v>3.077788</v>
      </c>
      <c r="Q38" s="1196">
        <f>($M$9+$M$10)*'ARP Timing'!F$16</f>
        <v>3.077788</v>
      </c>
      <c r="R38" s="1196">
        <f>($M$9+$M$10)*'ARP Timing'!G$16</f>
        <v>3.077788</v>
      </c>
      <c r="S38" s="1196">
        <f>($M$9+$M$10)*'ARP Timing'!H$16</f>
        <v>3.077788</v>
      </c>
      <c r="T38" s="1196">
        <f>($M$9+$M$10)*'ARP Timing'!I$16</f>
        <v>3.077788</v>
      </c>
      <c r="U38" s="1196">
        <f>($M$9+$M$10)*'ARP Timing'!J$16</f>
        <v>3.077788</v>
      </c>
      <c r="V38" s="1196">
        <f>($M$9+$M$10)*'ARP Timing'!K$16</f>
        <v>3.077788</v>
      </c>
    </row>
    <row r="39" spans="1:23" x14ac:dyDescent="0.35">
      <c r="B39" s="33" t="s">
        <v>780</v>
      </c>
      <c r="C39" s="1241"/>
      <c r="H39" s="1241"/>
      <c r="N39" s="1196">
        <f>($N$9+$N$10)*'ARP Timing'!B$16</f>
        <v>2.9087800000000006</v>
      </c>
      <c r="O39" s="1196">
        <f>($N$9+$N$10)*'ARP Timing'!C$16</f>
        <v>2.9087800000000006</v>
      </c>
      <c r="P39" s="1196">
        <f>($N$9+$N$10)*'ARP Timing'!D$16</f>
        <v>2.036146</v>
      </c>
      <c r="Q39" s="1196">
        <f>($N$9+$N$10)*'ARP Timing'!E$16</f>
        <v>2.036146</v>
      </c>
      <c r="R39" s="1196">
        <f>($N$9+$N$10)*'ARP Timing'!F$16</f>
        <v>2.036146</v>
      </c>
      <c r="S39" s="1196">
        <f>($N$9+$N$10)*'ARP Timing'!G$16</f>
        <v>2.036146</v>
      </c>
      <c r="T39" s="1196">
        <f>($N$9+$N$10)*'ARP Timing'!H$16</f>
        <v>2.036146</v>
      </c>
      <c r="U39" s="1196">
        <f>($N$9+$N$10)*'ARP Timing'!I$16</f>
        <v>2.036146</v>
      </c>
      <c r="V39" s="1196">
        <f>($N$9+$N$10)*'ARP Timing'!J$16</f>
        <v>2.036146</v>
      </c>
    </row>
    <row r="40" spans="1:23" x14ac:dyDescent="0.35">
      <c r="A40" s="1196">
        <v>2024</v>
      </c>
      <c r="B40" s="33" t="s">
        <v>240</v>
      </c>
      <c r="C40" s="1241"/>
      <c r="H40" s="1241"/>
      <c r="O40" s="1196">
        <f>($O$9+$O$10)*'ARP Timing'!B$16</f>
        <v>2.9087800000000006</v>
      </c>
      <c r="P40" s="1196">
        <f>($O$9+$O$10)*'ARP Timing'!C$16</f>
        <v>2.9087800000000006</v>
      </c>
      <c r="Q40" s="1196">
        <f>($O$9+$O$10)*'ARP Timing'!D$16</f>
        <v>2.036146</v>
      </c>
      <c r="R40" s="1196">
        <f>($O$9+$O$10)*'ARP Timing'!E$16</f>
        <v>2.036146</v>
      </c>
      <c r="S40" s="1196">
        <f>($O$9+$O$10)*'ARP Timing'!F$16</f>
        <v>2.036146</v>
      </c>
      <c r="T40" s="1196">
        <f>($O$9+$O$10)*'ARP Timing'!G$16</f>
        <v>2.036146</v>
      </c>
      <c r="U40" s="1196">
        <f>($O$9+$O$10)*'ARP Timing'!H$16</f>
        <v>2.036146</v>
      </c>
      <c r="V40" s="1196">
        <f>($O$9+$O$10)*'ARP Timing'!I$16</f>
        <v>2.036146</v>
      </c>
    </row>
    <row r="41" spans="1:23" x14ac:dyDescent="0.35">
      <c r="B41" s="33" t="s">
        <v>241</v>
      </c>
      <c r="C41" s="1241"/>
      <c r="H41" s="1241"/>
      <c r="P41" s="1196">
        <f>($P$9+$P$10)*'ARP Timing'!B$16</f>
        <v>2.9087800000000006</v>
      </c>
      <c r="Q41" s="1196">
        <f>($P$9+$P$10)*'ARP Timing'!C$16</f>
        <v>2.9087800000000006</v>
      </c>
      <c r="R41" s="1196">
        <f>($P$9+$P$10)*'ARP Timing'!D$16</f>
        <v>2.036146</v>
      </c>
      <c r="S41" s="1196">
        <f>($P$9+$P$10)*'ARP Timing'!E$16</f>
        <v>2.036146</v>
      </c>
      <c r="T41" s="1196">
        <f>($P$9+$P$10)*'ARP Timing'!F$16</f>
        <v>2.036146</v>
      </c>
      <c r="U41" s="1196">
        <f>($P$9+$P$10)*'ARP Timing'!G$16</f>
        <v>2.036146</v>
      </c>
      <c r="V41" s="1196">
        <f>($P$9+$P$10)*'ARP Timing'!H$16</f>
        <v>2.036146</v>
      </c>
    </row>
    <row r="42" spans="1:23" x14ac:dyDescent="0.35">
      <c r="B42" s="33" t="s">
        <v>331</v>
      </c>
      <c r="C42" s="1241"/>
      <c r="H42" s="1241"/>
      <c r="Q42" s="1196">
        <f>($Q$9+$Q$10)*'ARP Timing'!B$16</f>
        <v>2.9087800000000006</v>
      </c>
      <c r="R42" s="1196">
        <f>($Q$9+$Q$10)*'ARP Timing'!C$16</f>
        <v>2.9087800000000006</v>
      </c>
      <c r="S42" s="1196">
        <f>($Q$9+$Q$10)*'ARP Timing'!D$16</f>
        <v>2.036146</v>
      </c>
      <c r="T42" s="1196">
        <f>($Q$9+$Q$10)*'ARP Timing'!E$16</f>
        <v>2.036146</v>
      </c>
      <c r="U42" s="1196">
        <f>($Q$9+$Q$10)*'ARP Timing'!F$16</f>
        <v>2.036146</v>
      </c>
      <c r="V42" s="1196">
        <f>($Q$9+$Q$10)*'ARP Timing'!G$16</f>
        <v>2.036146</v>
      </c>
    </row>
    <row r="43" spans="1:23" x14ac:dyDescent="0.35">
      <c r="B43" s="33" t="s">
        <v>780</v>
      </c>
      <c r="C43" s="1241"/>
      <c r="H43" s="1241"/>
      <c r="R43" s="1196">
        <f>($R$9+$R$10)*'ARP Timing'!B$16</f>
        <v>1.9374600000000002</v>
      </c>
      <c r="S43" s="1196">
        <f>($R$9+$R$10)*'ARP Timing'!C$16</f>
        <v>1.9374600000000002</v>
      </c>
      <c r="T43" s="1196">
        <f>($R$9+$R$10)*'ARP Timing'!D$16</f>
        <v>1.356222</v>
      </c>
      <c r="U43" s="1196">
        <f>($R$9+$R$10)*'ARP Timing'!E$16</f>
        <v>1.356222</v>
      </c>
      <c r="V43" s="1196">
        <f>($R$9+$R$10)*'ARP Timing'!F$16</f>
        <v>1.356222</v>
      </c>
    </row>
    <row r="44" spans="1:23" x14ac:dyDescent="0.35">
      <c r="S44" s="1196">
        <f>($S$9+$S$10)*'ARP Timing'!B$16</f>
        <v>1.9374600000000002</v>
      </c>
      <c r="T44" s="1196">
        <f>($S$9+$S$10)*'ARP Timing'!C$16</f>
        <v>1.9374600000000002</v>
      </c>
      <c r="U44" s="1196">
        <f>($S$9+$S$10)*'ARP Timing'!D$16</f>
        <v>1.356222</v>
      </c>
      <c r="V44" s="1196">
        <f>($S$9+$S$10)*'ARP Timing'!E$16</f>
        <v>1.356222</v>
      </c>
    </row>
    <row r="46" spans="1:23" x14ac:dyDescent="0.35">
      <c r="B46" s="1196" t="s">
        <v>781</v>
      </c>
      <c r="D46" s="136" t="s">
        <v>251</v>
      </c>
      <c r="E46" s="136" t="s">
        <v>180</v>
      </c>
      <c r="F46" s="136" t="s">
        <v>181</v>
      </c>
      <c r="G46" s="136" t="s">
        <v>182</v>
      </c>
      <c r="H46" s="136" t="s">
        <v>183</v>
      </c>
      <c r="I46" s="136" t="s">
        <v>184</v>
      </c>
      <c r="J46" s="136" t="s">
        <v>185</v>
      </c>
      <c r="K46" s="136" t="s">
        <v>186</v>
      </c>
      <c r="L46" s="136" t="s">
        <v>187</v>
      </c>
      <c r="M46" s="136" t="s">
        <v>188</v>
      </c>
      <c r="N46" s="136" t="s">
        <v>189</v>
      </c>
      <c r="O46" s="136" t="s">
        <v>190</v>
      </c>
      <c r="P46" s="136" t="s">
        <v>191</v>
      </c>
      <c r="Q46" s="136" t="s">
        <v>175</v>
      </c>
      <c r="R46" s="136" t="s">
        <v>176</v>
      </c>
      <c r="S46" s="136" t="s">
        <v>177</v>
      </c>
      <c r="T46" s="136" t="s">
        <v>769</v>
      </c>
      <c r="U46" s="136" t="s">
        <v>770</v>
      </c>
      <c r="V46" s="136" t="s">
        <v>771</v>
      </c>
    </row>
    <row r="47" spans="1:23" x14ac:dyDescent="0.35">
      <c r="B47" s="33"/>
      <c r="C47" s="1241" t="s">
        <v>312</v>
      </c>
      <c r="D47" s="1243">
        <f t="shared" ref="D47:U47" si="42">SUM(D48:D66)</f>
        <v>0</v>
      </c>
      <c r="E47" s="1243">
        <f t="shared" si="42"/>
        <v>0</v>
      </c>
      <c r="F47" s="1243">
        <f t="shared" si="42"/>
        <v>34.620851999999999</v>
      </c>
      <c r="G47" s="1243">
        <f t="shared" si="42"/>
        <v>50.996274799999995</v>
      </c>
      <c r="H47" s="1243">
        <f t="shared" si="42"/>
        <v>69.350031999999999</v>
      </c>
      <c r="I47" s="1243">
        <f t="shared" si="42"/>
        <v>79.295867999999999</v>
      </c>
      <c r="J47" s="1243">
        <f t="shared" si="42"/>
        <v>80.538927999999999</v>
      </c>
      <c r="K47" s="1243">
        <f t="shared" si="42"/>
        <v>80.122543199999996</v>
      </c>
      <c r="L47" s="1243">
        <f t="shared" si="42"/>
        <v>88.916719999999998</v>
      </c>
      <c r="M47" s="1243">
        <f t="shared" si="42"/>
        <v>92.213943999999998</v>
      </c>
      <c r="N47" s="1243">
        <f t="shared" si="42"/>
        <v>92.213943999999998</v>
      </c>
      <c r="O47" s="1243">
        <f t="shared" si="42"/>
        <v>94.213943999999998</v>
      </c>
      <c r="P47" s="1243">
        <f t="shared" si="42"/>
        <v>98.916719999999998</v>
      </c>
      <c r="Q47" s="1243">
        <f t="shared" si="42"/>
        <v>98.916719999999998</v>
      </c>
      <c r="R47" s="1243">
        <f t="shared" si="42"/>
        <v>99.081581199999988</v>
      </c>
      <c r="S47" s="1243">
        <f t="shared" si="42"/>
        <v>93.146578000000005</v>
      </c>
      <c r="T47" s="1243">
        <f t="shared" si="42"/>
        <v>86.552129999999991</v>
      </c>
      <c r="U47" s="1243">
        <f t="shared" si="42"/>
        <v>86.552129999999991</v>
      </c>
      <c r="V47" s="1243">
        <f>SUM(V48:V66)</f>
        <v>82.265738799999994</v>
      </c>
      <c r="W47" s="1196">
        <f>SUM(G47:V47)/4</f>
        <v>343.32344900000004</v>
      </c>
    </row>
    <row r="48" spans="1:23" x14ac:dyDescent="0.35">
      <c r="A48" s="1196">
        <v>2021</v>
      </c>
      <c r="B48" s="33" t="s">
        <v>779</v>
      </c>
      <c r="C48" s="1241"/>
      <c r="D48" s="1196">
        <f>($D$8)*'ARP Timing'!B17</f>
        <v>0</v>
      </c>
      <c r="E48" s="1196">
        <f>($D$8)*'ARP Timing'!C17</f>
        <v>0</v>
      </c>
      <c r="F48" s="1196">
        <f>($D$8)*'ARP Timing'!D17</f>
        <v>34.620851999999999</v>
      </c>
      <c r="G48" s="1196">
        <f>($D$8)*'ARP Timing'!E17</f>
        <v>45.996274799999995</v>
      </c>
      <c r="H48" s="1196">
        <f>($D$8)*'ARP Timing'!F17</f>
        <v>59.350031999999992</v>
      </c>
      <c r="I48" s="1196">
        <f>($D$8)*'ARP Timing'!G17</f>
        <v>64.295867999999999</v>
      </c>
      <c r="J48" s="1196">
        <f>($D$8)*'ARP Timing'!H17</f>
        <v>49.458359999999999</v>
      </c>
      <c r="K48" s="1196">
        <f>($D$8)*'ARP Timing'!I17</f>
        <v>49.458359999999999</v>
      </c>
      <c r="L48" s="1196">
        <f>($D$8)*'ARP Timing'!J17</f>
        <v>59.350031999999992</v>
      </c>
      <c r="M48" s="1196">
        <f>($D$8)*'ARP Timing'!K17</f>
        <v>59.350031999999992</v>
      </c>
      <c r="N48" s="1196">
        <f>($D$8)*'ARP Timing'!L17</f>
        <v>69.241703999999999</v>
      </c>
      <c r="O48" s="1196">
        <f>($D$8)*'ARP Timing'!M17</f>
        <v>69.241703999999999</v>
      </c>
      <c r="P48" s="1196">
        <f>($D$8)*'ARP Timing'!N17</f>
        <v>59.350031999999992</v>
      </c>
      <c r="Q48" s="1196">
        <f>($D$8)*'ARP Timing'!O17</f>
        <v>59.350031999999992</v>
      </c>
      <c r="R48" s="1196">
        <f>($D$8)*'ARP Timing'!P17</f>
        <v>52.920445199999989</v>
      </c>
      <c r="S48" s="1196">
        <f>($D$8)*'ARP Timing'!Q17</f>
        <v>46.985441999999992</v>
      </c>
      <c r="T48" s="1196">
        <f>($D$8)*'ARP Timing'!R17</f>
        <v>46.985441999999992</v>
      </c>
      <c r="U48" s="1196">
        <f>($D$8)*'ARP Timing'!S17</f>
        <v>46.985441999999992</v>
      </c>
      <c r="V48" s="1196">
        <f>($D$8)*'ARP Timing'!T17</f>
        <v>46.985441999999992</v>
      </c>
    </row>
    <row r="49" spans="1:22" x14ac:dyDescent="0.35">
      <c r="B49" s="33" t="s">
        <v>331</v>
      </c>
      <c r="C49" s="1241"/>
      <c r="E49" s="1196">
        <f>($E$8)*'ARP Timing'!B$17</f>
        <v>0</v>
      </c>
      <c r="F49" s="1196">
        <f>($E$8)*'ARP Timing'!C$16</f>
        <v>0</v>
      </c>
      <c r="G49" s="1196">
        <f>($E$8)*'ARP Timing'!D$16</f>
        <v>0</v>
      </c>
      <c r="H49" s="1196">
        <f>($E$8)*'ARP Timing'!E$16</f>
        <v>0</v>
      </c>
      <c r="I49" s="1196">
        <f>($E$8)*'ARP Timing'!F$16</f>
        <v>0</v>
      </c>
      <c r="J49" s="1196">
        <f>($E$8)*'ARP Timing'!G$16</f>
        <v>0</v>
      </c>
      <c r="K49" s="1196">
        <f>($E$8)*'ARP Timing'!H$16</f>
        <v>0</v>
      </c>
      <c r="L49" s="1196">
        <f>($E$8)*'ARP Timing'!I$16</f>
        <v>0</v>
      </c>
      <c r="M49" s="1196">
        <f>($E$8)*'ARP Timing'!J$16</f>
        <v>0</v>
      </c>
      <c r="N49" s="1196">
        <f>($E$8)*'ARP Timing'!K$16</f>
        <v>0</v>
      </c>
      <c r="O49" s="1196">
        <f>($E$8)*'ARP Timing'!L$16</f>
        <v>0</v>
      </c>
      <c r="P49" s="1196">
        <f>($E$8)*'ARP Timing'!M$16</f>
        <v>0</v>
      </c>
      <c r="Q49" s="1196">
        <f>($E$8)*'ARP Timing'!N$16</f>
        <v>0</v>
      </c>
      <c r="R49" s="1196">
        <f>($E$8)*'ARP Timing'!O$16</f>
        <v>0</v>
      </c>
      <c r="S49" s="1196">
        <f>($E$8)*'ARP Timing'!P$16</f>
        <v>0</v>
      </c>
      <c r="T49" s="1196">
        <f>($E$8)*'ARP Timing'!Q$16</f>
        <v>0</v>
      </c>
      <c r="U49" s="1196">
        <f>($E$8)*'ARP Timing'!R$16</f>
        <v>0</v>
      </c>
      <c r="V49" s="1196">
        <f>($E$8)*'ARP Timing'!S$16</f>
        <v>0</v>
      </c>
    </row>
    <row r="50" spans="1:22" x14ac:dyDescent="0.35">
      <c r="B50" s="33" t="s">
        <v>780</v>
      </c>
      <c r="C50" s="1241"/>
      <c r="F50" s="1196">
        <f>($F$8)*'ARP Timing'!C$17</f>
        <v>0</v>
      </c>
      <c r="G50" s="1196">
        <f>($F$8)*'ARP Timing'!D$17</f>
        <v>0</v>
      </c>
      <c r="H50" s="1196">
        <f>($F$8)*'ARP Timing'!E$17</f>
        <v>0</v>
      </c>
      <c r="I50" s="1196">
        <f>($F$8)*'ARP Timing'!F$17</f>
        <v>0</v>
      </c>
      <c r="J50" s="1196">
        <f>($F$8)*'ARP Timing'!G$17</f>
        <v>0</v>
      </c>
      <c r="K50" s="1196">
        <f>($F$8)*'ARP Timing'!H$17</f>
        <v>0</v>
      </c>
      <c r="L50" s="1196">
        <f>($F$8)*'ARP Timing'!I$17</f>
        <v>0</v>
      </c>
      <c r="M50" s="1196">
        <f>($F$8)*'ARP Timing'!J$17</f>
        <v>0</v>
      </c>
      <c r="N50" s="1196">
        <f>($F$8)*'ARP Timing'!K$17</f>
        <v>0</v>
      </c>
      <c r="O50" s="1196">
        <f>($F$8)*'ARP Timing'!L$17</f>
        <v>0</v>
      </c>
      <c r="P50" s="1196">
        <f>($F$8)*'ARP Timing'!M$17</f>
        <v>0</v>
      </c>
      <c r="Q50" s="1196">
        <f>($F$8)*'ARP Timing'!N$17</f>
        <v>0</v>
      </c>
      <c r="R50" s="1196">
        <f>($F$8)*'ARP Timing'!O$17</f>
        <v>0</v>
      </c>
      <c r="S50" s="1196">
        <f>($F$8)*'ARP Timing'!P$17</f>
        <v>0</v>
      </c>
      <c r="T50" s="1196">
        <f>($F$8)*'ARP Timing'!Q$17</f>
        <v>0</v>
      </c>
      <c r="U50" s="1196">
        <f>($F$8)*'ARP Timing'!R$17</f>
        <v>0</v>
      </c>
      <c r="V50" s="1196">
        <f>($F$8)*'ARP Timing'!S$17</f>
        <v>0</v>
      </c>
    </row>
    <row r="51" spans="1:22" x14ac:dyDescent="0.35">
      <c r="A51" s="1196">
        <v>2022</v>
      </c>
      <c r="B51" s="33" t="s">
        <v>240</v>
      </c>
      <c r="C51" s="1241"/>
      <c r="G51" s="1196">
        <f>($G$8)*'ARP Timing'!D$17</f>
        <v>0</v>
      </c>
      <c r="H51" s="1196">
        <f>($G$8)*'ARP Timing'!E$17</f>
        <v>0</v>
      </c>
      <c r="I51" s="1196">
        <f>($G$8)*'ARP Timing'!F$17</f>
        <v>0</v>
      </c>
      <c r="J51" s="1196">
        <f>($G$8)*'ARP Timing'!G$17</f>
        <v>0</v>
      </c>
      <c r="K51" s="1196">
        <f>($G$8)*'ARP Timing'!H$17</f>
        <v>0</v>
      </c>
      <c r="L51" s="1196">
        <f>($G$8)*'ARP Timing'!I$17</f>
        <v>0</v>
      </c>
      <c r="M51" s="1196">
        <f>($G$8)*'ARP Timing'!J$17</f>
        <v>0</v>
      </c>
      <c r="N51" s="1196">
        <f>($G$8)*'ARP Timing'!K$17</f>
        <v>0</v>
      </c>
      <c r="O51" s="1196">
        <f>($G$8)*'ARP Timing'!L$17</f>
        <v>0</v>
      </c>
      <c r="P51" s="1196">
        <f>($G$8)*'ARP Timing'!M$17</f>
        <v>0</v>
      </c>
      <c r="Q51" s="1196">
        <f>($G$8)*'ARP Timing'!N$17</f>
        <v>0</v>
      </c>
      <c r="R51" s="1196">
        <f>($G$8)*'ARP Timing'!O$17</f>
        <v>0</v>
      </c>
      <c r="S51" s="1196">
        <f>($G$8)*'ARP Timing'!P$17</f>
        <v>0</v>
      </c>
      <c r="T51" s="1196">
        <f>($G$8)*'ARP Timing'!Q$17</f>
        <v>0</v>
      </c>
      <c r="U51" s="1196">
        <f>($G$8)*'ARP Timing'!R$17</f>
        <v>0</v>
      </c>
      <c r="V51" s="1196">
        <f>($G$8)*'ARP Timing'!S$17</f>
        <v>0</v>
      </c>
    </row>
    <row r="52" spans="1:22" x14ac:dyDescent="0.35">
      <c r="B52" s="33" t="s">
        <v>241</v>
      </c>
      <c r="C52" s="1241"/>
      <c r="H52" s="1196">
        <f>($H$8)*'ARP Timing'!B$17</f>
        <v>0</v>
      </c>
      <c r="I52" s="1196">
        <f>($H$8)*'ARP Timing'!C$17</f>
        <v>0</v>
      </c>
      <c r="J52" s="1196">
        <f>($H$8)*'ARP Timing'!D$17</f>
        <v>23.080568000000003</v>
      </c>
      <c r="K52" s="1196">
        <f>($H$8)*'ARP Timing'!E$17</f>
        <v>30.6641832</v>
      </c>
      <c r="L52" s="1196">
        <f>($H$8)*'ARP Timing'!F$17</f>
        <v>39.566687999999999</v>
      </c>
      <c r="M52" s="1196">
        <f>($H$8)*'ARP Timing'!G$17</f>
        <v>42.863911999999999</v>
      </c>
      <c r="N52" s="1196">
        <f>($H$8)*'ARP Timing'!H$17</f>
        <v>32.972239999999999</v>
      </c>
      <c r="O52" s="1196">
        <f>($H$8)*'ARP Timing'!I$17</f>
        <v>32.972239999999999</v>
      </c>
      <c r="P52" s="1196">
        <f>($H$8)*'ARP Timing'!J$17</f>
        <v>39.566687999999999</v>
      </c>
      <c r="Q52" s="1196">
        <f>($H$8)*'ARP Timing'!K$17</f>
        <v>39.566687999999999</v>
      </c>
      <c r="R52" s="1196">
        <f>($H$8)*'ARP Timing'!L$17</f>
        <v>46.161136000000006</v>
      </c>
      <c r="S52" s="1196">
        <f>($H$8)*'ARP Timing'!M$17</f>
        <v>46.161136000000006</v>
      </c>
      <c r="T52" s="1196">
        <f>($H$8)*'ARP Timing'!N$17</f>
        <v>39.566687999999999</v>
      </c>
      <c r="U52" s="1196">
        <f>($H$8)*'ARP Timing'!O$17</f>
        <v>39.566687999999999</v>
      </c>
      <c r="V52" s="1196">
        <f>($H$8)*'ARP Timing'!P$17</f>
        <v>35.280296800000002</v>
      </c>
    </row>
    <row r="53" spans="1:22" x14ac:dyDescent="0.35">
      <c r="B53" s="33" t="s">
        <v>331</v>
      </c>
      <c r="C53" s="1241"/>
      <c r="H53" s="1241"/>
      <c r="I53" s="1196">
        <f>($I$8)*'ARP Timing'!B$17</f>
        <v>0</v>
      </c>
      <c r="J53" s="1196">
        <f>($I$8)*'ARP Timing'!C$17</f>
        <v>0</v>
      </c>
      <c r="K53" s="1196">
        <f>($I$8)*'ARP Timing'!D$17</f>
        <v>0</v>
      </c>
      <c r="L53" s="1196">
        <f>($I$8)*'ARP Timing'!E$17</f>
        <v>0</v>
      </c>
      <c r="M53" s="1196">
        <f>($I$8)*'ARP Timing'!F$17</f>
        <v>0</v>
      </c>
      <c r="N53" s="1196">
        <f>($I$8)*'ARP Timing'!G$17</f>
        <v>0</v>
      </c>
      <c r="O53" s="1196">
        <f>($I$8)*'ARP Timing'!H$17</f>
        <v>0</v>
      </c>
      <c r="P53" s="1196">
        <f>($I$8)*'ARP Timing'!I$17</f>
        <v>0</v>
      </c>
      <c r="Q53" s="1196">
        <f>($I$8)*'ARP Timing'!J$17</f>
        <v>0</v>
      </c>
      <c r="R53" s="1196">
        <f>($I$8)*'ARP Timing'!K$17</f>
        <v>0</v>
      </c>
      <c r="S53" s="1196">
        <f>($I$8)*'ARP Timing'!L$17</f>
        <v>0</v>
      </c>
      <c r="T53" s="1196">
        <f>($I$8)*'ARP Timing'!M$17</f>
        <v>0</v>
      </c>
      <c r="U53" s="1196">
        <f>($I$8)*'ARP Timing'!N$17</f>
        <v>0</v>
      </c>
      <c r="V53" s="1196">
        <f>($I$8)*'ARP Timing'!O$17</f>
        <v>0</v>
      </c>
    </row>
    <row r="54" spans="1:22" x14ac:dyDescent="0.35">
      <c r="B54" s="33" t="s">
        <v>780</v>
      </c>
      <c r="C54" s="1241"/>
      <c r="H54" s="1241"/>
    </row>
    <row r="55" spans="1:22" x14ac:dyDescent="0.35">
      <c r="A55" s="1196">
        <v>2023</v>
      </c>
      <c r="B55" s="33" t="s">
        <v>240</v>
      </c>
      <c r="C55" s="1241"/>
      <c r="H55" s="1241"/>
    </row>
    <row r="56" spans="1:22" x14ac:dyDescent="0.35">
      <c r="B56" s="33" t="s">
        <v>241</v>
      </c>
      <c r="C56" s="1241"/>
      <c r="H56" s="1241"/>
    </row>
    <row r="57" spans="1:22" x14ac:dyDescent="0.35">
      <c r="B57" s="33" t="s">
        <v>331</v>
      </c>
      <c r="C57" s="1241"/>
      <c r="H57" s="1241"/>
    </row>
    <row r="58" spans="1:22" x14ac:dyDescent="0.35">
      <c r="B58" s="33" t="s">
        <v>780</v>
      </c>
      <c r="C58" s="1241"/>
      <c r="H58" s="1241"/>
    </row>
    <row r="59" spans="1:22" x14ac:dyDescent="0.35">
      <c r="A59" s="1196">
        <v>2024</v>
      </c>
      <c r="B59" s="33" t="s">
        <v>240</v>
      </c>
      <c r="C59" s="1241"/>
      <c r="H59" s="1241"/>
    </row>
    <row r="60" spans="1:22" x14ac:dyDescent="0.35">
      <c r="B60" s="33" t="s">
        <v>241</v>
      </c>
      <c r="C60" s="1241"/>
      <c r="H60" s="1241"/>
    </row>
    <row r="61" spans="1:22" x14ac:dyDescent="0.35">
      <c r="B61" s="33" t="s">
        <v>331</v>
      </c>
      <c r="C61" s="1241"/>
      <c r="H61" s="1241"/>
    </row>
    <row r="62" spans="1:22" x14ac:dyDescent="0.35">
      <c r="B62" s="33" t="s">
        <v>780</v>
      </c>
      <c r="C62" s="1241"/>
      <c r="H62" s="1241"/>
    </row>
    <row r="63" spans="1:22" x14ac:dyDescent="0.35">
      <c r="A63" t="s">
        <v>896</v>
      </c>
      <c r="B63" s="33"/>
      <c r="C63" s="1241"/>
      <c r="G63">
        <v>5</v>
      </c>
      <c r="H63" s="1241">
        <v>10</v>
      </c>
      <c r="I63">
        <v>15</v>
      </c>
      <c r="J63">
        <v>8</v>
      </c>
      <c r="K63">
        <v>0</v>
      </c>
      <c r="L63">
        <v>-10</v>
      </c>
      <c r="M63">
        <v>-10</v>
      </c>
      <c r="N63">
        <v>-10</v>
      </c>
      <c r="O63">
        <v>-8</v>
      </c>
    </row>
    <row r="64" spans="1:22" x14ac:dyDescent="0.35">
      <c r="B64" s="33"/>
      <c r="C64" s="1241"/>
      <c r="H64" s="1241"/>
    </row>
    <row r="65" spans="2:24" x14ac:dyDescent="0.35">
      <c r="B65" s="33"/>
      <c r="C65" s="1241"/>
      <c r="H65" s="1241"/>
    </row>
    <row r="66" spans="2:24" x14ac:dyDescent="0.35">
      <c r="B66" s="33"/>
      <c r="C66" s="1241"/>
      <c r="H66" s="1241"/>
    </row>
    <row r="67" spans="2:24" x14ac:dyDescent="0.35">
      <c r="B67" s="33"/>
      <c r="C67" s="1241"/>
      <c r="H67" s="1241"/>
    </row>
    <row r="68" spans="2:24" x14ac:dyDescent="0.35">
      <c r="B68" s="33"/>
      <c r="C68" s="1241"/>
      <c r="H68" s="1241"/>
    </row>
    <row r="69" spans="2:24" x14ac:dyDescent="0.35">
      <c r="B69" s="33"/>
      <c r="C69" s="1241"/>
      <c r="H69" s="1241"/>
    </row>
    <row r="70" spans="2:24" x14ac:dyDescent="0.35">
      <c r="B70" s="33"/>
      <c r="C70" s="1241"/>
      <c r="H70" s="1241"/>
    </row>
    <row r="71" spans="2:24" x14ac:dyDescent="0.35">
      <c r="B71" s="33"/>
      <c r="C71" s="1241"/>
      <c r="H71" s="1241"/>
    </row>
    <row r="72" spans="2:24" x14ac:dyDescent="0.35">
      <c r="B72" s="33"/>
      <c r="C72" s="1241"/>
      <c r="H72" s="1241"/>
    </row>
    <row r="73" spans="2:24" x14ac:dyDescent="0.35">
      <c r="B73" s="33" t="s">
        <v>782</v>
      </c>
      <c r="C73" s="1239">
        <v>2021</v>
      </c>
      <c r="D73" s="1239">
        <v>2022</v>
      </c>
      <c r="E73" s="1239">
        <v>2023</v>
      </c>
      <c r="F73" s="1239">
        <v>2024</v>
      </c>
      <c r="G73" s="1239">
        <v>2025</v>
      </c>
      <c r="H73" s="1241"/>
    </row>
    <row r="74" spans="2:24" x14ac:dyDescent="0.35">
      <c r="B74" s="33" t="s">
        <v>679</v>
      </c>
      <c r="C74" s="1244">
        <f t="shared" ref="C74:C85" si="43">SUM(C4:E4)/4</f>
        <v>0.77600000000001046</v>
      </c>
      <c r="D74" s="1244">
        <f t="shared" ref="D74:D85" si="44">SUM(F4:I4)/4</f>
        <v>19.719000000000005</v>
      </c>
      <c r="E74" s="1244">
        <f t="shared" ref="E74:E85" si="45">SUM(J4:M4)/4</f>
        <v>1.4159999999999999</v>
      </c>
      <c r="F74" s="1244">
        <f t="shared" ref="F74:F85" si="46">SUM(N4:Q4)/4</f>
        <v>1.4790000000000001</v>
      </c>
      <c r="G74" s="1244">
        <f t="shared" ref="G74:G85" si="47">SUM(R4:U4)/4</f>
        <v>1.63</v>
      </c>
    </row>
    <row r="75" spans="2:24" x14ac:dyDescent="0.35">
      <c r="B75" s="33" t="s">
        <v>680</v>
      </c>
      <c r="C75" s="1244">
        <f t="shared" si="43"/>
        <v>19.722000000000016</v>
      </c>
      <c r="D75" s="1244">
        <f t="shared" si="44"/>
        <v>52.756999999999998</v>
      </c>
      <c r="E75" s="1244">
        <f t="shared" si="45"/>
        <v>12</v>
      </c>
      <c r="F75" s="1244">
        <f t="shared" si="46"/>
        <v>4.2219999999999995</v>
      </c>
      <c r="G75" s="1244">
        <f t="shared" si="47"/>
        <v>2.3719999999999999</v>
      </c>
      <c r="H75" s="1241"/>
    </row>
    <row r="76" spans="2:24" x14ac:dyDescent="0.35">
      <c r="B76" s="33" t="s">
        <v>52</v>
      </c>
      <c r="C76" s="1244">
        <f t="shared" si="43"/>
        <v>81.643000000000001</v>
      </c>
      <c r="D76" s="1244">
        <f t="shared" si="44"/>
        <v>110.24799999999999</v>
      </c>
      <c r="E76" s="1244">
        <f t="shared" si="45"/>
        <v>12.726000000000001</v>
      </c>
      <c r="F76" s="1244">
        <f t="shared" si="46"/>
        <v>1.365</v>
      </c>
      <c r="G76" s="1244">
        <f t="shared" si="47"/>
        <v>-0.90100000000000025</v>
      </c>
      <c r="H76" s="1241"/>
      <c r="O76" s="33"/>
      <c r="P76" s="33"/>
      <c r="Q76" s="33"/>
      <c r="R76" s="33"/>
      <c r="S76" s="1245"/>
      <c r="T76" s="1245"/>
      <c r="U76" s="1245"/>
      <c r="V76" s="14"/>
      <c r="W76" s="33"/>
      <c r="X76" s="33"/>
    </row>
    <row r="77" spans="2:24" x14ac:dyDescent="0.35">
      <c r="B77" s="33" t="s">
        <v>131</v>
      </c>
      <c r="C77" s="1244">
        <f t="shared" si="43"/>
        <v>7.798</v>
      </c>
      <c r="D77" s="1244">
        <f t="shared" si="44"/>
        <v>7.9489999999999998</v>
      </c>
      <c r="E77" s="1244">
        <f t="shared" si="45"/>
        <v>4.7519999999999998</v>
      </c>
      <c r="F77" s="1244">
        <f t="shared" si="46"/>
        <v>4.637999999999999</v>
      </c>
      <c r="G77" s="1244">
        <f t="shared" si="47"/>
        <v>1.8800000000000001</v>
      </c>
      <c r="H77" s="1241"/>
    </row>
    <row r="78" spans="2:24" x14ac:dyDescent="0.35">
      <c r="B78" s="1242" t="s">
        <v>348</v>
      </c>
      <c r="C78" s="1244">
        <f t="shared" si="43"/>
        <v>247.29179999999997</v>
      </c>
      <c r="D78" s="1244">
        <f t="shared" si="44"/>
        <v>164.8612</v>
      </c>
      <c r="E78" s="1244">
        <f t="shared" si="45"/>
        <v>0</v>
      </c>
      <c r="F78" s="1244">
        <f t="shared" si="46"/>
        <v>0</v>
      </c>
      <c r="G78" s="1244">
        <f t="shared" si="47"/>
        <v>0</v>
      </c>
      <c r="H78" s="1241"/>
      <c r="R78" s="1209"/>
      <c r="S78" s="1209"/>
    </row>
    <row r="79" spans="2:24" x14ac:dyDescent="0.35">
      <c r="B79" s="1242" t="s">
        <v>150</v>
      </c>
      <c r="C79" s="1244">
        <f t="shared" si="43"/>
        <v>12.347</v>
      </c>
      <c r="D79" s="1244">
        <f t="shared" si="44"/>
        <v>46.79</v>
      </c>
      <c r="E79" s="1244">
        <f t="shared" si="45"/>
        <v>38.595999999999997</v>
      </c>
      <c r="F79" s="1244">
        <f t="shared" si="46"/>
        <v>31.911000000000001</v>
      </c>
      <c r="G79" s="1244">
        <f t="shared" si="47"/>
        <v>23.099</v>
      </c>
      <c r="H79" s="1241"/>
      <c r="R79" s="1209"/>
      <c r="S79" s="1209"/>
    </row>
    <row r="80" spans="2:24" x14ac:dyDescent="0.35">
      <c r="B80" s="1242" t="s">
        <v>364</v>
      </c>
      <c r="C80" s="1244">
        <f t="shared" si="43"/>
        <v>29.628</v>
      </c>
      <c r="D80" s="1244">
        <f t="shared" si="44"/>
        <v>35.671000000000006</v>
      </c>
      <c r="E80" s="1244">
        <f t="shared" si="45"/>
        <v>24.216000000000001</v>
      </c>
      <c r="F80" s="1244">
        <f t="shared" si="46"/>
        <v>9.6430000000000007</v>
      </c>
      <c r="G80" s="1244">
        <f t="shared" si="47"/>
        <v>4.5789999999999997</v>
      </c>
      <c r="H80" s="1241"/>
      <c r="R80" s="1209"/>
      <c r="S80" s="1209"/>
    </row>
    <row r="81" spans="2:19" x14ac:dyDescent="0.35">
      <c r="B81" s="14" t="s">
        <v>159</v>
      </c>
      <c r="C81" s="1244">
        <f t="shared" si="43"/>
        <v>25.75</v>
      </c>
      <c r="D81" s="1244">
        <f t="shared" si="44"/>
        <v>0</v>
      </c>
      <c r="E81" s="1244">
        <f t="shared" si="45"/>
        <v>0</v>
      </c>
      <c r="F81" s="1244">
        <f t="shared" si="46"/>
        <v>0</v>
      </c>
      <c r="G81" s="1244">
        <f t="shared" si="47"/>
        <v>0</v>
      </c>
      <c r="H81" s="1241"/>
      <c r="R81" s="1209"/>
      <c r="S81" s="1209"/>
    </row>
    <row r="82" spans="2:19" x14ac:dyDescent="0.35">
      <c r="B82" s="33" t="s">
        <v>109</v>
      </c>
      <c r="C82" s="1244">
        <f t="shared" si="43"/>
        <v>31.939</v>
      </c>
      <c r="D82" s="1244">
        <f t="shared" si="44"/>
        <v>56.413000000000004</v>
      </c>
      <c r="E82" s="1244">
        <f t="shared" si="45"/>
        <v>15.652999999999999</v>
      </c>
      <c r="F82" s="1244">
        <f t="shared" si="46"/>
        <v>3.9320000000000004</v>
      </c>
      <c r="G82" s="1244">
        <f t="shared" si="47"/>
        <v>-0.74299999999999988</v>
      </c>
      <c r="R82" s="1209"/>
      <c r="S82" s="1209"/>
    </row>
    <row r="83" spans="2:19" x14ac:dyDescent="0.35">
      <c r="B83" s="1196" t="s">
        <v>773</v>
      </c>
      <c r="C83" s="1244">
        <f t="shared" si="43"/>
        <v>1.02</v>
      </c>
      <c r="D83" s="1244">
        <f t="shared" si="44"/>
        <v>1.5299999999999998</v>
      </c>
      <c r="E83" s="1244">
        <f t="shared" si="45"/>
        <v>0</v>
      </c>
      <c r="F83" s="1244">
        <f t="shared" si="46"/>
        <v>0</v>
      </c>
      <c r="G83" s="1244">
        <f t="shared" si="47"/>
        <v>0</v>
      </c>
      <c r="R83" s="1209"/>
      <c r="S83" s="1209"/>
    </row>
    <row r="84" spans="2:19" x14ac:dyDescent="0.35">
      <c r="B84" s="1196" t="s">
        <v>774</v>
      </c>
      <c r="C84" s="1244">
        <f t="shared" si="43"/>
        <v>0.67999999999999994</v>
      </c>
      <c r="D84" s="1244">
        <f t="shared" si="44"/>
        <v>1.02</v>
      </c>
      <c r="E84" s="1244">
        <f t="shared" si="45"/>
        <v>0</v>
      </c>
      <c r="F84" s="1244">
        <f t="shared" si="46"/>
        <v>0</v>
      </c>
      <c r="G84" s="1244">
        <f t="shared" si="47"/>
        <v>0</v>
      </c>
      <c r="R84" s="1209"/>
      <c r="S84" s="1209"/>
    </row>
    <row r="85" spans="2:19" x14ac:dyDescent="0.35">
      <c r="B85" s="1196" t="s">
        <v>472</v>
      </c>
      <c r="C85" s="1244">
        <f t="shared" si="43"/>
        <v>1.6999999999999997</v>
      </c>
      <c r="D85" s="1244">
        <f t="shared" si="44"/>
        <v>2.5499999999999998</v>
      </c>
      <c r="E85" s="1244">
        <f t="shared" si="45"/>
        <v>0</v>
      </c>
      <c r="F85" s="1244">
        <f t="shared" si="46"/>
        <v>0</v>
      </c>
      <c r="G85" s="1244">
        <f t="shared" si="47"/>
        <v>0</v>
      </c>
      <c r="R85" s="1209"/>
      <c r="S85" s="1209"/>
    </row>
    <row r="86" spans="2:19" x14ac:dyDescent="0.35">
      <c r="C86" s="1239">
        <v>2021</v>
      </c>
      <c r="D86" s="1239">
        <v>2022</v>
      </c>
      <c r="E86" s="1239">
        <v>2023</v>
      </c>
      <c r="F86" s="1239">
        <v>2024</v>
      </c>
      <c r="G86" s="1239">
        <v>2025</v>
      </c>
      <c r="R86" s="1209"/>
      <c r="S86" s="1209"/>
    </row>
    <row r="87" spans="2:19" x14ac:dyDescent="0.35">
      <c r="B87" s="1196" t="s">
        <v>783</v>
      </c>
      <c r="C87" s="1243">
        <f>SUM(C83:C85)</f>
        <v>3.3999999999999995</v>
      </c>
      <c r="D87" s="1243">
        <f t="shared" ref="D87:G87" si="48">SUM(D83:D85)</f>
        <v>5.0999999999999996</v>
      </c>
      <c r="E87" s="1243">
        <f t="shared" si="48"/>
        <v>0</v>
      </c>
      <c r="F87" s="1243">
        <f t="shared" si="48"/>
        <v>0</v>
      </c>
      <c r="G87" s="1243">
        <f t="shared" si="48"/>
        <v>0</v>
      </c>
      <c r="R87" s="1209"/>
      <c r="S87" s="1209"/>
    </row>
    <row r="90" spans="2:19" x14ac:dyDescent="0.35">
      <c r="B90" s="1196" t="s">
        <v>679</v>
      </c>
      <c r="C90" s="1244">
        <v>26.636000000000024</v>
      </c>
      <c r="D90" s="1244">
        <v>98.978999999999999</v>
      </c>
      <c r="E90" s="1244">
        <v>2.1159999999999997</v>
      </c>
      <c r="F90" s="1244">
        <v>2.1789999999999998</v>
      </c>
      <c r="G90" s="1244">
        <v>2.33</v>
      </c>
      <c r="H90" s="1244"/>
      <c r="I90" s="1244"/>
      <c r="J90" s="1244"/>
      <c r="K90" s="1244"/>
      <c r="L90" s="1244"/>
      <c r="M90" s="1244"/>
    </row>
    <row r="91" spans="2:19" x14ac:dyDescent="0.35">
      <c r="B91" s="1196" t="s">
        <v>680</v>
      </c>
      <c r="C91" s="1244">
        <v>47.722000000000016</v>
      </c>
      <c r="D91" s="1244">
        <v>52.756999999999998</v>
      </c>
      <c r="E91" s="1244">
        <v>12</v>
      </c>
      <c r="F91" s="1244">
        <v>4.2219999999999995</v>
      </c>
      <c r="G91" s="1244">
        <v>2.3719999999999999</v>
      </c>
      <c r="H91" s="1244"/>
      <c r="I91" s="1244"/>
      <c r="J91" s="1244"/>
      <c r="K91" s="1244"/>
      <c r="L91" s="1244"/>
      <c r="M91" s="1244"/>
    </row>
    <row r="92" spans="2:19" x14ac:dyDescent="0.35">
      <c r="B92" s="1196" t="s">
        <v>52</v>
      </c>
      <c r="C92" s="1244">
        <v>81.842999999999989</v>
      </c>
      <c r="D92" s="1244">
        <v>110.24799999999999</v>
      </c>
      <c r="E92" s="1244">
        <v>12.726000000000001</v>
      </c>
      <c r="F92" s="1244">
        <v>1.365</v>
      </c>
      <c r="G92" s="1244">
        <v>-0.90100000000000025</v>
      </c>
      <c r="H92" s="1244"/>
      <c r="I92" s="1244"/>
      <c r="J92" s="1244"/>
      <c r="K92" s="1244"/>
      <c r="L92" s="1244"/>
      <c r="M92" s="1244"/>
    </row>
    <row r="93" spans="2:19" x14ac:dyDescent="0.35">
      <c r="B93" s="1196" t="s">
        <v>131</v>
      </c>
      <c r="C93" s="1244">
        <v>7.798</v>
      </c>
      <c r="D93" s="1244">
        <v>7.9489999999999998</v>
      </c>
      <c r="E93" s="1244">
        <v>4.7519999999999998</v>
      </c>
      <c r="F93" s="1244">
        <v>4.637999999999999</v>
      </c>
      <c r="G93" s="1244">
        <v>1.8800000000000001</v>
      </c>
      <c r="H93" s="1244"/>
      <c r="I93" s="1244"/>
      <c r="J93" s="1244"/>
      <c r="K93" s="1244"/>
      <c r="L93" s="1244"/>
      <c r="M93" s="1244"/>
    </row>
    <row r="94" spans="2:19" x14ac:dyDescent="0.35">
      <c r="B94" s="1196" t="s">
        <v>348</v>
      </c>
      <c r="C94" s="1244">
        <v>283.95749999999998</v>
      </c>
      <c r="D94" s="1244">
        <v>77.092500000000001</v>
      </c>
      <c r="E94" s="1244">
        <v>1</v>
      </c>
      <c r="F94" s="1244">
        <v>0</v>
      </c>
      <c r="G94" s="1244">
        <v>0</v>
      </c>
      <c r="H94" s="1244"/>
      <c r="I94" s="1244"/>
      <c r="J94" s="1244"/>
      <c r="K94" s="1244"/>
      <c r="L94" s="1244"/>
      <c r="M94" s="1244"/>
    </row>
    <row r="95" spans="2:19" x14ac:dyDescent="0.35">
      <c r="B95" s="1196" t="s">
        <v>150</v>
      </c>
      <c r="C95" s="1244">
        <v>12.347</v>
      </c>
      <c r="D95" s="1244">
        <v>46.79</v>
      </c>
      <c r="E95" s="1244">
        <v>38.595999999999997</v>
      </c>
      <c r="F95" s="1244">
        <v>31.911000000000001</v>
      </c>
      <c r="G95" s="1244">
        <v>23.099</v>
      </c>
      <c r="H95" s="1244"/>
      <c r="I95" s="1244"/>
      <c r="J95" s="1244"/>
      <c r="K95" s="1244"/>
      <c r="L95" s="1244"/>
      <c r="M95" s="1244"/>
    </row>
    <row r="96" spans="2:19" x14ac:dyDescent="0.35">
      <c r="B96" s="1196" t="s">
        <v>364</v>
      </c>
      <c r="C96" s="1244">
        <v>2.286</v>
      </c>
      <c r="D96" s="1244">
        <v>4.6049999999999995</v>
      </c>
      <c r="E96" s="1244">
        <v>1.349</v>
      </c>
      <c r="F96" s="1244">
        <v>0.441</v>
      </c>
      <c r="G96" s="1244">
        <v>0.313</v>
      </c>
      <c r="H96" s="1244"/>
      <c r="I96" s="1244"/>
      <c r="J96" s="1244"/>
      <c r="K96" s="1244"/>
      <c r="L96" s="1244"/>
      <c r="M96" s="1244"/>
    </row>
    <row r="97" spans="2:13" x14ac:dyDescent="0.35">
      <c r="B97" s="1196" t="s">
        <v>159</v>
      </c>
      <c r="C97" s="1244">
        <v>25.75</v>
      </c>
      <c r="D97" s="1244">
        <v>0</v>
      </c>
      <c r="E97" s="1244">
        <v>0</v>
      </c>
      <c r="F97" s="1244">
        <v>0</v>
      </c>
      <c r="G97" s="1244">
        <v>0</v>
      </c>
      <c r="H97" s="1244"/>
      <c r="I97" s="1244"/>
      <c r="J97" s="1244"/>
      <c r="K97" s="1244"/>
      <c r="L97" s="1244"/>
      <c r="M97" s="1244"/>
    </row>
    <row r="98" spans="2:13" x14ac:dyDescent="0.35">
      <c r="B98" s="1196" t="s">
        <v>109</v>
      </c>
      <c r="C98" s="1244">
        <v>60.441000000000003</v>
      </c>
      <c r="D98" s="1244">
        <v>91.678999999999988</v>
      </c>
      <c r="E98" s="1244">
        <v>41.220000000000006</v>
      </c>
      <c r="F98" s="1244">
        <v>14.004000000000003</v>
      </c>
      <c r="G98" s="1244">
        <v>3.8530000000000006</v>
      </c>
      <c r="H98" s="1244"/>
      <c r="I98" s="1244"/>
      <c r="J98" s="1244"/>
      <c r="K98" s="1244"/>
      <c r="L98" s="1244"/>
      <c r="M98" s="1244"/>
    </row>
    <row r="99" spans="2:13" x14ac:dyDescent="0.35">
      <c r="C99" s="1239">
        <v>3.4</v>
      </c>
      <c r="D99" s="1239">
        <v>5.0999999999999996</v>
      </c>
      <c r="E99" s="1239">
        <v>0</v>
      </c>
      <c r="F99" s="1239">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52"/>
  <sheetViews>
    <sheetView workbookViewId="0"/>
  </sheetViews>
  <sheetFormatPr defaultColWidth="10.90625" defaultRowHeight="14.5" x14ac:dyDescent="0.35"/>
  <sheetData>
    <row r="1" spans="1:12" x14ac:dyDescent="0.35">
      <c r="A1" s="75" t="s">
        <v>1442</v>
      </c>
      <c r="B1" s="75" t="s">
        <v>1443</v>
      </c>
      <c r="C1" s="75" t="s">
        <v>1444</v>
      </c>
      <c r="D1" s="75" t="s">
        <v>1445</v>
      </c>
      <c r="E1" s="75" t="s">
        <v>1446</v>
      </c>
      <c r="F1" s="75" t="s">
        <v>1447</v>
      </c>
      <c r="G1" s="75" t="s">
        <v>931</v>
      </c>
      <c r="H1" s="75" t="s">
        <v>932</v>
      </c>
      <c r="I1" s="75" t="s">
        <v>933</v>
      </c>
      <c r="J1" s="75" t="s">
        <v>934</v>
      </c>
      <c r="K1" s="75" t="s">
        <v>935</v>
      </c>
      <c r="L1" s="75"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90625" defaultRowHeight="14.5" x14ac:dyDescent="0.35"/>
  <cols>
    <col min="1" max="215" width="11.7265625" customWidth="1"/>
  </cols>
  <sheetData>
    <row r="1" spans="1:215" x14ac:dyDescent="0.35">
      <c r="A1" s="75" t="s">
        <v>2006</v>
      </c>
      <c r="B1" s="75" t="s">
        <v>2007</v>
      </c>
      <c r="C1" s="75" t="s">
        <v>2008</v>
      </c>
      <c r="D1" s="75" t="s">
        <v>2009</v>
      </c>
      <c r="E1" s="75" t="s">
        <v>2010</v>
      </c>
      <c r="F1" s="75" t="s">
        <v>2011</v>
      </c>
      <c r="G1" s="75" t="s">
        <v>2012</v>
      </c>
      <c r="H1" s="75" t="s">
        <v>2013</v>
      </c>
      <c r="I1" s="75" t="s">
        <v>2014</v>
      </c>
      <c r="J1" s="75" t="s">
        <v>2015</v>
      </c>
      <c r="K1" s="75" t="s">
        <v>2016</v>
      </c>
      <c r="L1" s="75" t="s">
        <v>2017</v>
      </c>
      <c r="M1" s="75" t="s">
        <v>2018</v>
      </c>
      <c r="N1" s="75" t="s">
        <v>2019</v>
      </c>
      <c r="O1" s="75" t="s">
        <v>2020</v>
      </c>
      <c r="P1" s="75" t="s">
        <v>2021</v>
      </c>
      <c r="Q1" s="75" t="s">
        <v>2022</v>
      </c>
      <c r="R1" s="75" t="s">
        <v>2023</v>
      </c>
      <c r="S1" s="75" t="s">
        <v>2024</v>
      </c>
      <c r="T1" s="75" t="s">
        <v>2025</v>
      </c>
      <c r="U1" s="75" t="s">
        <v>2026</v>
      </c>
      <c r="V1" s="75" t="s">
        <v>2027</v>
      </c>
      <c r="W1" s="75" t="s">
        <v>2028</v>
      </c>
      <c r="X1" s="75" t="s">
        <v>2029</v>
      </c>
      <c r="Y1" s="75" t="s">
        <v>2030</v>
      </c>
      <c r="Z1" s="75" t="s">
        <v>2031</v>
      </c>
      <c r="AA1" s="75" t="s">
        <v>2032</v>
      </c>
      <c r="AB1" s="75" t="s">
        <v>2033</v>
      </c>
      <c r="AC1" s="75" t="s">
        <v>2034</v>
      </c>
      <c r="AD1" s="75" t="s">
        <v>2035</v>
      </c>
      <c r="AE1" s="75" t="s">
        <v>2036</v>
      </c>
      <c r="AF1" s="75" t="s">
        <v>2037</v>
      </c>
      <c r="AG1" s="75" t="s">
        <v>2038</v>
      </c>
      <c r="AH1" s="75" t="s">
        <v>2039</v>
      </c>
      <c r="AI1" s="75" t="s">
        <v>2040</v>
      </c>
      <c r="AJ1" s="75" t="s">
        <v>2041</v>
      </c>
      <c r="AK1" s="75" t="s">
        <v>2042</v>
      </c>
      <c r="AL1" s="75" t="s">
        <v>2043</v>
      </c>
      <c r="AM1" s="75" t="s">
        <v>2044</v>
      </c>
      <c r="AN1" s="75" t="s">
        <v>2045</v>
      </c>
      <c r="AO1" s="75" t="s">
        <v>2046</v>
      </c>
      <c r="AP1" s="75" t="s">
        <v>2047</v>
      </c>
      <c r="AQ1" s="75" t="s">
        <v>2048</v>
      </c>
      <c r="AR1" s="75" t="s">
        <v>2049</v>
      </c>
      <c r="AS1" s="75" t="s">
        <v>2050</v>
      </c>
      <c r="AT1" s="75" t="s">
        <v>2051</v>
      </c>
      <c r="AU1" s="75" t="s">
        <v>2052</v>
      </c>
      <c r="AV1" s="75" t="s">
        <v>2053</v>
      </c>
      <c r="AW1" s="75" t="s">
        <v>2054</v>
      </c>
      <c r="AX1" s="75" t="s">
        <v>2055</v>
      </c>
      <c r="AY1" s="75" t="s">
        <v>2056</v>
      </c>
      <c r="AZ1" s="75" t="s">
        <v>2057</v>
      </c>
      <c r="BA1" s="75" t="s">
        <v>2058</v>
      </c>
      <c r="BB1" s="75" t="s">
        <v>2059</v>
      </c>
      <c r="BC1" s="75" t="s">
        <v>2060</v>
      </c>
      <c r="BD1" s="75" t="s">
        <v>2061</v>
      </c>
      <c r="BE1" s="75" t="s">
        <v>2062</v>
      </c>
      <c r="BF1" s="75" t="s">
        <v>2063</v>
      </c>
      <c r="BG1" s="75" t="s">
        <v>2064</v>
      </c>
      <c r="BH1" s="75" t="s">
        <v>2065</v>
      </c>
      <c r="BI1" s="75" t="s">
        <v>2066</v>
      </c>
      <c r="BJ1" s="75" t="s">
        <v>2067</v>
      </c>
      <c r="BK1" s="75" t="s">
        <v>2068</v>
      </c>
      <c r="BL1" s="75" t="s">
        <v>2069</v>
      </c>
      <c r="BM1" s="75" t="s">
        <v>2070</v>
      </c>
      <c r="BN1" s="75" t="s">
        <v>2071</v>
      </c>
      <c r="BO1" s="75" t="s">
        <v>2072</v>
      </c>
      <c r="BP1" s="75" t="s">
        <v>2073</v>
      </c>
      <c r="BQ1" s="75" t="s">
        <v>2074</v>
      </c>
      <c r="BR1" s="75" t="s">
        <v>2075</v>
      </c>
      <c r="BS1" s="75" t="s">
        <v>2076</v>
      </c>
      <c r="BT1" s="75" t="s">
        <v>2077</v>
      </c>
      <c r="BU1" s="75" t="s">
        <v>2078</v>
      </c>
      <c r="BV1" s="75" t="s">
        <v>2079</v>
      </c>
      <c r="BW1" s="75" t="s">
        <v>2080</v>
      </c>
      <c r="BX1" s="75" t="s">
        <v>2081</v>
      </c>
      <c r="BY1" s="75" t="s">
        <v>2082</v>
      </c>
      <c r="BZ1" s="75" t="s">
        <v>2083</v>
      </c>
      <c r="CA1" s="75" t="s">
        <v>2084</v>
      </c>
      <c r="CB1" s="75" t="s">
        <v>2085</v>
      </c>
      <c r="CC1" s="75" t="s">
        <v>2086</v>
      </c>
      <c r="CD1" s="75" t="s">
        <v>2087</v>
      </c>
      <c r="CE1" s="75" t="s">
        <v>2088</v>
      </c>
      <c r="CF1" s="75" t="s">
        <v>2089</v>
      </c>
      <c r="CG1" s="75" t="s">
        <v>2090</v>
      </c>
      <c r="CH1" s="75" t="s">
        <v>2091</v>
      </c>
      <c r="CI1" s="75" t="s">
        <v>2092</v>
      </c>
      <c r="CJ1" s="75" t="s">
        <v>2093</v>
      </c>
      <c r="CK1" s="75" t="s">
        <v>2094</v>
      </c>
      <c r="CL1" s="75" t="s">
        <v>2095</v>
      </c>
      <c r="CM1" s="75" t="s">
        <v>2096</v>
      </c>
      <c r="CN1" s="75" t="s">
        <v>2097</v>
      </c>
      <c r="CO1" s="75" t="s">
        <v>2098</v>
      </c>
      <c r="CP1" s="75" t="s">
        <v>2099</v>
      </c>
      <c r="CQ1" s="75" t="s">
        <v>2100</v>
      </c>
      <c r="CR1" s="75" t="s">
        <v>2101</v>
      </c>
      <c r="CS1" s="75" t="s">
        <v>2102</v>
      </c>
      <c r="CT1" s="75" t="s">
        <v>2103</v>
      </c>
      <c r="CU1" s="75" t="s">
        <v>2104</v>
      </c>
      <c r="CV1" s="75" t="s">
        <v>2105</v>
      </c>
      <c r="CW1" s="75" t="s">
        <v>2106</v>
      </c>
      <c r="CX1" s="75" t="s">
        <v>2107</v>
      </c>
      <c r="CY1" s="75" t="s">
        <v>2108</v>
      </c>
      <c r="CZ1" s="75" t="s">
        <v>2109</v>
      </c>
      <c r="DA1" s="75" t="s">
        <v>2110</v>
      </c>
      <c r="DB1" s="75" t="s">
        <v>2111</v>
      </c>
      <c r="DC1" s="75" t="s">
        <v>2112</v>
      </c>
      <c r="DD1" s="75" t="s">
        <v>2113</v>
      </c>
      <c r="DE1" s="75" t="s">
        <v>2114</v>
      </c>
      <c r="DF1" s="75" t="s">
        <v>2115</v>
      </c>
      <c r="DG1" s="75" t="s">
        <v>2116</v>
      </c>
      <c r="DH1" s="75" t="s">
        <v>2117</v>
      </c>
      <c r="DI1" s="75" t="s">
        <v>2118</v>
      </c>
      <c r="DJ1" s="75" t="s">
        <v>2119</v>
      </c>
      <c r="DK1" s="75" t="s">
        <v>2120</v>
      </c>
      <c r="DL1" s="75" t="s">
        <v>2121</v>
      </c>
      <c r="DM1" s="75" t="s">
        <v>2122</v>
      </c>
      <c r="DN1" s="75" t="s">
        <v>2123</v>
      </c>
      <c r="DO1" s="75" t="s">
        <v>2124</v>
      </c>
      <c r="DP1" s="75" t="s">
        <v>2125</v>
      </c>
      <c r="DQ1" s="75" t="s">
        <v>2126</v>
      </c>
      <c r="DR1" s="75" t="s">
        <v>2127</v>
      </c>
      <c r="DS1" s="75" t="s">
        <v>2128</v>
      </c>
      <c r="DT1" s="75" t="s">
        <v>2129</v>
      </c>
      <c r="DU1" s="75" t="s">
        <v>2130</v>
      </c>
      <c r="DV1" s="75" t="s">
        <v>2131</v>
      </c>
      <c r="DW1" s="75" t="s">
        <v>2132</v>
      </c>
      <c r="DX1" s="75" t="s">
        <v>2133</v>
      </c>
      <c r="DY1" s="75" t="s">
        <v>2134</v>
      </c>
      <c r="DZ1" s="75" t="s">
        <v>2135</v>
      </c>
      <c r="EA1" s="75" t="s">
        <v>2136</v>
      </c>
      <c r="EB1" s="75" t="s">
        <v>2137</v>
      </c>
      <c r="EC1" s="75" t="s">
        <v>2138</v>
      </c>
      <c r="ED1" s="75" t="s">
        <v>2139</v>
      </c>
      <c r="EE1" s="75" t="s">
        <v>2140</v>
      </c>
      <c r="EF1" s="75" t="s">
        <v>2141</v>
      </c>
      <c r="EG1" s="75" t="s">
        <v>2142</v>
      </c>
      <c r="EH1" s="75" t="s">
        <v>2143</v>
      </c>
      <c r="EI1" s="75" t="s">
        <v>2144</v>
      </c>
      <c r="EJ1" s="75" t="s">
        <v>2145</v>
      </c>
      <c r="EK1" s="75" t="s">
        <v>2146</v>
      </c>
      <c r="EL1" s="75" t="s">
        <v>2147</v>
      </c>
      <c r="EM1" s="75" t="s">
        <v>2148</v>
      </c>
      <c r="EN1" s="75" t="s">
        <v>2149</v>
      </c>
      <c r="EO1" s="75" t="s">
        <v>2150</v>
      </c>
      <c r="EP1" s="75" t="s">
        <v>2151</v>
      </c>
      <c r="EQ1" s="75" t="s">
        <v>2152</v>
      </c>
      <c r="ER1" s="75" t="s">
        <v>2153</v>
      </c>
      <c r="ES1" s="75" t="s">
        <v>2154</v>
      </c>
      <c r="ET1" s="75" t="s">
        <v>2155</v>
      </c>
      <c r="EU1" s="75" t="s">
        <v>2156</v>
      </c>
      <c r="EV1" s="75" t="s">
        <v>2157</v>
      </c>
      <c r="EW1" s="75" t="s">
        <v>2158</v>
      </c>
      <c r="EX1" s="75" t="s">
        <v>2159</v>
      </c>
      <c r="EY1" s="75" t="s">
        <v>2160</v>
      </c>
      <c r="EZ1" s="75" t="s">
        <v>2161</v>
      </c>
      <c r="FA1" s="75" t="s">
        <v>2162</v>
      </c>
      <c r="FB1" s="75" t="s">
        <v>2163</v>
      </c>
      <c r="FC1" s="75" t="s">
        <v>2164</v>
      </c>
      <c r="FD1" s="75" t="s">
        <v>2165</v>
      </c>
      <c r="FE1" s="75" t="s">
        <v>2166</v>
      </c>
      <c r="FF1" s="75" t="s">
        <v>2167</v>
      </c>
      <c r="FG1" s="75" t="s">
        <v>2168</v>
      </c>
      <c r="FH1" s="75" t="s">
        <v>2169</v>
      </c>
      <c r="FI1" s="75" t="s">
        <v>2170</v>
      </c>
      <c r="FJ1" s="75" t="s">
        <v>2171</v>
      </c>
      <c r="FK1" s="75" t="s">
        <v>2172</v>
      </c>
      <c r="FL1" s="75" t="s">
        <v>2173</v>
      </c>
      <c r="FM1" s="75" t="s">
        <v>2174</v>
      </c>
      <c r="FN1" s="75" t="s">
        <v>2175</v>
      </c>
      <c r="FO1" s="75" t="s">
        <v>2176</v>
      </c>
      <c r="FP1" s="75" t="s">
        <v>2177</v>
      </c>
      <c r="FQ1" s="75" t="s">
        <v>2178</v>
      </c>
      <c r="FR1" s="75" t="s">
        <v>2179</v>
      </c>
      <c r="FS1" s="75" t="s">
        <v>2180</v>
      </c>
      <c r="FT1" s="75" t="s">
        <v>2181</v>
      </c>
      <c r="FU1" s="75" t="s">
        <v>2182</v>
      </c>
      <c r="FV1" s="75" t="s">
        <v>2183</v>
      </c>
      <c r="FW1" s="75" t="s">
        <v>2184</v>
      </c>
      <c r="FX1" s="75" t="s">
        <v>2185</v>
      </c>
      <c r="FY1" s="75" t="s">
        <v>2186</v>
      </c>
      <c r="FZ1" s="75" t="s">
        <v>2187</v>
      </c>
      <c r="GA1" s="75" t="s">
        <v>2188</v>
      </c>
      <c r="GB1" s="75" t="s">
        <v>2189</v>
      </c>
      <c r="GC1" s="75" t="s">
        <v>2190</v>
      </c>
      <c r="GD1" s="75" t="s">
        <v>2191</v>
      </c>
      <c r="GE1" s="75" t="s">
        <v>2192</v>
      </c>
      <c r="GF1" s="75" t="s">
        <v>2193</v>
      </c>
      <c r="GG1" s="75" t="s">
        <v>2194</v>
      </c>
      <c r="GH1" s="75" t="s">
        <v>2195</v>
      </c>
      <c r="GI1" s="75" t="s">
        <v>2196</v>
      </c>
      <c r="GJ1" s="75" t="s">
        <v>2197</v>
      </c>
      <c r="GK1" s="75" t="s">
        <v>2198</v>
      </c>
      <c r="GL1" s="75" t="s">
        <v>2199</v>
      </c>
      <c r="GM1" s="75" t="s">
        <v>2200</v>
      </c>
      <c r="GN1" s="75" t="s">
        <v>2201</v>
      </c>
      <c r="GO1" s="75" t="s">
        <v>2202</v>
      </c>
      <c r="GP1" s="75" t="s">
        <v>2203</v>
      </c>
      <c r="GQ1" s="75" t="s">
        <v>2204</v>
      </c>
      <c r="GR1" s="75" t="s">
        <v>2205</v>
      </c>
      <c r="GS1" s="75" t="s">
        <v>2206</v>
      </c>
      <c r="GT1" s="75" t="s">
        <v>2207</v>
      </c>
      <c r="GU1" s="75" t="s">
        <v>2208</v>
      </c>
      <c r="GV1" s="75" t="s">
        <v>2209</v>
      </c>
      <c r="GW1" s="75" t="s">
        <v>2210</v>
      </c>
      <c r="GX1" s="75" t="s">
        <v>2211</v>
      </c>
      <c r="GY1" s="75" t="s">
        <v>2212</v>
      </c>
      <c r="GZ1" s="75" t="s">
        <v>2213</v>
      </c>
      <c r="HA1" s="75" t="s">
        <v>2214</v>
      </c>
      <c r="HB1" s="75" t="s">
        <v>2215</v>
      </c>
      <c r="HC1" s="75" t="s">
        <v>2216</v>
      </c>
      <c r="HD1" s="75" t="s">
        <v>2217</v>
      </c>
      <c r="HE1" s="75" t="s">
        <v>2218</v>
      </c>
      <c r="HF1" s="75" t="s">
        <v>2219</v>
      </c>
      <c r="HG1" s="1248" t="s">
        <v>2220</v>
      </c>
    </row>
    <row r="2" spans="1:215" x14ac:dyDescent="0.35">
      <c r="A2" s="35" t="s">
        <v>2221</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26798.6</v>
      </c>
    </row>
    <row r="3" spans="1:215" x14ac:dyDescent="0.35">
      <c r="A3" s="35" t="s">
        <v>2222</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20386.5</v>
      </c>
    </row>
    <row r="4" spans="1:215" x14ac:dyDescent="0.35">
      <c r="A4" s="35" t="s">
        <v>2223</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131.464</v>
      </c>
    </row>
    <row r="5" spans="1:215" x14ac:dyDescent="0.35">
      <c r="A5" s="35" t="s">
        <v>2224</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18301.599999999999</v>
      </c>
    </row>
    <row r="6" spans="1:215" x14ac:dyDescent="0.35">
      <c r="A6" s="35" t="s">
        <v>2225</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14419.9</v>
      </c>
    </row>
    <row r="7" spans="1:215" x14ac:dyDescent="0.35">
      <c r="A7" s="35" t="s">
        <v>2226</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126.953</v>
      </c>
    </row>
    <row r="8" spans="1:215" x14ac:dyDescent="0.35">
      <c r="A8" s="35" t="s">
        <v>2227</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125.033</v>
      </c>
    </row>
    <row r="9" spans="1:215" x14ac:dyDescent="0.35">
      <c r="A9" s="35" t="s">
        <v>2228</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138.90299999999999</v>
      </c>
    </row>
    <row r="10" spans="1:215" x14ac:dyDescent="0.35">
      <c r="A10" s="35" t="s">
        <v>2229</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137.744</v>
      </c>
    </row>
    <row r="11" spans="1:215" x14ac:dyDescent="0.35">
      <c r="A11" s="35" t="s">
        <v>2230</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144.54300000000001</v>
      </c>
    </row>
    <row r="12" spans="1:215" x14ac:dyDescent="0.35">
      <c r="A12" s="35" t="s">
        <v>2231</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2232</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878.5</v>
      </c>
    </row>
    <row r="14" spans="1:215" x14ac:dyDescent="0.35">
      <c r="A14" s="35" t="s">
        <v>2233</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2234</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4006.8</v>
      </c>
    </row>
    <row r="16" spans="1:215" x14ac:dyDescent="0.35">
      <c r="A16" s="35" t="s">
        <v>2235</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2236</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2853.8</v>
      </c>
    </row>
    <row r="18" spans="1:215" x14ac:dyDescent="0.35">
      <c r="A18" s="35" t="s">
        <v>2237</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1795</v>
      </c>
    </row>
    <row r="19" spans="1:215" x14ac:dyDescent="0.35">
      <c r="A19" s="35" t="s">
        <v>2238</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c r="HG19">
        <v>423.5</v>
      </c>
    </row>
    <row r="20" spans="1:215" x14ac:dyDescent="0.35">
      <c r="A20" s="35" t="s">
        <v>2239</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4686.3</v>
      </c>
    </row>
    <row r="21" spans="1:215" x14ac:dyDescent="0.35">
      <c r="A21" s="35" t="s">
        <v>2240</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v>
      </c>
    </row>
    <row r="22" spans="1:215" x14ac:dyDescent="0.35">
      <c r="A22" s="35" t="s">
        <v>2241</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126.919</v>
      </c>
    </row>
    <row r="23" spans="1:215" x14ac:dyDescent="0.35">
      <c r="A23" s="35" t="s">
        <v>2242</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1747.4</v>
      </c>
    </row>
    <row r="24" spans="1:215" x14ac:dyDescent="0.35">
      <c r="A24" s="35" t="s">
        <v>2243</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2938.9</v>
      </c>
    </row>
    <row r="25" spans="1:215" x14ac:dyDescent="0.35">
      <c r="A25" s="35" t="s">
        <v>2244</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1397.2</v>
      </c>
    </row>
    <row r="26" spans="1:215" x14ac:dyDescent="0.35">
      <c r="A26" s="35" t="s">
        <v>2245</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2116</v>
      </c>
    </row>
    <row r="27" spans="1:215" x14ac:dyDescent="0.35">
      <c r="A27" s="35" t="s">
        <v>2246</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2386.3000000000002</v>
      </c>
    </row>
    <row r="28" spans="1:215" x14ac:dyDescent="0.35">
      <c r="A28" s="35" t="s">
        <v>2247</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188.1</v>
      </c>
    </row>
    <row r="29" spans="1:215" x14ac:dyDescent="0.35">
      <c r="A29" s="35" t="s">
        <v>2248</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c r="HG29">
        <v>333.2</v>
      </c>
    </row>
    <row r="30" spans="1:215" x14ac:dyDescent="0.35">
      <c r="A30" s="35" t="s">
        <v>2249</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1730.4</v>
      </c>
    </row>
    <row r="31" spans="1:215" x14ac:dyDescent="0.35">
      <c r="A31" s="35" t="s">
        <v>2250</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2952.8</v>
      </c>
    </row>
    <row r="32" spans="1:215" x14ac:dyDescent="0.35">
      <c r="A32" s="35" t="s">
        <v>2251</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2252</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467.6</v>
      </c>
    </row>
    <row r="34" spans="1:215" x14ac:dyDescent="0.35">
      <c r="A34" s="35" t="s">
        <v>2253</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1606.9</v>
      </c>
    </row>
    <row r="35" spans="1:215" x14ac:dyDescent="0.35">
      <c r="A35" s="35" t="s">
        <v>2254</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c r="HG35">
        <v>90.3</v>
      </c>
    </row>
    <row r="36" spans="1:215" x14ac:dyDescent="0.35">
      <c r="A36" s="35" t="s">
        <v>2255</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2256</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1054</v>
      </c>
    </row>
    <row r="38" spans="1:215" x14ac:dyDescent="0.35">
      <c r="A38" s="35" t="s">
        <v>2257</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3881.1</v>
      </c>
    </row>
    <row r="39" spans="1:215" x14ac:dyDescent="0.35">
      <c r="A39" s="35" t="s">
        <v>2258</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2259</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2260</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2261</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2262</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2263</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2264</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2265</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2266</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2267</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2268</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2269</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2270</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2271</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2272</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2273</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2274</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2275</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2276</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2277</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2278</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2279</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2280</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2281</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2282</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2283</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2284</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2285</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92.456999999999994</v>
      </c>
    </row>
    <row r="67" spans="1:215" x14ac:dyDescent="0.35">
      <c r="A67" s="35" t="s">
        <v>2286</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2287</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2288</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2289</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2290</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2291</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5221.3333333333303</v>
      </c>
    </row>
    <row r="73" spans="1:215" x14ac:dyDescent="0.35">
      <c r="A73" s="35" t="s">
        <v>2292</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14501</v>
      </c>
    </row>
    <row r="74" spans="1:215" x14ac:dyDescent="0.35">
      <c r="A74" s="35" t="s">
        <v>2293</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385165.66666666698</v>
      </c>
    </row>
    <row r="75" spans="1:215" x14ac:dyDescent="0.35">
      <c r="A75" s="35" t="s">
        <v>2294</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4.9074314717707504E-3</v>
      </c>
    </row>
    <row r="76" spans="1:215" x14ac:dyDescent="0.35">
      <c r="A76" s="35" t="s">
        <v>2295</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6.2378136740486303E-3</v>
      </c>
    </row>
    <row r="77" spans="1:215" x14ac:dyDescent="0.35">
      <c r="A77" s="35" t="s">
        <v>2296</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5.8403790615171296E-3</v>
      </c>
    </row>
    <row r="78" spans="1:215" x14ac:dyDescent="0.35">
      <c r="A78" s="35" t="s">
        <v>2297</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-4.12251394485164E-3</v>
      </c>
    </row>
    <row r="79" spans="1:215" x14ac:dyDescent="0.35">
      <c r="A79" s="35" t="s">
        <v>2298</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-5.3363950809847101E-3</v>
      </c>
    </row>
    <row r="80" spans="1:215" x14ac:dyDescent="0.35">
      <c r="A80" s="35" t="s">
        <v>2299</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1.3717136028266201E-3</v>
      </c>
    </row>
    <row r="81" spans="1:215" x14ac:dyDescent="0.35">
      <c r="A81" s="35" t="s">
        <v>2300</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11714.8</v>
      </c>
    </row>
    <row r="82" spans="1:215" x14ac:dyDescent="0.35">
      <c r="A82" s="35" t="s">
        <v>2301</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1908.7</v>
      </c>
    </row>
    <row r="83" spans="1:215" x14ac:dyDescent="0.35">
      <c r="A83" s="35" t="s">
        <v>2302</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863.7</v>
      </c>
    </row>
    <row r="84" spans="1:215" x14ac:dyDescent="0.35">
      <c r="A84" s="35" t="s">
        <v>2303</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3486.3</v>
      </c>
    </row>
    <row r="85" spans="1:215" x14ac:dyDescent="0.35">
      <c r="A85" s="35" t="s">
        <v>2304</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c r="HG85">
        <v>2328.3000000000002</v>
      </c>
    </row>
    <row r="86" spans="1:215" x14ac:dyDescent="0.35">
      <c r="A86" s="35" t="s">
        <v>2305</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2306</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2307</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1354033</v>
      </c>
    </row>
    <row r="89" spans="1:215" x14ac:dyDescent="0.35">
      <c r="A89" s="35" t="s">
        <v>2308</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E6" sqref="E6"/>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2002</v>
      </c>
      <c r="E2" s="61" t="s">
        <v>2003</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20420.7</v>
      </c>
      <c r="E70" s="56">
        <f>'Haver Pivoted'!HF69</f>
        <v>20420.7</v>
      </c>
      <c r="F70" s="56">
        <f t="shared" si="2"/>
        <v>0</v>
      </c>
      <c r="G70" s="63">
        <f t="shared" si="3"/>
        <v>0</v>
      </c>
    </row>
    <row r="71" spans="1:9" x14ac:dyDescent="0.35">
      <c r="B71" s="56" t="s">
        <v>163</v>
      </c>
      <c r="C71" s="56" t="str">
        <f>'Haver Pivoted'!A70</f>
        <v>gdppotq</v>
      </c>
      <c r="D71">
        <v>26714.3</v>
      </c>
      <c r="E71" s="56">
        <f>'Haver Pivoted'!HF70</f>
        <v>26714.3</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370365</v>
      </c>
      <c r="E75" s="56">
        <f>'Haver Pivoted'!HF74</f>
        <v>370365</v>
      </c>
      <c r="F75" s="56">
        <f t="shared" si="2"/>
        <v>0</v>
      </c>
      <c r="G75" s="63">
        <f t="shared" si="3"/>
        <v>0</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zoomScale="110" zoomScaleNormal="110" workbookViewId="0">
      <selection activeCell="D22" sqref="D22"/>
    </sheetView>
  </sheetViews>
  <sheetFormatPr defaultColWidth="10.90625" defaultRowHeight="14.5" x14ac:dyDescent="0.35"/>
  <cols>
    <col min="2" max="2" width="26.453125" customWidth="1"/>
    <col min="3" max="3" width="20.1796875" customWidth="1"/>
    <col min="4" max="8" width="9.453125" customWidth="1"/>
  </cols>
  <sheetData>
    <row r="2" spans="2:11" x14ac:dyDescent="0.35">
      <c r="B2" s="1277" t="s">
        <v>2005</v>
      </c>
      <c r="C2" s="1277"/>
      <c r="D2" s="1277"/>
      <c r="E2" s="1277"/>
      <c r="F2" s="1277"/>
      <c r="G2" s="1277"/>
      <c r="H2" s="1277"/>
      <c r="I2" s="1277"/>
      <c r="J2" s="1277"/>
      <c r="K2" s="1277"/>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1747.4</v>
      </c>
      <c r="E6" s="71">
        <f>forecast!D4</f>
        <v>1765.8890292912815</v>
      </c>
      <c r="F6" s="71">
        <f>forecast!E4</f>
        <v>1776.8238491443915</v>
      </c>
      <c r="G6" s="71">
        <f>forecast!F4</f>
        <v>1787.8263800955583</v>
      </c>
      <c r="H6" s="71">
        <f>forecast!G4</f>
        <v>1798.8970414285802</v>
      </c>
      <c r="I6" s="71">
        <f>forecast!H4</f>
        <v>1810.0362550235641</v>
      </c>
      <c r="J6" s="71">
        <f>forecast!I4</f>
        <v>1819.0193411022642</v>
      </c>
      <c r="K6" s="71">
        <f>forecast!J4</f>
        <v>1828.047009622489</v>
      </c>
    </row>
    <row r="7" spans="2:11" x14ac:dyDescent="0.35">
      <c r="B7" t="str">
        <f>forecast!A5</f>
        <v>State Purchases (NIPA Consistent)</v>
      </c>
      <c r="C7" t="str">
        <f>forecast!B5</f>
        <v>state_purchases</v>
      </c>
      <c r="D7" s="71">
        <f>forecast!C5</f>
        <v>2938.9</v>
      </c>
      <c r="E7" s="71">
        <f>forecast!D5</f>
        <v>2967.0133923404255</v>
      </c>
      <c r="F7" s="71">
        <f>forecast!E5</f>
        <v>3000.7294536170216</v>
      </c>
      <c r="G7" s="71">
        <f>forecast!F5</f>
        <v>3035.0458008510641</v>
      </c>
      <c r="H7" s="71">
        <f>forecast!G5</f>
        <v>3066.4607659574476</v>
      </c>
      <c r="I7" s="71">
        <f>forecast!H5</f>
        <v>3096.0748731914896</v>
      </c>
      <c r="J7" s="71">
        <f>forecast!I5</f>
        <v>3124.28831319149</v>
      </c>
      <c r="K7" s="71">
        <f>forecast!J5</f>
        <v>3153.2020868085106</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646.31970306607138</v>
      </c>
      <c r="F12" s="71">
        <f>forecast!E10</f>
        <v>632.01035029406285</v>
      </c>
      <c r="G12" s="71">
        <f>forecast!F10</f>
        <v>617.98758053199356</v>
      </c>
      <c r="H12" s="71">
        <f>forecast!G10</f>
        <v>608.5314062433971</v>
      </c>
      <c r="I12" s="71">
        <f>forecast!H10</f>
        <v>599.21992617680962</v>
      </c>
      <c r="J12" s="71">
        <f>forecast!I10</f>
        <v>598.93166648757165</v>
      </c>
      <c r="K12" s="71">
        <f>forecast!J10</f>
        <v>598.64354546803543</v>
      </c>
    </row>
    <row r="13" spans="2:11" x14ac:dyDescent="0.35">
      <c r="B13" t="str">
        <f>forecast!A11</f>
        <v>Total Medicaid</v>
      </c>
      <c r="C13" t="str">
        <f>forecast!B11</f>
        <v>medicaid</v>
      </c>
      <c r="D13" s="71">
        <f>forecast!C11</f>
        <v>878.5</v>
      </c>
      <c r="E13" s="71">
        <f>forecast!D11</f>
        <v>897.66625425843256</v>
      </c>
      <c r="F13" s="71">
        <f>forecast!E11</f>
        <v>883.93055985183616</v>
      </c>
      <c r="G13" s="71">
        <f>forecast!F11</f>
        <v>870.40504300280793</v>
      </c>
      <c r="H13" s="71">
        <f>forecast!G11</f>
        <v>857.08648766675651</v>
      </c>
      <c r="I13" s="71">
        <f>forecast!H11</f>
        <v>843.97172700959106</v>
      </c>
      <c r="J13" s="71">
        <f>forecast!I11</f>
        <v>843.56572744728408</v>
      </c>
      <c r="K13" s="71">
        <f>forecast!J11</f>
        <v>843.15992319441614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1948.9840000000002</v>
      </c>
      <c r="E19" s="71">
        <f>forecast!D17</f>
        <v>1955.9840000000002</v>
      </c>
      <c r="F19" s="71">
        <f>forecast!E17</f>
        <v>1956.5330000000001</v>
      </c>
      <c r="G19" s="71">
        <f>forecast!F17</f>
        <v>2006.1997197000003</v>
      </c>
      <c r="H19" s="71">
        <f>forecast!G17</f>
        <v>2013.1997197000003</v>
      </c>
      <c r="I19" s="71">
        <f>forecast!H17</f>
        <v>2020.1997197000003</v>
      </c>
      <c r="J19" s="71">
        <f>forecast!I17</f>
        <v>2028.7277197000003</v>
      </c>
      <c r="K19" s="71">
        <f>forecast!J17</f>
        <v>2065.3906890960002</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4304.8000000000011</v>
      </c>
      <c r="E21" s="71">
        <f>forecast!D19</f>
        <v>4310.1282844676371</v>
      </c>
      <c r="F21" s="71">
        <f>forecast!E19</f>
        <v>4331.6167990739586</v>
      </c>
      <c r="G21" s="71">
        <f>forecast!F19</f>
        <v>4340.6625742893257</v>
      </c>
      <c r="H21" s="71">
        <f>forecast!G19</f>
        <v>4350.0771590003769</v>
      </c>
      <c r="I21" s="71">
        <f>forecast!H19</f>
        <v>4359.8618441041708</v>
      </c>
      <c r="J21" s="71">
        <f>forecast!I19</f>
        <v>4401.0002347233822</v>
      </c>
      <c r="K21" s="71">
        <f>forecast!J19</f>
        <v>4408.0319998979385</v>
      </c>
    </row>
    <row r="22" spans="2:11" x14ac:dyDescent="0.35">
      <c r="B22" t="str">
        <f>forecast!A20</f>
        <v>State Non-Corporate Taxes</v>
      </c>
      <c r="C22" t="str">
        <f>forecast!B20</f>
        <v>state_non_corporate_taxes</v>
      </c>
      <c r="D22" s="71">
        <f>forecast!C20</f>
        <v>2100.1000000000004</v>
      </c>
      <c r="E22" s="71">
        <f>forecast!D20</f>
        <v>2128.28379646338</v>
      </c>
      <c r="F22" s="71">
        <f>forecast!E20</f>
        <v>2147.1481662454094</v>
      </c>
      <c r="G22" s="71">
        <f>forecast!F20</f>
        <v>2165.6886541287622</v>
      </c>
      <c r="H22" s="71">
        <f>forecast!G20</f>
        <v>2183.1055332910864</v>
      </c>
      <c r="I22" s="71">
        <f>forecast!H20</f>
        <v>2203.6556772916761</v>
      </c>
      <c r="J22" s="71">
        <f>forecast!I20</f>
        <v>2226.4928070645333</v>
      </c>
      <c r="K22" s="71">
        <f>forecast!J20</f>
        <v>2249.5251506808277</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3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277" t="s">
        <v>2004</v>
      </c>
      <c r="C27" s="1277"/>
      <c r="D27" s="1277"/>
      <c r="E27" s="1277"/>
      <c r="F27" s="1277"/>
      <c r="G27" s="1277"/>
      <c r="H27" s="1277"/>
      <c r="I27" s="1277"/>
      <c r="J27" s="1277"/>
      <c r="K27" s="1277"/>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438.19272000000001</v>
      </c>
      <c r="E29" s="71">
        <v>434.56409023036463</v>
      </c>
      <c r="F29" s="71">
        <v>434.80322503004311</v>
      </c>
      <c r="G29" s="71">
        <v>423.27055875710062</v>
      </c>
      <c r="H29" s="71">
        <v>403.28458899999998</v>
      </c>
      <c r="I29" s="71">
        <v>407.61950159957922</v>
      </c>
      <c r="J29" s="71">
        <v>412.24408037124488</v>
      </c>
      <c r="K29" s="71">
        <v>395.28546162738473</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1747.2</v>
      </c>
      <c r="E31" s="71">
        <v>1765.6869131153296</v>
      </c>
      <c r="F31" s="71">
        <v>1776.6204814152918</v>
      </c>
      <c r="G31" s="71">
        <v>1787.6217530633855</v>
      </c>
      <c r="H31" s="71">
        <v>1798.6911472954193</v>
      </c>
      <c r="I31" s="71">
        <v>1809.8290859432136</v>
      </c>
      <c r="J31" s="71">
        <v>1818.8111438559438</v>
      </c>
      <c r="K31" s="71">
        <v>1827.8377791074813</v>
      </c>
    </row>
    <row r="32" spans="2:11" x14ac:dyDescent="0.35">
      <c r="B32" t="s">
        <v>197</v>
      </c>
      <c r="C32" t="s">
        <v>198</v>
      </c>
      <c r="D32" s="71">
        <v>2936.9</v>
      </c>
      <c r="E32" s="71">
        <v>2964.994260425532</v>
      </c>
      <c r="F32" s="71">
        <v>2998.6873770212769</v>
      </c>
      <c r="G32" s="71">
        <v>3032.9803710638298</v>
      </c>
      <c r="H32" s="71">
        <v>3064.3739574468091</v>
      </c>
      <c r="I32" s="71">
        <v>3093.967911489362</v>
      </c>
      <c r="J32" s="71">
        <v>3122.1621514893623</v>
      </c>
      <c r="K32" s="71">
        <v>3151.0562485106384</v>
      </c>
    </row>
    <row r="33" spans="2:11" x14ac:dyDescent="0.35">
      <c r="B33" t="s">
        <v>199</v>
      </c>
      <c r="C33" t="s">
        <v>200</v>
      </c>
      <c r="D33" s="71">
        <v>89.674000000000007</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-0.35142857142857054</v>
      </c>
      <c r="E35" s="71">
        <v>0</v>
      </c>
      <c r="F35" s="71">
        <v>0</v>
      </c>
      <c r="G35" s="71">
        <v>0</v>
      </c>
      <c r="H35" s="71">
        <v>0</v>
      </c>
      <c r="I35" s="71">
        <v>0</v>
      </c>
      <c r="J35" s="71">
        <v>0</v>
      </c>
      <c r="K35" s="71">
        <v>0</v>
      </c>
    </row>
    <row r="36" spans="2:11" x14ac:dyDescent="0.35">
      <c r="B36" t="s">
        <v>205</v>
      </c>
      <c r="C36" t="s">
        <v>206</v>
      </c>
      <c r="D36" s="71">
        <v>23.451428571428572</v>
      </c>
      <c r="E36" s="71">
        <v>23.451428571428572</v>
      </c>
      <c r="F36" s="71">
        <v>23.451428571428572</v>
      </c>
      <c r="G36" s="71">
        <v>24.754285714285711</v>
      </c>
      <c r="H36" s="71">
        <v>26.708571428571425</v>
      </c>
      <c r="I36" s="71">
        <v>28.011428571428567</v>
      </c>
      <c r="J36" s="71">
        <v>29.31428571428571</v>
      </c>
      <c r="K36" s="71">
        <v>29.965714285714277</v>
      </c>
    </row>
    <row r="37" spans="2:11" x14ac:dyDescent="0.35">
      <c r="B37" t="s">
        <v>207</v>
      </c>
      <c r="C37" t="s">
        <v>208</v>
      </c>
      <c r="D37" s="71">
        <v>636.476</v>
      </c>
      <c r="E37" s="71">
        <v>642.69894334093669</v>
      </c>
      <c r="F37" s="71">
        <v>628.67706473948454</v>
      </c>
      <c r="G37" s="71">
        <v>614.93103107073273</v>
      </c>
      <c r="H37" s="71">
        <v>605.72136840417079</v>
      </c>
      <c r="I37" s="71">
        <v>596.64963646828653</v>
      </c>
      <c r="J37" s="71">
        <v>596.36261323811846</v>
      </c>
      <c r="K37" s="71">
        <v>596.0757280828434</v>
      </c>
    </row>
    <row r="38" spans="2:11" x14ac:dyDescent="0.35">
      <c r="B38" t="s">
        <v>209</v>
      </c>
      <c r="C38" t="s">
        <v>210</v>
      </c>
      <c r="D38" s="71">
        <v>873.8</v>
      </c>
      <c r="E38" s="71">
        <v>892.63742130685648</v>
      </c>
      <c r="F38" s="71">
        <v>879.26862201326514</v>
      </c>
      <c r="G38" s="71">
        <v>866.10004376159543</v>
      </c>
      <c r="H38" s="71">
        <v>853.12868789319839</v>
      </c>
      <c r="I38" s="71">
        <v>840.35160065955847</v>
      </c>
      <c r="J38" s="71">
        <v>839.94734258889935</v>
      </c>
      <c r="K38" s="71">
        <v>839.5432789899204</v>
      </c>
    </row>
    <row r="39" spans="2:11" x14ac:dyDescent="0.35">
      <c r="B39" t="s">
        <v>55</v>
      </c>
      <c r="C39" t="s">
        <v>211</v>
      </c>
      <c r="D39" s="71">
        <v>967.3</v>
      </c>
      <c r="E39" s="71">
        <v>970.16244735084217</v>
      </c>
      <c r="F39" s="71">
        <v>993.55664296766474</v>
      </c>
      <c r="G39" s="71">
        <v>1017.514958943972</v>
      </c>
      <c r="H39" s="71">
        <v>1042.0509983027189</v>
      </c>
      <c r="I39" s="71">
        <v>1067.1786920859263</v>
      </c>
      <c r="J39" s="71">
        <v>1096.5429134899039</v>
      </c>
      <c r="K39" s="71">
        <v>1126.7151134499154</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1948.4840000000002</v>
      </c>
      <c r="E44" s="71">
        <v>1955.4840000000002</v>
      </c>
      <c r="F44" s="71">
        <v>1956.0330000000001</v>
      </c>
      <c r="G44" s="71">
        <v>2005.6842388000002</v>
      </c>
      <c r="H44" s="71">
        <v>2012.6842388000002</v>
      </c>
      <c r="I44" s="71">
        <v>2019.6842388000002</v>
      </c>
      <c r="J44" s="71">
        <v>2028.2122388000003</v>
      </c>
      <c r="K44" s="71">
        <v>2064.8646811840003</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4304.5</v>
      </c>
      <c r="E46" s="71">
        <v>4309.8363264938598</v>
      </c>
      <c r="F46" s="71">
        <v>4331.3310195966405</v>
      </c>
      <c r="G46" s="71">
        <v>4340.3861480786818</v>
      </c>
      <c r="H46" s="71">
        <v>4349.8100571732311</v>
      </c>
      <c r="I46" s="71">
        <v>4359.6040387985868</v>
      </c>
      <c r="J46" s="71">
        <v>4400.7411178928114</v>
      </c>
      <c r="K46" s="71">
        <v>4407.7799621622353</v>
      </c>
    </row>
    <row r="47" spans="2:11" x14ac:dyDescent="0.35">
      <c r="B47" t="s">
        <v>226</v>
      </c>
      <c r="C47" t="s">
        <v>227</v>
      </c>
      <c r="D47" s="71">
        <v>2140.5</v>
      </c>
      <c r="E47" s="71">
        <v>2169.3225665924747</v>
      </c>
      <c r="F47" s="71">
        <v>2188.7662581247737</v>
      </c>
      <c r="G47" s="71">
        <v>2207.7549008204624</v>
      </c>
      <c r="H47" s="71">
        <v>2225.5432738999066</v>
      </c>
      <c r="I47" s="71">
        <v>2246.4686820411071</v>
      </c>
      <c r="J47" s="71">
        <v>2269.6756523989925</v>
      </c>
      <c r="K47" s="71">
        <v>2293.0634738768513</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120.77299494992725</v>
      </c>
      <c r="E49" s="71">
        <v>118.93426345972783</v>
      </c>
      <c r="F49" s="71">
        <v>116.08450740392023</v>
      </c>
      <c r="G49" s="71">
        <v>116.60112984678594</v>
      </c>
      <c r="H49" s="71">
        <v>117.53993837199351</v>
      </c>
      <c r="I49" s="71">
        <v>118.70650517846445</v>
      </c>
      <c r="J49" s="71">
        <v>122.25620131815461</v>
      </c>
      <c r="K49" s="71">
        <v>126.91135838397672</v>
      </c>
    </row>
    <row r="50" spans="2:12" x14ac:dyDescent="0.35">
      <c r="B50" s="35" t="s">
        <v>1391</v>
      </c>
      <c r="C50" s="35" t="s">
        <v>1390</v>
      </c>
      <c r="D50" s="71">
        <v>0</v>
      </c>
      <c r="E50" s="71">
        <v>2.0815079999999999</v>
      </c>
      <c r="F50" s="71">
        <v>2.1006180000000003</v>
      </c>
      <c r="G50" s="71">
        <v>2.5815300000000003</v>
      </c>
      <c r="H50" s="71">
        <v>2.6040450000000002</v>
      </c>
      <c r="I50" s="71">
        <v>2.626465</v>
      </c>
      <c r="J50" s="71">
        <v>2.6498349999999999</v>
      </c>
      <c r="K50" s="71">
        <v>2.6454420000000001</v>
      </c>
    </row>
    <row r="51" spans="2:12" x14ac:dyDescent="0.35">
      <c r="D51" s="70"/>
      <c r="E51" s="70"/>
      <c r="F51" s="70"/>
      <c r="G51" s="70"/>
      <c r="H51" s="70"/>
      <c r="I51" s="70"/>
      <c r="J51" s="70"/>
      <c r="K51" s="70"/>
    </row>
    <row r="52" spans="2:12" x14ac:dyDescent="0.35">
      <c r="B52" s="1277" t="s">
        <v>232</v>
      </c>
      <c r="C52" s="1277"/>
      <c r="D52" s="1277"/>
      <c r="E52" s="1277"/>
      <c r="F52" s="1277"/>
      <c r="G52" s="1277"/>
      <c r="H52" s="1277"/>
      <c r="I52" s="1277"/>
      <c r="J52" s="1277"/>
      <c r="K52" s="1277"/>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0</v>
      </c>
      <c r="E54" s="71">
        <f t="shared" si="0"/>
        <v>0</v>
      </c>
      <c r="F54" s="71">
        <f t="shared" si="0"/>
        <v>0</v>
      </c>
      <c r="G54" s="71">
        <f t="shared" si="0"/>
        <v>0</v>
      </c>
      <c r="H54" s="71">
        <f t="shared" si="0"/>
        <v>0</v>
      </c>
      <c r="I54" s="71">
        <f t="shared" si="0"/>
        <v>0</v>
      </c>
      <c r="J54" s="71">
        <f t="shared" si="0"/>
        <v>0</v>
      </c>
      <c r="K54" s="71">
        <f t="shared" si="0"/>
        <v>0</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0.20000000000004547</v>
      </c>
      <c r="E56" s="71">
        <f t="shared" si="2"/>
        <v>0.20211617595191456</v>
      </c>
      <c r="F56" s="71">
        <f t="shared" si="2"/>
        <v>0.20336772909968204</v>
      </c>
      <c r="G56" s="71">
        <f t="shared" si="2"/>
        <v>0.20462703217276612</v>
      </c>
      <c r="H56" s="71">
        <f t="shared" si="2"/>
        <v>0.20589413316088212</v>
      </c>
      <c r="I56" s="71">
        <f t="shared" si="2"/>
        <v>0.20716908035046799</v>
      </c>
      <c r="J56" s="71">
        <f t="shared" si="2"/>
        <v>0.2081972463204238</v>
      </c>
      <c r="K56" s="71">
        <f t="shared" si="2"/>
        <v>0.20923051500767542</v>
      </c>
    </row>
    <row r="57" spans="2:12" x14ac:dyDescent="0.35">
      <c r="B57" s="35" t="s">
        <v>197</v>
      </c>
      <c r="C57" s="35" t="s">
        <v>198</v>
      </c>
      <c r="D57" s="71">
        <f t="shared" ref="D57:K57" si="3">D7-D32</f>
        <v>2</v>
      </c>
      <c r="E57" s="71">
        <f t="shared" si="3"/>
        <v>2.0191319148934781</v>
      </c>
      <c r="F57" s="71">
        <f t="shared" si="3"/>
        <v>2.0420765957446747</v>
      </c>
      <c r="G57" s="71">
        <f t="shared" si="3"/>
        <v>2.0654297872342795</v>
      </c>
      <c r="H57" s="71">
        <f t="shared" si="3"/>
        <v>2.0868085106385479</v>
      </c>
      <c r="I57" s="71">
        <f t="shared" si="3"/>
        <v>2.1069617021275917</v>
      </c>
      <c r="J57" s="71">
        <f t="shared" si="3"/>
        <v>2.1261617021277743</v>
      </c>
      <c r="K57" s="71">
        <f t="shared" si="3"/>
        <v>2.1458382978721602</v>
      </c>
    </row>
    <row r="58" spans="2:12" x14ac:dyDescent="0.35">
      <c r="B58" s="35" t="s">
        <v>199</v>
      </c>
      <c r="C58" s="35" t="s">
        <v>200</v>
      </c>
      <c r="D58" s="71">
        <f t="shared" ref="D58:K58" si="4">D8-D33</f>
        <v>0</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0</v>
      </c>
      <c r="F61" s="71">
        <f t="shared" si="7"/>
        <v>0</v>
      </c>
      <c r="G61" s="71">
        <f t="shared" si="7"/>
        <v>0</v>
      </c>
      <c r="H61" s="71">
        <f t="shared" si="7"/>
        <v>0</v>
      </c>
      <c r="I61" s="71">
        <f t="shared" si="7"/>
        <v>0</v>
      </c>
      <c r="J61" s="71">
        <f t="shared" si="7"/>
        <v>0</v>
      </c>
      <c r="K61" s="71">
        <f t="shared" si="7"/>
        <v>0</v>
      </c>
    </row>
    <row r="62" spans="2:12" x14ac:dyDescent="0.35">
      <c r="B62" s="35" t="s">
        <v>207</v>
      </c>
      <c r="C62" s="35" t="s">
        <v>208</v>
      </c>
      <c r="D62" s="71">
        <f t="shared" ref="D62:K62" si="8">D12-D37</f>
        <v>0</v>
      </c>
      <c r="E62" s="71">
        <f t="shared" si="8"/>
        <v>3.6207597251346897</v>
      </c>
      <c r="F62" s="71">
        <f t="shared" si="8"/>
        <v>3.3332855545783104</v>
      </c>
      <c r="G62" s="71">
        <f t="shared" si="8"/>
        <v>3.056549461260829</v>
      </c>
      <c r="H62" s="71">
        <f t="shared" si="8"/>
        <v>2.810037839226311</v>
      </c>
      <c r="I62" s="71">
        <f t="shared" si="8"/>
        <v>2.5702897085230916</v>
      </c>
      <c r="J62" s="71">
        <f t="shared" si="8"/>
        <v>2.5690532494531908</v>
      </c>
      <c r="K62" s="71">
        <f t="shared" si="8"/>
        <v>2.5678173851920292</v>
      </c>
    </row>
    <row r="63" spans="2:12" x14ac:dyDescent="0.35">
      <c r="B63" s="35" t="s">
        <v>209</v>
      </c>
      <c r="C63" s="35" t="s">
        <v>210</v>
      </c>
      <c r="D63" s="71">
        <f t="shared" ref="D63:K63" si="9">D13-D38</f>
        <v>4.7000000000000455</v>
      </c>
      <c r="E63" s="71">
        <f t="shared" si="9"/>
        <v>5.0288329515760779</v>
      </c>
      <c r="F63" s="71">
        <f t="shared" si="9"/>
        <v>4.6619378385710206</v>
      </c>
      <c r="G63" s="71">
        <f t="shared" si="9"/>
        <v>4.3049992412124993</v>
      </c>
      <c r="H63" s="71">
        <f t="shared" si="9"/>
        <v>3.9577997735581221</v>
      </c>
      <c r="I63" s="71">
        <f t="shared" si="9"/>
        <v>3.6201263500325922</v>
      </c>
      <c r="J63" s="71">
        <f t="shared" si="9"/>
        <v>3.6183848583847293</v>
      </c>
      <c r="K63" s="71">
        <f t="shared" si="9"/>
        <v>3.6166442044957421</v>
      </c>
      <c r="L63" t="s">
        <v>1911</v>
      </c>
    </row>
    <row r="64" spans="2:12" x14ac:dyDescent="0.35">
      <c r="B64" s="35" t="s">
        <v>55</v>
      </c>
      <c r="C64" s="35" t="s">
        <v>211</v>
      </c>
      <c r="D64" s="71">
        <f t="shared" ref="D64:K64" si="10">D14-D39</f>
        <v>0</v>
      </c>
      <c r="E64" s="71">
        <f t="shared" si="10"/>
        <v>0</v>
      </c>
      <c r="F64" s="71">
        <f t="shared" si="10"/>
        <v>0</v>
      </c>
      <c r="G64" s="71">
        <f t="shared" si="10"/>
        <v>0</v>
      </c>
      <c r="H64" s="71">
        <f t="shared" si="10"/>
        <v>0</v>
      </c>
      <c r="I64" s="71">
        <f t="shared" si="10"/>
        <v>0</v>
      </c>
      <c r="J64" s="71">
        <f t="shared" si="10"/>
        <v>0</v>
      </c>
      <c r="K64" s="71">
        <f t="shared" si="10"/>
        <v>0</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0.5</v>
      </c>
      <c r="E69" s="71">
        <f t="shared" si="15"/>
        <v>0.5</v>
      </c>
      <c r="F69" s="71">
        <f t="shared" si="15"/>
        <v>0.5</v>
      </c>
      <c r="G69" s="71">
        <f t="shared" si="15"/>
        <v>0.51548090000005686</v>
      </c>
      <c r="H69" s="71">
        <f t="shared" si="15"/>
        <v>0.51548090000005686</v>
      </c>
      <c r="I69" s="71">
        <f t="shared" si="15"/>
        <v>0.51548090000005686</v>
      </c>
      <c r="J69" s="71">
        <f t="shared" si="15"/>
        <v>0.51548090000005686</v>
      </c>
      <c r="K69" s="71">
        <f t="shared" si="15"/>
        <v>0.52600791199984087</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0.30000000000109139</v>
      </c>
      <c r="E71" s="71">
        <f t="shared" si="17"/>
        <v>0.29195797377724375</v>
      </c>
      <c r="F71" s="71">
        <f t="shared" si="17"/>
        <v>0.28577947731810127</v>
      </c>
      <c r="G71" s="71">
        <f t="shared" si="17"/>
        <v>0.2764262106438764</v>
      </c>
      <c r="H71" s="71">
        <f t="shared" si="17"/>
        <v>0.26710182714577968</v>
      </c>
      <c r="I71" s="71">
        <f t="shared" si="17"/>
        <v>0.2578053055840428</v>
      </c>
      <c r="J71" s="71">
        <f t="shared" si="17"/>
        <v>0.25911683057074697</v>
      </c>
      <c r="K71" s="71">
        <f t="shared" si="17"/>
        <v>0.25203773570319754</v>
      </c>
    </row>
    <row r="72" spans="2:11" x14ac:dyDescent="0.35">
      <c r="B72" s="35" t="s">
        <v>226</v>
      </c>
      <c r="C72" s="35" t="s">
        <v>227</v>
      </c>
      <c r="D72" s="71">
        <f t="shared" ref="D72:K72" si="18">D22-D47</f>
        <v>-40.399999999999636</v>
      </c>
      <c r="E72" s="71">
        <f t="shared" si="18"/>
        <v>-41.038770129094701</v>
      </c>
      <c r="F72" s="71">
        <f t="shared" si="18"/>
        <v>-41.618091879364329</v>
      </c>
      <c r="G72" s="71">
        <f t="shared" si="18"/>
        <v>-42.066246691700144</v>
      </c>
      <c r="H72" s="71">
        <f t="shared" si="18"/>
        <v>-42.43774060882015</v>
      </c>
      <c r="I72" s="71">
        <f t="shared" si="18"/>
        <v>-42.813004749431002</v>
      </c>
      <c r="J72" s="71">
        <f t="shared" si="18"/>
        <v>-43.182845334459216</v>
      </c>
      <c r="K72" s="71">
        <f t="shared" si="18"/>
        <v>-43.538323196023612</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0</v>
      </c>
      <c r="E74" s="71">
        <f t="shared" si="20"/>
        <v>0</v>
      </c>
      <c r="F74" s="71">
        <f t="shared" si="20"/>
        <v>0</v>
      </c>
      <c r="G74" s="71">
        <f t="shared" si="20"/>
        <v>0</v>
      </c>
      <c r="H74" s="71">
        <f t="shared" si="20"/>
        <v>0</v>
      </c>
      <c r="I74" s="71">
        <f t="shared" si="20"/>
        <v>0</v>
      </c>
      <c r="J74" s="71">
        <f t="shared" si="20"/>
        <v>0</v>
      </c>
      <c r="K74" s="71">
        <f t="shared" si="20"/>
        <v>0</v>
      </c>
    </row>
    <row r="75" spans="2:11" x14ac:dyDescent="0.35">
      <c r="B75" s="35" t="s">
        <v>1391</v>
      </c>
      <c r="C75" s="35" t="s">
        <v>1390</v>
      </c>
      <c r="D75" s="71">
        <f t="shared" ref="D75:K75" si="21">D25-D50</f>
        <v>0</v>
      </c>
      <c r="E75" s="71">
        <f t="shared" si="21"/>
        <v>0</v>
      </c>
      <c r="F75" s="71">
        <f t="shared" si="21"/>
        <v>0</v>
      </c>
      <c r="G75" s="71">
        <f t="shared" si="21"/>
        <v>0</v>
      </c>
      <c r="H75" s="71">
        <f t="shared" si="21"/>
        <v>0</v>
      </c>
      <c r="I75" s="71">
        <f t="shared" si="21"/>
        <v>0</v>
      </c>
      <c r="J75" s="71">
        <f t="shared" si="21"/>
        <v>0</v>
      </c>
      <c r="K75" s="71">
        <f t="shared" si="21"/>
        <v>0</v>
      </c>
    </row>
    <row r="76" spans="2:11" x14ac:dyDescent="0.35">
      <c r="B76" s="35"/>
      <c r="C76" s="35"/>
      <c r="D76" s="71"/>
      <c r="E76" s="71"/>
      <c r="F76" s="71"/>
      <c r="G76" s="71"/>
      <c r="H76" s="71"/>
      <c r="I76" s="71"/>
      <c r="J76" s="71"/>
      <c r="K76" s="71"/>
    </row>
    <row r="78" spans="2:11" x14ac:dyDescent="0.35">
      <c r="B78" s="1277" t="s">
        <v>233</v>
      </c>
      <c r="C78" s="1277"/>
      <c r="D78" s="1277"/>
      <c r="E78" s="1277"/>
      <c r="F78" s="1277"/>
      <c r="G78" s="1277"/>
      <c r="H78" s="1277"/>
      <c r="I78" s="1277"/>
      <c r="J78" s="1277"/>
      <c r="K78" s="1277"/>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0</v>
      </c>
      <c r="E80" s="70">
        <f t="shared" si="22"/>
        <v>0</v>
      </c>
      <c r="F80" s="70">
        <f t="shared" si="22"/>
        <v>0</v>
      </c>
      <c r="G80" s="70">
        <f t="shared" si="22"/>
        <v>0</v>
      </c>
      <c r="H80" s="70">
        <f t="shared" si="22"/>
        <v>0</v>
      </c>
      <c r="I80" s="70">
        <f t="shared" si="22"/>
        <v>0</v>
      </c>
      <c r="J80" s="70">
        <f t="shared" si="22"/>
        <v>0</v>
      </c>
      <c r="K80" s="70">
        <f t="shared" si="22"/>
        <v>0</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1.1446886446897508E-4</v>
      </c>
      <c r="E82" s="70">
        <f t="shared" si="24"/>
        <v>1.1446886446897508E-4</v>
      </c>
      <c r="F82" s="70">
        <f t="shared" si="24"/>
        <v>1.1446886446875304E-4</v>
      </c>
      <c r="G82" s="70">
        <f t="shared" si="24"/>
        <v>1.1446886446875304E-4</v>
      </c>
      <c r="H82" s="70">
        <f t="shared" si="24"/>
        <v>1.1446886446875304E-4</v>
      </c>
      <c r="I82" s="70">
        <f t="shared" si="24"/>
        <v>1.1446886446875304E-4</v>
      </c>
      <c r="J82" s="70">
        <f t="shared" si="24"/>
        <v>1.1446886446875304E-4</v>
      </c>
      <c r="K82" s="70">
        <f t="shared" si="24"/>
        <v>1.1446886446875304E-4</v>
      </c>
    </row>
    <row r="83" spans="2:11" x14ac:dyDescent="0.35">
      <c r="B83" t="s">
        <v>197</v>
      </c>
      <c r="C83" t="s">
        <v>198</v>
      </c>
      <c r="D83" s="70">
        <f t="shared" ref="D83:K83" si="25">(D7/D32-1)</f>
        <v>6.8099015969225185E-4</v>
      </c>
      <c r="E83" s="70">
        <f t="shared" si="25"/>
        <v>6.8099015969225185E-4</v>
      </c>
      <c r="F83" s="70">
        <f t="shared" si="25"/>
        <v>6.8099015969225185E-4</v>
      </c>
      <c r="G83" s="70">
        <f t="shared" si="25"/>
        <v>6.8099015969225185E-4</v>
      </c>
      <c r="H83" s="70">
        <f t="shared" si="25"/>
        <v>6.8099015969225185E-4</v>
      </c>
      <c r="I83" s="70">
        <f t="shared" si="25"/>
        <v>6.8099015969225185E-4</v>
      </c>
      <c r="J83" s="70">
        <f t="shared" si="25"/>
        <v>6.8099015969225185E-4</v>
      </c>
      <c r="K83" s="70">
        <f t="shared" si="25"/>
        <v>6.8099015969202981E-4</v>
      </c>
    </row>
    <row r="84" spans="2:11" x14ac:dyDescent="0.35">
      <c r="B84" t="s">
        <v>199</v>
      </c>
      <c r="C84" t="s">
        <v>200</v>
      </c>
      <c r="D84" s="70">
        <f t="shared" ref="D84:K84" si="26">(D8/D33-1)</f>
        <v>0</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f t="shared" ref="D86:K86" si="28">(D10/D35-1)</f>
        <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v>
      </c>
      <c r="F87" s="70">
        <f t="shared" si="29"/>
        <v>0</v>
      </c>
      <c r="G87" s="70">
        <f t="shared" si="29"/>
        <v>0</v>
      </c>
      <c r="H87" s="70">
        <f t="shared" si="29"/>
        <v>0</v>
      </c>
      <c r="I87" s="70">
        <f t="shared" si="29"/>
        <v>0</v>
      </c>
      <c r="J87" s="70">
        <f t="shared" si="29"/>
        <v>0</v>
      </c>
      <c r="K87" s="70">
        <f t="shared" si="29"/>
        <v>0</v>
      </c>
    </row>
    <row r="88" spans="2:11" x14ac:dyDescent="0.35">
      <c r="B88" t="s">
        <v>207</v>
      </c>
      <c r="C88" t="s">
        <v>208</v>
      </c>
      <c r="D88" s="70">
        <f t="shared" ref="D88:K88" si="30">(D12/D37-1)</f>
        <v>0</v>
      </c>
      <c r="E88" s="70">
        <f t="shared" si="30"/>
        <v>5.6336792874014385E-3</v>
      </c>
      <c r="F88" s="70">
        <f t="shared" si="30"/>
        <v>5.3020632396691969E-3</v>
      </c>
      <c r="G88" s="70">
        <f t="shared" si="30"/>
        <v>4.9705565450790523E-3</v>
      </c>
      <c r="H88" s="70">
        <f t="shared" si="30"/>
        <v>4.6391591675718491E-3</v>
      </c>
      <c r="I88" s="70">
        <f t="shared" si="30"/>
        <v>4.3078710710984236E-3</v>
      </c>
      <c r="J88" s="70">
        <f t="shared" si="30"/>
        <v>4.3078710710984236E-3</v>
      </c>
      <c r="K88" s="70">
        <f t="shared" si="30"/>
        <v>4.3078710710984236E-3</v>
      </c>
    </row>
    <row r="89" spans="2:11" x14ac:dyDescent="0.35">
      <c r="B89" t="s">
        <v>209</v>
      </c>
      <c r="C89" t="s">
        <v>210</v>
      </c>
      <c r="D89" s="70">
        <f t="shared" ref="D89:K89" si="31">(D13/D38-1)</f>
        <v>5.3788052185854696E-3</v>
      </c>
      <c r="E89" s="70">
        <f t="shared" si="31"/>
        <v>5.6336792874016606E-3</v>
      </c>
      <c r="F89" s="70">
        <f t="shared" si="31"/>
        <v>5.3020632396689749E-3</v>
      </c>
      <c r="G89" s="70">
        <f t="shared" si="31"/>
        <v>4.9705565450790523E-3</v>
      </c>
      <c r="H89" s="70">
        <f t="shared" si="31"/>
        <v>4.6391591675716271E-3</v>
      </c>
      <c r="I89" s="70">
        <f t="shared" si="31"/>
        <v>4.3078710710984236E-3</v>
      </c>
      <c r="J89" s="70">
        <f t="shared" si="31"/>
        <v>4.3078710710984236E-3</v>
      </c>
      <c r="K89" s="70">
        <f t="shared" si="31"/>
        <v>4.3078710710984236E-3</v>
      </c>
    </row>
    <row r="90" spans="2:11" x14ac:dyDescent="0.35">
      <c r="B90" t="s">
        <v>55</v>
      </c>
      <c r="C90" t="s">
        <v>211</v>
      </c>
      <c r="D90" s="70">
        <f t="shared" ref="D90:K90" si="32">(D14/D39-1)</f>
        <v>0</v>
      </c>
      <c r="E90" s="70">
        <f t="shared" si="32"/>
        <v>0</v>
      </c>
      <c r="F90" s="70">
        <f t="shared" si="32"/>
        <v>0</v>
      </c>
      <c r="G90" s="70">
        <f t="shared" si="32"/>
        <v>0</v>
      </c>
      <c r="H90" s="70">
        <f t="shared" si="32"/>
        <v>0</v>
      </c>
      <c r="I90" s="70">
        <f t="shared" si="32"/>
        <v>0</v>
      </c>
      <c r="J90" s="70">
        <f t="shared" si="32"/>
        <v>0</v>
      </c>
      <c r="K90" s="70">
        <f t="shared" si="32"/>
        <v>0</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2.5660975404462327E-4</v>
      </c>
      <c r="E95" s="70">
        <f t="shared" si="37"/>
        <v>2.5569117415424891E-4</v>
      </c>
      <c r="F95" s="70">
        <f t="shared" si="37"/>
        <v>2.556194092839803E-4</v>
      </c>
      <c r="G95" s="70">
        <f t="shared" si="37"/>
        <v>2.5700999690192461E-4</v>
      </c>
      <c r="H95" s="70">
        <f t="shared" si="37"/>
        <v>2.5611613091758301E-4</v>
      </c>
      <c r="I95" s="70">
        <f t="shared" si="37"/>
        <v>2.5522846101244667E-4</v>
      </c>
      <c r="J95" s="70">
        <f t="shared" si="37"/>
        <v>2.5415530492267635E-4</v>
      </c>
      <c r="K95" s="70">
        <f t="shared" si="37"/>
        <v>2.5474207428355378E-4</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6.9694505750117486E-5</v>
      </c>
      <c r="E97" s="70">
        <f t="shared" si="39"/>
        <v>6.7742241621315813E-5</v>
      </c>
      <c r="F97" s="70">
        <f t="shared" si="39"/>
        <v>6.5979597501319986E-5</v>
      </c>
      <c r="G97" s="70">
        <f t="shared" si="39"/>
        <v>6.3687008762247643E-5</v>
      </c>
      <c r="H97" s="70">
        <f t="shared" si="39"/>
        <v>6.1405400151981482E-5</v>
      </c>
      <c r="I97" s="70">
        <f t="shared" si="39"/>
        <v>5.9135027697498899E-5</v>
      </c>
      <c r="J97" s="70">
        <f t="shared" si="39"/>
        <v>5.888027121558892E-5</v>
      </c>
      <c r="K97" s="70">
        <f t="shared" si="39"/>
        <v>5.7180199072304205E-5</v>
      </c>
    </row>
    <row r="98" spans="2:11" x14ac:dyDescent="0.35">
      <c r="B98" t="s">
        <v>226</v>
      </c>
      <c r="C98" t="s">
        <v>227</v>
      </c>
      <c r="D98" s="70">
        <f t="shared" ref="D98:K98" si="40">(D22/D47-1)</f>
        <v>-1.8874094837654565E-2</v>
      </c>
      <c r="E98" s="70">
        <f t="shared" si="40"/>
        <v>-1.8917781413004708E-2</v>
      </c>
      <c r="F98" s="70">
        <f t="shared" si="40"/>
        <v>-1.9014406734787936E-2</v>
      </c>
      <c r="G98" s="70">
        <f t="shared" si="40"/>
        <v>-1.9053857235722615E-2</v>
      </c>
      <c r="H98" s="70">
        <f t="shared" si="40"/>
        <v>-1.9068485931731605E-2</v>
      </c>
      <c r="I98" s="70">
        <f t="shared" si="40"/>
        <v>-1.9057913022197948E-2</v>
      </c>
      <c r="J98" s="70">
        <f t="shared" si="40"/>
        <v>-1.9025998401496658E-2</v>
      </c>
      <c r="K98" s="70">
        <f t="shared" si="40"/>
        <v>-1.8986968172500673E-2</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0</v>
      </c>
      <c r="E100" s="70">
        <f t="shared" si="42"/>
        <v>0</v>
      </c>
      <c r="F100" s="70">
        <f t="shared" si="42"/>
        <v>0</v>
      </c>
      <c r="G100" s="70">
        <f t="shared" si="42"/>
        <v>0</v>
      </c>
      <c r="H100" s="70">
        <f t="shared" si="42"/>
        <v>0</v>
      </c>
      <c r="I100" s="70">
        <f t="shared" si="42"/>
        <v>0</v>
      </c>
      <c r="J100" s="70">
        <f t="shared" si="42"/>
        <v>0</v>
      </c>
      <c r="K100" s="70">
        <f t="shared" si="42"/>
        <v>0</v>
      </c>
    </row>
    <row r="101" spans="2:11" x14ac:dyDescent="0.35">
      <c r="B101" s="35" t="s">
        <v>1391</v>
      </c>
      <c r="C101" s="35" t="s">
        <v>1390</v>
      </c>
      <c r="D101" s="70" t="e">
        <f t="shared" ref="D101:K101" si="43">(D25/D50-1)</f>
        <v>#DIV/0!</v>
      </c>
      <c r="E101" s="70">
        <f t="shared" si="43"/>
        <v>0</v>
      </c>
      <c r="F101" s="70">
        <f t="shared" si="43"/>
        <v>0</v>
      </c>
      <c r="G101" s="70">
        <f t="shared" si="43"/>
        <v>0</v>
      </c>
      <c r="H101" s="70">
        <f t="shared" si="43"/>
        <v>0</v>
      </c>
      <c r="I101" s="70">
        <f t="shared" si="43"/>
        <v>0</v>
      </c>
      <c r="J101" s="70">
        <f t="shared" si="43"/>
        <v>0</v>
      </c>
      <c r="K101" s="70">
        <f t="shared" si="43"/>
        <v>0</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C20" sqref="C20"/>
    </sheetView>
  </sheetViews>
  <sheetFormatPr defaultColWidth="10.90625" defaultRowHeight="14.5" x14ac:dyDescent="0.35"/>
  <cols>
    <col min="1" max="1" width="41.1796875" customWidth="1"/>
    <col min="2" max="2" width="23.453125" customWidth="1"/>
    <col min="3" max="6" width="10.453125" customWidth="1"/>
  </cols>
  <sheetData>
    <row r="1" spans="1:15" x14ac:dyDescent="0.35">
      <c r="A1" s="75" t="s">
        <v>178</v>
      </c>
      <c r="B1" s="75" t="s">
        <v>179</v>
      </c>
      <c r="C1" s="76" t="s">
        <v>187</v>
      </c>
      <c r="D1" s="76" t="s">
        <v>188</v>
      </c>
      <c r="E1" s="76" t="s">
        <v>189</v>
      </c>
      <c r="F1" s="76" t="s">
        <v>190</v>
      </c>
      <c r="G1" s="76" t="s">
        <v>191</v>
      </c>
      <c r="H1" s="76" t="s">
        <v>175</v>
      </c>
      <c r="I1" s="76" t="s">
        <v>176</v>
      </c>
      <c r="J1" s="76" t="s">
        <v>177</v>
      </c>
      <c r="K1" s="76" t="s">
        <v>769</v>
      </c>
      <c r="L1" s="76" t="s">
        <v>770</v>
      </c>
      <c r="M1" s="76" t="s">
        <v>771</v>
      </c>
      <c r="N1" s="76"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71">
        <f>Grants!AF75</f>
        <v>391.41706365809478</v>
      </c>
      <c r="N2" s="72">
        <f>Grants!AG75</f>
        <v>266.36236321248009</v>
      </c>
      <c r="O2" s="71"/>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71">
        <f>Grants!AF94</f>
        <v>75.340000000000018</v>
      </c>
      <c r="N3" s="71">
        <f>Grants!AG94</f>
        <v>75.340000000000018</v>
      </c>
      <c r="O3" s="71"/>
    </row>
    <row r="4" spans="1:15" x14ac:dyDescent="0.35">
      <c r="A4" t="s">
        <v>195</v>
      </c>
      <c r="B4" t="s">
        <v>196</v>
      </c>
      <c r="C4" s="71">
        <f>'Federal and State Purchases'!V12</f>
        <v>1747.4</v>
      </c>
      <c r="D4" s="71">
        <f>'Federal and State Purchases'!W12</f>
        <v>1765.8890292912815</v>
      </c>
      <c r="E4" s="71">
        <f>'Federal and State Purchases'!X12</f>
        <v>1776.8238491443915</v>
      </c>
      <c r="F4" s="71">
        <f>'Federal and State Purchases'!Y12</f>
        <v>1787.8263800955583</v>
      </c>
      <c r="G4" s="71">
        <f>'Federal and State Purchases'!Z12</f>
        <v>1798.8970414285802</v>
      </c>
      <c r="H4" s="71">
        <f>'Federal and State Purchases'!AA12</f>
        <v>1810.0362550235641</v>
      </c>
      <c r="I4" s="71">
        <f>'Federal and State Purchases'!AB12</f>
        <v>1819.0193411022642</v>
      </c>
      <c r="J4" s="71">
        <f>'Federal and State Purchases'!AC12</f>
        <v>1828.047009622489</v>
      </c>
      <c r="K4" s="71">
        <f>'Federal and State Purchases'!AD12</f>
        <v>1828.047009622489</v>
      </c>
      <c r="L4" s="71">
        <f>'Federal and State Purchases'!AE12</f>
        <v>1841.0020299034832</v>
      </c>
      <c r="M4" s="71">
        <f>'Federal and State Purchases'!AF12</f>
        <v>1855.2283124322175</v>
      </c>
      <c r="N4" s="72">
        <f>'Federal and State Purchases'!AG12</f>
        <v>1855.2283124322175</v>
      </c>
      <c r="O4" s="71"/>
    </row>
    <row r="5" spans="1:15" x14ac:dyDescent="0.35">
      <c r="A5" t="s">
        <v>197</v>
      </c>
      <c r="B5" t="s">
        <v>198</v>
      </c>
      <c r="C5" s="71">
        <f>'Federal and State Purchases'!V27</f>
        <v>2938.9</v>
      </c>
      <c r="D5" s="71">
        <f>'Federal and State Purchases'!W27</f>
        <v>2967.0133923404255</v>
      </c>
      <c r="E5" s="71">
        <f>'Federal and State Purchases'!X27</f>
        <v>3000.7294536170216</v>
      </c>
      <c r="F5" s="71">
        <f>'Federal and State Purchases'!Y27</f>
        <v>3035.0458008510641</v>
      </c>
      <c r="G5" s="71">
        <f>'Federal and State Purchases'!Z27</f>
        <v>3066.4607659574476</v>
      </c>
      <c r="H5" s="71">
        <f>'Federal and State Purchases'!AA27</f>
        <v>3096.0748731914896</v>
      </c>
      <c r="I5" s="71">
        <f>'Federal and State Purchases'!AB27</f>
        <v>3124.28831319149</v>
      </c>
      <c r="J5" s="71">
        <f>'Federal and State Purchases'!AC27</f>
        <v>3153.2020868085106</v>
      </c>
      <c r="K5" s="71">
        <f>'Federal and State Purchases'!AD27</f>
        <v>3181.8157174468088</v>
      </c>
      <c r="L5" s="71">
        <f>'Federal and State Purchases'!AE27</f>
        <v>3209.6289668085105</v>
      </c>
      <c r="M5" s="71">
        <f>'Federal and State Purchases'!AF27</f>
        <v>3238.0425021276596</v>
      </c>
      <c r="N5" s="72">
        <f>'Federal and State Purchases'!AG27</f>
        <v>0</v>
      </c>
      <c r="O5" s="71"/>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71">
        <f>Subsidies!AD46</f>
        <v>84.343000000000004</v>
      </c>
      <c r="L6" s="71">
        <f>Subsidies!AE46</f>
        <v>85.343000000000004</v>
      </c>
      <c r="M6" s="71">
        <f>Subsidies!AF46</f>
        <v>90.682000000000002</v>
      </c>
      <c r="N6" s="72">
        <f>Subsidies!AG46</f>
        <v>0</v>
      </c>
      <c r="O6" s="71"/>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71">
        <f>Subsidies!AD45</f>
        <v>-0.90100000000000025</v>
      </c>
      <c r="L7" s="71">
        <f>Subsidies!AE45</f>
        <v>-0.90100000000000025</v>
      </c>
      <c r="M7" s="71">
        <f>Subsidies!AF45</f>
        <v>-2.1500000000000004</v>
      </c>
      <c r="N7" s="72">
        <f>Subsidies!AG45</f>
        <v>0</v>
      </c>
      <c r="O7" s="71"/>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71"/>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72">
        <f>'Unemployment Insurance'!AG20</f>
        <v>0</v>
      </c>
      <c r="O9" s="71"/>
    </row>
    <row r="10" spans="1:15" x14ac:dyDescent="0.35">
      <c r="A10" s="35" t="s">
        <v>207</v>
      </c>
      <c r="B10" s="35" t="s">
        <v>208</v>
      </c>
      <c r="C10" s="71">
        <f>Medicaid!V28</f>
        <v>636.476</v>
      </c>
      <c r="D10" s="71">
        <f>Medicaid!W28</f>
        <v>646.31970306607138</v>
      </c>
      <c r="E10" s="71">
        <f>Medicaid!X28</f>
        <v>632.01035029406285</v>
      </c>
      <c r="F10" s="71">
        <f>Medicaid!Y28</f>
        <v>617.98758053199356</v>
      </c>
      <c r="G10" s="71">
        <f>Medicaid!Z28</f>
        <v>608.5314062433971</v>
      </c>
      <c r="H10" s="71">
        <f>Medicaid!AA28</f>
        <v>599.21992617680962</v>
      </c>
      <c r="I10" s="71">
        <f>Medicaid!AB28</f>
        <v>598.93166648757165</v>
      </c>
      <c r="J10" s="71">
        <f>Medicaid!AC28</f>
        <v>598.64354546803543</v>
      </c>
      <c r="K10" s="71">
        <f>Medicaid!AD28</f>
        <v>598.35556305149282</v>
      </c>
      <c r="L10" s="71">
        <f>Medicaid!AE28</f>
        <v>598.06771917126753</v>
      </c>
      <c r="M10" s="71">
        <f>Medicaid!AF28</f>
        <v>597.78001376071563</v>
      </c>
      <c r="N10" s="71">
        <f>Medicaid!AG28</f>
        <v>597.49244675322518</v>
      </c>
      <c r="O10" s="71"/>
    </row>
    <row r="11" spans="1:15" x14ac:dyDescent="0.35">
      <c r="A11" s="35" t="s">
        <v>209</v>
      </c>
      <c r="B11" s="35" t="s">
        <v>210</v>
      </c>
      <c r="C11" s="71">
        <f>Medicaid!V26</f>
        <v>878.5</v>
      </c>
      <c r="D11" s="71">
        <f>Medicaid!W26</f>
        <v>897.66625425843256</v>
      </c>
      <c r="E11" s="71">
        <f>Medicaid!X26</f>
        <v>883.93055985183616</v>
      </c>
      <c r="F11" s="71">
        <f>Medicaid!Y26</f>
        <v>870.40504300280793</v>
      </c>
      <c r="G11" s="71">
        <f>Medicaid!Z26</f>
        <v>857.08648766675651</v>
      </c>
      <c r="H11" s="71">
        <f>Medicaid!AA26</f>
        <v>843.97172700959106</v>
      </c>
      <c r="I11" s="71">
        <f>Medicaid!AB26</f>
        <v>843.56572744728408</v>
      </c>
      <c r="J11" s="71">
        <f>Medicaid!AC26</f>
        <v>843.15992319441614</v>
      </c>
      <c r="K11" s="71">
        <f>Medicaid!AD26</f>
        <v>842.75431415703213</v>
      </c>
      <c r="L11" s="71">
        <f>Medicaid!AE26</f>
        <v>842.34890024122194</v>
      </c>
      <c r="M11" s="71">
        <f>Medicaid!AF26</f>
        <v>841.94368135312072</v>
      </c>
      <c r="N11" s="71">
        <f>Medicaid!AG26</f>
        <v>841.53865739890875</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71">
        <f>'Social Benefits'!AD24</f>
        <v>2.3719999999999999</v>
      </c>
      <c r="L15" s="71">
        <f>'Social Benefits'!AE24</f>
        <v>2.3719999999999999</v>
      </c>
      <c r="M15" s="71">
        <f>'Social Benefits'!AF24</f>
        <v>0.49</v>
      </c>
      <c r="N15" s="72">
        <f>'Social Benefits'!AG24</f>
        <v>0</v>
      </c>
      <c r="O15" s="71"/>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71">
        <f>'Social Benefits'!AD30</f>
        <v>1.63</v>
      </c>
      <c r="L16" s="71">
        <f>'Social Benefits'!AE30</f>
        <v>1.63</v>
      </c>
      <c r="M16" s="71">
        <f>'Social Benefits'!AF30</f>
        <v>1.671</v>
      </c>
      <c r="N16" s="72">
        <f>'Social Benefits'!AG30</f>
        <v>0</v>
      </c>
      <c r="O16" s="71"/>
    </row>
    <row r="17" spans="1:15" x14ac:dyDescent="0.35">
      <c r="A17" t="s">
        <v>220</v>
      </c>
      <c r="B17" t="s">
        <v>221</v>
      </c>
      <c r="C17" s="71">
        <f>'Social Benefits'!V33</f>
        <v>1948.9840000000002</v>
      </c>
      <c r="D17" s="71">
        <f>'Social Benefits'!W33</f>
        <v>1955.9840000000002</v>
      </c>
      <c r="E17" s="71">
        <f>'Social Benefits'!X33</f>
        <v>1956.5330000000001</v>
      </c>
      <c r="F17" s="71">
        <f>'Social Benefits'!Y33</f>
        <v>2006.1997197000003</v>
      </c>
      <c r="G17" s="71">
        <f>'Social Benefits'!Z33</f>
        <v>2013.1997197000003</v>
      </c>
      <c r="H17" s="71">
        <f>'Social Benefits'!AA33</f>
        <v>2020.1997197000003</v>
      </c>
      <c r="I17" s="71">
        <f>'Social Benefits'!AB33</f>
        <v>2028.7277197000003</v>
      </c>
      <c r="J17" s="71">
        <f>'Social Benefits'!AC33</f>
        <v>2065.3906890960002</v>
      </c>
      <c r="K17" s="71">
        <f>'Social Benefits'!AD33</f>
        <v>2072.3906890960002</v>
      </c>
      <c r="L17" s="71">
        <f>'Social Benefits'!AE33</f>
        <v>2079.3906890960002</v>
      </c>
      <c r="M17" s="71">
        <f>'Social Benefits'!AF33</f>
        <v>2070.1516890960002</v>
      </c>
      <c r="N17" s="72">
        <f>'Social Benefits'!AG33</f>
        <v>0</v>
      </c>
      <c r="O17" s="71"/>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71">
        <f>'Social Benefits'!AD38</f>
        <v>210.84021991356275</v>
      </c>
      <c r="L18" s="71">
        <f>'Social Benefits'!AE38</f>
        <v>214.10974279967112</v>
      </c>
      <c r="M18" s="71">
        <f>'Social Benefits'!AF38</f>
        <v>217.42996654307876</v>
      </c>
      <c r="N18" s="71">
        <f>'Social Benefits'!AG38</f>
        <v>220.80167736765395</v>
      </c>
      <c r="O18" s="71"/>
    </row>
    <row r="19" spans="1:15" x14ac:dyDescent="0.35">
      <c r="A19" t="s">
        <v>224</v>
      </c>
      <c r="B19" t="s">
        <v>225</v>
      </c>
      <c r="C19" s="71">
        <f>Taxes!V9</f>
        <v>4304.8000000000011</v>
      </c>
      <c r="D19" s="71">
        <f>Taxes!W9</f>
        <v>4310.1282844676371</v>
      </c>
      <c r="E19" s="71">
        <f>Taxes!X9</f>
        <v>4331.6167990739586</v>
      </c>
      <c r="F19" s="71">
        <f>Taxes!Y9</f>
        <v>4340.6625742893257</v>
      </c>
      <c r="G19" s="71">
        <f>Taxes!Z9</f>
        <v>4350.0771590003769</v>
      </c>
      <c r="H19" s="71">
        <f>Taxes!AA9</f>
        <v>4359.8618441041708</v>
      </c>
      <c r="I19" s="71">
        <f>Taxes!AB9</f>
        <v>4401.0002347233822</v>
      </c>
      <c r="J19" s="71">
        <f>Taxes!AC9</f>
        <v>4408.0319998979385</v>
      </c>
      <c r="K19" s="71">
        <f>Taxes!AD9</f>
        <v>4415.3969315790519</v>
      </c>
      <c r="L19" s="71">
        <f>Taxes!AE9</f>
        <v>4423.0958561949819</v>
      </c>
      <c r="M19" s="71">
        <f>Taxes!AF9</f>
        <v>4431.1296366363849</v>
      </c>
      <c r="N19" s="71">
        <f>Taxes!AG9</f>
        <v>4439.499172352962</v>
      </c>
      <c r="O19" s="71"/>
    </row>
    <row r="20" spans="1:15" x14ac:dyDescent="0.35">
      <c r="A20" t="s">
        <v>226</v>
      </c>
      <c r="B20" t="s">
        <v>227</v>
      </c>
      <c r="C20" s="71">
        <f>Taxes!V20</f>
        <v>2100.1000000000004</v>
      </c>
      <c r="D20" s="71">
        <f>Taxes!W20</f>
        <v>2128.28379646338</v>
      </c>
      <c r="E20" s="71">
        <f>Taxes!X20</f>
        <v>2147.1481662454094</v>
      </c>
      <c r="F20" s="71">
        <f>Taxes!Y20</f>
        <v>2165.6886541287622</v>
      </c>
      <c r="G20" s="71">
        <f>Taxes!Z20</f>
        <v>2183.1055332910864</v>
      </c>
      <c r="H20" s="71">
        <f>Taxes!AA20</f>
        <v>2203.6556772916761</v>
      </c>
      <c r="I20" s="71">
        <f>Taxes!AB20</f>
        <v>2226.4928070645333</v>
      </c>
      <c r="J20" s="71">
        <f>Taxes!AC20</f>
        <v>2249.5251506808277</v>
      </c>
      <c r="K20" s="71">
        <f>Taxes!AD20</f>
        <v>2272.257058566307</v>
      </c>
      <c r="L20" s="71">
        <f>Taxes!AE20</f>
        <v>2295.9155721399502</v>
      </c>
      <c r="M20" s="71">
        <f>Taxes!AF20</f>
        <v>2319.7440930221032</v>
      </c>
      <c r="N20" s="71">
        <f>Taxes!AG20</f>
        <v>2258.1456315933178</v>
      </c>
      <c r="O20" s="71"/>
    </row>
    <row r="21" spans="1:15"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f>Taxes!AD16</f>
        <v>395.60423101154555</v>
      </c>
      <c r="L21" s="71">
        <f>Taxes!AE16</f>
        <v>410.90506237816101</v>
      </c>
      <c r="M21" s="71">
        <f>Taxes!AF16</f>
        <v>426.79768579894886</v>
      </c>
      <c r="N21" s="71">
        <f>Taxes!AG16</f>
        <v>443.30499008478415</v>
      </c>
      <c r="O21" s="71"/>
    </row>
    <row r="22" spans="1:15" x14ac:dyDescent="0.35">
      <c r="A22" t="s">
        <v>230</v>
      </c>
      <c r="B22" t="s">
        <v>231</v>
      </c>
      <c r="C22" s="71">
        <f>Taxes!V25</f>
        <v>120.77299494992725</v>
      </c>
      <c r="D22" s="71">
        <f>Taxes!W25</f>
        <v>118.93426345972783</v>
      </c>
      <c r="E22" s="71">
        <f>Taxes!X25</f>
        <v>116.08450740392023</v>
      </c>
      <c r="F22" s="71">
        <f>Taxes!Y25</f>
        <v>116.60112984678594</v>
      </c>
      <c r="G22" s="71">
        <f>Taxes!Z25</f>
        <v>117.53993837199351</v>
      </c>
      <c r="H22" s="71">
        <f>Taxes!AA25</f>
        <v>118.70650517846445</v>
      </c>
      <c r="I22" s="71">
        <f>Taxes!AB25</f>
        <v>122.25620131815461</v>
      </c>
      <c r="J22" s="71">
        <f>Taxes!AC25</f>
        <v>126.91135838397672</v>
      </c>
      <c r="K22" s="71">
        <f>Taxes!AD25</f>
        <v>130.80546948557733</v>
      </c>
      <c r="L22" s="71">
        <f>Taxes!AE25</f>
        <v>133.97186510314131</v>
      </c>
      <c r="M22" s="71">
        <f>Taxes!AF25</f>
        <v>136.43276555679194</v>
      </c>
      <c r="N22" s="71">
        <f>Taxes!AG25</f>
        <v>123.35055208422496</v>
      </c>
      <c r="O22" s="71"/>
    </row>
    <row r="23" spans="1:15" x14ac:dyDescent="0.35">
      <c r="A23" s="35" t="s">
        <v>1391</v>
      </c>
      <c r="B23" t="s">
        <v>1390</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3"/>
      <c r="B24" t="s">
        <v>1998</v>
      </c>
      <c r="C24" s="71">
        <f>'Supply Side IRA'!V14</f>
        <v>76.269574827449588</v>
      </c>
      <c r="D24" s="71">
        <f>'Supply Side IRA'!W14</f>
        <v>112.69269958493551</v>
      </c>
      <c r="E24" s="71">
        <f>'Supply Side IRA'!X14</f>
        <v>136.7720806226524</v>
      </c>
      <c r="F24" s="71">
        <f>'Supply Side IRA'!Y14</f>
        <v>148.48803727242282</v>
      </c>
      <c r="G24" s="71">
        <f>'Supply Side IRA'!Z14</f>
        <v>146.41070847384859</v>
      </c>
      <c r="H24" s="71">
        <f>'Supply Side IRA'!AA14</f>
        <v>132.8581200002761</v>
      </c>
      <c r="I24" s="71">
        <f>'Supply Side IRA'!AB14</f>
        <v>119.10010097332793</v>
      </c>
      <c r="J24" s="71">
        <f>'Supply Side IRA'!AC14</f>
        <v>69.206718416880776</v>
      </c>
      <c r="K24" s="71">
        <f>'Supply Side IRA'!AD14</f>
        <v>37.473920435226113</v>
      </c>
      <c r="L24" s="71">
        <f>'Supply Side IRA'!AE14</f>
        <v>38.44920328833858</v>
      </c>
      <c r="M24" s="71">
        <f>'Supply Side IRA'!AF14</f>
        <v>38.659955476796569</v>
      </c>
      <c r="N24" s="72">
        <f>'Supply Side IRA'!AG14</f>
        <v>0</v>
      </c>
    </row>
    <row r="25" spans="1:15" x14ac:dyDescent="0.35">
      <c r="A25" s="47"/>
      <c r="C25" s="74"/>
      <c r="D25" s="74"/>
      <c r="E25" s="74"/>
      <c r="F25" s="74"/>
      <c r="G25" s="74"/>
      <c r="H25" s="74"/>
      <c r="I25" s="74"/>
      <c r="J25" s="74"/>
    </row>
    <row r="26" spans="1:15" x14ac:dyDescent="0.35">
      <c r="A26" s="47"/>
      <c r="C26" s="74"/>
      <c r="D26" s="74"/>
      <c r="E26" s="74"/>
      <c r="F26" s="74"/>
      <c r="G26" s="74"/>
      <c r="H26" s="74"/>
      <c r="I26" s="74"/>
      <c r="J26" s="74"/>
    </row>
    <row r="27" spans="1:15" x14ac:dyDescent="0.35">
      <c r="A27" s="47"/>
      <c r="C27" s="74"/>
      <c r="D27" s="74"/>
      <c r="E27" s="74"/>
      <c r="F27" s="74"/>
      <c r="G27" s="74"/>
      <c r="H27" s="74"/>
      <c r="I27" s="74"/>
      <c r="J27" s="74"/>
    </row>
    <row r="28" spans="1:15" x14ac:dyDescent="0.35">
      <c r="A28" s="35"/>
      <c r="C28" s="74"/>
      <c r="D28" s="74"/>
      <c r="E28" s="74"/>
      <c r="F28" s="74"/>
      <c r="G28" s="74"/>
      <c r="H28" s="74"/>
      <c r="I28" s="74"/>
      <c r="J28" s="74"/>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9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278" t="s">
        <v>1872</v>
      </c>
      <c r="B2" s="1278"/>
      <c r="C2" s="1278"/>
      <c r="D2" s="1278"/>
      <c r="E2" s="1278"/>
      <c r="F2" s="1278"/>
      <c r="G2" s="1278"/>
      <c r="H2" s="1278"/>
      <c r="I2" s="1278"/>
      <c r="J2" s="1278"/>
      <c r="K2" s="96"/>
      <c r="L2" s="96"/>
      <c r="M2" s="96"/>
      <c r="N2" s="96"/>
      <c r="O2" s="75"/>
      <c r="P2" s="75"/>
      <c r="Q2" s="75"/>
      <c r="R2" s="75"/>
      <c r="S2" s="75"/>
    </row>
    <row r="3" spans="1:19" x14ac:dyDescent="0.35">
      <c r="A3" s="1283" t="s">
        <v>888</v>
      </c>
      <c r="B3" s="1283"/>
      <c r="C3" s="1283"/>
      <c r="D3" s="1283"/>
      <c r="E3" s="1283"/>
      <c r="F3" s="1283"/>
      <c r="G3" s="1283"/>
      <c r="H3" s="1283"/>
      <c r="I3" s="1283"/>
      <c r="J3" s="1283"/>
      <c r="K3" s="1283"/>
      <c r="L3" s="1283"/>
      <c r="M3" s="1283"/>
      <c r="N3" s="1283"/>
      <c r="O3" s="1283"/>
      <c r="P3" s="1283"/>
      <c r="Q3" s="1283"/>
      <c r="R3" s="1283"/>
      <c r="S3" s="1283"/>
    </row>
    <row r="4" spans="1:19" ht="15" customHeight="1" x14ac:dyDescent="0.35">
      <c r="A4" s="1284"/>
      <c r="B4" s="1284"/>
      <c r="C4" s="1284"/>
      <c r="D4" s="97"/>
      <c r="E4" s="97"/>
      <c r="F4" s="97"/>
      <c r="G4" s="97"/>
      <c r="H4" s="97"/>
      <c r="I4" s="97"/>
      <c r="J4" s="97"/>
      <c r="K4" s="97"/>
      <c r="L4" s="97"/>
      <c r="M4" s="97"/>
      <c r="N4" s="97"/>
    </row>
    <row r="5" spans="1:19" x14ac:dyDescent="0.35">
      <c r="A5" s="1288" t="s">
        <v>819</v>
      </c>
      <c r="B5" s="1295"/>
      <c r="C5" s="1298" t="s">
        <v>901</v>
      </c>
      <c r="D5" s="1298" t="s">
        <v>901</v>
      </c>
      <c r="E5" s="1298" t="s">
        <v>901</v>
      </c>
      <c r="F5" s="1298" t="s">
        <v>901</v>
      </c>
      <c r="G5" s="1298" t="s">
        <v>901</v>
      </c>
      <c r="H5" s="1298" t="s">
        <v>901</v>
      </c>
      <c r="I5" s="1298" t="s">
        <v>901</v>
      </c>
      <c r="J5" s="1299" t="s">
        <v>901</v>
      </c>
      <c r="K5" s="80"/>
      <c r="L5" s="80"/>
      <c r="M5" s="80"/>
      <c r="N5" s="80"/>
      <c r="O5" s="35"/>
    </row>
    <row r="6" spans="1:19" x14ac:dyDescent="0.35">
      <c r="A6" s="1289" t="s">
        <v>819</v>
      </c>
      <c r="B6" s="1296"/>
      <c r="C6" s="1285">
        <v>2022</v>
      </c>
      <c r="D6" s="1286"/>
      <c r="E6" s="1286"/>
      <c r="F6" s="1286"/>
      <c r="G6" s="1286"/>
      <c r="H6" s="1287"/>
      <c r="I6" s="1285">
        <v>2023</v>
      </c>
      <c r="J6" s="1286">
        <v>2023</v>
      </c>
      <c r="K6" s="1287">
        <v>2023</v>
      </c>
      <c r="L6" s="71"/>
      <c r="M6" s="71"/>
      <c r="N6" s="71"/>
      <c r="O6" s="87"/>
    </row>
    <row r="7" spans="1:19" ht="32.5" customHeight="1" x14ac:dyDescent="0.35">
      <c r="A7" s="1290" t="s">
        <v>819</v>
      </c>
      <c r="B7" s="1297"/>
      <c r="C7" s="113" t="s">
        <v>1814</v>
      </c>
      <c r="D7" s="113" t="s">
        <v>1893</v>
      </c>
      <c r="E7" s="113" t="s">
        <v>1894</v>
      </c>
      <c r="F7" s="113" t="s">
        <v>1901</v>
      </c>
      <c r="G7" s="113" t="s">
        <v>1902</v>
      </c>
      <c r="H7" s="113" t="s">
        <v>1903</v>
      </c>
      <c r="I7" s="113" t="s">
        <v>902</v>
      </c>
      <c r="J7" s="113" t="s">
        <v>903</v>
      </c>
      <c r="K7" s="113" t="s">
        <v>904</v>
      </c>
      <c r="L7" s="113" t="s">
        <v>1910</v>
      </c>
      <c r="M7" s="113" t="s">
        <v>1926</v>
      </c>
      <c r="N7" s="113" t="s">
        <v>1927</v>
      </c>
      <c r="O7" s="88" t="s">
        <v>1928</v>
      </c>
    </row>
    <row r="8" spans="1:19" x14ac:dyDescent="0.35">
      <c r="A8" s="134">
        <v>1</v>
      </c>
      <c r="B8" s="60" t="s">
        <v>239</v>
      </c>
      <c r="C8" s="82">
        <v>21852.3</v>
      </c>
      <c r="D8" s="82">
        <v>21975.8</v>
      </c>
      <c r="E8" s="102">
        <v>22080.400000000001</v>
      </c>
      <c r="F8" s="102">
        <v>22201.9</v>
      </c>
      <c r="G8" s="102">
        <v>22240.1</v>
      </c>
      <c r="H8" s="102">
        <v>22281.9</v>
      </c>
      <c r="I8" s="102">
        <v>22432</v>
      </c>
      <c r="J8" s="102">
        <v>22520.6</v>
      </c>
      <c r="K8" s="102">
        <v>22605.1</v>
      </c>
      <c r="L8" s="102">
        <v>22662.9</v>
      </c>
      <c r="M8" s="102">
        <v>22766.799999999999</v>
      </c>
      <c r="N8" s="103">
        <v>22836.3</v>
      </c>
      <c r="O8" s="89"/>
    </row>
    <row r="9" spans="1:19" x14ac:dyDescent="0.35">
      <c r="A9" s="135">
        <v>2</v>
      </c>
      <c r="B9" s="124" t="s">
        <v>1815</v>
      </c>
      <c r="C9" s="83">
        <v>13654.1</v>
      </c>
      <c r="D9" s="83">
        <v>13754.9</v>
      </c>
      <c r="E9" s="104">
        <v>13856.1</v>
      </c>
      <c r="F9" s="104">
        <v>13828.8</v>
      </c>
      <c r="G9" s="104">
        <v>13822.8</v>
      </c>
      <c r="H9" s="104">
        <v>13832.7</v>
      </c>
      <c r="I9" s="104">
        <v>13948.8</v>
      </c>
      <c r="J9" s="104">
        <v>13980.9</v>
      </c>
      <c r="K9" s="104">
        <v>14026.9</v>
      </c>
      <c r="L9" s="104">
        <v>14085.6</v>
      </c>
      <c r="M9" s="104">
        <v>14165.7</v>
      </c>
      <c r="N9" s="106">
        <v>14242.7</v>
      </c>
      <c r="O9" s="89"/>
    </row>
    <row r="10" spans="1:19" x14ac:dyDescent="0.35">
      <c r="A10" s="135">
        <v>3</v>
      </c>
      <c r="B10" s="125" t="s">
        <v>1816</v>
      </c>
      <c r="C10" s="83">
        <v>11271.8</v>
      </c>
      <c r="D10" s="83">
        <v>11360.7</v>
      </c>
      <c r="E10" s="104">
        <v>11450.6</v>
      </c>
      <c r="F10" s="104">
        <v>11420.4</v>
      </c>
      <c r="G10" s="104">
        <v>11408.7</v>
      </c>
      <c r="H10" s="104">
        <v>11412.7</v>
      </c>
      <c r="I10" s="104">
        <v>11515.6</v>
      </c>
      <c r="J10" s="104">
        <v>11541.3</v>
      </c>
      <c r="K10" s="104">
        <v>11579.8</v>
      </c>
      <c r="L10" s="104">
        <v>11630</v>
      </c>
      <c r="M10" s="104">
        <v>11700</v>
      </c>
      <c r="N10" s="106">
        <v>11766.7</v>
      </c>
      <c r="O10" s="89"/>
    </row>
    <row r="11" spans="1:19" x14ac:dyDescent="0.35">
      <c r="A11" s="135">
        <v>4</v>
      </c>
      <c r="B11" s="128" t="s">
        <v>1817</v>
      </c>
      <c r="C11" s="84">
        <v>9656.4</v>
      </c>
      <c r="D11" s="84">
        <v>9735.9</v>
      </c>
      <c r="E11" s="107">
        <v>9819.5</v>
      </c>
      <c r="F11" s="107">
        <v>9785.7999999999993</v>
      </c>
      <c r="G11" s="107">
        <v>9763.9</v>
      </c>
      <c r="H11" s="107">
        <v>9762.2999999999993</v>
      </c>
      <c r="I11" s="107">
        <v>9855.1</v>
      </c>
      <c r="J11" s="107">
        <v>9874</v>
      </c>
      <c r="K11" s="107">
        <v>9904.7000000000007</v>
      </c>
      <c r="L11" s="107">
        <v>9948</v>
      </c>
      <c r="M11" s="107">
        <v>10005</v>
      </c>
      <c r="N11" s="108">
        <v>10060.799999999999</v>
      </c>
      <c r="O11" s="89"/>
    </row>
    <row r="12" spans="1:19" x14ac:dyDescent="0.35">
      <c r="A12" s="135">
        <v>5</v>
      </c>
      <c r="B12" s="126" t="s">
        <v>1818</v>
      </c>
      <c r="C12" s="84">
        <v>1767.7</v>
      </c>
      <c r="D12" s="84">
        <v>1780.1</v>
      </c>
      <c r="E12" s="107">
        <v>1797.4</v>
      </c>
      <c r="F12" s="107">
        <v>1795.8</v>
      </c>
      <c r="G12" s="107">
        <v>1793.7</v>
      </c>
      <c r="H12" s="107">
        <v>1789.6</v>
      </c>
      <c r="I12" s="107">
        <v>1813.2</v>
      </c>
      <c r="J12" s="107">
        <v>1810.2</v>
      </c>
      <c r="K12" s="107">
        <v>1819.1</v>
      </c>
      <c r="L12" s="107">
        <v>1833</v>
      </c>
      <c r="M12" s="107">
        <v>1840.9</v>
      </c>
      <c r="N12" s="108">
        <v>1849.8</v>
      </c>
      <c r="O12" s="89"/>
    </row>
    <row r="13" spans="1:19" x14ac:dyDescent="0.35">
      <c r="A13" s="135">
        <v>6</v>
      </c>
      <c r="B13" s="129" t="s">
        <v>1819</v>
      </c>
      <c r="C13" s="84">
        <v>1046.3</v>
      </c>
      <c r="D13" s="84">
        <v>1054.4000000000001</v>
      </c>
      <c r="E13" s="107">
        <v>1064.8</v>
      </c>
      <c r="F13" s="107">
        <v>1061.4000000000001</v>
      </c>
      <c r="G13" s="107">
        <v>1055.5</v>
      </c>
      <c r="H13" s="107">
        <v>1046.9000000000001</v>
      </c>
      <c r="I13" s="107">
        <v>1063.4000000000001</v>
      </c>
      <c r="J13" s="107">
        <v>1057.5</v>
      </c>
      <c r="K13" s="107">
        <v>1062.2</v>
      </c>
      <c r="L13" s="107">
        <v>1069.9000000000001</v>
      </c>
      <c r="M13" s="107">
        <v>1073.5999999999999</v>
      </c>
      <c r="N13" s="108">
        <v>1082</v>
      </c>
      <c r="O13" s="89"/>
    </row>
    <row r="14" spans="1:19" x14ac:dyDescent="0.35">
      <c r="A14" s="135">
        <v>7</v>
      </c>
      <c r="B14" s="126" t="s">
        <v>1820</v>
      </c>
      <c r="C14" s="84">
        <v>7888.7</v>
      </c>
      <c r="D14" s="84">
        <v>7955.8</v>
      </c>
      <c r="E14" s="107">
        <v>8022.1</v>
      </c>
      <c r="F14" s="107">
        <v>7990</v>
      </c>
      <c r="G14" s="107">
        <v>7970.1</v>
      </c>
      <c r="H14" s="107">
        <v>7972.7</v>
      </c>
      <c r="I14" s="107">
        <v>8041.9</v>
      </c>
      <c r="J14" s="107">
        <v>8063.7</v>
      </c>
      <c r="K14" s="107">
        <v>8085.6</v>
      </c>
      <c r="L14" s="107">
        <v>8115</v>
      </c>
      <c r="M14" s="107">
        <v>8164.1</v>
      </c>
      <c r="N14" s="108">
        <v>8211</v>
      </c>
      <c r="O14" s="89"/>
    </row>
    <row r="15" spans="1:19" x14ac:dyDescent="0.35">
      <c r="A15" s="135">
        <v>8</v>
      </c>
      <c r="B15" s="130" t="s">
        <v>1821</v>
      </c>
      <c r="C15" s="84">
        <v>1734</v>
      </c>
      <c r="D15" s="84">
        <v>1748.4</v>
      </c>
      <c r="E15" s="107">
        <v>1762.3</v>
      </c>
      <c r="F15" s="107">
        <v>1757.7</v>
      </c>
      <c r="G15" s="107">
        <v>1749.7</v>
      </c>
      <c r="H15" s="107">
        <v>1745.6</v>
      </c>
      <c r="I15" s="107">
        <v>1774</v>
      </c>
      <c r="J15" s="107">
        <v>1780.4</v>
      </c>
      <c r="K15" s="107">
        <v>1774.8</v>
      </c>
      <c r="L15" s="107">
        <v>1783.9</v>
      </c>
      <c r="M15" s="107">
        <v>1784</v>
      </c>
      <c r="N15" s="108">
        <v>1799.2</v>
      </c>
      <c r="O15" s="89"/>
    </row>
    <row r="16" spans="1:19" x14ac:dyDescent="0.35">
      <c r="A16" s="135">
        <v>9</v>
      </c>
      <c r="B16" s="130" t="s">
        <v>1822</v>
      </c>
      <c r="C16" s="84">
        <v>6154.8</v>
      </c>
      <c r="D16" s="84">
        <v>6207.4</v>
      </c>
      <c r="E16" s="107">
        <v>6259.8</v>
      </c>
      <c r="F16" s="107">
        <v>6232.2</v>
      </c>
      <c r="G16" s="107">
        <v>6220.4</v>
      </c>
      <c r="H16" s="107">
        <v>6227.2</v>
      </c>
      <c r="I16" s="107">
        <v>6267.9</v>
      </c>
      <c r="J16" s="107">
        <v>6283.3</v>
      </c>
      <c r="K16" s="107">
        <v>6310.8</v>
      </c>
      <c r="L16" s="107">
        <v>6331.1</v>
      </c>
      <c r="M16" s="107">
        <v>6380.1</v>
      </c>
      <c r="N16" s="108">
        <v>6411.7</v>
      </c>
      <c r="O16" s="89"/>
    </row>
    <row r="17" spans="1:17" ht="16.399999999999999" customHeight="1" x14ac:dyDescent="0.35">
      <c r="A17" s="135">
        <v>10</v>
      </c>
      <c r="B17" s="128" t="s">
        <v>1823</v>
      </c>
      <c r="C17" s="84">
        <v>1615.4</v>
      </c>
      <c r="D17" s="84">
        <v>1624.8</v>
      </c>
      <c r="E17" s="107">
        <v>1631.1</v>
      </c>
      <c r="F17" s="107">
        <v>1634.6</v>
      </c>
      <c r="G17" s="107">
        <v>1644.8</v>
      </c>
      <c r="H17" s="107">
        <v>1650.4</v>
      </c>
      <c r="I17" s="107">
        <v>1660.5</v>
      </c>
      <c r="J17" s="107">
        <v>1667.3</v>
      </c>
      <c r="K17" s="107">
        <v>1675.1</v>
      </c>
      <c r="L17" s="107">
        <v>1682</v>
      </c>
      <c r="M17" s="107">
        <v>1695</v>
      </c>
      <c r="N17" s="108">
        <v>1705.9</v>
      </c>
      <c r="O17" s="89"/>
    </row>
    <row r="18" spans="1:17" ht="16.399999999999999" customHeight="1" x14ac:dyDescent="0.35">
      <c r="A18" s="135">
        <v>11</v>
      </c>
      <c r="B18" s="125" t="s">
        <v>1824</v>
      </c>
      <c r="C18" s="83">
        <v>2382.3000000000002</v>
      </c>
      <c r="D18" s="83">
        <v>2394.1</v>
      </c>
      <c r="E18" s="104">
        <v>2405.5</v>
      </c>
      <c r="F18" s="104">
        <v>2408.5</v>
      </c>
      <c r="G18" s="104">
        <v>2414.1</v>
      </c>
      <c r="H18" s="104">
        <v>2420</v>
      </c>
      <c r="I18" s="104">
        <v>2433.1999999999998</v>
      </c>
      <c r="J18" s="104">
        <v>2439.6</v>
      </c>
      <c r="K18" s="104">
        <v>2447.1</v>
      </c>
      <c r="L18" s="104">
        <v>2455.6</v>
      </c>
      <c r="M18" s="104">
        <v>2465.6999999999998</v>
      </c>
      <c r="N18" s="106">
        <v>2476.1</v>
      </c>
      <c r="O18" s="89"/>
    </row>
    <row r="19" spans="1:17" ht="16.5" customHeight="1" x14ac:dyDescent="0.35">
      <c r="A19" s="77">
        <v>12</v>
      </c>
      <c r="B19" s="132" t="s">
        <v>1825</v>
      </c>
      <c r="C19" s="84">
        <v>1614.2</v>
      </c>
      <c r="D19" s="84">
        <v>1620.2</v>
      </c>
      <c r="E19" s="107">
        <v>1625.6</v>
      </c>
      <c r="F19" s="107">
        <v>1630.6</v>
      </c>
      <c r="G19" s="107">
        <v>1637.1</v>
      </c>
      <c r="H19" s="107">
        <v>1642.9</v>
      </c>
      <c r="I19" s="107">
        <v>1647.1</v>
      </c>
      <c r="J19" s="107">
        <v>1652.1</v>
      </c>
      <c r="K19" s="107">
        <v>1657.3</v>
      </c>
      <c r="L19" s="107">
        <v>1662.6</v>
      </c>
      <c r="M19" s="107">
        <v>1668.5</v>
      </c>
      <c r="N19" s="108">
        <v>1674.7</v>
      </c>
      <c r="O19" s="89"/>
    </row>
    <row r="20" spans="1:17" x14ac:dyDescent="0.35">
      <c r="A20" s="77">
        <v>13</v>
      </c>
      <c r="B20" s="132" t="s">
        <v>1826</v>
      </c>
      <c r="C20" s="84">
        <v>768.1</v>
      </c>
      <c r="D20" s="84">
        <v>774</v>
      </c>
      <c r="E20" s="107">
        <v>779.9</v>
      </c>
      <c r="F20" s="107">
        <v>777.9</v>
      </c>
      <c r="G20" s="107">
        <v>777</v>
      </c>
      <c r="H20" s="107">
        <v>777.1</v>
      </c>
      <c r="I20" s="107">
        <v>786.1</v>
      </c>
      <c r="J20" s="107">
        <v>787.6</v>
      </c>
      <c r="K20" s="107">
        <v>789.8</v>
      </c>
      <c r="L20" s="107">
        <v>793</v>
      </c>
      <c r="M20" s="107">
        <v>797.2</v>
      </c>
      <c r="N20" s="108">
        <v>801.4</v>
      </c>
      <c r="O20" s="89"/>
    </row>
    <row r="21" spans="1:17" ht="16.399999999999999" customHeight="1" x14ac:dyDescent="0.35">
      <c r="A21" s="77">
        <v>14</v>
      </c>
      <c r="B21" s="131" t="s">
        <v>1827</v>
      </c>
      <c r="C21" s="83">
        <v>1846.5</v>
      </c>
      <c r="D21" s="83">
        <v>1869.7</v>
      </c>
      <c r="E21" s="104">
        <v>1874.4</v>
      </c>
      <c r="F21" s="104">
        <v>1877.2</v>
      </c>
      <c r="G21" s="104">
        <v>1882.7</v>
      </c>
      <c r="H21" s="104">
        <v>1888.6</v>
      </c>
      <c r="I21" s="104">
        <v>1903.5</v>
      </c>
      <c r="J21" s="104">
        <v>1913</v>
      </c>
      <c r="K21" s="104">
        <v>1911.8</v>
      </c>
      <c r="L21" s="104">
        <v>1900.2</v>
      </c>
      <c r="M21" s="104">
        <v>1905</v>
      </c>
      <c r="N21" s="106">
        <v>1911.4</v>
      </c>
      <c r="O21" s="89"/>
    </row>
    <row r="22" spans="1:17" x14ac:dyDescent="0.35">
      <c r="A22" s="135">
        <v>15</v>
      </c>
      <c r="B22" s="58" t="s">
        <v>1828</v>
      </c>
      <c r="C22" s="84">
        <v>94.8</v>
      </c>
      <c r="D22" s="84">
        <v>95.9</v>
      </c>
      <c r="E22" s="107">
        <v>97.1</v>
      </c>
      <c r="F22" s="107">
        <v>99</v>
      </c>
      <c r="G22" s="107">
        <v>100.9</v>
      </c>
      <c r="H22" s="107">
        <v>102.8</v>
      </c>
      <c r="I22" s="107">
        <v>99.7</v>
      </c>
      <c r="J22" s="107">
        <v>96.7</v>
      </c>
      <c r="K22" s="107">
        <v>93.6</v>
      </c>
      <c r="L22" s="107">
        <v>89.8</v>
      </c>
      <c r="M22" s="107">
        <v>86</v>
      </c>
      <c r="N22" s="108">
        <v>82.2</v>
      </c>
      <c r="O22" s="89"/>
    </row>
    <row r="23" spans="1:17" x14ac:dyDescent="0.35">
      <c r="A23" s="135">
        <v>16</v>
      </c>
      <c r="B23" s="58" t="s">
        <v>1829</v>
      </c>
      <c r="C23" s="84">
        <v>1751.7</v>
      </c>
      <c r="D23" s="84">
        <v>1773.7</v>
      </c>
      <c r="E23" s="107">
        <v>1777.4</v>
      </c>
      <c r="F23" s="107">
        <v>1778.3</v>
      </c>
      <c r="G23" s="107">
        <v>1781.9</v>
      </c>
      <c r="H23" s="107">
        <v>1785.8</v>
      </c>
      <c r="I23" s="107">
        <v>1803.8</v>
      </c>
      <c r="J23" s="107">
        <v>1816.3</v>
      </c>
      <c r="K23" s="107">
        <v>1818.2</v>
      </c>
      <c r="L23" s="107">
        <v>1810.4</v>
      </c>
      <c r="M23" s="107">
        <v>1819.1</v>
      </c>
      <c r="N23" s="108">
        <v>1829.3</v>
      </c>
      <c r="O23" s="89"/>
    </row>
    <row r="24" spans="1:17" x14ac:dyDescent="0.35">
      <c r="A24" s="77">
        <v>17</v>
      </c>
      <c r="B24" s="131" t="s">
        <v>1830</v>
      </c>
      <c r="C24" s="83">
        <v>792.9</v>
      </c>
      <c r="D24" s="83">
        <v>794.9</v>
      </c>
      <c r="E24" s="104">
        <v>797</v>
      </c>
      <c r="F24" s="104">
        <v>804.7</v>
      </c>
      <c r="G24" s="104">
        <v>810.6</v>
      </c>
      <c r="H24" s="104">
        <v>820</v>
      </c>
      <c r="I24" s="104">
        <v>831.8</v>
      </c>
      <c r="J24" s="104">
        <v>844.8</v>
      </c>
      <c r="K24" s="104">
        <v>858.4</v>
      </c>
      <c r="L24" s="104">
        <v>865</v>
      </c>
      <c r="M24" s="104">
        <v>863.7</v>
      </c>
      <c r="N24" s="106">
        <v>867.3</v>
      </c>
      <c r="O24" s="89"/>
    </row>
    <row r="25" spans="1:17" x14ac:dyDescent="0.35">
      <c r="A25" s="135">
        <v>18</v>
      </c>
      <c r="B25" s="124" t="s">
        <v>1831</v>
      </c>
      <c r="C25" s="83">
        <v>3350.6</v>
      </c>
      <c r="D25" s="83">
        <v>3358.1</v>
      </c>
      <c r="E25" s="104">
        <v>3367.7</v>
      </c>
      <c r="F25" s="104">
        <v>3413.8</v>
      </c>
      <c r="G25" s="104">
        <v>3424.7</v>
      </c>
      <c r="H25" s="104">
        <v>3433.5</v>
      </c>
      <c r="I25" s="104">
        <v>3444.8</v>
      </c>
      <c r="J25" s="104">
        <v>3446.4</v>
      </c>
      <c r="K25" s="104">
        <v>3466.6</v>
      </c>
      <c r="L25" s="104">
        <v>3479.9</v>
      </c>
      <c r="M25" s="104">
        <v>3502.6</v>
      </c>
      <c r="N25" s="106">
        <v>3495.7</v>
      </c>
      <c r="O25" s="89"/>
    </row>
    <row r="26" spans="1:17" x14ac:dyDescent="0.35">
      <c r="A26" s="135">
        <v>19</v>
      </c>
      <c r="B26" s="58" t="s">
        <v>1832</v>
      </c>
      <c r="C26" s="84">
        <v>1731.1</v>
      </c>
      <c r="D26" s="84">
        <v>1738</v>
      </c>
      <c r="E26" s="107">
        <v>1745.2</v>
      </c>
      <c r="F26" s="107">
        <v>1766.6</v>
      </c>
      <c r="G26" s="107">
        <v>1788.7</v>
      </c>
      <c r="H26" s="107">
        <v>1811.6</v>
      </c>
      <c r="I26" s="107">
        <v>1810.1</v>
      </c>
      <c r="J26" s="107">
        <v>1808.2</v>
      </c>
      <c r="K26" s="107">
        <v>1806</v>
      </c>
      <c r="L26" s="107">
        <v>1814.7</v>
      </c>
      <c r="M26" s="107">
        <v>1832.4</v>
      </c>
      <c r="N26" s="108">
        <v>1845.9</v>
      </c>
      <c r="O26" s="89"/>
    </row>
    <row r="27" spans="1:17" x14ac:dyDescent="0.35">
      <c r="A27" s="135">
        <v>20</v>
      </c>
      <c r="B27" s="58" t="s">
        <v>1833</v>
      </c>
      <c r="C27" s="84">
        <v>1619.5</v>
      </c>
      <c r="D27" s="84">
        <v>1620.1</v>
      </c>
      <c r="E27" s="107">
        <v>1622.6</v>
      </c>
      <c r="F27" s="107">
        <v>1647.2</v>
      </c>
      <c r="G27" s="107">
        <v>1636</v>
      </c>
      <c r="H27" s="107">
        <v>1622</v>
      </c>
      <c r="I27" s="107">
        <v>1634.8</v>
      </c>
      <c r="J27" s="107">
        <v>1638.2</v>
      </c>
      <c r="K27" s="107">
        <v>1660.6</v>
      </c>
      <c r="L27" s="107">
        <v>1665.2</v>
      </c>
      <c r="M27" s="107">
        <v>1670.2</v>
      </c>
      <c r="N27" s="108">
        <v>1649.8</v>
      </c>
      <c r="O27" s="89"/>
    </row>
    <row r="28" spans="1:17" x14ac:dyDescent="0.35">
      <c r="A28" s="135">
        <v>21</v>
      </c>
      <c r="B28" s="124" t="s">
        <v>1834</v>
      </c>
      <c r="C28" s="83">
        <v>3891.7</v>
      </c>
      <c r="D28" s="83">
        <v>3893.9</v>
      </c>
      <c r="E28" s="104">
        <v>3892.9</v>
      </c>
      <c r="F28" s="104">
        <v>3981.6</v>
      </c>
      <c r="G28" s="104">
        <v>4002.2</v>
      </c>
      <c r="H28" s="104">
        <v>4010.8</v>
      </c>
      <c r="I28" s="104">
        <v>4030</v>
      </c>
      <c r="J28" s="104">
        <v>4065.9</v>
      </c>
      <c r="K28" s="104">
        <v>4076.6</v>
      </c>
      <c r="L28" s="104">
        <v>4074</v>
      </c>
      <c r="M28" s="104">
        <v>4079.5</v>
      </c>
      <c r="N28" s="106">
        <v>4077.1</v>
      </c>
      <c r="O28" s="89"/>
    </row>
    <row r="29" spans="1:17" x14ac:dyDescent="0.35">
      <c r="A29" s="135">
        <v>22</v>
      </c>
      <c r="B29" s="58" t="s">
        <v>1835</v>
      </c>
      <c r="C29" s="84">
        <v>3821.1</v>
      </c>
      <c r="D29" s="84">
        <v>3824.5</v>
      </c>
      <c r="E29" s="107">
        <v>3823.5</v>
      </c>
      <c r="F29" s="107">
        <v>3912.2</v>
      </c>
      <c r="G29" s="107">
        <v>3932.8</v>
      </c>
      <c r="H29" s="107">
        <v>3941.2</v>
      </c>
      <c r="I29" s="107">
        <v>3959</v>
      </c>
      <c r="J29" s="107">
        <v>3994.6</v>
      </c>
      <c r="K29" s="107">
        <v>4005</v>
      </c>
      <c r="L29" s="107">
        <v>4002.1</v>
      </c>
      <c r="M29" s="107">
        <v>4007.3</v>
      </c>
      <c r="N29" s="108">
        <v>4004.6</v>
      </c>
      <c r="O29" s="89"/>
      <c r="P29" s="122"/>
      <c r="Q29" s="79"/>
    </row>
    <row r="30" spans="1:17" ht="16.5" customHeight="1" x14ac:dyDescent="0.35">
      <c r="A30" s="92">
        <v>23</v>
      </c>
      <c r="B30" s="93" t="s">
        <v>1836</v>
      </c>
      <c r="C30" s="94">
        <v>1211.0999999999999</v>
      </c>
      <c r="D30" s="94">
        <v>1215.9000000000001</v>
      </c>
      <c r="E30" s="95">
        <v>1216.9000000000001</v>
      </c>
      <c r="F30" s="107">
        <v>1229.0999999999999</v>
      </c>
      <c r="G30" s="107">
        <v>1224.3</v>
      </c>
      <c r="H30" s="107">
        <v>1223.5999999999999</v>
      </c>
      <c r="I30" s="107">
        <v>1335.3</v>
      </c>
      <c r="J30" s="107">
        <v>1340.2</v>
      </c>
      <c r="K30" s="107">
        <v>1344.8</v>
      </c>
      <c r="L30" s="107">
        <v>1349</v>
      </c>
      <c r="M30" s="107">
        <v>1354</v>
      </c>
      <c r="N30" s="108">
        <v>1357.5</v>
      </c>
      <c r="O30" s="101">
        <f>'Social Benefits'!W97</f>
        <v>1365.0329999999999</v>
      </c>
    </row>
    <row r="31" spans="1:17" ht="16.399999999999999" customHeight="1" x14ac:dyDescent="0.35">
      <c r="A31" s="92">
        <v>24</v>
      </c>
      <c r="B31" s="93" t="s">
        <v>1837</v>
      </c>
      <c r="C31" s="94">
        <v>914.1</v>
      </c>
      <c r="D31" s="94">
        <v>920.1</v>
      </c>
      <c r="E31" s="95">
        <v>926.7</v>
      </c>
      <c r="F31" s="107">
        <v>933.8</v>
      </c>
      <c r="G31" s="107">
        <v>941.5</v>
      </c>
      <c r="H31" s="107">
        <v>949.7</v>
      </c>
      <c r="I31" s="107">
        <v>955.8</v>
      </c>
      <c r="J31" s="107">
        <v>960.9</v>
      </c>
      <c r="K31" s="107">
        <v>964.7</v>
      </c>
      <c r="L31" s="107">
        <v>967.4</v>
      </c>
      <c r="M31" s="107">
        <v>967.3</v>
      </c>
      <c r="N31" s="108">
        <v>968.7</v>
      </c>
      <c r="O31" s="105">
        <f>Medicare!W10</f>
        <v>970.16244735084217</v>
      </c>
    </row>
    <row r="32" spans="1:17" x14ac:dyDescent="0.35">
      <c r="A32" s="92">
        <v>25</v>
      </c>
      <c r="B32" s="93" t="s">
        <v>54</v>
      </c>
      <c r="C32" s="94">
        <v>790.3</v>
      </c>
      <c r="D32" s="94">
        <v>785.3</v>
      </c>
      <c r="E32" s="95">
        <v>782.8</v>
      </c>
      <c r="F32" s="107">
        <v>791.2</v>
      </c>
      <c r="G32" s="107">
        <v>796.9</v>
      </c>
      <c r="H32" s="107">
        <v>800.6</v>
      </c>
      <c r="I32" s="107">
        <v>821.8</v>
      </c>
      <c r="J32" s="107">
        <v>840</v>
      </c>
      <c r="K32" s="107">
        <v>856.2</v>
      </c>
      <c r="L32" s="107">
        <v>867.2</v>
      </c>
      <c r="M32" s="107">
        <v>875</v>
      </c>
      <c r="N32" s="108">
        <v>879</v>
      </c>
      <c r="O32" s="105">
        <f>forecast!D11</f>
        <v>897.66625425843256</v>
      </c>
      <c r="P32" s="114"/>
      <c r="Q32" s="115"/>
    </row>
    <row r="33" spans="1:17" x14ac:dyDescent="0.35">
      <c r="A33" s="92">
        <v>26</v>
      </c>
      <c r="B33" s="93" t="s">
        <v>263</v>
      </c>
      <c r="C33" s="94">
        <v>18.7</v>
      </c>
      <c r="D33" s="94">
        <v>18.899999999999999</v>
      </c>
      <c r="E33" s="95">
        <v>18</v>
      </c>
      <c r="F33" s="107">
        <v>18.899999999999999</v>
      </c>
      <c r="G33" s="107">
        <v>20.6</v>
      </c>
      <c r="H33" s="107">
        <v>21.6</v>
      </c>
      <c r="I33" s="107">
        <v>21.9</v>
      </c>
      <c r="J33" s="107">
        <v>22.8</v>
      </c>
      <c r="K33" s="107">
        <v>23.6</v>
      </c>
      <c r="L33" s="107">
        <v>23.7</v>
      </c>
      <c r="M33" s="107">
        <v>23.1</v>
      </c>
      <c r="N33" s="108">
        <v>22.6</v>
      </c>
      <c r="O33" s="105">
        <f>forecast!D9+forecast!D8</f>
        <v>23.451428571428572</v>
      </c>
      <c r="P33" s="114"/>
      <c r="Q33" s="115"/>
    </row>
    <row r="34" spans="1:17" ht="16.399999999999999" customHeight="1" x14ac:dyDescent="0.35">
      <c r="A34" s="135">
        <v>27</v>
      </c>
      <c r="B34" s="128" t="s">
        <v>1838</v>
      </c>
      <c r="C34" s="84">
        <v>161.1</v>
      </c>
      <c r="D34" s="84">
        <v>161.6</v>
      </c>
      <c r="E34" s="107">
        <v>162.5</v>
      </c>
      <c r="F34" s="107">
        <v>163.19999999999999</v>
      </c>
      <c r="G34" s="107">
        <v>164</v>
      </c>
      <c r="H34" s="107">
        <v>164.8</v>
      </c>
      <c r="I34" s="107">
        <v>165.4</v>
      </c>
      <c r="J34" s="107">
        <v>166.3</v>
      </c>
      <c r="K34" s="107">
        <v>167</v>
      </c>
      <c r="L34" s="107">
        <v>168.1</v>
      </c>
      <c r="M34" s="107">
        <v>166.9</v>
      </c>
      <c r="N34" s="108">
        <v>166.9</v>
      </c>
      <c r="O34" s="89"/>
    </row>
    <row r="35" spans="1:17" x14ac:dyDescent="0.35">
      <c r="A35" s="135">
        <v>28</v>
      </c>
      <c r="B35" s="128" t="s">
        <v>536</v>
      </c>
      <c r="C35" s="84">
        <v>725.8</v>
      </c>
      <c r="D35" s="84">
        <v>722.7</v>
      </c>
      <c r="E35" s="107">
        <v>716.6</v>
      </c>
      <c r="F35" s="107">
        <v>776</v>
      </c>
      <c r="G35" s="107">
        <v>785.4</v>
      </c>
      <c r="H35" s="107">
        <v>780.9</v>
      </c>
      <c r="I35" s="107">
        <v>658.7</v>
      </c>
      <c r="J35" s="107">
        <v>664.5</v>
      </c>
      <c r="K35" s="107">
        <v>648.6</v>
      </c>
      <c r="L35" s="107">
        <v>626.70000000000005</v>
      </c>
      <c r="M35" s="107">
        <v>620.9</v>
      </c>
      <c r="N35" s="108">
        <v>609.79999999999995</v>
      </c>
      <c r="O35" s="89"/>
    </row>
    <row r="36" spans="1:17" x14ac:dyDescent="0.35">
      <c r="A36" s="135">
        <v>29</v>
      </c>
      <c r="B36" s="127" t="s">
        <v>1839</v>
      </c>
      <c r="C36" s="84">
        <v>70.7</v>
      </c>
      <c r="D36" s="84">
        <v>69.400000000000006</v>
      </c>
      <c r="E36" s="107">
        <v>69.400000000000006</v>
      </c>
      <c r="F36" s="107">
        <v>69.400000000000006</v>
      </c>
      <c r="G36" s="107">
        <v>69.5</v>
      </c>
      <c r="H36" s="107">
        <v>69.599999999999994</v>
      </c>
      <c r="I36" s="107">
        <v>71</v>
      </c>
      <c r="J36" s="107">
        <v>71.3</v>
      </c>
      <c r="K36" s="107">
        <v>71.599999999999994</v>
      </c>
      <c r="L36" s="107">
        <v>71.900000000000006</v>
      </c>
      <c r="M36" s="107">
        <v>72.2</v>
      </c>
      <c r="N36" s="108">
        <v>72.5</v>
      </c>
      <c r="O36" s="89"/>
    </row>
    <row r="37" spans="1:17" x14ac:dyDescent="0.35">
      <c r="A37" s="92">
        <v>30</v>
      </c>
      <c r="B37" s="116" t="s">
        <v>1840</v>
      </c>
      <c r="C37" s="117">
        <v>1683.6</v>
      </c>
      <c r="D37" s="117">
        <v>1695.6</v>
      </c>
      <c r="E37" s="118">
        <v>1707.7</v>
      </c>
      <c r="F37" s="104">
        <v>1704.3</v>
      </c>
      <c r="G37" s="104">
        <v>1703.1</v>
      </c>
      <c r="H37" s="104">
        <v>1703.8</v>
      </c>
      <c r="I37" s="104">
        <v>1726.9</v>
      </c>
      <c r="J37" s="104">
        <v>1730.3</v>
      </c>
      <c r="K37" s="104">
        <v>1735.2</v>
      </c>
      <c r="L37" s="104">
        <v>1741.6</v>
      </c>
      <c r="M37" s="104">
        <v>1749.7</v>
      </c>
      <c r="N37" s="106">
        <v>1758</v>
      </c>
      <c r="O37" s="101">
        <f>Taxes!W12+Taxes!W23</f>
        <v>1773.7638868918259</v>
      </c>
    </row>
    <row r="38" spans="1:17" x14ac:dyDescent="0.35">
      <c r="A38" s="92">
        <v>31</v>
      </c>
      <c r="B38" s="119" t="s">
        <v>242</v>
      </c>
      <c r="C38" s="117">
        <v>3224.2</v>
      </c>
      <c r="D38" s="117">
        <v>3236.7</v>
      </c>
      <c r="E38" s="118">
        <v>3248.6</v>
      </c>
      <c r="F38" s="104">
        <v>3232.7</v>
      </c>
      <c r="G38" s="104">
        <v>3213.6</v>
      </c>
      <c r="H38" s="104">
        <v>3202.1</v>
      </c>
      <c r="I38" s="104">
        <v>2920.9</v>
      </c>
      <c r="J38" s="104">
        <v>2901.5</v>
      </c>
      <c r="K38" s="104">
        <v>2896.1</v>
      </c>
      <c r="L38" s="104">
        <v>2896.2</v>
      </c>
      <c r="M38" s="104">
        <v>2893.3</v>
      </c>
      <c r="N38" s="106">
        <v>2895.3</v>
      </c>
      <c r="O38" s="101">
        <f>Taxes!W10+Taxes!W22</f>
        <v>2854.8225697529288</v>
      </c>
    </row>
    <row r="39" spans="1:17" x14ac:dyDescent="0.35">
      <c r="A39" s="135">
        <v>32</v>
      </c>
      <c r="B39" s="60" t="s">
        <v>1841</v>
      </c>
      <c r="C39" s="83">
        <v>18628.099999999999</v>
      </c>
      <c r="D39" s="83">
        <v>18739.099999999999</v>
      </c>
      <c r="E39" s="104">
        <v>18831.7</v>
      </c>
      <c r="F39" s="104">
        <v>18969.2</v>
      </c>
      <c r="G39" s="104">
        <v>19026.5</v>
      </c>
      <c r="H39" s="104">
        <v>19079.7</v>
      </c>
      <c r="I39" s="104">
        <v>19511.099999999999</v>
      </c>
      <c r="J39" s="104">
        <v>19619.099999999999</v>
      </c>
      <c r="K39" s="104">
        <v>19708.900000000001</v>
      </c>
      <c r="L39" s="104">
        <v>19766.8</v>
      </c>
      <c r="M39" s="104">
        <v>19873.5</v>
      </c>
      <c r="N39" s="106">
        <v>19941</v>
      </c>
      <c r="O39" s="89"/>
    </row>
    <row r="40" spans="1:17" x14ac:dyDescent="0.35">
      <c r="A40" s="135">
        <v>33</v>
      </c>
      <c r="B40" s="60" t="s">
        <v>243</v>
      </c>
      <c r="C40" s="83">
        <v>17983.400000000001</v>
      </c>
      <c r="D40" s="83">
        <v>18132.7</v>
      </c>
      <c r="E40" s="104">
        <v>18257.400000000001</v>
      </c>
      <c r="F40" s="104">
        <v>18391.8</v>
      </c>
      <c r="G40" s="104">
        <v>18362.3</v>
      </c>
      <c r="H40" s="104">
        <v>18377.400000000001</v>
      </c>
      <c r="I40" s="104">
        <v>18725.8</v>
      </c>
      <c r="J40" s="104">
        <v>18783.099999999999</v>
      </c>
      <c r="K40" s="104">
        <v>18807.7</v>
      </c>
      <c r="L40" s="104">
        <v>18920.400000000001</v>
      </c>
      <c r="M40" s="104">
        <v>18969.2</v>
      </c>
      <c r="N40" s="106">
        <v>19078.599999999999</v>
      </c>
      <c r="O40" s="89"/>
    </row>
    <row r="41" spans="1:17" x14ac:dyDescent="0.35">
      <c r="A41" s="135">
        <v>34</v>
      </c>
      <c r="B41" s="133" t="s">
        <v>1722</v>
      </c>
      <c r="C41" s="84">
        <v>17420.3</v>
      </c>
      <c r="D41" s="84">
        <v>17550.900000000001</v>
      </c>
      <c r="E41" s="107">
        <v>17656.8</v>
      </c>
      <c r="F41" s="107">
        <v>17778.2</v>
      </c>
      <c r="G41" s="107">
        <v>17735</v>
      </c>
      <c r="H41" s="107">
        <v>17736.5</v>
      </c>
      <c r="I41" s="107">
        <v>18076.599999999999</v>
      </c>
      <c r="J41" s="107">
        <v>18123.900000000001</v>
      </c>
      <c r="K41" s="107">
        <v>18138.7</v>
      </c>
      <c r="L41" s="107">
        <v>18247.5</v>
      </c>
      <c r="M41" s="107">
        <v>18282.8</v>
      </c>
      <c r="N41" s="108">
        <v>18383.2</v>
      </c>
      <c r="O41" s="89"/>
    </row>
    <row r="42" spans="1:17" ht="16.399999999999999" customHeight="1" x14ac:dyDescent="0.35">
      <c r="A42" s="135">
        <v>35</v>
      </c>
      <c r="B42" s="58" t="s">
        <v>1763</v>
      </c>
      <c r="C42" s="84">
        <v>5988.2</v>
      </c>
      <c r="D42" s="84">
        <v>5981.9</v>
      </c>
      <c r="E42" s="107">
        <v>5995.6</v>
      </c>
      <c r="F42" s="107">
        <v>6064.4</v>
      </c>
      <c r="G42" s="107">
        <v>5974.1</v>
      </c>
      <c r="H42" s="107">
        <v>5901.5</v>
      </c>
      <c r="I42" s="107">
        <v>6104.4</v>
      </c>
      <c r="J42" s="107">
        <v>6098</v>
      </c>
      <c r="K42" s="107">
        <v>6034.5</v>
      </c>
      <c r="L42" s="107">
        <v>6086.5</v>
      </c>
      <c r="M42" s="107">
        <v>6073.1</v>
      </c>
      <c r="N42" s="108">
        <v>6122.2</v>
      </c>
      <c r="O42" s="90"/>
      <c r="P42" s="122"/>
      <c r="Q42" s="79"/>
    </row>
    <row r="43" spans="1:17" ht="16.399999999999999" customHeight="1" x14ac:dyDescent="0.35">
      <c r="A43" s="135">
        <v>36</v>
      </c>
      <c r="B43" s="128" t="s">
        <v>1842</v>
      </c>
      <c r="C43" s="84">
        <v>2189.5</v>
      </c>
      <c r="D43" s="84">
        <v>2197.8000000000002</v>
      </c>
      <c r="E43" s="107">
        <v>2200.1999999999998</v>
      </c>
      <c r="F43" s="107">
        <v>2238.9</v>
      </c>
      <c r="G43" s="107">
        <v>2167.3000000000002</v>
      </c>
      <c r="H43" s="107">
        <v>2134.9</v>
      </c>
      <c r="I43" s="107">
        <v>2288.1999999999998</v>
      </c>
      <c r="J43" s="107">
        <v>2258.1999999999998</v>
      </c>
      <c r="K43" s="107">
        <v>2230.1999999999998</v>
      </c>
      <c r="L43" s="107">
        <v>2252.3000000000002</v>
      </c>
      <c r="M43" s="107">
        <v>2252.6999999999998</v>
      </c>
      <c r="N43" s="108">
        <v>2284.6</v>
      </c>
      <c r="O43" s="89"/>
      <c r="P43" s="122"/>
      <c r="Q43" s="79"/>
    </row>
    <row r="44" spans="1:17" ht="16.399999999999999" customHeight="1" x14ac:dyDescent="0.35">
      <c r="A44" s="135">
        <v>37</v>
      </c>
      <c r="B44" s="128" t="s">
        <v>1843</v>
      </c>
      <c r="C44" s="84">
        <v>3798.7</v>
      </c>
      <c r="D44" s="84">
        <v>3784.1</v>
      </c>
      <c r="E44" s="107">
        <v>3795.4</v>
      </c>
      <c r="F44" s="107">
        <v>3825.6</v>
      </c>
      <c r="G44" s="107">
        <v>3806.8</v>
      </c>
      <c r="H44" s="107">
        <v>3766.5</v>
      </c>
      <c r="I44" s="107">
        <v>3816.2</v>
      </c>
      <c r="J44" s="107">
        <v>3839.8</v>
      </c>
      <c r="K44" s="107">
        <v>3804.3</v>
      </c>
      <c r="L44" s="107">
        <v>3834.1</v>
      </c>
      <c r="M44" s="107">
        <v>3820.3</v>
      </c>
      <c r="N44" s="108">
        <v>3837.6</v>
      </c>
      <c r="O44" s="89"/>
      <c r="P44" s="122"/>
      <c r="Q44" s="79"/>
    </row>
    <row r="45" spans="1:17" ht="16.399999999999999" customHeight="1" x14ac:dyDescent="0.35">
      <c r="A45" s="135">
        <v>38</v>
      </c>
      <c r="B45" s="58" t="s">
        <v>1769</v>
      </c>
      <c r="C45" s="84">
        <v>11432.1</v>
      </c>
      <c r="D45" s="84">
        <v>11568.9</v>
      </c>
      <c r="E45" s="107">
        <v>11661.2</v>
      </c>
      <c r="F45" s="107">
        <v>11713.7</v>
      </c>
      <c r="G45" s="107">
        <v>11760.9</v>
      </c>
      <c r="H45" s="107">
        <v>11835</v>
      </c>
      <c r="I45" s="107">
        <v>11972.1</v>
      </c>
      <c r="J45" s="107">
        <v>12025.9</v>
      </c>
      <c r="K45" s="107">
        <v>12104.2</v>
      </c>
      <c r="L45" s="107">
        <v>12161</v>
      </c>
      <c r="M45" s="107">
        <v>12209.7</v>
      </c>
      <c r="N45" s="108">
        <v>12261</v>
      </c>
      <c r="O45" s="89"/>
      <c r="P45" s="122"/>
      <c r="Q45" s="79"/>
    </row>
    <row r="46" spans="1:17" ht="16.399999999999999" customHeight="1" x14ac:dyDescent="0.35">
      <c r="A46" s="135">
        <v>39</v>
      </c>
      <c r="B46" s="133" t="s">
        <v>1844</v>
      </c>
      <c r="C46" s="84">
        <v>338.7</v>
      </c>
      <c r="D46" s="84">
        <v>357.1</v>
      </c>
      <c r="E46" s="107">
        <v>375.6</v>
      </c>
      <c r="F46" s="107">
        <v>389.1</v>
      </c>
      <c r="G46" s="107">
        <v>402.6</v>
      </c>
      <c r="H46" s="107">
        <v>416.1</v>
      </c>
      <c r="I46" s="107">
        <v>425.8</v>
      </c>
      <c r="J46" s="107">
        <v>435.5</v>
      </c>
      <c r="K46" s="107">
        <v>445.1</v>
      </c>
      <c r="L46" s="107">
        <v>448.7</v>
      </c>
      <c r="M46" s="107">
        <v>462.6</v>
      </c>
      <c r="N46" s="108">
        <v>471.4</v>
      </c>
      <c r="O46" s="90"/>
      <c r="P46" s="122"/>
      <c r="Q46" s="79"/>
    </row>
    <row r="47" spans="1:17" x14ac:dyDescent="0.35">
      <c r="A47" s="135">
        <v>40</v>
      </c>
      <c r="B47" s="133" t="s">
        <v>1845</v>
      </c>
      <c r="C47" s="84">
        <v>224.4</v>
      </c>
      <c r="D47" s="84">
        <v>224.7</v>
      </c>
      <c r="E47" s="107">
        <v>225</v>
      </c>
      <c r="F47" s="107">
        <v>224.5</v>
      </c>
      <c r="G47" s="107">
        <v>224.7</v>
      </c>
      <c r="H47" s="107">
        <v>224.8</v>
      </c>
      <c r="I47" s="107">
        <v>223.4</v>
      </c>
      <c r="J47" s="107">
        <v>223.7</v>
      </c>
      <c r="K47" s="107">
        <v>223.9</v>
      </c>
      <c r="L47" s="107">
        <v>224.2</v>
      </c>
      <c r="M47" s="107">
        <v>223.8</v>
      </c>
      <c r="N47" s="108">
        <v>224</v>
      </c>
      <c r="O47" s="89"/>
      <c r="P47" s="122"/>
      <c r="Q47" s="79"/>
    </row>
    <row r="48" spans="1:17" x14ac:dyDescent="0.35">
      <c r="A48" s="135">
        <v>41</v>
      </c>
      <c r="B48" s="58" t="s">
        <v>1846</v>
      </c>
      <c r="C48" s="84">
        <v>116.1</v>
      </c>
      <c r="D48" s="84">
        <v>116.4</v>
      </c>
      <c r="E48" s="107">
        <v>116.7</v>
      </c>
      <c r="F48" s="107">
        <v>116.9</v>
      </c>
      <c r="G48" s="107">
        <v>117.1</v>
      </c>
      <c r="H48" s="107">
        <v>117.2</v>
      </c>
      <c r="I48" s="107">
        <v>117.5</v>
      </c>
      <c r="J48" s="107">
        <v>117.8</v>
      </c>
      <c r="K48" s="107">
        <v>118</v>
      </c>
      <c r="L48" s="107">
        <v>118.3</v>
      </c>
      <c r="M48" s="107">
        <v>118.5</v>
      </c>
      <c r="N48" s="108">
        <v>118.8</v>
      </c>
      <c r="O48" s="35"/>
      <c r="P48" s="122"/>
      <c r="Q48" s="79"/>
    </row>
    <row r="49" spans="1:17" x14ac:dyDescent="0.35">
      <c r="A49" s="135">
        <v>42</v>
      </c>
      <c r="B49" s="58" t="s">
        <v>1847</v>
      </c>
      <c r="C49" s="84">
        <v>108.3</v>
      </c>
      <c r="D49" s="84">
        <v>108.3</v>
      </c>
      <c r="E49" s="107">
        <v>108.3</v>
      </c>
      <c r="F49" s="107">
        <v>107.6</v>
      </c>
      <c r="G49" s="107">
        <v>107.6</v>
      </c>
      <c r="H49" s="107">
        <v>107.6</v>
      </c>
      <c r="I49" s="107">
        <v>105.9</v>
      </c>
      <c r="J49" s="107">
        <v>105.9</v>
      </c>
      <c r="K49" s="107">
        <v>105.9</v>
      </c>
      <c r="L49" s="107">
        <v>105.9</v>
      </c>
      <c r="M49" s="107">
        <v>105.3</v>
      </c>
      <c r="N49" s="108">
        <v>105.3</v>
      </c>
      <c r="O49" s="35"/>
      <c r="P49" s="122"/>
      <c r="Q49" s="79"/>
    </row>
    <row r="50" spans="1:17" x14ac:dyDescent="0.35">
      <c r="A50" s="135">
        <v>43</v>
      </c>
      <c r="B50" s="60" t="s">
        <v>244</v>
      </c>
      <c r="C50" s="83">
        <v>644.70000000000005</v>
      </c>
      <c r="D50" s="83">
        <v>606.4</v>
      </c>
      <c r="E50" s="104">
        <v>574.4</v>
      </c>
      <c r="F50" s="104">
        <v>577.4</v>
      </c>
      <c r="G50" s="104">
        <v>664.1</v>
      </c>
      <c r="H50" s="104">
        <v>702.3</v>
      </c>
      <c r="I50" s="104">
        <v>785.3</v>
      </c>
      <c r="J50" s="104">
        <v>836.1</v>
      </c>
      <c r="K50" s="104">
        <v>901.2</v>
      </c>
      <c r="L50" s="104">
        <v>846.3</v>
      </c>
      <c r="M50" s="104">
        <v>904.3</v>
      </c>
      <c r="N50" s="106">
        <v>862.4</v>
      </c>
      <c r="O50" s="89"/>
      <c r="P50" s="70"/>
    </row>
    <row r="51" spans="1:17" x14ac:dyDescent="0.35">
      <c r="A51" s="77">
        <v>44</v>
      </c>
      <c r="B51" s="131" t="s">
        <v>1848</v>
      </c>
      <c r="C51" s="83">
        <v>3.5</v>
      </c>
      <c r="D51" s="83">
        <v>3.2</v>
      </c>
      <c r="E51" s="104">
        <v>3</v>
      </c>
      <c r="F51" s="104">
        <v>3</v>
      </c>
      <c r="G51" s="104">
        <v>3.5</v>
      </c>
      <c r="H51" s="104">
        <v>3.7</v>
      </c>
      <c r="I51" s="104">
        <v>4</v>
      </c>
      <c r="J51" s="104">
        <v>4.3</v>
      </c>
      <c r="K51" s="104">
        <v>4.5999999999999996</v>
      </c>
      <c r="L51" s="104">
        <v>4.3</v>
      </c>
      <c r="M51" s="104">
        <v>4.5999999999999996</v>
      </c>
      <c r="N51" s="106">
        <v>4.3</v>
      </c>
      <c r="O51" s="89"/>
      <c r="P51" s="70"/>
    </row>
    <row r="52" spans="1:17" x14ac:dyDescent="0.35">
      <c r="A52" s="135"/>
      <c r="B52" s="60" t="s">
        <v>1770</v>
      </c>
      <c r="C52" s="83"/>
      <c r="D52" s="83"/>
      <c r="E52" s="104"/>
      <c r="F52" s="104"/>
      <c r="G52" s="104"/>
      <c r="H52" s="104"/>
      <c r="I52" s="104"/>
      <c r="J52" s="104"/>
      <c r="K52" s="104"/>
      <c r="L52" s="104"/>
      <c r="M52" s="104"/>
      <c r="N52" s="106"/>
      <c r="O52" s="89"/>
    </row>
    <row r="53" spans="1:17" ht="31" customHeight="1" x14ac:dyDescent="0.35">
      <c r="A53" s="77">
        <v>45</v>
      </c>
      <c r="B53" s="131" t="s">
        <v>1849</v>
      </c>
      <c r="C53" s="83">
        <v>14559.1</v>
      </c>
      <c r="D53" s="83">
        <v>14618.2</v>
      </c>
      <c r="E53" s="104">
        <v>14653.2</v>
      </c>
      <c r="F53" s="104">
        <v>14618.1</v>
      </c>
      <c r="G53" s="104">
        <v>14607</v>
      </c>
      <c r="H53" s="104">
        <v>14604.2</v>
      </c>
      <c r="I53" s="104">
        <v>14623.3</v>
      </c>
      <c r="J53" s="104">
        <v>14622.7</v>
      </c>
      <c r="K53" s="104">
        <v>14664.3</v>
      </c>
      <c r="L53" s="104">
        <v>14659</v>
      </c>
      <c r="M53" s="104">
        <v>14721.6</v>
      </c>
      <c r="N53" s="106">
        <v>14754.4</v>
      </c>
      <c r="O53" s="89"/>
    </row>
    <row r="54" spans="1:17" x14ac:dyDescent="0.35">
      <c r="A54" s="135"/>
      <c r="B54" s="124" t="s">
        <v>1850</v>
      </c>
      <c r="C54" s="83"/>
      <c r="D54" s="83"/>
      <c r="E54" s="104"/>
      <c r="F54" s="104"/>
      <c r="G54" s="104"/>
      <c r="H54" s="104"/>
      <c r="I54" s="104"/>
      <c r="J54" s="104"/>
      <c r="K54" s="104"/>
      <c r="L54" s="104"/>
      <c r="M54" s="104"/>
      <c r="N54" s="106"/>
      <c r="O54" s="89"/>
    </row>
    <row r="55" spans="1:17" ht="16.399999999999999" customHeight="1" x14ac:dyDescent="0.35">
      <c r="A55" s="135">
        <v>46</v>
      </c>
      <c r="B55" s="127" t="s">
        <v>1851</v>
      </c>
      <c r="C55" s="84">
        <v>15100.2</v>
      </c>
      <c r="D55" s="84">
        <v>15149.6</v>
      </c>
      <c r="E55" s="107">
        <v>15172.2</v>
      </c>
      <c r="F55" s="107">
        <v>15218.9</v>
      </c>
      <c r="G55" s="107">
        <v>15238.7</v>
      </c>
      <c r="H55" s="107">
        <v>15250.6</v>
      </c>
      <c r="I55" s="107">
        <v>15504.7</v>
      </c>
      <c r="J55" s="107">
        <v>15545.3</v>
      </c>
      <c r="K55" s="107">
        <v>15598.6</v>
      </c>
      <c r="L55" s="107">
        <v>15587.8</v>
      </c>
      <c r="M55" s="107">
        <v>15656.1</v>
      </c>
      <c r="N55" s="108">
        <v>15683.9</v>
      </c>
      <c r="O55" s="89"/>
    </row>
    <row r="56" spans="1:17" x14ac:dyDescent="0.35">
      <c r="A56" s="135"/>
      <c r="B56" s="58" t="s">
        <v>1852</v>
      </c>
      <c r="C56" s="84"/>
      <c r="D56" s="84"/>
      <c r="E56" s="107"/>
      <c r="F56" s="107"/>
      <c r="G56" s="107"/>
      <c r="H56" s="107"/>
      <c r="I56" s="107"/>
      <c r="J56" s="107"/>
      <c r="K56" s="107"/>
      <c r="L56" s="107"/>
      <c r="M56" s="107"/>
      <c r="N56" s="108"/>
      <c r="O56" s="89"/>
    </row>
    <row r="57" spans="1:17" x14ac:dyDescent="0.35">
      <c r="A57" s="135">
        <v>47</v>
      </c>
      <c r="B57" s="128" t="s">
        <v>1853</v>
      </c>
      <c r="C57" s="85">
        <v>55836</v>
      </c>
      <c r="D57" s="85">
        <v>56139</v>
      </c>
      <c r="E57" s="109">
        <v>56387</v>
      </c>
      <c r="F57" s="109">
        <v>56770</v>
      </c>
      <c r="G57" s="109">
        <v>56917</v>
      </c>
      <c r="H57" s="109">
        <v>57053</v>
      </c>
      <c r="I57" s="109">
        <v>58323</v>
      </c>
      <c r="J57" s="109">
        <v>58628</v>
      </c>
      <c r="K57" s="109">
        <v>58876</v>
      </c>
      <c r="L57" s="109">
        <v>59026</v>
      </c>
      <c r="M57" s="109">
        <v>59322</v>
      </c>
      <c r="N57" s="110">
        <v>59496</v>
      </c>
      <c r="O57" s="89"/>
    </row>
    <row r="58" spans="1:17" x14ac:dyDescent="0.35">
      <c r="A58" s="135">
        <v>48</v>
      </c>
      <c r="B58" s="128" t="s">
        <v>1854</v>
      </c>
      <c r="C58" s="85">
        <v>45261</v>
      </c>
      <c r="D58" s="85">
        <v>45385</v>
      </c>
      <c r="E58" s="109">
        <v>45429</v>
      </c>
      <c r="F58" s="109">
        <v>45546</v>
      </c>
      <c r="G58" s="109">
        <v>45586</v>
      </c>
      <c r="H58" s="109">
        <v>45603</v>
      </c>
      <c r="I58" s="109">
        <v>46347</v>
      </c>
      <c r="J58" s="109">
        <v>46454</v>
      </c>
      <c r="K58" s="109">
        <v>46597</v>
      </c>
      <c r="L58" s="109">
        <v>46547</v>
      </c>
      <c r="M58" s="109">
        <v>46733</v>
      </c>
      <c r="N58" s="110">
        <v>46795</v>
      </c>
      <c r="O58" s="89"/>
    </row>
    <row r="59" spans="1:17" ht="15" customHeight="1" x14ac:dyDescent="0.35">
      <c r="A59" s="78">
        <v>49</v>
      </c>
      <c r="B59" s="133" t="s">
        <v>1855</v>
      </c>
      <c r="C59" s="86">
        <v>333624</v>
      </c>
      <c r="D59" s="86">
        <v>333799</v>
      </c>
      <c r="E59" s="111">
        <v>333976</v>
      </c>
      <c r="F59" s="111">
        <v>334141</v>
      </c>
      <c r="G59" s="111">
        <v>334287</v>
      </c>
      <c r="H59" s="111">
        <v>334420</v>
      </c>
      <c r="I59" s="111">
        <v>334533</v>
      </c>
      <c r="J59" s="111">
        <v>334637</v>
      </c>
      <c r="K59" s="111">
        <v>334753</v>
      </c>
      <c r="L59" s="111">
        <v>334880</v>
      </c>
      <c r="M59" s="111">
        <v>335013</v>
      </c>
      <c r="N59" s="112">
        <v>335163</v>
      </c>
      <c r="O59" s="91"/>
    </row>
    <row r="60" spans="1:17" x14ac:dyDescent="0.35">
      <c r="A60" s="1291" t="s">
        <v>1856</v>
      </c>
      <c r="B60" s="1291"/>
      <c r="C60" s="1291"/>
      <c r="D60" s="1291"/>
      <c r="E60" s="1291"/>
      <c r="F60" s="1291"/>
      <c r="G60" s="1291"/>
      <c r="H60" s="1291"/>
      <c r="I60" s="1291"/>
      <c r="J60" s="1291"/>
      <c r="K60" s="81"/>
      <c r="L60" s="81"/>
      <c r="M60" s="81"/>
      <c r="N60" s="81"/>
    </row>
    <row r="61" spans="1:17" x14ac:dyDescent="0.35">
      <c r="A61" s="1292" t="s">
        <v>1857</v>
      </c>
      <c r="B61" s="1292"/>
      <c r="C61" s="1292"/>
      <c r="D61" s="1292"/>
      <c r="E61" s="1292"/>
      <c r="F61" s="1292"/>
      <c r="G61" s="1292"/>
      <c r="H61" s="1292"/>
      <c r="I61" s="1292"/>
      <c r="J61" s="1292"/>
      <c r="K61" s="98"/>
      <c r="L61" s="98"/>
      <c r="M61" s="98"/>
      <c r="N61" s="98"/>
    </row>
    <row r="62" spans="1:17" x14ac:dyDescent="0.35">
      <c r="A62" s="1292" t="s">
        <v>1858</v>
      </c>
      <c r="B62" s="1292"/>
      <c r="C62" s="1292"/>
      <c r="D62" s="1292"/>
      <c r="E62" s="1292"/>
      <c r="F62" s="1292"/>
      <c r="G62" s="1292"/>
      <c r="H62" s="1292"/>
      <c r="I62" s="1292"/>
      <c r="J62" s="1292"/>
      <c r="K62" s="98"/>
      <c r="L62" s="98"/>
      <c r="M62" s="98"/>
      <c r="N62" s="98"/>
    </row>
    <row r="63" spans="1:17" x14ac:dyDescent="0.35">
      <c r="A63" s="1292" t="s">
        <v>1859</v>
      </c>
      <c r="B63" s="1292"/>
      <c r="C63" s="1292"/>
      <c r="D63" s="1292"/>
      <c r="E63" s="1292"/>
      <c r="F63" s="1292"/>
      <c r="G63" s="1292"/>
      <c r="H63" s="1292"/>
      <c r="I63" s="1292"/>
      <c r="J63" s="1292"/>
      <c r="K63" s="98"/>
      <c r="L63" s="98"/>
      <c r="M63" s="98"/>
      <c r="N63" s="98"/>
    </row>
    <row r="64" spans="1:17" x14ac:dyDescent="0.35">
      <c r="A64" s="1292" t="s">
        <v>1860</v>
      </c>
      <c r="B64" s="1292"/>
      <c r="C64" s="1292"/>
      <c r="D64" s="1292"/>
      <c r="E64" s="1292"/>
      <c r="F64" s="1292"/>
      <c r="G64" s="1292"/>
      <c r="H64" s="1292"/>
      <c r="I64" s="1292"/>
      <c r="J64" s="1292"/>
      <c r="K64" s="98"/>
      <c r="L64" s="98"/>
      <c r="M64" s="98"/>
      <c r="N64" s="98"/>
    </row>
    <row r="65" spans="1:14" x14ac:dyDescent="0.35">
      <c r="A65" s="1292" t="s">
        <v>1861</v>
      </c>
      <c r="B65" s="1292"/>
      <c r="C65" s="1292"/>
      <c r="D65" s="1292"/>
      <c r="E65" s="1292"/>
      <c r="F65" s="1292"/>
      <c r="G65" s="1292"/>
      <c r="H65" s="1292"/>
      <c r="I65" s="1292"/>
      <c r="J65" s="1292"/>
      <c r="K65" s="98"/>
      <c r="L65" s="98"/>
      <c r="M65" s="98"/>
      <c r="N65" s="98"/>
    </row>
    <row r="66" spans="1:14" ht="14.5" customHeight="1" x14ac:dyDescent="0.35">
      <c r="A66" s="1292" t="s">
        <v>1862</v>
      </c>
      <c r="B66" s="1292"/>
      <c r="C66" s="1292"/>
      <c r="D66" s="1292"/>
      <c r="E66" s="1292"/>
      <c r="F66" s="1292"/>
      <c r="G66" s="1292"/>
      <c r="H66" s="1292"/>
      <c r="I66" s="1292"/>
      <c r="J66" s="1292"/>
      <c r="K66" s="98"/>
      <c r="L66" s="98"/>
      <c r="M66" s="98"/>
      <c r="N66" s="98"/>
    </row>
    <row r="67" spans="1:14" ht="14.5" customHeight="1" x14ac:dyDescent="0.35">
      <c r="A67" s="1293" t="s">
        <v>1863</v>
      </c>
      <c r="B67" s="1293"/>
      <c r="C67" s="1293"/>
      <c r="D67" s="1293"/>
      <c r="E67" s="1293"/>
      <c r="F67" s="1293"/>
      <c r="G67" s="1293"/>
      <c r="H67" s="1293"/>
      <c r="I67" s="1293"/>
      <c r="J67" s="1293"/>
      <c r="K67" s="99"/>
      <c r="L67" s="99"/>
      <c r="M67" s="99"/>
      <c r="N67" s="99"/>
    </row>
    <row r="68" spans="1:14" ht="14.5" customHeight="1" x14ac:dyDescent="0.35">
      <c r="A68" s="1294" t="s">
        <v>246</v>
      </c>
      <c r="B68" s="1294"/>
      <c r="C68" s="1294"/>
      <c r="D68" s="1294"/>
      <c r="E68" s="1294"/>
      <c r="F68" s="1294"/>
      <c r="G68" s="1294"/>
      <c r="H68" s="1294"/>
      <c r="I68" s="1294"/>
      <c r="J68" s="1294"/>
      <c r="K68" s="100"/>
      <c r="L68" s="100"/>
      <c r="M68" s="100"/>
      <c r="N68" s="100"/>
    </row>
    <row r="69" spans="1:14" x14ac:dyDescent="0.35">
      <c r="A69" s="1279" t="s">
        <v>889</v>
      </c>
      <c r="B69" s="1279"/>
      <c r="C69" s="1279"/>
      <c r="D69" s="1279"/>
      <c r="E69" s="1279"/>
      <c r="F69" s="1279"/>
      <c r="G69" s="1279"/>
    </row>
    <row r="70" spans="1:14" x14ac:dyDescent="0.35">
      <c r="A70" s="1280" t="s">
        <v>890</v>
      </c>
      <c r="B70" s="1280"/>
      <c r="C70" s="1280"/>
      <c r="D70" s="1280"/>
      <c r="E70" s="1280"/>
      <c r="F70" s="1280"/>
      <c r="G70" s="1280"/>
    </row>
    <row r="71" spans="1:14" x14ac:dyDescent="0.35">
      <c r="A71" s="1281" t="s">
        <v>891</v>
      </c>
      <c r="B71" s="1281"/>
      <c r="C71" s="1281"/>
      <c r="D71" s="1281"/>
      <c r="E71" s="1281"/>
      <c r="F71" s="1281"/>
      <c r="G71" s="1281"/>
    </row>
    <row r="72" spans="1:14" x14ac:dyDescent="0.35">
      <c r="A72" s="1282" t="s">
        <v>892</v>
      </c>
      <c r="B72" s="1282"/>
      <c r="C72" s="1282"/>
      <c r="D72" s="1282"/>
      <c r="E72" s="1282"/>
      <c r="F72" s="1282"/>
      <c r="G72" s="1282"/>
    </row>
    <row r="73" spans="1:14" x14ac:dyDescent="0.35">
      <c r="A73" s="1282" t="s">
        <v>893</v>
      </c>
      <c r="B73" s="1282"/>
      <c r="C73" s="1282"/>
      <c r="D73" s="1282"/>
      <c r="E73" s="1282"/>
      <c r="F73" s="1282"/>
      <c r="G73" s="1282"/>
    </row>
    <row r="74" spans="1:14" x14ac:dyDescent="0.35">
      <c r="A74" s="1281" t="s">
        <v>894</v>
      </c>
      <c r="B74" s="1281"/>
      <c r="C74" s="1281"/>
      <c r="D74" s="1281"/>
      <c r="E74" s="1281"/>
      <c r="F74" s="1281"/>
      <c r="G74" s="1281"/>
    </row>
    <row r="76" spans="1:14" x14ac:dyDescent="0.35">
      <c r="A76" s="1279" t="s">
        <v>895</v>
      </c>
      <c r="B76" s="1279"/>
      <c r="C76" s="1279"/>
      <c r="D76" s="1279"/>
      <c r="E76" s="1279"/>
      <c r="F76" s="1279"/>
      <c r="G76" s="1279"/>
    </row>
    <row r="78" spans="1:14" x14ac:dyDescent="0.35">
      <c r="A78" s="35" t="s">
        <v>245</v>
      </c>
    </row>
    <row r="80" spans="1:14" x14ac:dyDescent="0.35">
      <c r="A80" s="35" t="s">
        <v>246</v>
      </c>
    </row>
    <row r="82" spans="1:1" x14ac:dyDescent="0.35">
      <c r="A82" s="121"/>
    </row>
    <row r="88" spans="1:1" x14ac:dyDescent="0.35">
      <c r="A88" s="120"/>
    </row>
    <row r="89" spans="1:1" x14ac:dyDescent="0.35">
      <c r="A89" s="120"/>
    </row>
    <row r="90" spans="1:1" x14ac:dyDescent="0.35">
      <c r="A90" s="120"/>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S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2023-08-30T13:38:07Z</dcterms:modified>
  <cp:category/>
  <cp:contentStatus/>
</cp:coreProperties>
</file>